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<sst xmlns="http://schemas.openxmlformats.org/spreadsheetml/2006/main" count="1002" uniqueCount="1000">
  <si>
    <t>full overlap</t>
  </si>
  <si>
    <t>partial overlap</t>
  </si>
  <si>
    <t>7-24,8-8</t>
  </si>
  <si>
    <t>2-75,37-51</t>
  </si>
  <si>
    <t>47-78,20-39</t>
  </si>
  <si>
    <t>53-91,34-53</t>
  </si>
  <si>
    <t>13-50,14-50</t>
  </si>
  <si>
    <t>93-93,20-93</t>
  </si>
  <si>
    <t>74-80,48-81</t>
  </si>
  <si>
    <t>30-87,27-38</t>
  </si>
  <si>
    <t>6-93,7-94</t>
  </si>
  <si>
    <t>56-98,12-49</t>
  </si>
  <si>
    <t>10-71,3-4</t>
  </si>
  <si>
    <t>87-95,55-88</t>
  </si>
  <si>
    <t>27-98,52-99</t>
  </si>
  <si>
    <t>4-11,11-82</t>
  </si>
  <si>
    <t>4-90,4-96</t>
  </si>
  <si>
    <t>3-89,4-80</t>
  </si>
  <si>
    <t>4-88,6-82</t>
  </si>
  <si>
    <t>69-75,70-76</t>
  </si>
  <si>
    <t>6-71,5-7</t>
  </si>
  <si>
    <t>91-96,8-74</t>
  </si>
  <si>
    <t>52-53,2-52</t>
  </si>
  <si>
    <t>9-94,10-97</t>
  </si>
  <si>
    <t>14-75,63-76</t>
  </si>
  <si>
    <t>3-26,3-4</t>
  </si>
  <si>
    <t>40-55,39-41</t>
  </si>
  <si>
    <t>17-22,4-80</t>
  </si>
  <si>
    <t>62-94,15-95</t>
  </si>
  <si>
    <t>37-77,6-76</t>
  </si>
  <si>
    <t>21-22,22-27</t>
  </si>
  <si>
    <t>3-94,93-98</t>
  </si>
  <si>
    <t>92-93,12-93</t>
  </si>
  <si>
    <t>80-81,6-80</t>
  </si>
  <si>
    <t>53-54,54-95</t>
  </si>
  <si>
    <t>45-90,44-91</t>
  </si>
  <si>
    <t>12-99,21-95</t>
  </si>
  <si>
    <t>36-69,35-68</t>
  </si>
  <si>
    <t>30-77,61-86</t>
  </si>
  <si>
    <t>24-49,23-78</t>
  </si>
  <si>
    <t>40-87,40-86</t>
  </si>
  <si>
    <t>36-53,53-54</t>
  </si>
  <si>
    <t>11-96,55-86</t>
  </si>
  <si>
    <t>31-41,40-45</t>
  </si>
  <si>
    <t>8-99,11-87</t>
  </si>
  <si>
    <t>15-71,70-71</t>
  </si>
  <si>
    <t>5-34,8-33</t>
  </si>
  <si>
    <t>2-96,2-95</t>
  </si>
  <si>
    <t>31-95,22-96</t>
  </si>
  <si>
    <t>47-98,48-90</t>
  </si>
  <si>
    <t>48-79,48-80</t>
  </si>
  <si>
    <t>46-84,45-81</t>
  </si>
  <si>
    <t>61-96,85-97</t>
  </si>
  <si>
    <t>15-82,16-84</t>
  </si>
  <si>
    <t>23-54,51-80</t>
  </si>
  <si>
    <t>17-66,17-67</t>
  </si>
  <si>
    <t>18-95,16-16</t>
  </si>
  <si>
    <t>6-22,21-21</t>
  </si>
  <si>
    <t>74-78,74-77</t>
  </si>
  <si>
    <t>90-99,91-94</t>
  </si>
  <si>
    <t>1-34,7-78</t>
  </si>
  <si>
    <t>72-72,9-73</t>
  </si>
  <si>
    <t>80-80,79-97</t>
  </si>
  <si>
    <t>71-80,77-81</t>
  </si>
  <si>
    <t>61-62,59-61</t>
  </si>
  <si>
    <t>87-89,37-88</t>
  </si>
  <si>
    <t>30-40,40-81</t>
  </si>
  <si>
    <t>5-21,21-69</t>
  </si>
  <si>
    <t>17-37,16-18</t>
  </si>
  <si>
    <t>39-74,17-98</t>
  </si>
  <si>
    <t>73-98,14-96</t>
  </si>
  <si>
    <t>16-95,15-17</t>
  </si>
  <si>
    <t>22-62,22-63</t>
  </si>
  <si>
    <t>4-4,5-63</t>
  </si>
  <si>
    <t>9-11,10-92</t>
  </si>
  <si>
    <t>33-51,51-96</t>
  </si>
  <si>
    <t>1-99,1-51</t>
  </si>
  <si>
    <t>5-76,4-76</t>
  </si>
  <si>
    <t>58-84,35-89</t>
  </si>
  <si>
    <t>2-25,24-38</t>
  </si>
  <si>
    <t>1-8,8-95</t>
  </si>
  <si>
    <t>48-79,25-78</t>
  </si>
  <si>
    <t>85-98,6-86</t>
  </si>
  <si>
    <t>2-24,9-25</t>
  </si>
  <si>
    <t>7-60,6-60</t>
  </si>
  <si>
    <t>4-6,5-28</t>
  </si>
  <si>
    <t>8-95,19-98</t>
  </si>
  <si>
    <t>19-19,19-82</t>
  </si>
  <si>
    <t>71-83,33-87</t>
  </si>
  <si>
    <t>61-77,95-95</t>
  </si>
  <si>
    <t>57-58,56-59</t>
  </si>
  <si>
    <t>3-53,1-98</t>
  </si>
  <si>
    <t>83-83,10-84</t>
  </si>
  <si>
    <t>30-93,92-93</t>
  </si>
  <si>
    <t>37-73,4-95</t>
  </si>
  <si>
    <t>37-96,38-99</t>
  </si>
  <si>
    <t>23-89,2-20</t>
  </si>
  <si>
    <t>31-90,89-90</t>
  </si>
  <si>
    <t>53-59,60-60</t>
  </si>
  <si>
    <t>88-92,35-92</t>
  </si>
  <si>
    <t>47-84,46-98</t>
  </si>
  <si>
    <t>77-91,91-91</t>
  </si>
  <si>
    <t>16-53,16-54</t>
  </si>
  <si>
    <t>15-94,2-15</t>
  </si>
  <si>
    <t>26-54,76-79</t>
  </si>
  <si>
    <t>32-78,33-78</t>
  </si>
  <si>
    <t>3-4,3-17</t>
  </si>
  <si>
    <t>48-54,39-40</t>
  </si>
  <si>
    <t>51-99,52-98</t>
  </si>
  <si>
    <t>10-10,9-56</t>
  </si>
  <si>
    <t>70-75,71-71</t>
  </si>
  <si>
    <t>24-43,23-35</t>
  </si>
  <si>
    <t>41-83,40-83</t>
  </si>
  <si>
    <t>23-76,22-23</t>
  </si>
  <si>
    <t>29-60,13-37</t>
  </si>
  <si>
    <t>3-31,2-38</t>
  </si>
  <si>
    <t>34-48,26-47</t>
  </si>
  <si>
    <t>6-96,95-95</t>
  </si>
  <si>
    <t>94-99,98-98</t>
  </si>
  <si>
    <t>3-84,3-84</t>
  </si>
  <si>
    <t>7-62,61-62</t>
  </si>
  <si>
    <t>16-93,99-99</t>
  </si>
  <si>
    <t>68-84,67-92</t>
  </si>
  <si>
    <t>91-91,23-92</t>
  </si>
  <si>
    <t>56-81,61-82</t>
  </si>
  <si>
    <t>93-94,44-95</t>
  </si>
  <si>
    <t>24-52,48-58</t>
  </si>
  <si>
    <t>4-81,2-5</t>
  </si>
  <si>
    <t>26-73,27-74</t>
  </si>
  <si>
    <t>3-95,3-96</t>
  </si>
  <si>
    <t>10-84,1-60</t>
  </si>
  <si>
    <t>15-17,13-17</t>
  </si>
  <si>
    <t>18-88,3-89</t>
  </si>
  <si>
    <t>62-73,27-72</t>
  </si>
  <si>
    <t>12-12,11-97</t>
  </si>
  <si>
    <t>9-27,27-43</t>
  </si>
  <si>
    <t>1-62,1-1</t>
  </si>
  <si>
    <t>94-95,82-92</t>
  </si>
  <si>
    <t>28-89,89-90</t>
  </si>
  <si>
    <t>33-36,19-24</t>
  </si>
  <si>
    <t>14-41,13-42</t>
  </si>
  <si>
    <t>3-92,4-91</t>
  </si>
  <si>
    <t>82-88,5-84</t>
  </si>
  <si>
    <t>12-47,8-12</t>
  </si>
  <si>
    <t>20-99,20-96</t>
  </si>
  <si>
    <t>2-76,1-75</t>
  </si>
  <si>
    <t>55-92,31-90</t>
  </si>
  <si>
    <t>10-80,30-81</t>
  </si>
  <si>
    <t>2-76,92-94</t>
  </si>
  <si>
    <t>30-30,30-80</t>
  </si>
  <si>
    <t>8-61,7-61</t>
  </si>
  <si>
    <t>11-94,93-99</t>
  </si>
  <si>
    <t>15-82,12-16</t>
  </si>
  <si>
    <t>58-63,58-77</t>
  </si>
  <si>
    <t>31-76,76-83</t>
  </si>
  <si>
    <t>36-87,35-61</t>
  </si>
  <si>
    <t>24-94,58-93</t>
  </si>
  <si>
    <t>7-52,10-35</t>
  </si>
  <si>
    <t>79-79,45-79</t>
  </si>
  <si>
    <t>93-97,5-56</t>
  </si>
  <si>
    <t>52-53,53-58</t>
  </si>
  <si>
    <t>35-90,29-35</t>
  </si>
  <si>
    <t>26-48,26-49</t>
  </si>
  <si>
    <t>7-97,5-7</t>
  </si>
  <si>
    <t>33-63,33-78</t>
  </si>
  <si>
    <t>10-12,11-88</t>
  </si>
  <si>
    <t>41-41,30-41</t>
  </si>
  <si>
    <t>5-90,4-91</t>
  </si>
  <si>
    <t>3-3,6-86</t>
  </si>
  <si>
    <t>43-90,52-90</t>
  </si>
  <si>
    <t>31-57,30-32</t>
  </si>
  <si>
    <t>70-89,4-71</t>
  </si>
  <si>
    <t>4-96,3-5</t>
  </si>
  <si>
    <t>70-70,10-71</t>
  </si>
  <si>
    <t>50-71,50-51</t>
  </si>
  <si>
    <t>46-47,47-89</t>
  </si>
  <si>
    <t>66-87,65-87</t>
  </si>
  <si>
    <t>6-85,2-6</t>
  </si>
  <si>
    <t>29-91,30-90</t>
  </si>
  <si>
    <t>44-79,14-47</t>
  </si>
  <si>
    <t>30-73,73-73</t>
  </si>
  <si>
    <t>24-93,24-89</t>
  </si>
  <si>
    <t>24-88,24-44</t>
  </si>
  <si>
    <t>29-32,32-32</t>
  </si>
  <si>
    <t>14-30,30-30</t>
  </si>
  <si>
    <t>69-78,70-70</t>
  </si>
  <si>
    <t>35-48,23-27</t>
  </si>
  <si>
    <t>86-86,65-86</t>
  </si>
  <si>
    <t>91-92,70-91</t>
  </si>
  <si>
    <t>18-78,11-17</t>
  </si>
  <si>
    <t>40-40,40-75</t>
  </si>
  <si>
    <t>50-52,55-81</t>
  </si>
  <si>
    <t>40-51,40-52</t>
  </si>
  <si>
    <t>27-64,27-65</t>
  </si>
  <si>
    <t>15-94,12-15</t>
  </si>
  <si>
    <t>86-99,59-92</t>
  </si>
  <si>
    <t>7-11,10-69</t>
  </si>
  <si>
    <t>43-98,42-99</t>
  </si>
  <si>
    <t>6-88,5-89</t>
  </si>
  <si>
    <t>3-82,2-83</t>
  </si>
  <si>
    <t>79-98,98-98</t>
  </si>
  <si>
    <t>79-79,51-79</t>
  </si>
  <si>
    <t>77-77,3-77</t>
  </si>
  <si>
    <t>7-8,8-89</t>
  </si>
  <si>
    <t>35-54,38-58</t>
  </si>
  <si>
    <t>63-85,84-84</t>
  </si>
  <si>
    <t>23-94,47-79</t>
  </si>
  <si>
    <t>25-26,25-93</t>
  </si>
  <si>
    <t>91-91,57-91</t>
  </si>
  <si>
    <t>17-94,13-17</t>
  </si>
  <si>
    <t>17-50,16-51</t>
  </si>
  <si>
    <t>39-67,51-68</t>
  </si>
  <si>
    <t>13-93,12-94</t>
  </si>
  <si>
    <t>4-96,5-5</t>
  </si>
  <si>
    <t>10-87,23-87</t>
  </si>
  <si>
    <t>24-93,81-96</t>
  </si>
  <si>
    <t>44-59,7-45</t>
  </si>
  <si>
    <t>16-76,16-61</t>
  </si>
  <si>
    <t>23-52,23-53</t>
  </si>
  <si>
    <t>30-56,29-56</t>
  </si>
  <si>
    <t>20-20,23-75</t>
  </si>
  <si>
    <t>4-95,5-94</t>
  </si>
  <si>
    <t>79-97,80-97</t>
  </si>
  <si>
    <t>53-91,72-93</t>
  </si>
  <si>
    <t>16-50,15-17</t>
  </si>
  <si>
    <t>16-99,15-16</t>
  </si>
  <si>
    <t>70-84,54-83</t>
  </si>
  <si>
    <t>56-89,57-89</t>
  </si>
  <si>
    <t>51-72,52-72</t>
  </si>
  <si>
    <t>55-57,30-56</t>
  </si>
  <si>
    <t>13-14,13-70</t>
  </si>
  <si>
    <t>27-51,8-79</t>
  </si>
  <si>
    <t>17-78,18-92</t>
  </si>
  <si>
    <t>66-95,67-94</t>
  </si>
  <si>
    <t>2-57,57-58</t>
  </si>
  <si>
    <t>26-93,27-64</t>
  </si>
  <si>
    <t>21-26,80-94</t>
  </si>
  <si>
    <t>28-41,21-25</t>
  </si>
  <si>
    <t>10-21,22-56</t>
  </si>
  <si>
    <t>91-94,7-92</t>
  </si>
  <si>
    <t>2-94,77-99</t>
  </si>
  <si>
    <t>4-29,29-30</t>
  </si>
  <si>
    <t>37-37,29-38</t>
  </si>
  <si>
    <t>89-89,33-89</t>
  </si>
  <si>
    <t>14-88,11-14</t>
  </si>
  <si>
    <t>8-80,8-8</t>
  </si>
  <si>
    <t>7-7,6-68</t>
  </si>
  <si>
    <t>3-98,2-20</t>
  </si>
  <si>
    <t>90-90,36-90</t>
  </si>
  <si>
    <t>81-96,80-87</t>
  </si>
  <si>
    <t>8-9,8-98</t>
  </si>
  <si>
    <t>24-79,58-79</t>
  </si>
  <si>
    <t>19-96,20-95</t>
  </si>
  <si>
    <t>9-93,10-68</t>
  </si>
  <si>
    <t>68-90,68-89</t>
  </si>
  <si>
    <t>97-98,2-97</t>
  </si>
  <si>
    <t>57-71,12-58</t>
  </si>
  <si>
    <t>35-87,36-43</t>
  </si>
  <si>
    <t>1-4,3-19</t>
  </si>
  <si>
    <t>34-45,39-46</t>
  </si>
  <si>
    <t>3-95,1-1</t>
  </si>
  <si>
    <t>57-58,56-57</t>
  </si>
  <si>
    <t>1-97,2-2</t>
  </si>
  <si>
    <t>67-72,7-73</t>
  </si>
  <si>
    <t>1-85,2-85</t>
  </si>
  <si>
    <t>25-80,71-79</t>
  </si>
  <si>
    <t>2-91,47-91</t>
  </si>
  <si>
    <t>40-84,26-84</t>
  </si>
  <si>
    <t>32-93,31-32</t>
  </si>
  <si>
    <t>37-96,6-85</t>
  </si>
  <si>
    <t>52-94,51-95</t>
  </si>
  <si>
    <t>23-94,22-96</t>
  </si>
  <si>
    <t>41-41,7-42</t>
  </si>
  <si>
    <t>51-83,50-83</t>
  </si>
  <si>
    <t>12-94,93-93</t>
  </si>
  <si>
    <t>28-29,29-98</t>
  </si>
  <si>
    <t>14-22,12-24</t>
  </si>
  <si>
    <t>6-96,95-96</t>
  </si>
  <si>
    <t>20-20,20-92</t>
  </si>
  <si>
    <t>15-34,5-15</t>
  </si>
  <si>
    <t>15-23,14-22</t>
  </si>
  <si>
    <t>88-90,87-94</t>
  </si>
  <si>
    <t>1-88,2-88</t>
  </si>
  <si>
    <t>38-57,15-38</t>
  </si>
  <si>
    <t>61-77,78-86</t>
  </si>
  <si>
    <t>25-28,26-28</t>
  </si>
  <si>
    <t>63-69,65-68</t>
  </si>
  <si>
    <t>9-46,9-45</t>
  </si>
  <si>
    <t>2-33,1-82</t>
  </si>
  <si>
    <t>15-38,4-16</t>
  </si>
  <si>
    <t>10-95,94-94</t>
  </si>
  <si>
    <t>2-85,1-86</t>
  </si>
  <si>
    <t>68-68,74-74</t>
  </si>
  <si>
    <t>79-86,78-87</t>
  </si>
  <si>
    <t>9-99,7-59</t>
  </si>
  <si>
    <t>42-74,42-73</t>
  </si>
  <si>
    <t>29-47,28-29</t>
  </si>
  <si>
    <t>68-90,67-68</t>
  </si>
  <si>
    <t>82-97,83-99</t>
  </si>
  <si>
    <t>13-96,95-99</t>
  </si>
  <si>
    <t>29-91,30-92</t>
  </si>
  <si>
    <t>8-96,7-9</t>
  </si>
  <si>
    <t>12-93,12-93</t>
  </si>
  <si>
    <t>86-99,97-97</t>
  </si>
  <si>
    <t>18-75,17-97</t>
  </si>
  <si>
    <t>48-90,47-90</t>
  </si>
  <si>
    <t>20-87,21-94</t>
  </si>
  <si>
    <t>54-71,55-70</t>
  </si>
  <si>
    <t>30-65,31-64</t>
  </si>
  <si>
    <t>97-97,1-87</t>
  </si>
  <si>
    <t>5-82,83-94</t>
  </si>
  <si>
    <t>29-70,23-72</t>
  </si>
  <si>
    <t>39-48,38-48</t>
  </si>
  <si>
    <t>15-95,98-99</t>
  </si>
  <si>
    <t>98-98,34-99</t>
  </si>
  <si>
    <t>44-95,45-94</t>
  </si>
  <si>
    <t>46-70,38-69</t>
  </si>
  <si>
    <t>99-99,2-97</t>
  </si>
  <si>
    <t>2-3,2-86</t>
  </si>
  <si>
    <t>35-79,35-35</t>
  </si>
  <si>
    <t>14-92,15-93</t>
  </si>
  <si>
    <t>18-19,18-98</t>
  </si>
  <si>
    <t>6-15,8-98</t>
  </si>
  <si>
    <t>7-88,6-87</t>
  </si>
  <si>
    <t>60-95,61-61</t>
  </si>
  <si>
    <t>71-82,71-83</t>
  </si>
  <si>
    <t>33-43,32-43</t>
  </si>
  <si>
    <t>5-39,5-63</t>
  </si>
  <si>
    <t>7-92,9-92</t>
  </si>
  <si>
    <t>43-43,33-42</t>
  </si>
  <si>
    <t>17-88,16-94</t>
  </si>
  <si>
    <t>13-53,52-53</t>
  </si>
  <si>
    <t>5-26,25-87</t>
  </si>
  <si>
    <t>8-74,73-74</t>
  </si>
  <si>
    <t>47-53,48-53</t>
  </si>
  <si>
    <t>24-26,24-26</t>
  </si>
  <si>
    <t>9-57,56-56</t>
  </si>
  <si>
    <t>44-63,44-89</t>
  </si>
  <si>
    <t>2-89,11-42</t>
  </si>
  <si>
    <t>82-82,1-82</t>
  </si>
  <si>
    <t>15-88,7-60</t>
  </si>
  <si>
    <t>11-94,12-93</t>
  </si>
  <si>
    <t>78-88,77-89</t>
  </si>
  <si>
    <t>67-78,54-68</t>
  </si>
  <si>
    <t>69-91,69-89</t>
  </si>
  <si>
    <t>17-33,12-13</t>
  </si>
  <si>
    <t>37-37,28-38</t>
  </si>
  <si>
    <t>28-96,12-91</t>
  </si>
  <si>
    <t>99-99,1-98</t>
  </si>
  <si>
    <t>25-60,15-26</t>
  </si>
  <si>
    <t>96-96,57-96</t>
  </si>
  <si>
    <t>25-28,55-95</t>
  </si>
  <si>
    <t>9-52,47-50</t>
  </si>
  <si>
    <t>59-93,17-94</t>
  </si>
  <si>
    <t>20-80,21-21</t>
  </si>
  <si>
    <t>49-73,48-73</t>
  </si>
  <si>
    <t>34-77,33-76</t>
  </si>
  <si>
    <t>55-55,4-56</t>
  </si>
  <si>
    <t>8-56,7-55</t>
  </si>
  <si>
    <t>2-99,2-97</t>
  </si>
  <si>
    <t>8-70,8-69</t>
  </si>
  <si>
    <t>90-99,92-98</t>
  </si>
  <si>
    <t>28-72,27-73</t>
  </si>
  <si>
    <t>28-84,17-75</t>
  </si>
  <si>
    <t>22-32,33-33</t>
  </si>
  <si>
    <t>20-94,20-93</t>
  </si>
  <si>
    <t>62-77,63-97</t>
  </si>
  <si>
    <t>7-27,7-26</t>
  </si>
  <si>
    <t>4-83,3-98</t>
  </si>
  <si>
    <t>11-56,12-97</t>
  </si>
  <si>
    <t>21-73,6-21</t>
  </si>
  <si>
    <t>3-99,2-99</t>
  </si>
  <si>
    <t>93-97,35-76</t>
  </si>
  <si>
    <t>87-99,61-86</t>
  </si>
  <si>
    <t>4-99,3-98</t>
  </si>
  <si>
    <t>52-93,51-93</t>
  </si>
  <si>
    <t>2-80,2-79</t>
  </si>
  <si>
    <t>38-88,39-73</t>
  </si>
  <si>
    <t>7-86,7-85</t>
  </si>
  <si>
    <t>82-95,17-83</t>
  </si>
  <si>
    <t>35-67,66-66</t>
  </si>
  <si>
    <t>42-42,40-43</t>
  </si>
  <si>
    <t>21-93,20-88</t>
  </si>
  <si>
    <t>38-74,39-88</t>
  </si>
  <si>
    <t>44-93,3-97</t>
  </si>
  <si>
    <t>23-58,22-58</t>
  </si>
  <si>
    <t>8-27,2-26</t>
  </si>
  <si>
    <t>1-87,1-88</t>
  </si>
  <si>
    <t>65-66,65-92</t>
  </si>
  <si>
    <t>69-69,12-69</t>
  </si>
  <si>
    <t>4-76,2-77</t>
  </si>
  <si>
    <t>33-52,32-33</t>
  </si>
  <si>
    <t>40-88,78-89</t>
  </si>
  <si>
    <t>2-95,1-96</t>
  </si>
  <si>
    <t>7-87,28-55</t>
  </si>
  <si>
    <t>13-93,10-92</t>
  </si>
  <si>
    <t>24-38,15-60</t>
  </si>
  <si>
    <t>45-59,44-59</t>
  </si>
  <si>
    <t>18-93,17-93</t>
  </si>
  <si>
    <t>69-90,74-91</t>
  </si>
  <si>
    <t>73-73,73-73</t>
  </si>
  <si>
    <t>17-90,6-91</t>
  </si>
  <si>
    <t>26-75,27-71</t>
  </si>
  <si>
    <t>4-80,5-80</t>
  </si>
  <si>
    <t>52-92,91-94</t>
  </si>
  <si>
    <t>32-53,31-53</t>
  </si>
  <si>
    <t>73-89,38-84</t>
  </si>
  <si>
    <t>70-90,71-89</t>
  </si>
  <si>
    <t>72-93,72-93</t>
  </si>
  <si>
    <t>12-79,13-68</t>
  </si>
  <si>
    <t>29-76,54-77</t>
  </si>
  <si>
    <t>26-66,65-67</t>
  </si>
  <si>
    <t>10-10,9-78</t>
  </si>
  <si>
    <t>43-94,44-99</t>
  </si>
  <si>
    <t>13-48,13-14</t>
  </si>
  <si>
    <t>24-25,24-64</t>
  </si>
  <si>
    <t>26-84,84-85</t>
  </si>
  <si>
    <t>96-98,32-93</t>
  </si>
  <si>
    <t>2-90,3-3</t>
  </si>
  <si>
    <t>18-69,8-76</t>
  </si>
  <si>
    <t>6-99,98-99</t>
  </si>
  <si>
    <t>69-88,66-97</t>
  </si>
  <si>
    <t>17-96,9-18</t>
  </si>
  <si>
    <t>42-75,74-74</t>
  </si>
  <si>
    <t>4-5,4-54</t>
  </si>
  <si>
    <t>87-97,69-87</t>
  </si>
  <si>
    <t>2-3,2-99</t>
  </si>
  <si>
    <t>15-86,14-16</t>
  </si>
  <si>
    <t>4-97,4-98</t>
  </si>
  <si>
    <t>6-63,5-7</t>
  </si>
  <si>
    <t>4-97,12-94</t>
  </si>
  <si>
    <t>63-70,44-69</t>
  </si>
  <si>
    <t>28-93,27-93</t>
  </si>
  <si>
    <t>50-54,46-54</t>
  </si>
  <si>
    <t>66-68,67-76</t>
  </si>
  <si>
    <t>52-65,52-68</t>
  </si>
  <si>
    <t>51-77,50-91</t>
  </si>
  <si>
    <t>2-49,4-95</t>
  </si>
  <si>
    <t>25-86,15-25</t>
  </si>
  <si>
    <t>19-20,15-84</t>
  </si>
  <si>
    <t>74-85,73-85</t>
  </si>
  <si>
    <t>1-10,2-8</t>
  </si>
  <si>
    <t>37-79,36-55</t>
  </si>
  <si>
    <t>5-76,5-75</t>
  </si>
  <si>
    <t>5-79,5-80</t>
  </si>
  <si>
    <t>12-45,4-12</t>
  </si>
  <si>
    <t>2-2,2-99</t>
  </si>
  <si>
    <t>13-76,14-76</t>
  </si>
  <si>
    <t>17-17,16-54</t>
  </si>
  <si>
    <t>39-59,39-39</t>
  </si>
  <si>
    <t>52-52,48-52</t>
  </si>
  <si>
    <t>3-91,2-48</t>
  </si>
  <si>
    <t>29-72,72-72</t>
  </si>
  <si>
    <t>6-46,5-46</t>
  </si>
  <si>
    <t>26-38,38-38</t>
  </si>
  <si>
    <t>5-97,1-99</t>
  </si>
  <si>
    <t>15-29,20-28</t>
  </si>
  <si>
    <t>23-29,18-33</t>
  </si>
  <si>
    <t>93-93,1-94</t>
  </si>
  <si>
    <t>46-90,46-55</t>
  </si>
  <si>
    <t>7-48,6-39</t>
  </si>
  <si>
    <t>25-86,24-26</t>
  </si>
  <si>
    <t>16-83,83-83</t>
  </si>
  <si>
    <t>38-69,68-94</t>
  </si>
  <si>
    <t>76-79,47-86</t>
  </si>
  <si>
    <t>90-96,91-98</t>
  </si>
  <si>
    <t>31-81,80-81</t>
  </si>
  <si>
    <t>85-86,85-87</t>
  </si>
  <si>
    <t>22-89,21-90</t>
  </si>
  <si>
    <t>73-98,88-99</t>
  </si>
  <si>
    <t>66-67,2-67</t>
  </si>
  <si>
    <t>22-91,21-87</t>
  </si>
  <si>
    <t>53-89,53-90</t>
  </si>
  <si>
    <t>32-32,31-47</t>
  </si>
  <si>
    <t>57-88,87-98</t>
  </si>
  <si>
    <t>6-91,13-83</t>
  </si>
  <si>
    <t>7-95,3-7</t>
  </si>
  <si>
    <t>40-48,48-49</t>
  </si>
  <si>
    <t>34-74,33-73</t>
  </si>
  <si>
    <t>13-63,14-64</t>
  </si>
  <si>
    <t>39-85,40-85</t>
  </si>
  <si>
    <t>1-85,13-87</t>
  </si>
  <si>
    <t>6-12,11-56</t>
  </si>
  <si>
    <t>16-93,92-92</t>
  </si>
  <si>
    <t>8-42,39-78</t>
  </si>
  <si>
    <t>83-83,50-83</t>
  </si>
  <si>
    <t>8-59,58-59</t>
  </si>
  <si>
    <t>48-76,49-77</t>
  </si>
  <si>
    <t>86-86,36-86</t>
  </si>
  <si>
    <t>29-45,44-49</t>
  </si>
  <si>
    <t>67-92,66-92</t>
  </si>
  <si>
    <t>1-53,34-76</t>
  </si>
  <si>
    <t>39-99,38-70</t>
  </si>
  <si>
    <t>21-80,22-22</t>
  </si>
  <si>
    <t>39-54,38-99</t>
  </si>
  <si>
    <t>13-96,95-98</t>
  </si>
  <si>
    <t>95-97,61-92</t>
  </si>
  <si>
    <t>15-66,18-67</t>
  </si>
  <si>
    <t>38-97,39-83</t>
  </si>
  <si>
    <t>84-85,85-97</t>
  </si>
  <si>
    <t>20-41,21-40</t>
  </si>
  <si>
    <t>95-97,28-96</t>
  </si>
  <si>
    <t>99-99,68-96</t>
  </si>
  <si>
    <t>10-64,9-65</t>
  </si>
  <si>
    <t>88-96,42-89</t>
  </si>
  <si>
    <t>30-99,30-98</t>
  </si>
  <si>
    <t>68-97,70-96</t>
  </si>
  <si>
    <t>10-10,9-96</t>
  </si>
  <si>
    <t>18-26,17-27</t>
  </si>
  <si>
    <t>13-58,5-40</t>
  </si>
  <si>
    <t>13-66,67-75</t>
  </si>
  <si>
    <t>56-60,42-61</t>
  </si>
  <si>
    <t>60-94,93-93</t>
  </si>
  <si>
    <t>62-69,7-95</t>
  </si>
  <si>
    <t>6-81,31-97</t>
  </si>
  <si>
    <t>51-80,79-80</t>
  </si>
  <si>
    <t>25-43,26-43</t>
  </si>
  <si>
    <t>65-65,64-86</t>
  </si>
  <si>
    <t>9-9,8-83</t>
  </si>
  <si>
    <t>50-81,51-81</t>
  </si>
  <si>
    <t>79-79,28-80</t>
  </si>
  <si>
    <t>14-84,15-15</t>
  </si>
  <si>
    <t>74-91,4-90</t>
  </si>
  <si>
    <t>17-89,17-34</t>
  </si>
  <si>
    <t>14-14,14-94</t>
  </si>
  <si>
    <t>2-34,1-33</t>
  </si>
  <si>
    <t>39-73,40-72</t>
  </si>
  <si>
    <t>2-90,1-89</t>
  </si>
  <si>
    <t>49-71,48-50</t>
  </si>
  <si>
    <t>37-87,87-87</t>
  </si>
  <si>
    <t>6-73,6-74</t>
  </si>
  <si>
    <t>39-96,18-98</t>
  </si>
  <si>
    <t>38-59,58-58</t>
  </si>
  <si>
    <t>9-90,20-89</t>
  </si>
  <si>
    <t>79-80,38-80</t>
  </si>
  <si>
    <t>5-30,7-90</t>
  </si>
  <si>
    <t>10-84,10-83</t>
  </si>
  <si>
    <t>51-75,19-74</t>
  </si>
  <si>
    <t>21-22,22-98</t>
  </si>
  <si>
    <t>1-37,37-38</t>
  </si>
  <si>
    <t>6-92,4-6</t>
  </si>
  <si>
    <t>35-37,36-82</t>
  </si>
  <si>
    <t>1-93,93-93</t>
  </si>
  <si>
    <t>58-95,35-68</t>
  </si>
  <si>
    <t>20-85,20-81</t>
  </si>
  <si>
    <t>1-85,1-93</t>
  </si>
  <si>
    <t>22-50,21-51</t>
  </si>
  <si>
    <t>44-84,43-87</t>
  </si>
  <si>
    <t>58-63,58-79</t>
  </si>
  <si>
    <t>59-60,58-59</t>
  </si>
  <si>
    <t>35-47,35-36</t>
  </si>
  <si>
    <t>19-28,9-19</t>
  </si>
  <si>
    <t>33-59,32-60</t>
  </si>
  <si>
    <t>6-97,6-81</t>
  </si>
  <si>
    <t>89-90,21-90</t>
  </si>
  <si>
    <t>97-99,48-89</t>
  </si>
  <si>
    <t>2-67,2-68</t>
  </si>
  <si>
    <t>14-97,13-97</t>
  </si>
  <si>
    <t>6-29,28-28</t>
  </si>
  <si>
    <t>33-71,32-71</t>
  </si>
  <si>
    <t>35-89,92-93</t>
  </si>
  <si>
    <t>51-97,51-87</t>
  </si>
  <si>
    <t>15-30,14-20</t>
  </si>
  <si>
    <t>14-97,15-97</t>
  </si>
  <si>
    <t>28-43,8-52</t>
  </si>
  <si>
    <t>3-99,2-55</t>
  </si>
  <si>
    <t>33-37,32-38</t>
  </si>
  <si>
    <t>69-69,69-83</t>
  </si>
  <si>
    <t>4-76,4-50</t>
  </si>
  <si>
    <t>87-91,28-58</t>
  </si>
  <si>
    <t>76-80,77-95</t>
  </si>
  <si>
    <t>38-57,29-58</t>
  </si>
  <si>
    <t>11-90,51-76</t>
  </si>
  <si>
    <t>16-89,16-88</t>
  </si>
  <si>
    <t>21-77,20-68</t>
  </si>
  <si>
    <t>7-86,7-7</t>
  </si>
  <si>
    <t>28-94,29-95</t>
  </si>
  <si>
    <t>29-30,30-97</t>
  </si>
  <si>
    <t>62-77,62-91</t>
  </si>
  <si>
    <t>2-97,1-96</t>
  </si>
  <si>
    <t>26-33,26-27</t>
  </si>
  <si>
    <t>24-64,4-63</t>
  </si>
  <si>
    <t>23-58,22-59</t>
  </si>
  <si>
    <t>13-59,58-58</t>
  </si>
  <si>
    <t>35-38,19-94</t>
  </si>
  <si>
    <t>31-98,32-97</t>
  </si>
  <si>
    <t>43-82,43-84</t>
  </si>
  <si>
    <t>6-92,40-75</t>
  </si>
  <si>
    <t>3-3,2-81</t>
  </si>
  <si>
    <t>5-92,6-97</t>
  </si>
  <si>
    <t>72-85,71-86</t>
  </si>
  <si>
    <t>21-21,20-26</t>
  </si>
  <si>
    <t>8-8,7-98</t>
  </si>
  <si>
    <t>22-63,21-23</t>
  </si>
  <si>
    <t>20-73,19-21</t>
  </si>
  <si>
    <t>60-71,53-61</t>
  </si>
  <si>
    <t>26-68,25-27</t>
  </si>
  <si>
    <t>21-93,21-94</t>
  </si>
  <si>
    <t>1-80,1-2</t>
  </si>
  <si>
    <t>17-65,66-87</t>
  </si>
  <si>
    <t>70-92,70-91</t>
  </si>
  <si>
    <t>7-73,7-72</t>
  </si>
  <si>
    <t>4-81,5-82</t>
  </si>
  <si>
    <t>5-85,85-86</t>
  </si>
  <si>
    <t>36-37,21-36</t>
  </si>
  <si>
    <t>49-97,49-97</t>
  </si>
  <si>
    <t>8-70,7-71</t>
  </si>
  <si>
    <t>43-85,68-91</t>
  </si>
  <si>
    <t>25-95,99-99</t>
  </si>
  <si>
    <t>35-86,36-36</t>
  </si>
  <si>
    <t>55-55,54-66</t>
  </si>
  <si>
    <t>75-84,74-85</t>
  </si>
  <si>
    <t>6-38,10-39</t>
  </si>
  <si>
    <t>76-83,8-76</t>
  </si>
  <si>
    <t>67-69,68-87</t>
  </si>
  <si>
    <t>4-96,6-96</t>
  </si>
  <si>
    <t>45-88,78-89</t>
  </si>
  <si>
    <t>4-42,3-43</t>
  </si>
  <si>
    <t>16-95,43-87</t>
  </si>
  <si>
    <t>48-67,47-97</t>
  </si>
  <si>
    <t>18-98,19-99</t>
  </si>
  <si>
    <t>22-71,70-70</t>
  </si>
  <si>
    <t>64-89,88-99</t>
  </si>
  <si>
    <t>10-17,9-61</t>
  </si>
  <si>
    <t>2-3,6-73</t>
  </si>
  <si>
    <t>13-79,14-78</t>
  </si>
  <si>
    <t>31-69,30-69</t>
  </si>
  <si>
    <t>8-66,9-94</t>
  </si>
  <si>
    <t>4-95,3-96</t>
  </si>
  <si>
    <t>13-92,14-91</t>
  </si>
  <si>
    <t>47-59,48-60</t>
  </si>
  <si>
    <t>31-75,75-95</t>
  </si>
  <si>
    <t>47-96,96-96</t>
  </si>
  <si>
    <t>31-54,32-75</t>
  </si>
  <si>
    <t>3-68,2-74</t>
  </si>
  <si>
    <t>10-11,10-75</t>
  </si>
  <si>
    <t>83-96,75-84</t>
  </si>
  <si>
    <t>33-33,32-78</t>
  </si>
  <si>
    <t>6-64,6-65</t>
  </si>
  <si>
    <t>2-97,3-97</t>
  </si>
  <si>
    <t>57-77,37-77</t>
  </si>
  <si>
    <t>5-52,5-52</t>
  </si>
  <si>
    <t>7-31,31-76</t>
  </si>
  <si>
    <t>37-37,32-42</t>
  </si>
  <si>
    <t>7-92,8-91</t>
  </si>
  <si>
    <t>35-83,27-82</t>
  </si>
  <si>
    <t>27-90,27-90</t>
  </si>
  <si>
    <t>24-46,25-46</t>
  </si>
  <si>
    <t>57-78,58-58</t>
  </si>
  <si>
    <t>14-67,2-34</t>
  </si>
  <si>
    <t>70-81,24-82</t>
  </si>
  <si>
    <t>85-85,72-86</t>
  </si>
  <si>
    <t>8-29,7-13</t>
  </si>
  <si>
    <t>19-90,20-89</t>
  </si>
  <si>
    <t>30-90,29-98</t>
  </si>
  <si>
    <t>92-95,8-93</t>
  </si>
  <si>
    <t>60-99,34-96</t>
  </si>
  <si>
    <t>4-4,3-46</t>
  </si>
  <si>
    <t>8-85,9-84</t>
  </si>
  <si>
    <t>7-53,8-38</t>
  </si>
  <si>
    <t>18-97,62-99</t>
  </si>
  <si>
    <t>29-80,28-38</t>
  </si>
  <si>
    <t>47-50,49-75</t>
  </si>
  <si>
    <t>50-70,51-51</t>
  </si>
  <si>
    <t>36-54,35-37</t>
  </si>
  <si>
    <t>13-71,49-91</t>
  </si>
  <si>
    <t>15-83,83-84</t>
  </si>
  <si>
    <t>27-27,26-93</t>
  </si>
  <si>
    <t>14-28,13-27</t>
  </si>
  <si>
    <t>40-57,39-57</t>
  </si>
  <si>
    <t>55-57,56-92</t>
  </si>
  <si>
    <t>13-56,12-57</t>
  </si>
  <si>
    <t>76-99,63-89</t>
  </si>
  <si>
    <t>61-61,61-65</t>
  </si>
  <si>
    <t>55-92,45-67</t>
  </si>
  <si>
    <t>22-81,22-82</t>
  </si>
  <si>
    <t>9-69,8-10</t>
  </si>
  <si>
    <t>6-96,9-96</t>
  </si>
  <si>
    <t>29-73,28-67</t>
  </si>
  <si>
    <t>2-54,10-70</t>
  </si>
  <si>
    <t>17-95,16-94</t>
  </si>
  <si>
    <t>7-84,8-84</t>
  </si>
  <si>
    <t>22-23,23-23</t>
  </si>
  <si>
    <t>3-99,98-98</t>
  </si>
  <si>
    <t>1-80,1-81</t>
  </si>
  <si>
    <t>44-55,38-44</t>
  </si>
  <si>
    <t>4-83,5-97</t>
  </si>
  <si>
    <t>4-87,2-47</t>
  </si>
  <si>
    <t>28-93,28-74</t>
  </si>
  <si>
    <t>90-91,76-89</t>
  </si>
  <si>
    <t>22-80,23-81</t>
  </si>
  <si>
    <t>32-93,8-60</t>
  </si>
  <si>
    <t>46-57,47-57</t>
  </si>
  <si>
    <t>4-69,69-69</t>
  </si>
  <si>
    <t>41-41,40-70</t>
  </si>
  <si>
    <t>21-61,60-61</t>
  </si>
  <si>
    <t>42-48,52-91</t>
  </si>
  <si>
    <t>91-92,32-59</t>
  </si>
  <si>
    <t>26-38,16-16</t>
  </si>
  <si>
    <t>89-94,89-93</t>
  </si>
  <si>
    <t>29-62,29-61</t>
  </si>
  <si>
    <t>12-31,31-77</t>
  </si>
  <si>
    <t>21-74,4-21</t>
  </si>
  <si>
    <t>1-89,2-88</t>
  </si>
  <si>
    <t>66-89,99-99</t>
  </si>
  <si>
    <t>42-51,41-52</t>
  </si>
  <si>
    <t>48-70,49-59</t>
  </si>
  <si>
    <t>27-80,49-69</t>
  </si>
  <si>
    <t>36-95,36-83</t>
  </si>
  <si>
    <t>79-89,86-89</t>
  </si>
  <si>
    <t>4-91,4-92</t>
  </si>
  <si>
    <t>66-77,65-78</t>
  </si>
  <si>
    <t>4-99,5-99</t>
  </si>
  <si>
    <t>54-79,53-80</t>
  </si>
  <si>
    <t>15-19,16-20</t>
  </si>
  <si>
    <t>29-37,29-30</t>
  </si>
  <si>
    <t>8-57,57-57</t>
  </si>
  <si>
    <t>16-18,17-48</t>
  </si>
  <si>
    <t>20-46,21-66</t>
  </si>
  <si>
    <t>10-93,3-98</t>
  </si>
  <si>
    <t>63-95,14-72</t>
  </si>
  <si>
    <t>97-97,22-90</t>
  </si>
  <si>
    <t>38-78,37-89</t>
  </si>
  <si>
    <t>96-96,55-97</t>
  </si>
  <si>
    <t>30-69,31-70</t>
  </si>
  <si>
    <t>41-90,40-90</t>
  </si>
  <si>
    <t>17-93,32-95</t>
  </si>
  <si>
    <t>50-88,49-88</t>
  </si>
  <si>
    <t>23-67,66-67</t>
  </si>
  <si>
    <t>5-84,5-84</t>
  </si>
  <si>
    <t>66-94,16-65</t>
  </si>
  <si>
    <t>7-87,8-87</t>
  </si>
  <si>
    <t>29-30,29-99</t>
  </si>
  <si>
    <t>12-13,12-99</t>
  </si>
  <si>
    <t>10-12,11-96</t>
  </si>
  <si>
    <t>68-69,23-68</t>
  </si>
  <si>
    <t>3-3,2-98</t>
  </si>
  <si>
    <t>6-84,7-84</t>
  </si>
  <si>
    <t>46-96,4-46</t>
  </si>
  <si>
    <t>4-86,4-25</t>
  </si>
  <si>
    <t>4-96,5-36</t>
  </si>
  <si>
    <t>21-39,22-40</t>
  </si>
  <si>
    <t>3-99,1-1</t>
  </si>
  <si>
    <t>19-21,20-62</t>
  </si>
  <si>
    <t>49-96,95-95</t>
  </si>
  <si>
    <t>49-51,51-52</t>
  </si>
  <si>
    <t>41-62,6-61</t>
  </si>
  <si>
    <t>7-16,26-39</t>
  </si>
  <si>
    <t>17-86,17-18</t>
  </si>
  <si>
    <t>22-45,23-44</t>
  </si>
  <si>
    <t>33-39,39-39</t>
  </si>
  <si>
    <t>40-81,41-81</t>
  </si>
  <si>
    <t>63-86,65-83</t>
  </si>
  <si>
    <t>17-35,18-97</t>
  </si>
  <si>
    <t>13-21,14-75</t>
  </si>
  <si>
    <t>11-91,8-90</t>
  </si>
  <si>
    <t>9-20,20-21</t>
  </si>
  <si>
    <t>77-80,76-81</t>
  </si>
  <si>
    <t>2-9,4-96</t>
  </si>
  <si>
    <t>14-59,60-91</t>
  </si>
  <si>
    <t>18-18,17-97</t>
  </si>
  <si>
    <t>15-41,42-61</t>
  </si>
  <si>
    <t>27-80,38-80</t>
  </si>
  <si>
    <t>46-69,46-70</t>
  </si>
  <si>
    <t>7-83,96-98</t>
  </si>
  <si>
    <t>16-96,8-12</t>
  </si>
  <si>
    <t>5-56,5-9</t>
  </si>
  <si>
    <t>1-96,2-97</t>
  </si>
  <si>
    <t>12-97,12-96</t>
  </si>
  <si>
    <t>78-83,78-82</t>
  </si>
  <si>
    <t>3-63,1-3</t>
  </si>
  <si>
    <t>4-76,2-5</t>
  </si>
  <si>
    <t>68-96,69-81</t>
  </si>
  <si>
    <t>19-84,14-20</t>
  </si>
  <si>
    <t>35-78,34-78</t>
  </si>
  <si>
    <t>41-66,42-65</t>
  </si>
  <si>
    <t>18-96,46-56</t>
  </si>
  <si>
    <t>37-94,15-37</t>
  </si>
  <si>
    <t>69-94,69-93</t>
  </si>
  <si>
    <t>22-24,23-97</t>
  </si>
  <si>
    <t>25-47,19-25</t>
  </si>
  <si>
    <t>4-40,7-98</t>
  </si>
  <si>
    <t>67-96,68-95</t>
  </si>
  <si>
    <t>43-75,31-74</t>
  </si>
  <si>
    <t>51-77,50-51</t>
  </si>
  <si>
    <t>6-76,77-77</t>
  </si>
  <si>
    <t>8-96,7-97</t>
  </si>
  <si>
    <t>45-85,85-85</t>
  </si>
  <si>
    <t>37-62,37-61</t>
  </si>
  <si>
    <t>25-59,24-58</t>
  </si>
  <si>
    <t>22-79,78-78</t>
  </si>
  <si>
    <t>79-79,6-80</t>
  </si>
  <si>
    <t>39-97,40-82</t>
  </si>
  <si>
    <t>22-88,21-88</t>
  </si>
  <si>
    <t>4-91,58-96</t>
  </si>
  <si>
    <t>23-90,24-90</t>
  </si>
  <si>
    <t>14-86,15-86</t>
  </si>
  <si>
    <t>29-44,29-43</t>
  </si>
  <si>
    <t>53-68,63-65</t>
  </si>
  <si>
    <t>4-37,3-97</t>
  </si>
  <si>
    <t>41-85,40-59</t>
  </si>
  <si>
    <t>6-7,7-61</t>
  </si>
  <si>
    <t>82-96,81-83</t>
  </si>
  <si>
    <t>52-93,52-96</t>
  </si>
  <si>
    <t>4-52,4-53</t>
  </si>
  <si>
    <t>18-52,17-36</t>
  </si>
  <si>
    <t>16-85,15-86</t>
  </si>
  <si>
    <t>19-73,73-73</t>
  </si>
  <si>
    <t>7-88,6-89</t>
  </si>
  <si>
    <t>32-54,54-54</t>
  </si>
  <si>
    <t>30-35,29-30</t>
  </si>
  <si>
    <t>14-95,14-15</t>
  </si>
  <si>
    <t>25-96,24-95</t>
  </si>
  <si>
    <t>16-75,15-75</t>
  </si>
  <si>
    <t>29-66,52-66</t>
  </si>
  <si>
    <t>10-10,11-54</t>
  </si>
  <si>
    <t>6-67,6-58</t>
  </si>
  <si>
    <t>9-46,1-9</t>
  </si>
  <si>
    <t>2-53,95-98</t>
  </si>
  <si>
    <t>11-46,12-67</t>
  </si>
  <si>
    <t>64-65,39-64</t>
  </si>
  <si>
    <t>37-48,36-48</t>
  </si>
  <si>
    <t>5-42,13-99</t>
  </si>
  <si>
    <t>16-58,9-9</t>
  </si>
  <si>
    <t>7-91,7-90</t>
  </si>
  <si>
    <t>50-51,50-94</t>
  </si>
  <si>
    <t>31-76,32-75</t>
  </si>
  <si>
    <t>31-96,31-95</t>
  </si>
  <si>
    <t>10-81,11-80</t>
  </si>
  <si>
    <t>23-76,57-81</t>
  </si>
  <si>
    <t>14-83,12-82</t>
  </si>
  <si>
    <t>3-93,2-93</t>
  </si>
  <si>
    <t>27-27,26-73</t>
  </si>
  <si>
    <t>98-99,17-99</t>
  </si>
  <si>
    <t>13-67,14-14</t>
  </si>
  <si>
    <t>48-48,1-49</t>
  </si>
  <si>
    <t>94-95,7-94</t>
  </si>
  <si>
    <t>42-97,43-98</t>
  </si>
  <si>
    <t>62-81,63-82</t>
  </si>
  <si>
    <t>27-27,17-28</t>
  </si>
  <si>
    <t>20-69,59-68</t>
  </si>
  <si>
    <t>18-67,68-68</t>
  </si>
  <si>
    <t>2-13,5-7</t>
  </si>
  <si>
    <t>3-98,2-97</t>
  </si>
  <si>
    <t>27-90,26-90</t>
  </si>
  <si>
    <t>2-9,9-48</t>
  </si>
  <si>
    <t>11-99,12-97</t>
  </si>
  <si>
    <t>3-88,2-12</t>
  </si>
  <si>
    <t>12-13,12-49</t>
  </si>
  <si>
    <t>5-20,20-39</t>
  </si>
  <si>
    <t>39-98,38-75</t>
  </si>
  <si>
    <t>90-90,4-91</t>
  </si>
  <si>
    <t>64-77,64-77</t>
  </si>
  <si>
    <t>3-51,4-51</t>
  </si>
  <si>
    <t>3-10,10-34</t>
  </si>
  <si>
    <t>4-29,29-96</t>
  </si>
  <si>
    <t>2-90,1-90</t>
  </si>
  <si>
    <t>55-55,9-55</t>
  </si>
  <si>
    <t>70-79,37-71</t>
  </si>
  <si>
    <t>66-66,31-66</t>
  </si>
  <si>
    <t>2-11,1-12</t>
  </si>
  <si>
    <t>72-76,72-76</t>
  </si>
  <si>
    <t>34-87,87-99</t>
  </si>
  <si>
    <t>14-67,14-67</t>
  </si>
  <si>
    <t>73-82,74-81</t>
  </si>
  <si>
    <t>62-62,29-62</t>
  </si>
  <si>
    <t>57-58,11-58</t>
  </si>
  <si>
    <t>3-7,8-82</t>
  </si>
  <si>
    <t>19-99,18-20</t>
  </si>
  <si>
    <t>23-26,22-26</t>
  </si>
  <si>
    <t>20-63,11-63</t>
  </si>
  <si>
    <t>11-82,12-83</t>
  </si>
  <si>
    <t>76-83,76-83</t>
  </si>
  <si>
    <t>10-72,8-10</t>
  </si>
  <si>
    <t>48-49,48-53</t>
  </si>
  <si>
    <t>10-41,11-42</t>
  </si>
  <si>
    <t>44-55,54-54</t>
  </si>
  <si>
    <t>80-92,79-81</t>
  </si>
  <si>
    <t>8-43,7-42</t>
  </si>
  <si>
    <t>12-20,1-20</t>
  </si>
  <si>
    <t>22-71,23-23</t>
  </si>
  <si>
    <t>2-95,1-2</t>
  </si>
  <si>
    <t>21-71,20-71</t>
  </si>
  <si>
    <t>9-83,9-83</t>
  </si>
  <si>
    <t>58-75,4-60</t>
  </si>
  <si>
    <t>98-98,30-99</t>
  </si>
  <si>
    <t>63-96,68-97</t>
  </si>
  <si>
    <t>27-79,27-79</t>
  </si>
  <si>
    <t>3-56,56-75</t>
  </si>
  <si>
    <t>1-91,82-92</t>
  </si>
  <si>
    <t>62-76,61-77</t>
  </si>
  <si>
    <t>6-8,7-97</t>
  </si>
  <si>
    <t>37-67,37-66</t>
  </si>
  <si>
    <t>52-53,52-83</t>
  </si>
  <si>
    <t>92-92,54-92</t>
  </si>
  <si>
    <t>55-91,91-91</t>
  </si>
  <si>
    <t>61-79,61-65</t>
  </si>
  <si>
    <t>44-44,37-45</t>
  </si>
  <si>
    <t>64-89,9-64</t>
  </si>
  <si>
    <t>20-35,19-36</t>
  </si>
  <si>
    <t>16-49,15-16</t>
  </si>
  <si>
    <t>64-82,64-83</t>
  </si>
  <si>
    <t>3-97,2-94</t>
  </si>
  <si>
    <t>52-53,40-52</t>
  </si>
  <si>
    <t>43-68,15-85</t>
  </si>
  <si>
    <t>79-79,36-80</t>
  </si>
  <si>
    <t>35-84,85-94</t>
  </si>
  <si>
    <t>23-96,23-95</t>
  </si>
  <si>
    <t>65-73,65-74</t>
  </si>
  <si>
    <t>2-69,3-70</t>
  </si>
  <si>
    <t>49-76,49-95</t>
  </si>
  <si>
    <t>2-97,1-98</t>
  </si>
  <si>
    <t>8-68,7-9</t>
  </si>
  <si>
    <t>86-87,40-86</t>
  </si>
  <si>
    <t>50-94,79-94</t>
  </si>
  <si>
    <t>34-48,19-35</t>
  </si>
  <si>
    <t>7-12,8-12</t>
  </si>
  <si>
    <t>10-92,92-92</t>
  </si>
  <si>
    <t>92-99,7-98</t>
  </si>
  <si>
    <t>52-83,83-83</t>
  </si>
  <si>
    <t>10-22,11-64</t>
  </si>
  <si>
    <t>66-90,66-67</t>
  </si>
  <si>
    <t>10-88,11-88</t>
  </si>
  <si>
    <t>37-85,38-84</t>
  </si>
  <si>
    <t>9-63,10-58</t>
  </si>
  <si>
    <t>26-52,25-51</t>
  </si>
  <si>
    <t>14-60,15-61</t>
  </si>
  <si>
    <t>41-58,57-57</t>
  </si>
  <si>
    <t>16-86,17-86</t>
  </si>
  <si>
    <t>19-93,19-92</t>
  </si>
  <si>
    <t>89-89,3-89</t>
  </si>
  <si>
    <t>7-99,8-8</t>
  </si>
  <si>
    <t>36-96,14-95</t>
  </si>
  <si>
    <t>9-50,10-10</t>
  </si>
  <si>
    <t>12-87,12-88</t>
  </si>
  <si>
    <t>59-91,96-99</t>
  </si>
  <si>
    <t>13-92,14-14</t>
  </si>
  <si>
    <t>13-95,14-98</t>
  </si>
  <si>
    <t>8-74,15-77</t>
  </si>
  <si>
    <t>26-74,72-80</t>
  </si>
  <si>
    <t>4-5,4-28</t>
  </si>
  <si>
    <t>92-92,20-93</t>
  </si>
  <si>
    <t>8-97,97-97</t>
  </si>
  <si>
    <t>68-79,67-69</t>
  </si>
  <si>
    <t>2-85,21-83</t>
  </si>
  <si>
    <t>2-6,9-14</t>
  </si>
  <si>
    <t>60-64,81-89</t>
  </si>
  <si>
    <t>5-47,47-82</t>
  </si>
  <si>
    <t>41-80,41-80</t>
  </si>
  <si>
    <t>54-55,52-55</t>
  </si>
  <si>
    <t>4-5,6-85</t>
  </si>
  <si>
    <t>10-88,11-87</t>
  </si>
  <si>
    <t>4-46,46-46</t>
  </si>
  <si>
    <t>25-35,26-43</t>
  </si>
  <si>
    <t>10-19,11-18</t>
  </si>
  <si>
    <t>42-83,41-83</t>
  </si>
  <si>
    <t>6-90,4-7</t>
  </si>
  <si>
    <t>28-97,29-96</t>
  </si>
  <si>
    <t>22-67,21-68</t>
  </si>
  <si>
    <t>16-75,17-74</t>
  </si>
  <si>
    <t>19-74,53-95</t>
  </si>
  <si>
    <t>67-75,72-76</t>
  </si>
  <si>
    <t>19-94,88-99</t>
  </si>
  <si>
    <t>6-91,5-69</t>
  </si>
  <si>
    <t>3-95,95-95</t>
  </si>
  <si>
    <t>3-5,4-60</t>
  </si>
  <si>
    <t>29-82,89-90</t>
  </si>
  <si>
    <t>3-3,2-97</t>
  </si>
  <si>
    <t>6-25,25-40</t>
  </si>
  <si>
    <t>10-98,11-93</t>
  </si>
  <si>
    <t>4-38,37-39</t>
  </si>
  <si>
    <t>99-99,3-97</t>
  </si>
  <si>
    <t>28-75,75-76</t>
  </si>
  <si>
    <t>29-96,30-95</t>
  </si>
  <si>
    <t>13-48,27-98</t>
  </si>
  <si>
    <t>4-83,10-70</t>
  </si>
  <si>
    <t>14-38,30-35</t>
  </si>
  <si>
    <t>59-98,49-51</t>
  </si>
  <si>
    <t>18-88,87-94</t>
  </si>
  <si>
    <t>9-21,14-43</t>
  </si>
  <si>
    <t>36-49,33-36</t>
  </si>
  <si>
    <t>95-96,54-95</t>
  </si>
  <si>
    <t>37-92,16-41</t>
  </si>
  <si>
    <t>32-92,43-93</t>
  </si>
  <si>
    <t>36-38,37-80</t>
  </si>
  <si>
    <t>3-3,34-56</t>
  </si>
  <si>
    <t>1-8,2-2</t>
  </si>
  <si>
    <t>16-28,26-30</t>
  </si>
  <si>
    <t>50-98,51-98</t>
  </si>
  <si>
    <t>13-90,12-13</t>
  </si>
  <si>
    <t>50-94,51-51</t>
  </si>
  <si>
    <t>98-98,12-99</t>
  </si>
  <si>
    <t>10-96,1-74</t>
  </si>
  <si>
    <t>44-74,74-74</t>
  </si>
  <si>
    <t>64-67,63-65</t>
  </si>
  <si>
    <t>59-77,59-81</t>
  </si>
  <si>
    <t>1-99,1-98</t>
  </si>
  <si>
    <t>31-96,32-95</t>
  </si>
  <si>
    <t>13-72,14-55</t>
  </si>
  <si>
    <t>23-79,22-24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</si>
</sst>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H1" s="2" t="s">
        <v>0</v>
      </c>
      <c r="J1" s="2" t="s">
        <v>1</v>
      </c>
    </row>
    <row r="2">
      <c r="A2" s="2" t="s">
        <v>2</v>
      </c>
      <c r="B2" s="1" t="str">
        <f>IFERROR(__xludf.DUMMYFUNCTION("SPLIT(A2,"","",)"),"7-24")</f>
        <v>7-24</v>
      </c>
      <c r="C2" s="3">
        <f>IFERROR(__xludf.DUMMYFUNCTION("""COMPUTED_VALUE"""),44781.0)</f>
        <v>44781</v>
      </c>
      <c r="D2" s="4">
        <f>IFERROR(__xludf.DUMMYFUNCTION("split(B2,""-"")"),7.0)</f>
        <v>7</v>
      </c>
      <c r="E2" s="4">
        <f>IFERROR(__xludf.DUMMYFUNCTION("""COMPUTED_VALUE"""),24.0)</f>
        <v>24</v>
      </c>
      <c r="F2" s="4">
        <f>IFERROR(__xludf.DUMMYFUNCTION("split(C2,""-"")"),8.0)</f>
        <v>8</v>
      </c>
      <c r="G2" s="4">
        <f>IFERROR(__xludf.DUMMYFUNCTION("""COMPUTED_VALUE"""),8.0)</f>
        <v>8</v>
      </c>
      <c r="H2" s="4">
        <f t="shared" ref="H2:H1001" si="1">IFS(
AND(D2&lt;=F2, E2&gt;=G2),1,
AND(F2&lt;=D2, G2&gt;=E2),1,
1,0)</f>
        <v>1</v>
      </c>
      <c r="I2" s="4">
        <f>SUM(H:H)</f>
        <v>562</v>
      </c>
      <c r="J2" s="4">
        <f>IFERROR(__xludf.DUMMYFUNCTION("IFS(
ISBETWEEN(D2,F2,G2,TRUE,TRUE),1,
ISBETWEEN(E2,F2,G2,TRUE,TRUE),1,
ISBETWEEN(F2,D2,E2,TRUE,TRUE),1,
ISBETWEEN(G2,D2,E2,TRUE,TRUE),1,
1,0)"),1.0)</f>
        <v>1</v>
      </c>
      <c r="K2" s="4">
        <f>SUM(J:J)</f>
        <v>924</v>
      </c>
    </row>
    <row r="3">
      <c r="A3" s="2" t="s">
        <v>3</v>
      </c>
      <c r="B3" s="1" t="str">
        <f>IFERROR(__xludf.DUMMYFUNCTION("SPLIT(A3,"","",)"),"2-75")</f>
        <v>2-75</v>
      </c>
      <c r="C3" s="1" t="str">
        <f>IFERROR(__xludf.DUMMYFUNCTION("""COMPUTED_VALUE"""),"37-51")</f>
        <v>37-51</v>
      </c>
      <c r="D3" s="4">
        <f>IFERROR(__xludf.DUMMYFUNCTION("split(B3,""-"")"),2.0)</f>
        <v>2</v>
      </c>
      <c r="E3" s="4">
        <f>IFERROR(__xludf.DUMMYFUNCTION("""COMPUTED_VALUE"""),75.0)</f>
        <v>75</v>
      </c>
      <c r="F3" s="4">
        <f>IFERROR(__xludf.DUMMYFUNCTION("split(C3,""-"")"),37.0)</f>
        <v>37</v>
      </c>
      <c r="G3" s="4">
        <f>IFERROR(__xludf.DUMMYFUNCTION("""COMPUTED_VALUE"""),51.0)</f>
        <v>51</v>
      </c>
      <c r="H3" s="4">
        <f t="shared" si="1"/>
        <v>1</v>
      </c>
      <c r="J3" s="4">
        <f>IFERROR(__xludf.DUMMYFUNCTION("IFS(
ISBETWEEN(D3,F3,G3,TRUE,TRUE),1,
ISBETWEEN(E3,F3,G3,TRUE,TRUE),1,
ISBETWEEN(F3,D3,E3,TRUE,TRUE),1,
ISBETWEEN(G3,D3,E3,TRUE,TRUE),1,
1,0)"),1.0)</f>
        <v>1</v>
      </c>
    </row>
    <row r="4">
      <c r="A4" s="2" t="s">
        <v>4</v>
      </c>
      <c r="B4" s="1" t="str">
        <f>IFERROR(__xludf.DUMMYFUNCTION("SPLIT(A4,"","",)"),"47-78")</f>
        <v>47-78</v>
      </c>
      <c r="C4" s="1" t="str">
        <f>IFERROR(__xludf.DUMMYFUNCTION("""COMPUTED_VALUE"""),"20-39")</f>
        <v>20-39</v>
      </c>
      <c r="D4" s="4">
        <f>IFERROR(__xludf.DUMMYFUNCTION("split(B4,""-"")"),47.0)</f>
        <v>47</v>
      </c>
      <c r="E4" s="4">
        <f>IFERROR(__xludf.DUMMYFUNCTION("""COMPUTED_VALUE"""),78.0)</f>
        <v>78</v>
      </c>
      <c r="F4" s="4">
        <f>IFERROR(__xludf.DUMMYFUNCTION("split(C4,""-"")"),20.0)</f>
        <v>20</v>
      </c>
      <c r="G4" s="4">
        <f>IFERROR(__xludf.DUMMYFUNCTION("""COMPUTED_VALUE"""),39.0)</f>
        <v>39</v>
      </c>
      <c r="H4" s="4">
        <f t="shared" si="1"/>
        <v>0</v>
      </c>
      <c r="J4" s="4">
        <f>IFERROR(__xludf.DUMMYFUNCTION("IFS(
ISBETWEEN(D4,F4,G4,TRUE,TRUE),1,
ISBETWEEN(E4,F4,G4,TRUE,TRUE),1,
ISBETWEEN(F4,D4,E4,TRUE,TRUE),1,
ISBETWEEN(G4,D4,E4,TRUE,TRUE),1,
1,0)"),0.0)</f>
        <v>0</v>
      </c>
    </row>
    <row r="5">
      <c r="A5" s="2" t="s">
        <v>5</v>
      </c>
      <c r="B5" s="1" t="str">
        <f>IFERROR(__xludf.DUMMYFUNCTION("SPLIT(A5,"","",)"),"53-91")</f>
        <v>53-91</v>
      </c>
      <c r="C5" s="1" t="str">
        <f>IFERROR(__xludf.DUMMYFUNCTION("""COMPUTED_VALUE"""),"34-53")</f>
        <v>34-53</v>
      </c>
      <c r="D5" s="4">
        <f>IFERROR(__xludf.DUMMYFUNCTION("split(B5,""-"")"),53.0)</f>
        <v>53</v>
      </c>
      <c r="E5" s="4">
        <f>IFERROR(__xludf.DUMMYFUNCTION("""COMPUTED_VALUE"""),91.0)</f>
        <v>91</v>
      </c>
      <c r="F5" s="4">
        <f>IFERROR(__xludf.DUMMYFUNCTION("split(C5,""-"")"),34.0)</f>
        <v>34</v>
      </c>
      <c r="G5" s="4">
        <f>IFERROR(__xludf.DUMMYFUNCTION("""COMPUTED_VALUE"""),53.0)</f>
        <v>53</v>
      </c>
      <c r="H5" s="4">
        <f t="shared" si="1"/>
        <v>0</v>
      </c>
      <c r="J5" s="4">
        <f>IFERROR(__xludf.DUMMYFUNCTION("IFS(
ISBETWEEN(D5,F5,G5,TRUE,TRUE),1,
ISBETWEEN(E5,F5,G5,TRUE,TRUE),1,
ISBETWEEN(F5,D5,E5,TRUE,TRUE),1,
ISBETWEEN(G5,D5,E5,TRUE,TRUE),1,
1,0)"),1.0)</f>
        <v>1</v>
      </c>
    </row>
    <row r="6">
      <c r="A6" s="2" t="s">
        <v>6</v>
      </c>
      <c r="B6" s="1" t="str">
        <f>IFERROR(__xludf.DUMMYFUNCTION("SPLIT(A6,"","",)"),"13-50")</f>
        <v>13-50</v>
      </c>
      <c r="C6" s="1" t="str">
        <f>IFERROR(__xludf.DUMMYFUNCTION("""COMPUTED_VALUE"""),"14-50")</f>
        <v>14-50</v>
      </c>
      <c r="D6" s="4">
        <f>IFERROR(__xludf.DUMMYFUNCTION("split(B6,""-"")"),13.0)</f>
        <v>13</v>
      </c>
      <c r="E6" s="4">
        <f>IFERROR(__xludf.DUMMYFUNCTION("""COMPUTED_VALUE"""),50.0)</f>
        <v>50</v>
      </c>
      <c r="F6" s="4">
        <f>IFERROR(__xludf.DUMMYFUNCTION("split(C6,""-"")"),14.0)</f>
        <v>14</v>
      </c>
      <c r="G6" s="4">
        <f>IFERROR(__xludf.DUMMYFUNCTION("""COMPUTED_VALUE"""),50.0)</f>
        <v>50</v>
      </c>
      <c r="H6" s="4">
        <f t="shared" si="1"/>
        <v>1</v>
      </c>
      <c r="J6" s="4">
        <f>IFERROR(__xludf.DUMMYFUNCTION("IFS(
ISBETWEEN(D6,F6,G6,TRUE,TRUE),1,
ISBETWEEN(E6,F6,G6,TRUE,TRUE),1,
ISBETWEEN(F6,D6,E6,TRUE,TRUE),1,
ISBETWEEN(G6,D6,E6,TRUE,TRUE),1,
1,0)"),1.0)</f>
        <v>1</v>
      </c>
    </row>
    <row r="7">
      <c r="A7" s="2" t="s">
        <v>7</v>
      </c>
      <c r="B7" s="1" t="str">
        <f>IFERROR(__xludf.DUMMYFUNCTION("SPLIT(A7,"","",)"),"93-93")</f>
        <v>93-93</v>
      </c>
      <c r="C7" s="1" t="str">
        <f>IFERROR(__xludf.DUMMYFUNCTION("""COMPUTED_VALUE"""),"20-93")</f>
        <v>20-93</v>
      </c>
      <c r="D7" s="4">
        <f>IFERROR(__xludf.DUMMYFUNCTION("split(B7,""-"")"),93.0)</f>
        <v>93</v>
      </c>
      <c r="E7" s="4">
        <f>IFERROR(__xludf.DUMMYFUNCTION("""COMPUTED_VALUE"""),93.0)</f>
        <v>93</v>
      </c>
      <c r="F7" s="4">
        <f>IFERROR(__xludf.DUMMYFUNCTION("split(C7,""-"")"),20.0)</f>
        <v>20</v>
      </c>
      <c r="G7" s="4">
        <f>IFERROR(__xludf.DUMMYFUNCTION("""COMPUTED_VALUE"""),93.0)</f>
        <v>93</v>
      </c>
      <c r="H7" s="4">
        <f t="shared" si="1"/>
        <v>1</v>
      </c>
      <c r="J7" s="4">
        <f>IFERROR(__xludf.DUMMYFUNCTION("IFS(
ISBETWEEN(D7,F7,G7,TRUE,TRUE),1,
ISBETWEEN(E7,F7,G7,TRUE,TRUE),1,
ISBETWEEN(F7,D7,E7,TRUE,TRUE),1,
ISBETWEEN(G7,D7,E7,TRUE,TRUE),1,
1,0)"),1.0)</f>
        <v>1</v>
      </c>
    </row>
    <row r="8">
      <c r="A8" s="2" t="s">
        <v>8</v>
      </c>
      <c r="B8" s="1" t="str">
        <f>IFERROR(__xludf.DUMMYFUNCTION("SPLIT(A8,"","",)"),"74-80")</f>
        <v>74-80</v>
      </c>
      <c r="C8" s="1" t="str">
        <f>IFERROR(__xludf.DUMMYFUNCTION("""COMPUTED_VALUE"""),"48-81")</f>
        <v>48-81</v>
      </c>
      <c r="D8" s="4">
        <f>IFERROR(__xludf.DUMMYFUNCTION("split(B8,""-"")"),74.0)</f>
        <v>74</v>
      </c>
      <c r="E8" s="4">
        <f>IFERROR(__xludf.DUMMYFUNCTION("""COMPUTED_VALUE"""),80.0)</f>
        <v>80</v>
      </c>
      <c r="F8" s="4">
        <f>IFERROR(__xludf.DUMMYFUNCTION("split(C8,""-"")"),48.0)</f>
        <v>48</v>
      </c>
      <c r="G8" s="4">
        <f>IFERROR(__xludf.DUMMYFUNCTION("""COMPUTED_VALUE"""),81.0)</f>
        <v>81</v>
      </c>
      <c r="H8" s="4">
        <f t="shared" si="1"/>
        <v>1</v>
      </c>
      <c r="J8" s="4">
        <f>IFERROR(__xludf.DUMMYFUNCTION("IFS(
ISBETWEEN(D8,F8,G8,TRUE,TRUE),1,
ISBETWEEN(E8,F8,G8,TRUE,TRUE),1,
ISBETWEEN(F8,D8,E8,TRUE,TRUE),1,
ISBETWEEN(G8,D8,E8,TRUE,TRUE),1,
1,0)"),1.0)</f>
        <v>1</v>
      </c>
    </row>
    <row r="9">
      <c r="A9" s="2" t="s">
        <v>9</v>
      </c>
      <c r="B9" s="1" t="str">
        <f>IFERROR(__xludf.DUMMYFUNCTION("SPLIT(A9,"","",)"),"30-87")</f>
        <v>30-87</v>
      </c>
      <c r="C9" s="1" t="str">
        <f>IFERROR(__xludf.DUMMYFUNCTION("""COMPUTED_VALUE"""),"27-38")</f>
        <v>27-38</v>
      </c>
      <c r="D9" s="4">
        <f>IFERROR(__xludf.DUMMYFUNCTION("split(B9,""-"")"),30.0)</f>
        <v>30</v>
      </c>
      <c r="E9" s="4">
        <f>IFERROR(__xludf.DUMMYFUNCTION("""COMPUTED_VALUE"""),87.0)</f>
        <v>87</v>
      </c>
      <c r="F9" s="4">
        <f>IFERROR(__xludf.DUMMYFUNCTION("split(C9,""-"")"),27.0)</f>
        <v>27</v>
      </c>
      <c r="G9" s="4">
        <f>IFERROR(__xludf.DUMMYFUNCTION("""COMPUTED_VALUE"""),38.0)</f>
        <v>38</v>
      </c>
      <c r="H9" s="4">
        <f t="shared" si="1"/>
        <v>0</v>
      </c>
      <c r="J9" s="4">
        <f>IFERROR(__xludf.DUMMYFUNCTION("IFS(
ISBETWEEN(D9,F9,G9,TRUE,TRUE),1,
ISBETWEEN(E9,F9,G9,TRUE,TRUE),1,
ISBETWEEN(F9,D9,E9,TRUE,TRUE),1,
ISBETWEEN(G9,D9,E9,TRUE,TRUE),1,
1,0)"),1.0)</f>
        <v>1</v>
      </c>
    </row>
    <row r="10">
      <c r="A10" s="2" t="s">
        <v>10</v>
      </c>
      <c r="B10" s="1" t="str">
        <f>IFERROR(__xludf.DUMMYFUNCTION("SPLIT(A10,"","",)"),"6-93")</f>
        <v>6-93</v>
      </c>
      <c r="C10" s="1" t="str">
        <f>IFERROR(__xludf.DUMMYFUNCTION("""COMPUTED_VALUE"""),"7-94")</f>
        <v>7-94</v>
      </c>
      <c r="D10" s="4">
        <f>IFERROR(__xludf.DUMMYFUNCTION("split(B10,""-"")"),6.0)</f>
        <v>6</v>
      </c>
      <c r="E10" s="4">
        <f>IFERROR(__xludf.DUMMYFUNCTION("""COMPUTED_VALUE"""),93.0)</f>
        <v>93</v>
      </c>
      <c r="F10" s="4">
        <f>IFERROR(__xludf.DUMMYFUNCTION("split(C10,""-"")"),7.0)</f>
        <v>7</v>
      </c>
      <c r="G10" s="4">
        <f>IFERROR(__xludf.DUMMYFUNCTION("""COMPUTED_VALUE"""),94.0)</f>
        <v>94</v>
      </c>
      <c r="H10" s="4">
        <f t="shared" si="1"/>
        <v>0</v>
      </c>
      <c r="J10" s="4">
        <f>IFERROR(__xludf.DUMMYFUNCTION("IFS(
ISBETWEEN(D10,F10,G10,TRUE,TRUE),1,
ISBETWEEN(E10,F10,G10,TRUE,TRUE),1,
ISBETWEEN(F10,D10,E10,TRUE,TRUE),1,
ISBETWEEN(G10,D10,E10,TRUE,TRUE),1,
1,0)"),1.0)</f>
        <v>1</v>
      </c>
    </row>
    <row r="11">
      <c r="A11" s="2" t="s">
        <v>11</v>
      </c>
      <c r="B11" s="1" t="str">
        <f>IFERROR(__xludf.DUMMYFUNCTION("SPLIT(A11,"","",)"),"56-98")</f>
        <v>56-98</v>
      </c>
      <c r="C11" s="1" t="str">
        <f>IFERROR(__xludf.DUMMYFUNCTION("""COMPUTED_VALUE"""),"12-49")</f>
        <v>12-49</v>
      </c>
      <c r="D11" s="4">
        <f>IFERROR(__xludf.DUMMYFUNCTION("split(B11,""-"")"),56.0)</f>
        <v>56</v>
      </c>
      <c r="E11" s="4">
        <f>IFERROR(__xludf.DUMMYFUNCTION("""COMPUTED_VALUE"""),98.0)</f>
        <v>98</v>
      </c>
      <c r="F11" s="4">
        <f>IFERROR(__xludf.DUMMYFUNCTION("split(C11,""-"")"),12.0)</f>
        <v>12</v>
      </c>
      <c r="G11" s="4">
        <f>IFERROR(__xludf.DUMMYFUNCTION("""COMPUTED_VALUE"""),49.0)</f>
        <v>49</v>
      </c>
      <c r="H11" s="4">
        <f t="shared" si="1"/>
        <v>0</v>
      </c>
      <c r="J11" s="4">
        <f>IFERROR(__xludf.DUMMYFUNCTION("IFS(
ISBETWEEN(D11,F11,G11,TRUE,TRUE),1,
ISBETWEEN(E11,F11,G11,TRUE,TRUE),1,
ISBETWEEN(F11,D11,E11,TRUE,TRUE),1,
ISBETWEEN(G11,D11,E11,TRUE,TRUE),1,
1,0)"),0.0)</f>
        <v>0</v>
      </c>
    </row>
    <row r="12">
      <c r="A12" s="2" t="s">
        <v>12</v>
      </c>
      <c r="B12" s="1" t="str">
        <f>IFERROR(__xludf.DUMMYFUNCTION("SPLIT(A12,"","",)"),"10-71")</f>
        <v>10-71</v>
      </c>
      <c r="C12" s="3">
        <f>IFERROR(__xludf.DUMMYFUNCTION("""COMPUTED_VALUE"""),44654.0)</f>
        <v>44654</v>
      </c>
      <c r="D12" s="4">
        <f>IFERROR(__xludf.DUMMYFUNCTION("split(B12,""-"")"),10.0)</f>
        <v>10</v>
      </c>
      <c r="E12" s="4">
        <f>IFERROR(__xludf.DUMMYFUNCTION("""COMPUTED_VALUE"""),71.0)</f>
        <v>71</v>
      </c>
      <c r="F12" s="4">
        <f>IFERROR(__xludf.DUMMYFUNCTION("split(C12,""-"")"),3.0)</f>
        <v>3</v>
      </c>
      <c r="G12" s="4">
        <f>IFERROR(__xludf.DUMMYFUNCTION("""COMPUTED_VALUE"""),4.0)</f>
        <v>4</v>
      </c>
      <c r="H12" s="4">
        <f t="shared" si="1"/>
        <v>0</v>
      </c>
      <c r="J12" s="4">
        <f>IFERROR(__xludf.DUMMYFUNCTION("IFS(
ISBETWEEN(D12,F12,G12,TRUE,TRUE),1,
ISBETWEEN(E12,F12,G12,TRUE,TRUE),1,
ISBETWEEN(F12,D12,E12,TRUE,TRUE),1,
ISBETWEEN(G12,D12,E12,TRUE,TRUE),1,
1,0)"),0.0)</f>
        <v>0</v>
      </c>
    </row>
    <row r="13">
      <c r="A13" s="2" t="s">
        <v>13</v>
      </c>
      <c r="B13" s="1" t="str">
        <f>IFERROR(__xludf.DUMMYFUNCTION("SPLIT(A13,"","",)"),"87-95")</f>
        <v>87-95</v>
      </c>
      <c r="C13" s="1" t="str">
        <f>IFERROR(__xludf.DUMMYFUNCTION("""COMPUTED_VALUE"""),"55-88")</f>
        <v>55-88</v>
      </c>
      <c r="D13" s="4">
        <f>IFERROR(__xludf.DUMMYFUNCTION("split(B13,""-"")"),87.0)</f>
        <v>87</v>
      </c>
      <c r="E13" s="4">
        <f>IFERROR(__xludf.DUMMYFUNCTION("""COMPUTED_VALUE"""),95.0)</f>
        <v>95</v>
      </c>
      <c r="F13" s="4">
        <f>IFERROR(__xludf.DUMMYFUNCTION("split(C13,""-"")"),55.0)</f>
        <v>55</v>
      </c>
      <c r="G13" s="4">
        <f>IFERROR(__xludf.DUMMYFUNCTION("""COMPUTED_VALUE"""),88.0)</f>
        <v>88</v>
      </c>
      <c r="H13" s="4">
        <f t="shared" si="1"/>
        <v>0</v>
      </c>
      <c r="J13" s="4">
        <f>IFERROR(__xludf.DUMMYFUNCTION("IFS(
ISBETWEEN(D13,F13,G13,TRUE,TRUE),1,
ISBETWEEN(E13,F13,G13,TRUE,TRUE),1,
ISBETWEEN(F13,D13,E13,TRUE,TRUE),1,
ISBETWEEN(G13,D13,E13,TRUE,TRUE),1,
1,0)"),1.0)</f>
        <v>1</v>
      </c>
    </row>
    <row r="14">
      <c r="A14" s="2" t="s">
        <v>14</v>
      </c>
      <c r="B14" s="1" t="str">
        <f>IFERROR(__xludf.DUMMYFUNCTION("SPLIT(A14,"","",)"),"27-98")</f>
        <v>27-98</v>
      </c>
      <c r="C14" s="1" t="str">
        <f>IFERROR(__xludf.DUMMYFUNCTION("""COMPUTED_VALUE"""),"52-99")</f>
        <v>52-99</v>
      </c>
      <c r="D14" s="4">
        <f>IFERROR(__xludf.DUMMYFUNCTION("split(B14,""-"")"),27.0)</f>
        <v>27</v>
      </c>
      <c r="E14" s="4">
        <f>IFERROR(__xludf.DUMMYFUNCTION("""COMPUTED_VALUE"""),98.0)</f>
        <v>98</v>
      </c>
      <c r="F14" s="4">
        <f>IFERROR(__xludf.DUMMYFUNCTION("split(C14,""-"")"),52.0)</f>
        <v>52</v>
      </c>
      <c r="G14" s="4">
        <f>IFERROR(__xludf.DUMMYFUNCTION("""COMPUTED_VALUE"""),99.0)</f>
        <v>99</v>
      </c>
      <c r="H14" s="4">
        <f t="shared" si="1"/>
        <v>0</v>
      </c>
      <c r="J14" s="4">
        <f>IFERROR(__xludf.DUMMYFUNCTION("IFS(
ISBETWEEN(D14,F14,G14,TRUE,TRUE),1,
ISBETWEEN(E14,F14,G14,TRUE,TRUE),1,
ISBETWEEN(F14,D14,E14,TRUE,TRUE),1,
ISBETWEEN(G14,D14,E14,TRUE,TRUE),1,
1,0)"),1.0)</f>
        <v>1</v>
      </c>
    </row>
    <row r="15">
      <c r="A15" s="2" t="s">
        <v>15</v>
      </c>
      <c r="B15" s="3">
        <f>IFERROR(__xludf.DUMMYFUNCTION("SPLIT(A15,"","",)"),44869.0)</f>
        <v>44869</v>
      </c>
      <c r="C15" s="1" t="str">
        <f>IFERROR(__xludf.DUMMYFUNCTION("""COMPUTED_VALUE"""),"11-82")</f>
        <v>11-82</v>
      </c>
      <c r="D15" s="4">
        <f>IFERROR(__xludf.DUMMYFUNCTION("split(B15,""-"")"),4.0)</f>
        <v>4</v>
      </c>
      <c r="E15" s="4">
        <f>IFERROR(__xludf.DUMMYFUNCTION("""COMPUTED_VALUE"""),11.0)</f>
        <v>11</v>
      </c>
      <c r="F15" s="4">
        <f>IFERROR(__xludf.DUMMYFUNCTION("split(C15,""-"")"),11.0)</f>
        <v>11</v>
      </c>
      <c r="G15" s="4">
        <f>IFERROR(__xludf.DUMMYFUNCTION("""COMPUTED_VALUE"""),82.0)</f>
        <v>82</v>
      </c>
      <c r="H15" s="4">
        <f t="shared" si="1"/>
        <v>0</v>
      </c>
      <c r="J15" s="4">
        <f>IFERROR(__xludf.DUMMYFUNCTION("IFS(
ISBETWEEN(D15,F15,G15,TRUE,TRUE),1,
ISBETWEEN(E15,F15,G15,TRUE,TRUE),1,
ISBETWEEN(F15,D15,E15,TRUE,TRUE),1,
ISBETWEEN(G15,D15,E15,TRUE,TRUE),1,
1,0)"),1.0)</f>
        <v>1</v>
      </c>
    </row>
    <row r="16">
      <c r="A16" s="2" t="s">
        <v>16</v>
      </c>
      <c r="B16" s="1" t="str">
        <f>IFERROR(__xludf.DUMMYFUNCTION("SPLIT(A16,"","",)"),"4-90")</f>
        <v>4-90</v>
      </c>
      <c r="C16" s="1" t="str">
        <f>IFERROR(__xludf.DUMMYFUNCTION("""COMPUTED_VALUE"""),"4-96")</f>
        <v>4-96</v>
      </c>
      <c r="D16" s="4">
        <f>IFERROR(__xludf.DUMMYFUNCTION("split(B16,""-"")"),4.0)</f>
        <v>4</v>
      </c>
      <c r="E16" s="4">
        <f>IFERROR(__xludf.DUMMYFUNCTION("""COMPUTED_VALUE"""),90.0)</f>
        <v>90</v>
      </c>
      <c r="F16" s="4">
        <f>IFERROR(__xludf.DUMMYFUNCTION("split(C16,""-"")"),4.0)</f>
        <v>4</v>
      </c>
      <c r="G16" s="4">
        <f>IFERROR(__xludf.DUMMYFUNCTION("""COMPUTED_VALUE"""),96.0)</f>
        <v>96</v>
      </c>
      <c r="H16" s="4">
        <f t="shared" si="1"/>
        <v>1</v>
      </c>
      <c r="J16" s="4">
        <f>IFERROR(__xludf.DUMMYFUNCTION("IFS(
ISBETWEEN(D16,F16,G16,TRUE,TRUE),1,
ISBETWEEN(E16,F16,G16,TRUE,TRUE),1,
ISBETWEEN(F16,D16,E16,TRUE,TRUE),1,
ISBETWEEN(G16,D16,E16,TRUE,TRUE),1,
1,0)"),1.0)</f>
        <v>1</v>
      </c>
    </row>
    <row r="17">
      <c r="A17" s="2" t="s">
        <v>17</v>
      </c>
      <c r="B17" s="1" t="str">
        <f>IFERROR(__xludf.DUMMYFUNCTION("SPLIT(A17,"","",)"),"3-89")</f>
        <v>3-89</v>
      </c>
      <c r="C17" s="1" t="str">
        <f>IFERROR(__xludf.DUMMYFUNCTION("""COMPUTED_VALUE"""),"4-80")</f>
        <v>4-80</v>
      </c>
      <c r="D17" s="4">
        <f>IFERROR(__xludf.DUMMYFUNCTION("split(B17,""-"")"),3.0)</f>
        <v>3</v>
      </c>
      <c r="E17" s="4">
        <f>IFERROR(__xludf.DUMMYFUNCTION("""COMPUTED_VALUE"""),89.0)</f>
        <v>89</v>
      </c>
      <c r="F17" s="4">
        <f>IFERROR(__xludf.DUMMYFUNCTION("split(C17,""-"")"),4.0)</f>
        <v>4</v>
      </c>
      <c r="G17" s="4">
        <f>IFERROR(__xludf.DUMMYFUNCTION("""COMPUTED_VALUE"""),80.0)</f>
        <v>80</v>
      </c>
      <c r="H17" s="4">
        <f t="shared" si="1"/>
        <v>1</v>
      </c>
      <c r="J17" s="4">
        <f>IFERROR(__xludf.DUMMYFUNCTION("IFS(
ISBETWEEN(D17,F17,G17,TRUE,TRUE),1,
ISBETWEEN(E17,F17,G17,TRUE,TRUE),1,
ISBETWEEN(F17,D17,E17,TRUE,TRUE),1,
ISBETWEEN(G17,D17,E17,TRUE,TRUE),1,
1,0)"),1.0)</f>
        <v>1</v>
      </c>
    </row>
    <row r="18">
      <c r="A18" s="2" t="s">
        <v>18</v>
      </c>
      <c r="B18" s="1" t="str">
        <f>IFERROR(__xludf.DUMMYFUNCTION("SPLIT(A18,"","",)"),"4-88")</f>
        <v>4-88</v>
      </c>
      <c r="C18" s="1" t="str">
        <f>IFERROR(__xludf.DUMMYFUNCTION("""COMPUTED_VALUE"""),"6-82")</f>
        <v>6-82</v>
      </c>
      <c r="D18" s="4">
        <f>IFERROR(__xludf.DUMMYFUNCTION("split(B18,""-"")"),4.0)</f>
        <v>4</v>
      </c>
      <c r="E18" s="4">
        <f>IFERROR(__xludf.DUMMYFUNCTION("""COMPUTED_VALUE"""),88.0)</f>
        <v>88</v>
      </c>
      <c r="F18" s="4">
        <f>IFERROR(__xludf.DUMMYFUNCTION("split(C18,""-"")"),6.0)</f>
        <v>6</v>
      </c>
      <c r="G18" s="4">
        <f>IFERROR(__xludf.DUMMYFUNCTION("""COMPUTED_VALUE"""),82.0)</f>
        <v>82</v>
      </c>
      <c r="H18" s="4">
        <f t="shared" si="1"/>
        <v>1</v>
      </c>
      <c r="J18" s="4">
        <f>IFERROR(__xludf.DUMMYFUNCTION("IFS(
ISBETWEEN(D18,F18,G18,TRUE,TRUE),1,
ISBETWEEN(E18,F18,G18,TRUE,TRUE),1,
ISBETWEEN(F18,D18,E18,TRUE,TRUE),1,
ISBETWEEN(G18,D18,E18,TRUE,TRUE),1,
1,0)"),1.0)</f>
        <v>1</v>
      </c>
    </row>
    <row r="19">
      <c r="A19" s="2" t="s">
        <v>19</v>
      </c>
      <c r="B19" s="1" t="str">
        <f>IFERROR(__xludf.DUMMYFUNCTION("SPLIT(A19,"","",)"),"69-75")</f>
        <v>69-75</v>
      </c>
      <c r="C19" s="1" t="str">
        <f>IFERROR(__xludf.DUMMYFUNCTION("""COMPUTED_VALUE"""),"70-76")</f>
        <v>70-76</v>
      </c>
      <c r="D19" s="4">
        <f>IFERROR(__xludf.DUMMYFUNCTION("split(B19,""-"")"),69.0)</f>
        <v>69</v>
      </c>
      <c r="E19" s="4">
        <f>IFERROR(__xludf.DUMMYFUNCTION("""COMPUTED_VALUE"""),75.0)</f>
        <v>75</v>
      </c>
      <c r="F19" s="4">
        <f>IFERROR(__xludf.DUMMYFUNCTION("split(C19,""-"")"),70.0)</f>
        <v>70</v>
      </c>
      <c r="G19" s="4">
        <f>IFERROR(__xludf.DUMMYFUNCTION("""COMPUTED_VALUE"""),76.0)</f>
        <v>76</v>
      </c>
      <c r="H19" s="4">
        <f t="shared" si="1"/>
        <v>0</v>
      </c>
      <c r="J19" s="4">
        <f>IFERROR(__xludf.DUMMYFUNCTION("IFS(
ISBETWEEN(D19,F19,G19,TRUE,TRUE),1,
ISBETWEEN(E19,F19,G19,TRUE,TRUE),1,
ISBETWEEN(F19,D19,E19,TRUE,TRUE),1,
ISBETWEEN(G19,D19,E19,TRUE,TRUE),1,
1,0)"),1.0)</f>
        <v>1</v>
      </c>
    </row>
    <row r="20">
      <c r="A20" s="2" t="s">
        <v>20</v>
      </c>
      <c r="B20" s="1" t="str">
        <f>IFERROR(__xludf.DUMMYFUNCTION("SPLIT(A20,"","",)"),"6-71")</f>
        <v>6-71</v>
      </c>
      <c r="C20" s="3">
        <f>IFERROR(__xludf.DUMMYFUNCTION("""COMPUTED_VALUE"""),44747.0)</f>
        <v>44747</v>
      </c>
      <c r="D20" s="4">
        <f>IFERROR(__xludf.DUMMYFUNCTION("split(B20,""-"")"),6.0)</f>
        <v>6</v>
      </c>
      <c r="E20" s="4">
        <f>IFERROR(__xludf.DUMMYFUNCTION("""COMPUTED_VALUE"""),71.0)</f>
        <v>71</v>
      </c>
      <c r="F20" s="4">
        <f>IFERROR(__xludf.DUMMYFUNCTION("split(C20,""-"")"),5.0)</f>
        <v>5</v>
      </c>
      <c r="G20" s="4">
        <f>IFERROR(__xludf.DUMMYFUNCTION("""COMPUTED_VALUE"""),7.0)</f>
        <v>7</v>
      </c>
      <c r="H20" s="4">
        <f t="shared" si="1"/>
        <v>0</v>
      </c>
      <c r="J20" s="4">
        <f>IFERROR(__xludf.DUMMYFUNCTION("IFS(
ISBETWEEN(D20,F20,G20,TRUE,TRUE),1,
ISBETWEEN(E20,F20,G20,TRUE,TRUE),1,
ISBETWEEN(F20,D20,E20,TRUE,TRUE),1,
ISBETWEEN(G20,D20,E20,TRUE,TRUE),1,
1,0)"),1.0)</f>
        <v>1</v>
      </c>
    </row>
    <row r="21">
      <c r="A21" s="2" t="s">
        <v>21</v>
      </c>
      <c r="B21" s="1" t="str">
        <f>IFERROR(__xludf.DUMMYFUNCTION("SPLIT(A21,"","",)"),"91-96")</f>
        <v>91-96</v>
      </c>
      <c r="C21" s="1" t="str">
        <f>IFERROR(__xludf.DUMMYFUNCTION("""COMPUTED_VALUE"""),"8-74")</f>
        <v>8-74</v>
      </c>
      <c r="D21" s="4">
        <f>IFERROR(__xludf.DUMMYFUNCTION("split(B21,""-"")"),91.0)</f>
        <v>91</v>
      </c>
      <c r="E21" s="4">
        <f>IFERROR(__xludf.DUMMYFUNCTION("""COMPUTED_VALUE"""),96.0)</f>
        <v>96</v>
      </c>
      <c r="F21" s="4">
        <f>IFERROR(__xludf.DUMMYFUNCTION("split(C21,""-"")"),8.0)</f>
        <v>8</v>
      </c>
      <c r="G21" s="4">
        <f>IFERROR(__xludf.DUMMYFUNCTION("""COMPUTED_VALUE"""),74.0)</f>
        <v>74</v>
      </c>
      <c r="H21" s="4">
        <f t="shared" si="1"/>
        <v>0</v>
      </c>
      <c r="J21" s="4">
        <f>IFERROR(__xludf.DUMMYFUNCTION("IFS(
ISBETWEEN(D21,F21,G21,TRUE,TRUE),1,
ISBETWEEN(E21,F21,G21,TRUE,TRUE),1,
ISBETWEEN(F21,D21,E21,TRUE,TRUE),1,
ISBETWEEN(G21,D21,E21,TRUE,TRUE),1,
1,0)"),0.0)</f>
        <v>0</v>
      </c>
    </row>
    <row r="22">
      <c r="A22" s="2" t="s">
        <v>22</v>
      </c>
      <c r="B22" s="1" t="str">
        <f>IFERROR(__xludf.DUMMYFUNCTION("SPLIT(A22,"","",)"),"52-53")</f>
        <v>52-53</v>
      </c>
      <c r="C22" s="1" t="str">
        <f>IFERROR(__xludf.DUMMYFUNCTION("""COMPUTED_VALUE"""),"2-52")</f>
        <v>2-52</v>
      </c>
      <c r="D22" s="4">
        <f>IFERROR(__xludf.DUMMYFUNCTION("split(B22,""-"")"),52.0)</f>
        <v>52</v>
      </c>
      <c r="E22" s="4">
        <f>IFERROR(__xludf.DUMMYFUNCTION("""COMPUTED_VALUE"""),53.0)</f>
        <v>53</v>
      </c>
      <c r="F22" s="4">
        <f>IFERROR(__xludf.DUMMYFUNCTION("split(C22,""-"")"),2.0)</f>
        <v>2</v>
      </c>
      <c r="G22" s="4">
        <f>IFERROR(__xludf.DUMMYFUNCTION("""COMPUTED_VALUE"""),52.0)</f>
        <v>52</v>
      </c>
      <c r="H22" s="4">
        <f t="shared" si="1"/>
        <v>0</v>
      </c>
      <c r="J22" s="4">
        <f>IFERROR(__xludf.DUMMYFUNCTION("IFS(
ISBETWEEN(D22,F22,G22,TRUE,TRUE),1,
ISBETWEEN(E22,F22,G22,TRUE,TRUE),1,
ISBETWEEN(F22,D22,E22,TRUE,TRUE),1,
ISBETWEEN(G22,D22,E22,TRUE,TRUE),1,
1,0)"),1.0)</f>
        <v>1</v>
      </c>
    </row>
    <row r="23">
      <c r="A23" s="2" t="s">
        <v>23</v>
      </c>
      <c r="B23" s="1" t="str">
        <f>IFERROR(__xludf.DUMMYFUNCTION("SPLIT(A23,"","",)"),"9-94")</f>
        <v>9-94</v>
      </c>
      <c r="C23" s="1" t="str">
        <f>IFERROR(__xludf.DUMMYFUNCTION("""COMPUTED_VALUE"""),"10-97")</f>
        <v>10-97</v>
      </c>
      <c r="D23" s="4">
        <f>IFERROR(__xludf.DUMMYFUNCTION("split(B23,""-"")"),9.0)</f>
        <v>9</v>
      </c>
      <c r="E23" s="4">
        <f>IFERROR(__xludf.DUMMYFUNCTION("""COMPUTED_VALUE"""),94.0)</f>
        <v>94</v>
      </c>
      <c r="F23" s="4">
        <f>IFERROR(__xludf.DUMMYFUNCTION("split(C23,""-"")"),10.0)</f>
        <v>10</v>
      </c>
      <c r="G23" s="4">
        <f>IFERROR(__xludf.DUMMYFUNCTION("""COMPUTED_VALUE"""),97.0)</f>
        <v>97</v>
      </c>
      <c r="H23" s="4">
        <f t="shared" si="1"/>
        <v>0</v>
      </c>
      <c r="J23" s="4">
        <f>IFERROR(__xludf.DUMMYFUNCTION("IFS(
ISBETWEEN(D23,F23,G23,TRUE,TRUE),1,
ISBETWEEN(E23,F23,G23,TRUE,TRUE),1,
ISBETWEEN(F23,D23,E23,TRUE,TRUE),1,
ISBETWEEN(G23,D23,E23,TRUE,TRUE),1,
1,0)"),1.0)</f>
        <v>1</v>
      </c>
    </row>
    <row r="24">
      <c r="A24" s="2" t="s">
        <v>24</v>
      </c>
      <c r="B24" s="1" t="str">
        <f>IFERROR(__xludf.DUMMYFUNCTION("SPLIT(A24,"","",)"),"14-75")</f>
        <v>14-75</v>
      </c>
      <c r="C24" s="1" t="str">
        <f>IFERROR(__xludf.DUMMYFUNCTION("""COMPUTED_VALUE"""),"63-76")</f>
        <v>63-76</v>
      </c>
      <c r="D24" s="4">
        <f>IFERROR(__xludf.DUMMYFUNCTION("split(B24,""-"")"),14.0)</f>
        <v>14</v>
      </c>
      <c r="E24" s="4">
        <f>IFERROR(__xludf.DUMMYFUNCTION("""COMPUTED_VALUE"""),75.0)</f>
        <v>75</v>
      </c>
      <c r="F24" s="4">
        <f>IFERROR(__xludf.DUMMYFUNCTION("split(C24,""-"")"),63.0)</f>
        <v>63</v>
      </c>
      <c r="G24" s="4">
        <f>IFERROR(__xludf.DUMMYFUNCTION("""COMPUTED_VALUE"""),76.0)</f>
        <v>76</v>
      </c>
      <c r="H24" s="4">
        <f t="shared" si="1"/>
        <v>0</v>
      </c>
      <c r="J24" s="4">
        <f>IFERROR(__xludf.DUMMYFUNCTION("IFS(
ISBETWEEN(D24,F24,G24,TRUE,TRUE),1,
ISBETWEEN(E24,F24,G24,TRUE,TRUE),1,
ISBETWEEN(F24,D24,E24,TRUE,TRUE),1,
ISBETWEEN(G24,D24,E24,TRUE,TRUE),1,
1,0)"),1.0)</f>
        <v>1</v>
      </c>
    </row>
    <row r="25">
      <c r="A25" s="2" t="s">
        <v>25</v>
      </c>
      <c r="B25" s="1" t="str">
        <f>IFERROR(__xludf.DUMMYFUNCTION("SPLIT(A25,"","",)"),"3-26")</f>
        <v>3-26</v>
      </c>
      <c r="C25" s="3">
        <f>IFERROR(__xludf.DUMMYFUNCTION("""COMPUTED_VALUE"""),44654.0)</f>
        <v>44654</v>
      </c>
      <c r="D25" s="4">
        <f>IFERROR(__xludf.DUMMYFUNCTION("split(B25,""-"")"),3.0)</f>
        <v>3</v>
      </c>
      <c r="E25" s="4">
        <f>IFERROR(__xludf.DUMMYFUNCTION("""COMPUTED_VALUE"""),26.0)</f>
        <v>26</v>
      </c>
      <c r="F25" s="4">
        <f>IFERROR(__xludf.DUMMYFUNCTION("split(C25,""-"")"),3.0)</f>
        <v>3</v>
      </c>
      <c r="G25" s="4">
        <f>IFERROR(__xludf.DUMMYFUNCTION("""COMPUTED_VALUE"""),4.0)</f>
        <v>4</v>
      </c>
      <c r="H25" s="4">
        <f t="shared" si="1"/>
        <v>1</v>
      </c>
      <c r="J25" s="4">
        <f>IFERROR(__xludf.DUMMYFUNCTION("IFS(
ISBETWEEN(D25,F25,G25,TRUE,TRUE),1,
ISBETWEEN(E25,F25,G25,TRUE,TRUE),1,
ISBETWEEN(F25,D25,E25,TRUE,TRUE),1,
ISBETWEEN(G25,D25,E25,TRUE,TRUE),1,
1,0)"),1.0)</f>
        <v>1</v>
      </c>
    </row>
    <row r="26">
      <c r="A26" s="2" t="s">
        <v>26</v>
      </c>
      <c r="B26" s="1" t="str">
        <f>IFERROR(__xludf.DUMMYFUNCTION("SPLIT(A26,"","",)"),"40-55")</f>
        <v>40-55</v>
      </c>
      <c r="C26" s="1" t="str">
        <f>IFERROR(__xludf.DUMMYFUNCTION("""COMPUTED_VALUE"""),"39-41")</f>
        <v>39-41</v>
      </c>
      <c r="D26" s="4">
        <f>IFERROR(__xludf.DUMMYFUNCTION("split(B26,""-"")"),40.0)</f>
        <v>40</v>
      </c>
      <c r="E26" s="4">
        <f>IFERROR(__xludf.DUMMYFUNCTION("""COMPUTED_VALUE"""),55.0)</f>
        <v>55</v>
      </c>
      <c r="F26" s="4">
        <f>IFERROR(__xludf.DUMMYFUNCTION("split(C26,""-"")"),39.0)</f>
        <v>39</v>
      </c>
      <c r="G26" s="4">
        <f>IFERROR(__xludf.DUMMYFUNCTION("""COMPUTED_VALUE"""),41.0)</f>
        <v>41</v>
      </c>
      <c r="H26" s="4">
        <f t="shared" si="1"/>
        <v>0</v>
      </c>
      <c r="J26" s="4">
        <f>IFERROR(__xludf.DUMMYFUNCTION("IFS(
ISBETWEEN(D26,F26,G26,TRUE,TRUE),1,
ISBETWEEN(E26,F26,G26,TRUE,TRUE),1,
ISBETWEEN(F26,D26,E26,TRUE,TRUE),1,
ISBETWEEN(G26,D26,E26,TRUE,TRUE),1,
1,0)"),1.0)</f>
        <v>1</v>
      </c>
    </row>
    <row r="27">
      <c r="A27" s="2" t="s">
        <v>27</v>
      </c>
      <c r="B27" s="1" t="str">
        <f>IFERROR(__xludf.DUMMYFUNCTION("SPLIT(A27,"","",)"),"17-22")</f>
        <v>17-22</v>
      </c>
      <c r="C27" s="1" t="str">
        <f>IFERROR(__xludf.DUMMYFUNCTION("""COMPUTED_VALUE"""),"4-80")</f>
        <v>4-80</v>
      </c>
      <c r="D27" s="4">
        <f>IFERROR(__xludf.DUMMYFUNCTION("split(B27,""-"")"),17.0)</f>
        <v>17</v>
      </c>
      <c r="E27" s="4">
        <f>IFERROR(__xludf.DUMMYFUNCTION("""COMPUTED_VALUE"""),22.0)</f>
        <v>22</v>
      </c>
      <c r="F27" s="4">
        <f>IFERROR(__xludf.DUMMYFUNCTION("split(C27,""-"")"),4.0)</f>
        <v>4</v>
      </c>
      <c r="G27" s="4">
        <f>IFERROR(__xludf.DUMMYFUNCTION("""COMPUTED_VALUE"""),80.0)</f>
        <v>80</v>
      </c>
      <c r="H27" s="4">
        <f t="shared" si="1"/>
        <v>1</v>
      </c>
      <c r="J27" s="4">
        <f>IFERROR(__xludf.DUMMYFUNCTION("IFS(
ISBETWEEN(D27,F27,G27,TRUE,TRUE),1,
ISBETWEEN(E27,F27,G27,TRUE,TRUE),1,
ISBETWEEN(F27,D27,E27,TRUE,TRUE),1,
ISBETWEEN(G27,D27,E27,TRUE,TRUE),1,
1,0)"),1.0)</f>
        <v>1</v>
      </c>
    </row>
    <row r="28">
      <c r="A28" s="2" t="s">
        <v>28</v>
      </c>
      <c r="B28" s="1" t="str">
        <f>IFERROR(__xludf.DUMMYFUNCTION("SPLIT(A28,"","",)"),"62-94")</f>
        <v>62-94</v>
      </c>
      <c r="C28" s="1" t="str">
        <f>IFERROR(__xludf.DUMMYFUNCTION("""COMPUTED_VALUE"""),"15-95")</f>
        <v>15-95</v>
      </c>
      <c r="D28" s="4">
        <f>IFERROR(__xludf.DUMMYFUNCTION("split(B28,""-"")"),62.0)</f>
        <v>62</v>
      </c>
      <c r="E28" s="4">
        <f>IFERROR(__xludf.DUMMYFUNCTION("""COMPUTED_VALUE"""),94.0)</f>
        <v>94</v>
      </c>
      <c r="F28" s="4">
        <f>IFERROR(__xludf.DUMMYFUNCTION("split(C28,""-"")"),15.0)</f>
        <v>15</v>
      </c>
      <c r="G28" s="4">
        <f>IFERROR(__xludf.DUMMYFUNCTION("""COMPUTED_VALUE"""),95.0)</f>
        <v>95</v>
      </c>
      <c r="H28" s="4">
        <f t="shared" si="1"/>
        <v>1</v>
      </c>
      <c r="J28" s="4">
        <f>IFERROR(__xludf.DUMMYFUNCTION("IFS(
ISBETWEEN(D28,F28,G28,TRUE,TRUE),1,
ISBETWEEN(E28,F28,G28,TRUE,TRUE),1,
ISBETWEEN(F28,D28,E28,TRUE,TRUE),1,
ISBETWEEN(G28,D28,E28,TRUE,TRUE),1,
1,0)"),1.0)</f>
        <v>1</v>
      </c>
    </row>
    <row r="29">
      <c r="A29" s="2" t="s">
        <v>29</v>
      </c>
      <c r="B29" s="1" t="str">
        <f>IFERROR(__xludf.DUMMYFUNCTION("SPLIT(A29,"","",)"),"37-77")</f>
        <v>37-77</v>
      </c>
      <c r="C29" s="1" t="str">
        <f>IFERROR(__xludf.DUMMYFUNCTION("""COMPUTED_VALUE"""),"6-76")</f>
        <v>6-76</v>
      </c>
      <c r="D29" s="4">
        <f>IFERROR(__xludf.DUMMYFUNCTION("split(B29,""-"")"),37.0)</f>
        <v>37</v>
      </c>
      <c r="E29" s="4">
        <f>IFERROR(__xludf.DUMMYFUNCTION("""COMPUTED_VALUE"""),77.0)</f>
        <v>77</v>
      </c>
      <c r="F29" s="4">
        <f>IFERROR(__xludf.DUMMYFUNCTION("split(C29,""-"")"),6.0)</f>
        <v>6</v>
      </c>
      <c r="G29" s="4">
        <f>IFERROR(__xludf.DUMMYFUNCTION("""COMPUTED_VALUE"""),76.0)</f>
        <v>76</v>
      </c>
      <c r="H29" s="4">
        <f t="shared" si="1"/>
        <v>0</v>
      </c>
      <c r="J29" s="4">
        <f>IFERROR(__xludf.DUMMYFUNCTION("IFS(
ISBETWEEN(D29,F29,G29,TRUE,TRUE),1,
ISBETWEEN(E29,F29,G29,TRUE,TRUE),1,
ISBETWEEN(F29,D29,E29,TRUE,TRUE),1,
ISBETWEEN(G29,D29,E29,TRUE,TRUE),1,
1,0)"),1.0)</f>
        <v>1</v>
      </c>
    </row>
    <row r="30">
      <c r="A30" s="2" t="s">
        <v>30</v>
      </c>
      <c r="B30" s="1" t="str">
        <f>IFERROR(__xludf.DUMMYFUNCTION("SPLIT(A30,"","",)"),"21-22")</f>
        <v>21-22</v>
      </c>
      <c r="C30" s="1" t="str">
        <f>IFERROR(__xludf.DUMMYFUNCTION("""COMPUTED_VALUE"""),"22-27")</f>
        <v>22-27</v>
      </c>
      <c r="D30" s="4">
        <f>IFERROR(__xludf.DUMMYFUNCTION("split(B30,""-"")"),21.0)</f>
        <v>21</v>
      </c>
      <c r="E30" s="4">
        <f>IFERROR(__xludf.DUMMYFUNCTION("""COMPUTED_VALUE"""),22.0)</f>
        <v>22</v>
      </c>
      <c r="F30" s="4">
        <f>IFERROR(__xludf.DUMMYFUNCTION("split(C30,""-"")"),22.0)</f>
        <v>22</v>
      </c>
      <c r="G30" s="4">
        <f>IFERROR(__xludf.DUMMYFUNCTION("""COMPUTED_VALUE"""),27.0)</f>
        <v>27</v>
      </c>
      <c r="H30" s="4">
        <f t="shared" si="1"/>
        <v>0</v>
      </c>
      <c r="J30" s="4">
        <f>IFERROR(__xludf.DUMMYFUNCTION("IFS(
ISBETWEEN(D30,F30,G30,TRUE,TRUE),1,
ISBETWEEN(E30,F30,G30,TRUE,TRUE),1,
ISBETWEEN(F30,D30,E30,TRUE,TRUE),1,
ISBETWEEN(G30,D30,E30,TRUE,TRUE),1,
1,0)"),1.0)</f>
        <v>1</v>
      </c>
    </row>
    <row r="31">
      <c r="A31" s="2" t="s">
        <v>31</v>
      </c>
      <c r="B31" s="1" t="str">
        <f>IFERROR(__xludf.DUMMYFUNCTION("SPLIT(A31,"","",)"),"3-94")</f>
        <v>3-94</v>
      </c>
      <c r="C31" s="1" t="str">
        <f>IFERROR(__xludf.DUMMYFUNCTION("""COMPUTED_VALUE"""),"93-98")</f>
        <v>93-98</v>
      </c>
      <c r="D31" s="4">
        <f>IFERROR(__xludf.DUMMYFUNCTION("split(B31,""-"")"),3.0)</f>
        <v>3</v>
      </c>
      <c r="E31" s="4">
        <f>IFERROR(__xludf.DUMMYFUNCTION("""COMPUTED_VALUE"""),94.0)</f>
        <v>94</v>
      </c>
      <c r="F31" s="4">
        <f>IFERROR(__xludf.DUMMYFUNCTION("split(C31,""-"")"),93.0)</f>
        <v>93</v>
      </c>
      <c r="G31" s="4">
        <f>IFERROR(__xludf.DUMMYFUNCTION("""COMPUTED_VALUE"""),98.0)</f>
        <v>98</v>
      </c>
      <c r="H31" s="4">
        <f t="shared" si="1"/>
        <v>0</v>
      </c>
      <c r="J31" s="4">
        <f>IFERROR(__xludf.DUMMYFUNCTION("IFS(
ISBETWEEN(D31,F31,G31,TRUE,TRUE),1,
ISBETWEEN(E31,F31,G31,TRUE,TRUE),1,
ISBETWEEN(F31,D31,E31,TRUE,TRUE),1,
ISBETWEEN(G31,D31,E31,TRUE,TRUE),1,
1,0)"),1.0)</f>
        <v>1</v>
      </c>
    </row>
    <row r="32">
      <c r="A32" s="2" t="s">
        <v>32</v>
      </c>
      <c r="B32" s="1" t="str">
        <f>IFERROR(__xludf.DUMMYFUNCTION("SPLIT(A32,"","",)"),"92-93")</f>
        <v>92-93</v>
      </c>
      <c r="C32" s="1" t="str">
        <f>IFERROR(__xludf.DUMMYFUNCTION("""COMPUTED_VALUE"""),"12-93")</f>
        <v>12-93</v>
      </c>
      <c r="D32" s="4">
        <f>IFERROR(__xludf.DUMMYFUNCTION("split(B32,""-"")"),92.0)</f>
        <v>92</v>
      </c>
      <c r="E32" s="4">
        <f>IFERROR(__xludf.DUMMYFUNCTION("""COMPUTED_VALUE"""),93.0)</f>
        <v>93</v>
      </c>
      <c r="F32" s="4">
        <f>IFERROR(__xludf.DUMMYFUNCTION("split(C32,""-"")"),12.0)</f>
        <v>12</v>
      </c>
      <c r="G32" s="4">
        <f>IFERROR(__xludf.DUMMYFUNCTION("""COMPUTED_VALUE"""),93.0)</f>
        <v>93</v>
      </c>
      <c r="H32" s="4">
        <f t="shared" si="1"/>
        <v>1</v>
      </c>
      <c r="J32" s="4">
        <f>IFERROR(__xludf.DUMMYFUNCTION("IFS(
ISBETWEEN(D32,F32,G32,TRUE,TRUE),1,
ISBETWEEN(E32,F32,G32,TRUE,TRUE),1,
ISBETWEEN(F32,D32,E32,TRUE,TRUE),1,
ISBETWEEN(G32,D32,E32,TRUE,TRUE),1,
1,0)"),1.0)</f>
        <v>1</v>
      </c>
    </row>
    <row r="33">
      <c r="A33" s="2" t="s">
        <v>33</v>
      </c>
      <c r="B33" s="1" t="str">
        <f>IFERROR(__xludf.DUMMYFUNCTION("SPLIT(A33,"","",)"),"80-81")</f>
        <v>80-81</v>
      </c>
      <c r="C33" s="1" t="str">
        <f>IFERROR(__xludf.DUMMYFUNCTION("""COMPUTED_VALUE"""),"6-80")</f>
        <v>6-80</v>
      </c>
      <c r="D33" s="4">
        <f>IFERROR(__xludf.DUMMYFUNCTION("split(B33,""-"")"),80.0)</f>
        <v>80</v>
      </c>
      <c r="E33" s="4">
        <f>IFERROR(__xludf.DUMMYFUNCTION("""COMPUTED_VALUE"""),81.0)</f>
        <v>81</v>
      </c>
      <c r="F33" s="4">
        <f>IFERROR(__xludf.DUMMYFUNCTION("split(C33,""-"")"),6.0)</f>
        <v>6</v>
      </c>
      <c r="G33" s="4">
        <f>IFERROR(__xludf.DUMMYFUNCTION("""COMPUTED_VALUE"""),80.0)</f>
        <v>80</v>
      </c>
      <c r="H33" s="4">
        <f t="shared" si="1"/>
        <v>0</v>
      </c>
      <c r="J33" s="4">
        <f>IFERROR(__xludf.DUMMYFUNCTION("IFS(
ISBETWEEN(D33,F33,G33,TRUE,TRUE),1,
ISBETWEEN(E33,F33,G33,TRUE,TRUE),1,
ISBETWEEN(F33,D33,E33,TRUE,TRUE),1,
ISBETWEEN(G33,D33,E33,TRUE,TRUE),1,
1,0)"),1.0)</f>
        <v>1</v>
      </c>
    </row>
    <row r="34">
      <c r="A34" s="2" t="s">
        <v>34</v>
      </c>
      <c r="B34" s="1" t="str">
        <f>IFERROR(__xludf.DUMMYFUNCTION("SPLIT(A34,"","",)"),"53-54")</f>
        <v>53-54</v>
      </c>
      <c r="C34" s="1" t="str">
        <f>IFERROR(__xludf.DUMMYFUNCTION("""COMPUTED_VALUE"""),"54-95")</f>
        <v>54-95</v>
      </c>
      <c r="D34" s="4">
        <f>IFERROR(__xludf.DUMMYFUNCTION("split(B34,""-"")"),53.0)</f>
        <v>53</v>
      </c>
      <c r="E34" s="4">
        <f>IFERROR(__xludf.DUMMYFUNCTION("""COMPUTED_VALUE"""),54.0)</f>
        <v>54</v>
      </c>
      <c r="F34" s="4">
        <f>IFERROR(__xludf.DUMMYFUNCTION("split(C34,""-"")"),54.0)</f>
        <v>54</v>
      </c>
      <c r="G34" s="4">
        <f>IFERROR(__xludf.DUMMYFUNCTION("""COMPUTED_VALUE"""),95.0)</f>
        <v>95</v>
      </c>
      <c r="H34" s="4">
        <f t="shared" si="1"/>
        <v>0</v>
      </c>
      <c r="J34" s="4">
        <f>IFERROR(__xludf.DUMMYFUNCTION("IFS(
ISBETWEEN(D34,F34,G34,TRUE,TRUE),1,
ISBETWEEN(E34,F34,G34,TRUE,TRUE),1,
ISBETWEEN(F34,D34,E34,TRUE,TRUE),1,
ISBETWEEN(G34,D34,E34,TRUE,TRUE),1,
1,0)"),1.0)</f>
        <v>1</v>
      </c>
    </row>
    <row r="35">
      <c r="A35" s="2" t="s">
        <v>35</v>
      </c>
      <c r="B35" s="1" t="str">
        <f>IFERROR(__xludf.DUMMYFUNCTION("SPLIT(A35,"","",)"),"45-90")</f>
        <v>45-90</v>
      </c>
      <c r="C35" s="1" t="str">
        <f>IFERROR(__xludf.DUMMYFUNCTION("""COMPUTED_VALUE"""),"44-91")</f>
        <v>44-91</v>
      </c>
      <c r="D35" s="4">
        <f>IFERROR(__xludf.DUMMYFUNCTION("split(B35,""-"")"),45.0)</f>
        <v>45</v>
      </c>
      <c r="E35" s="4">
        <f>IFERROR(__xludf.DUMMYFUNCTION("""COMPUTED_VALUE"""),90.0)</f>
        <v>90</v>
      </c>
      <c r="F35" s="4">
        <f>IFERROR(__xludf.DUMMYFUNCTION("split(C35,""-"")"),44.0)</f>
        <v>44</v>
      </c>
      <c r="G35" s="4">
        <f>IFERROR(__xludf.DUMMYFUNCTION("""COMPUTED_VALUE"""),91.0)</f>
        <v>91</v>
      </c>
      <c r="H35" s="4">
        <f t="shared" si="1"/>
        <v>1</v>
      </c>
      <c r="J35" s="4">
        <f>IFERROR(__xludf.DUMMYFUNCTION("IFS(
ISBETWEEN(D35,F35,G35,TRUE,TRUE),1,
ISBETWEEN(E35,F35,G35,TRUE,TRUE),1,
ISBETWEEN(F35,D35,E35,TRUE,TRUE),1,
ISBETWEEN(G35,D35,E35,TRUE,TRUE),1,
1,0)"),1.0)</f>
        <v>1</v>
      </c>
    </row>
    <row r="36">
      <c r="A36" s="2" t="s">
        <v>36</v>
      </c>
      <c r="B36" s="1" t="str">
        <f>IFERROR(__xludf.DUMMYFUNCTION("SPLIT(A36,"","",)"),"12-99")</f>
        <v>12-99</v>
      </c>
      <c r="C36" s="1" t="str">
        <f>IFERROR(__xludf.DUMMYFUNCTION("""COMPUTED_VALUE"""),"21-95")</f>
        <v>21-95</v>
      </c>
      <c r="D36" s="4">
        <f>IFERROR(__xludf.DUMMYFUNCTION("split(B36,""-"")"),12.0)</f>
        <v>12</v>
      </c>
      <c r="E36" s="4">
        <f>IFERROR(__xludf.DUMMYFUNCTION("""COMPUTED_VALUE"""),99.0)</f>
        <v>99</v>
      </c>
      <c r="F36" s="4">
        <f>IFERROR(__xludf.DUMMYFUNCTION("split(C36,""-"")"),21.0)</f>
        <v>21</v>
      </c>
      <c r="G36" s="4">
        <f>IFERROR(__xludf.DUMMYFUNCTION("""COMPUTED_VALUE"""),95.0)</f>
        <v>95</v>
      </c>
      <c r="H36" s="4">
        <f t="shared" si="1"/>
        <v>1</v>
      </c>
      <c r="J36" s="4">
        <f>IFERROR(__xludf.DUMMYFUNCTION("IFS(
ISBETWEEN(D36,F36,G36,TRUE,TRUE),1,
ISBETWEEN(E36,F36,G36,TRUE,TRUE),1,
ISBETWEEN(F36,D36,E36,TRUE,TRUE),1,
ISBETWEEN(G36,D36,E36,TRUE,TRUE),1,
1,0)"),1.0)</f>
        <v>1</v>
      </c>
    </row>
    <row r="37">
      <c r="A37" s="2" t="s">
        <v>37</v>
      </c>
      <c r="B37" s="1" t="str">
        <f>IFERROR(__xludf.DUMMYFUNCTION("SPLIT(A37,"","",)"),"36-69")</f>
        <v>36-69</v>
      </c>
      <c r="C37" s="1" t="str">
        <f>IFERROR(__xludf.DUMMYFUNCTION("""COMPUTED_VALUE"""),"35-68")</f>
        <v>35-68</v>
      </c>
      <c r="D37" s="4">
        <f>IFERROR(__xludf.DUMMYFUNCTION("split(B37,""-"")"),36.0)</f>
        <v>36</v>
      </c>
      <c r="E37" s="4">
        <f>IFERROR(__xludf.DUMMYFUNCTION("""COMPUTED_VALUE"""),69.0)</f>
        <v>69</v>
      </c>
      <c r="F37" s="4">
        <f>IFERROR(__xludf.DUMMYFUNCTION("split(C37,""-"")"),35.0)</f>
        <v>35</v>
      </c>
      <c r="G37" s="4">
        <f>IFERROR(__xludf.DUMMYFUNCTION("""COMPUTED_VALUE"""),68.0)</f>
        <v>68</v>
      </c>
      <c r="H37" s="4">
        <f t="shared" si="1"/>
        <v>0</v>
      </c>
      <c r="J37" s="4">
        <f>IFERROR(__xludf.DUMMYFUNCTION("IFS(
ISBETWEEN(D37,F37,G37,TRUE,TRUE),1,
ISBETWEEN(E37,F37,G37,TRUE,TRUE),1,
ISBETWEEN(F37,D37,E37,TRUE,TRUE),1,
ISBETWEEN(G37,D37,E37,TRUE,TRUE),1,
1,0)"),1.0)</f>
        <v>1</v>
      </c>
    </row>
    <row r="38">
      <c r="A38" s="2" t="s">
        <v>38</v>
      </c>
      <c r="B38" s="1" t="str">
        <f>IFERROR(__xludf.DUMMYFUNCTION("SPLIT(A38,"","",)"),"30-77")</f>
        <v>30-77</v>
      </c>
      <c r="C38" s="1" t="str">
        <f>IFERROR(__xludf.DUMMYFUNCTION("""COMPUTED_VALUE"""),"61-86")</f>
        <v>61-86</v>
      </c>
      <c r="D38" s="4">
        <f>IFERROR(__xludf.DUMMYFUNCTION("split(B38,""-"")"),30.0)</f>
        <v>30</v>
      </c>
      <c r="E38" s="4">
        <f>IFERROR(__xludf.DUMMYFUNCTION("""COMPUTED_VALUE"""),77.0)</f>
        <v>77</v>
      </c>
      <c r="F38" s="4">
        <f>IFERROR(__xludf.DUMMYFUNCTION("split(C38,""-"")"),61.0)</f>
        <v>61</v>
      </c>
      <c r="G38" s="4">
        <f>IFERROR(__xludf.DUMMYFUNCTION("""COMPUTED_VALUE"""),86.0)</f>
        <v>86</v>
      </c>
      <c r="H38" s="4">
        <f t="shared" si="1"/>
        <v>0</v>
      </c>
      <c r="J38" s="4">
        <f>IFERROR(__xludf.DUMMYFUNCTION("IFS(
ISBETWEEN(D38,F38,G38,TRUE,TRUE),1,
ISBETWEEN(E38,F38,G38,TRUE,TRUE),1,
ISBETWEEN(F38,D38,E38,TRUE,TRUE),1,
ISBETWEEN(G38,D38,E38,TRUE,TRUE),1,
1,0)"),1.0)</f>
        <v>1</v>
      </c>
    </row>
    <row r="39">
      <c r="A39" s="2" t="s">
        <v>39</v>
      </c>
      <c r="B39" s="1" t="str">
        <f>IFERROR(__xludf.DUMMYFUNCTION("SPLIT(A39,"","",)"),"24-49")</f>
        <v>24-49</v>
      </c>
      <c r="C39" s="1" t="str">
        <f>IFERROR(__xludf.DUMMYFUNCTION("""COMPUTED_VALUE"""),"23-78")</f>
        <v>23-78</v>
      </c>
      <c r="D39" s="4">
        <f>IFERROR(__xludf.DUMMYFUNCTION("split(B39,""-"")"),24.0)</f>
        <v>24</v>
      </c>
      <c r="E39" s="4">
        <f>IFERROR(__xludf.DUMMYFUNCTION("""COMPUTED_VALUE"""),49.0)</f>
        <v>49</v>
      </c>
      <c r="F39" s="4">
        <f>IFERROR(__xludf.DUMMYFUNCTION("split(C39,""-"")"),23.0)</f>
        <v>23</v>
      </c>
      <c r="G39" s="4">
        <f>IFERROR(__xludf.DUMMYFUNCTION("""COMPUTED_VALUE"""),78.0)</f>
        <v>78</v>
      </c>
      <c r="H39" s="4">
        <f t="shared" si="1"/>
        <v>1</v>
      </c>
      <c r="J39" s="4">
        <f>IFERROR(__xludf.DUMMYFUNCTION("IFS(
ISBETWEEN(D39,F39,G39,TRUE,TRUE),1,
ISBETWEEN(E39,F39,G39,TRUE,TRUE),1,
ISBETWEEN(F39,D39,E39,TRUE,TRUE),1,
ISBETWEEN(G39,D39,E39,TRUE,TRUE),1,
1,0)"),1.0)</f>
        <v>1</v>
      </c>
    </row>
    <row r="40">
      <c r="A40" s="2" t="s">
        <v>40</v>
      </c>
      <c r="B40" s="1" t="str">
        <f>IFERROR(__xludf.DUMMYFUNCTION("SPLIT(A40,"","",)"),"40-87")</f>
        <v>40-87</v>
      </c>
      <c r="C40" s="1" t="str">
        <f>IFERROR(__xludf.DUMMYFUNCTION("""COMPUTED_VALUE"""),"40-86")</f>
        <v>40-86</v>
      </c>
      <c r="D40" s="4">
        <f>IFERROR(__xludf.DUMMYFUNCTION("split(B40,""-"")"),40.0)</f>
        <v>40</v>
      </c>
      <c r="E40" s="4">
        <f>IFERROR(__xludf.DUMMYFUNCTION("""COMPUTED_VALUE"""),87.0)</f>
        <v>87</v>
      </c>
      <c r="F40" s="4">
        <f>IFERROR(__xludf.DUMMYFUNCTION("split(C40,""-"")"),40.0)</f>
        <v>40</v>
      </c>
      <c r="G40" s="4">
        <f>IFERROR(__xludf.DUMMYFUNCTION("""COMPUTED_VALUE"""),86.0)</f>
        <v>86</v>
      </c>
      <c r="H40" s="4">
        <f t="shared" si="1"/>
        <v>1</v>
      </c>
      <c r="J40" s="4">
        <f>IFERROR(__xludf.DUMMYFUNCTION("IFS(
ISBETWEEN(D40,F40,G40,TRUE,TRUE),1,
ISBETWEEN(E40,F40,G40,TRUE,TRUE),1,
ISBETWEEN(F40,D40,E40,TRUE,TRUE),1,
ISBETWEEN(G40,D40,E40,TRUE,TRUE),1,
1,0)"),1.0)</f>
        <v>1</v>
      </c>
    </row>
    <row r="41">
      <c r="A41" s="2" t="s">
        <v>41</v>
      </c>
      <c r="B41" s="1" t="str">
        <f>IFERROR(__xludf.DUMMYFUNCTION("SPLIT(A41,"","",)"),"36-53")</f>
        <v>36-53</v>
      </c>
      <c r="C41" s="1" t="str">
        <f>IFERROR(__xludf.DUMMYFUNCTION("""COMPUTED_VALUE"""),"53-54")</f>
        <v>53-54</v>
      </c>
      <c r="D41" s="4">
        <f>IFERROR(__xludf.DUMMYFUNCTION("split(B41,""-"")"),36.0)</f>
        <v>36</v>
      </c>
      <c r="E41" s="4">
        <f>IFERROR(__xludf.DUMMYFUNCTION("""COMPUTED_VALUE"""),53.0)</f>
        <v>53</v>
      </c>
      <c r="F41" s="4">
        <f>IFERROR(__xludf.DUMMYFUNCTION("split(C41,""-"")"),53.0)</f>
        <v>53</v>
      </c>
      <c r="G41" s="4">
        <f>IFERROR(__xludf.DUMMYFUNCTION("""COMPUTED_VALUE"""),54.0)</f>
        <v>54</v>
      </c>
      <c r="H41" s="4">
        <f t="shared" si="1"/>
        <v>0</v>
      </c>
      <c r="J41" s="4">
        <f>IFERROR(__xludf.DUMMYFUNCTION("IFS(
ISBETWEEN(D41,F41,G41,TRUE,TRUE),1,
ISBETWEEN(E41,F41,G41,TRUE,TRUE),1,
ISBETWEEN(F41,D41,E41,TRUE,TRUE),1,
ISBETWEEN(G41,D41,E41,TRUE,TRUE),1,
1,0)"),1.0)</f>
        <v>1</v>
      </c>
    </row>
    <row r="42">
      <c r="A42" s="2" t="s">
        <v>42</v>
      </c>
      <c r="B42" s="1" t="str">
        <f>IFERROR(__xludf.DUMMYFUNCTION("SPLIT(A42,"","",)"),"11-96")</f>
        <v>11-96</v>
      </c>
      <c r="C42" s="1" t="str">
        <f>IFERROR(__xludf.DUMMYFUNCTION("""COMPUTED_VALUE"""),"55-86")</f>
        <v>55-86</v>
      </c>
      <c r="D42" s="4">
        <f>IFERROR(__xludf.DUMMYFUNCTION("split(B42,""-"")"),11.0)</f>
        <v>11</v>
      </c>
      <c r="E42" s="4">
        <f>IFERROR(__xludf.DUMMYFUNCTION("""COMPUTED_VALUE"""),96.0)</f>
        <v>96</v>
      </c>
      <c r="F42" s="4">
        <f>IFERROR(__xludf.DUMMYFUNCTION("split(C42,""-"")"),55.0)</f>
        <v>55</v>
      </c>
      <c r="G42" s="4">
        <f>IFERROR(__xludf.DUMMYFUNCTION("""COMPUTED_VALUE"""),86.0)</f>
        <v>86</v>
      </c>
      <c r="H42" s="4">
        <f t="shared" si="1"/>
        <v>1</v>
      </c>
      <c r="J42" s="4">
        <f>IFERROR(__xludf.DUMMYFUNCTION("IFS(
ISBETWEEN(D42,F42,G42,TRUE,TRUE),1,
ISBETWEEN(E42,F42,G42,TRUE,TRUE),1,
ISBETWEEN(F42,D42,E42,TRUE,TRUE),1,
ISBETWEEN(G42,D42,E42,TRUE,TRUE),1,
1,0)"),1.0)</f>
        <v>1</v>
      </c>
    </row>
    <row r="43">
      <c r="A43" s="2" t="s">
        <v>43</v>
      </c>
      <c r="B43" s="1" t="str">
        <f>IFERROR(__xludf.DUMMYFUNCTION("SPLIT(A43,"","",)"),"31-41")</f>
        <v>31-41</v>
      </c>
      <c r="C43" s="1" t="str">
        <f>IFERROR(__xludf.DUMMYFUNCTION("""COMPUTED_VALUE"""),"40-45")</f>
        <v>40-45</v>
      </c>
      <c r="D43" s="4">
        <f>IFERROR(__xludf.DUMMYFUNCTION("split(B43,""-"")"),31.0)</f>
        <v>31</v>
      </c>
      <c r="E43" s="4">
        <f>IFERROR(__xludf.DUMMYFUNCTION("""COMPUTED_VALUE"""),41.0)</f>
        <v>41</v>
      </c>
      <c r="F43" s="4">
        <f>IFERROR(__xludf.DUMMYFUNCTION("split(C43,""-"")"),40.0)</f>
        <v>40</v>
      </c>
      <c r="G43" s="4">
        <f>IFERROR(__xludf.DUMMYFUNCTION("""COMPUTED_VALUE"""),45.0)</f>
        <v>45</v>
      </c>
      <c r="H43" s="4">
        <f t="shared" si="1"/>
        <v>0</v>
      </c>
      <c r="J43" s="4">
        <f>IFERROR(__xludf.DUMMYFUNCTION("IFS(
ISBETWEEN(D43,F43,G43,TRUE,TRUE),1,
ISBETWEEN(E43,F43,G43,TRUE,TRUE),1,
ISBETWEEN(F43,D43,E43,TRUE,TRUE),1,
ISBETWEEN(G43,D43,E43,TRUE,TRUE),1,
1,0)"),1.0)</f>
        <v>1</v>
      </c>
    </row>
    <row r="44">
      <c r="A44" s="2" t="s">
        <v>44</v>
      </c>
      <c r="B44" s="1" t="str">
        <f>IFERROR(__xludf.DUMMYFUNCTION("SPLIT(A44,"","",)"),"8-99")</f>
        <v>8-99</v>
      </c>
      <c r="C44" s="1" t="str">
        <f>IFERROR(__xludf.DUMMYFUNCTION("""COMPUTED_VALUE"""),"11-87")</f>
        <v>11-87</v>
      </c>
      <c r="D44" s="4">
        <f>IFERROR(__xludf.DUMMYFUNCTION("split(B44,""-"")"),8.0)</f>
        <v>8</v>
      </c>
      <c r="E44" s="4">
        <f>IFERROR(__xludf.DUMMYFUNCTION("""COMPUTED_VALUE"""),99.0)</f>
        <v>99</v>
      </c>
      <c r="F44" s="4">
        <f>IFERROR(__xludf.DUMMYFUNCTION("split(C44,""-"")"),11.0)</f>
        <v>11</v>
      </c>
      <c r="G44" s="4">
        <f>IFERROR(__xludf.DUMMYFUNCTION("""COMPUTED_VALUE"""),87.0)</f>
        <v>87</v>
      </c>
      <c r="H44" s="4">
        <f t="shared" si="1"/>
        <v>1</v>
      </c>
      <c r="J44" s="4">
        <f>IFERROR(__xludf.DUMMYFUNCTION("IFS(
ISBETWEEN(D44,F44,G44,TRUE,TRUE),1,
ISBETWEEN(E44,F44,G44,TRUE,TRUE),1,
ISBETWEEN(F44,D44,E44,TRUE,TRUE),1,
ISBETWEEN(G44,D44,E44,TRUE,TRUE),1,
1,0)"),1.0)</f>
        <v>1</v>
      </c>
    </row>
    <row r="45">
      <c r="A45" s="2" t="s">
        <v>45</v>
      </c>
      <c r="B45" s="1" t="str">
        <f>IFERROR(__xludf.DUMMYFUNCTION("SPLIT(A45,"","",)"),"15-71")</f>
        <v>15-71</v>
      </c>
      <c r="C45" s="1" t="str">
        <f>IFERROR(__xludf.DUMMYFUNCTION("""COMPUTED_VALUE"""),"70-71")</f>
        <v>70-71</v>
      </c>
      <c r="D45" s="4">
        <f>IFERROR(__xludf.DUMMYFUNCTION("split(B45,""-"")"),15.0)</f>
        <v>15</v>
      </c>
      <c r="E45" s="4">
        <f>IFERROR(__xludf.DUMMYFUNCTION("""COMPUTED_VALUE"""),71.0)</f>
        <v>71</v>
      </c>
      <c r="F45" s="4">
        <f>IFERROR(__xludf.DUMMYFUNCTION("split(C45,""-"")"),70.0)</f>
        <v>70</v>
      </c>
      <c r="G45" s="4">
        <f>IFERROR(__xludf.DUMMYFUNCTION("""COMPUTED_VALUE"""),71.0)</f>
        <v>71</v>
      </c>
      <c r="H45" s="4">
        <f t="shared" si="1"/>
        <v>1</v>
      </c>
      <c r="J45" s="4">
        <f>IFERROR(__xludf.DUMMYFUNCTION("IFS(
ISBETWEEN(D45,F45,G45,TRUE,TRUE),1,
ISBETWEEN(E45,F45,G45,TRUE,TRUE),1,
ISBETWEEN(F45,D45,E45,TRUE,TRUE),1,
ISBETWEEN(G45,D45,E45,TRUE,TRUE),1,
1,0)"),1.0)</f>
        <v>1</v>
      </c>
    </row>
    <row r="46">
      <c r="A46" s="2" t="s">
        <v>46</v>
      </c>
      <c r="B46" s="1" t="str">
        <f>IFERROR(__xludf.DUMMYFUNCTION("SPLIT(A46,"","",)"),"5-34")</f>
        <v>5-34</v>
      </c>
      <c r="C46" s="1" t="str">
        <f>IFERROR(__xludf.DUMMYFUNCTION("""COMPUTED_VALUE"""),"8-33")</f>
        <v>8-33</v>
      </c>
      <c r="D46" s="4">
        <f>IFERROR(__xludf.DUMMYFUNCTION("split(B46,""-"")"),5.0)</f>
        <v>5</v>
      </c>
      <c r="E46" s="4">
        <f>IFERROR(__xludf.DUMMYFUNCTION("""COMPUTED_VALUE"""),34.0)</f>
        <v>34</v>
      </c>
      <c r="F46" s="4">
        <f>IFERROR(__xludf.DUMMYFUNCTION("split(C46,""-"")"),8.0)</f>
        <v>8</v>
      </c>
      <c r="G46" s="4">
        <f>IFERROR(__xludf.DUMMYFUNCTION("""COMPUTED_VALUE"""),33.0)</f>
        <v>33</v>
      </c>
      <c r="H46" s="4">
        <f t="shared" si="1"/>
        <v>1</v>
      </c>
      <c r="J46" s="4">
        <f>IFERROR(__xludf.DUMMYFUNCTION("IFS(
ISBETWEEN(D46,F46,G46,TRUE,TRUE),1,
ISBETWEEN(E46,F46,G46,TRUE,TRUE),1,
ISBETWEEN(F46,D46,E46,TRUE,TRUE),1,
ISBETWEEN(G46,D46,E46,TRUE,TRUE),1,
1,0)"),1.0)</f>
        <v>1</v>
      </c>
    </row>
    <row r="47">
      <c r="A47" s="2" t="s">
        <v>47</v>
      </c>
      <c r="B47" s="1" t="str">
        <f>IFERROR(__xludf.DUMMYFUNCTION("SPLIT(A47,"","",)"),"2-96")</f>
        <v>2-96</v>
      </c>
      <c r="C47" s="1" t="str">
        <f>IFERROR(__xludf.DUMMYFUNCTION("""COMPUTED_VALUE"""),"2-95")</f>
        <v>2-95</v>
      </c>
      <c r="D47" s="4">
        <f>IFERROR(__xludf.DUMMYFUNCTION("split(B47,""-"")"),2.0)</f>
        <v>2</v>
      </c>
      <c r="E47" s="4">
        <f>IFERROR(__xludf.DUMMYFUNCTION("""COMPUTED_VALUE"""),96.0)</f>
        <v>96</v>
      </c>
      <c r="F47" s="4">
        <f>IFERROR(__xludf.DUMMYFUNCTION("split(C47,""-"")"),2.0)</f>
        <v>2</v>
      </c>
      <c r="G47" s="4">
        <f>IFERROR(__xludf.DUMMYFUNCTION("""COMPUTED_VALUE"""),95.0)</f>
        <v>95</v>
      </c>
      <c r="H47" s="4">
        <f t="shared" si="1"/>
        <v>1</v>
      </c>
      <c r="J47" s="4">
        <f>IFERROR(__xludf.DUMMYFUNCTION("IFS(
ISBETWEEN(D47,F47,G47,TRUE,TRUE),1,
ISBETWEEN(E47,F47,G47,TRUE,TRUE),1,
ISBETWEEN(F47,D47,E47,TRUE,TRUE),1,
ISBETWEEN(G47,D47,E47,TRUE,TRUE),1,
1,0)"),1.0)</f>
        <v>1</v>
      </c>
    </row>
    <row r="48">
      <c r="A48" s="2" t="s">
        <v>48</v>
      </c>
      <c r="B48" s="1" t="str">
        <f>IFERROR(__xludf.DUMMYFUNCTION("SPLIT(A48,"","",)"),"31-95")</f>
        <v>31-95</v>
      </c>
      <c r="C48" s="1" t="str">
        <f>IFERROR(__xludf.DUMMYFUNCTION("""COMPUTED_VALUE"""),"22-96")</f>
        <v>22-96</v>
      </c>
      <c r="D48" s="4">
        <f>IFERROR(__xludf.DUMMYFUNCTION("split(B48,""-"")"),31.0)</f>
        <v>31</v>
      </c>
      <c r="E48" s="4">
        <f>IFERROR(__xludf.DUMMYFUNCTION("""COMPUTED_VALUE"""),95.0)</f>
        <v>95</v>
      </c>
      <c r="F48" s="4">
        <f>IFERROR(__xludf.DUMMYFUNCTION("split(C48,""-"")"),22.0)</f>
        <v>22</v>
      </c>
      <c r="G48" s="4">
        <f>IFERROR(__xludf.DUMMYFUNCTION("""COMPUTED_VALUE"""),96.0)</f>
        <v>96</v>
      </c>
      <c r="H48" s="4">
        <f t="shared" si="1"/>
        <v>1</v>
      </c>
      <c r="J48" s="4">
        <f>IFERROR(__xludf.DUMMYFUNCTION("IFS(
ISBETWEEN(D48,F48,G48,TRUE,TRUE),1,
ISBETWEEN(E48,F48,G48,TRUE,TRUE),1,
ISBETWEEN(F48,D48,E48,TRUE,TRUE),1,
ISBETWEEN(G48,D48,E48,TRUE,TRUE),1,
1,0)"),1.0)</f>
        <v>1</v>
      </c>
    </row>
    <row r="49">
      <c r="A49" s="2" t="s">
        <v>49</v>
      </c>
      <c r="B49" s="1" t="str">
        <f>IFERROR(__xludf.DUMMYFUNCTION("SPLIT(A49,"","",)"),"47-98")</f>
        <v>47-98</v>
      </c>
      <c r="C49" s="1" t="str">
        <f>IFERROR(__xludf.DUMMYFUNCTION("""COMPUTED_VALUE"""),"48-90")</f>
        <v>48-90</v>
      </c>
      <c r="D49" s="4">
        <f>IFERROR(__xludf.DUMMYFUNCTION("split(B49,""-"")"),47.0)</f>
        <v>47</v>
      </c>
      <c r="E49" s="4">
        <f>IFERROR(__xludf.DUMMYFUNCTION("""COMPUTED_VALUE"""),98.0)</f>
        <v>98</v>
      </c>
      <c r="F49" s="4">
        <f>IFERROR(__xludf.DUMMYFUNCTION("split(C49,""-"")"),48.0)</f>
        <v>48</v>
      </c>
      <c r="G49" s="4">
        <f>IFERROR(__xludf.DUMMYFUNCTION("""COMPUTED_VALUE"""),90.0)</f>
        <v>90</v>
      </c>
      <c r="H49" s="4">
        <f t="shared" si="1"/>
        <v>1</v>
      </c>
      <c r="J49" s="4">
        <f>IFERROR(__xludf.DUMMYFUNCTION("IFS(
ISBETWEEN(D49,F49,G49,TRUE,TRUE),1,
ISBETWEEN(E49,F49,G49,TRUE,TRUE),1,
ISBETWEEN(F49,D49,E49,TRUE,TRUE),1,
ISBETWEEN(G49,D49,E49,TRUE,TRUE),1,
1,0)"),1.0)</f>
        <v>1</v>
      </c>
    </row>
    <row r="50">
      <c r="A50" s="2" t="s">
        <v>50</v>
      </c>
      <c r="B50" s="1" t="str">
        <f>IFERROR(__xludf.DUMMYFUNCTION("SPLIT(A50,"","",)"),"48-79")</f>
        <v>48-79</v>
      </c>
      <c r="C50" s="1" t="str">
        <f>IFERROR(__xludf.DUMMYFUNCTION("""COMPUTED_VALUE"""),"48-80")</f>
        <v>48-80</v>
      </c>
      <c r="D50" s="4">
        <f>IFERROR(__xludf.DUMMYFUNCTION("split(B50,""-"")"),48.0)</f>
        <v>48</v>
      </c>
      <c r="E50" s="4">
        <f>IFERROR(__xludf.DUMMYFUNCTION("""COMPUTED_VALUE"""),79.0)</f>
        <v>79</v>
      </c>
      <c r="F50" s="4">
        <f>IFERROR(__xludf.DUMMYFUNCTION("split(C50,""-"")"),48.0)</f>
        <v>48</v>
      </c>
      <c r="G50" s="4">
        <f>IFERROR(__xludf.DUMMYFUNCTION("""COMPUTED_VALUE"""),80.0)</f>
        <v>80</v>
      </c>
      <c r="H50" s="4">
        <f t="shared" si="1"/>
        <v>1</v>
      </c>
      <c r="J50" s="4">
        <f>IFERROR(__xludf.DUMMYFUNCTION("IFS(
ISBETWEEN(D50,F50,G50,TRUE,TRUE),1,
ISBETWEEN(E50,F50,G50,TRUE,TRUE),1,
ISBETWEEN(F50,D50,E50,TRUE,TRUE),1,
ISBETWEEN(G50,D50,E50,TRUE,TRUE),1,
1,0)"),1.0)</f>
        <v>1</v>
      </c>
    </row>
    <row r="51">
      <c r="A51" s="2" t="s">
        <v>51</v>
      </c>
      <c r="B51" s="1" t="str">
        <f>IFERROR(__xludf.DUMMYFUNCTION("SPLIT(A51,"","",)"),"46-84")</f>
        <v>46-84</v>
      </c>
      <c r="C51" s="1" t="str">
        <f>IFERROR(__xludf.DUMMYFUNCTION("""COMPUTED_VALUE"""),"45-81")</f>
        <v>45-81</v>
      </c>
      <c r="D51" s="4">
        <f>IFERROR(__xludf.DUMMYFUNCTION("split(B51,""-"")"),46.0)</f>
        <v>46</v>
      </c>
      <c r="E51" s="4">
        <f>IFERROR(__xludf.DUMMYFUNCTION("""COMPUTED_VALUE"""),84.0)</f>
        <v>84</v>
      </c>
      <c r="F51" s="4">
        <f>IFERROR(__xludf.DUMMYFUNCTION("split(C51,""-"")"),45.0)</f>
        <v>45</v>
      </c>
      <c r="G51" s="4">
        <f>IFERROR(__xludf.DUMMYFUNCTION("""COMPUTED_VALUE"""),81.0)</f>
        <v>81</v>
      </c>
      <c r="H51" s="4">
        <f t="shared" si="1"/>
        <v>0</v>
      </c>
      <c r="J51" s="4">
        <f>IFERROR(__xludf.DUMMYFUNCTION("IFS(
ISBETWEEN(D51,F51,G51,TRUE,TRUE),1,
ISBETWEEN(E51,F51,G51,TRUE,TRUE),1,
ISBETWEEN(F51,D51,E51,TRUE,TRUE),1,
ISBETWEEN(G51,D51,E51,TRUE,TRUE),1,
1,0)"),1.0)</f>
        <v>1</v>
      </c>
    </row>
    <row r="52">
      <c r="A52" s="2" t="s">
        <v>52</v>
      </c>
      <c r="B52" s="1" t="str">
        <f>IFERROR(__xludf.DUMMYFUNCTION("SPLIT(A52,"","",)"),"61-96")</f>
        <v>61-96</v>
      </c>
      <c r="C52" s="1" t="str">
        <f>IFERROR(__xludf.DUMMYFUNCTION("""COMPUTED_VALUE"""),"85-97")</f>
        <v>85-97</v>
      </c>
      <c r="D52" s="4">
        <f>IFERROR(__xludf.DUMMYFUNCTION("split(B52,""-"")"),61.0)</f>
        <v>61</v>
      </c>
      <c r="E52" s="4">
        <f>IFERROR(__xludf.DUMMYFUNCTION("""COMPUTED_VALUE"""),96.0)</f>
        <v>96</v>
      </c>
      <c r="F52" s="4">
        <f>IFERROR(__xludf.DUMMYFUNCTION("split(C52,""-"")"),85.0)</f>
        <v>85</v>
      </c>
      <c r="G52" s="4">
        <f>IFERROR(__xludf.DUMMYFUNCTION("""COMPUTED_VALUE"""),97.0)</f>
        <v>97</v>
      </c>
      <c r="H52" s="4">
        <f t="shared" si="1"/>
        <v>0</v>
      </c>
      <c r="J52" s="4">
        <f>IFERROR(__xludf.DUMMYFUNCTION("IFS(
ISBETWEEN(D52,F52,G52,TRUE,TRUE),1,
ISBETWEEN(E52,F52,G52,TRUE,TRUE),1,
ISBETWEEN(F52,D52,E52,TRUE,TRUE),1,
ISBETWEEN(G52,D52,E52,TRUE,TRUE),1,
1,0)"),1.0)</f>
        <v>1</v>
      </c>
    </row>
    <row r="53">
      <c r="A53" s="2" t="s">
        <v>53</v>
      </c>
      <c r="B53" s="1" t="str">
        <f>IFERROR(__xludf.DUMMYFUNCTION("SPLIT(A53,"","",)"),"15-82")</f>
        <v>15-82</v>
      </c>
      <c r="C53" s="1" t="str">
        <f>IFERROR(__xludf.DUMMYFUNCTION("""COMPUTED_VALUE"""),"16-84")</f>
        <v>16-84</v>
      </c>
      <c r="D53" s="4">
        <f>IFERROR(__xludf.DUMMYFUNCTION("split(B53,""-"")"),15.0)</f>
        <v>15</v>
      </c>
      <c r="E53" s="4">
        <f>IFERROR(__xludf.DUMMYFUNCTION("""COMPUTED_VALUE"""),82.0)</f>
        <v>82</v>
      </c>
      <c r="F53" s="4">
        <f>IFERROR(__xludf.DUMMYFUNCTION("split(C53,""-"")"),16.0)</f>
        <v>16</v>
      </c>
      <c r="G53" s="4">
        <f>IFERROR(__xludf.DUMMYFUNCTION("""COMPUTED_VALUE"""),84.0)</f>
        <v>84</v>
      </c>
      <c r="H53" s="4">
        <f t="shared" si="1"/>
        <v>0</v>
      </c>
      <c r="J53" s="4">
        <f>IFERROR(__xludf.DUMMYFUNCTION("IFS(
ISBETWEEN(D53,F53,G53,TRUE,TRUE),1,
ISBETWEEN(E53,F53,G53,TRUE,TRUE),1,
ISBETWEEN(F53,D53,E53,TRUE,TRUE),1,
ISBETWEEN(G53,D53,E53,TRUE,TRUE),1,
1,0)"),1.0)</f>
        <v>1</v>
      </c>
    </row>
    <row r="54">
      <c r="A54" s="2" t="s">
        <v>54</v>
      </c>
      <c r="B54" s="1" t="str">
        <f>IFERROR(__xludf.DUMMYFUNCTION("SPLIT(A54,"","",)"),"23-54")</f>
        <v>23-54</v>
      </c>
      <c r="C54" s="1" t="str">
        <f>IFERROR(__xludf.DUMMYFUNCTION("""COMPUTED_VALUE"""),"51-80")</f>
        <v>51-80</v>
      </c>
      <c r="D54" s="4">
        <f>IFERROR(__xludf.DUMMYFUNCTION("split(B54,""-"")"),23.0)</f>
        <v>23</v>
      </c>
      <c r="E54" s="4">
        <f>IFERROR(__xludf.DUMMYFUNCTION("""COMPUTED_VALUE"""),54.0)</f>
        <v>54</v>
      </c>
      <c r="F54" s="4">
        <f>IFERROR(__xludf.DUMMYFUNCTION("split(C54,""-"")"),51.0)</f>
        <v>51</v>
      </c>
      <c r="G54" s="4">
        <f>IFERROR(__xludf.DUMMYFUNCTION("""COMPUTED_VALUE"""),80.0)</f>
        <v>80</v>
      </c>
      <c r="H54" s="4">
        <f t="shared" si="1"/>
        <v>0</v>
      </c>
      <c r="J54" s="4">
        <f>IFERROR(__xludf.DUMMYFUNCTION("IFS(
ISBETWEEN(D54,F54,G54,TRUE,TRUE),1,
ISBETWEEN(E54,F54,G54,TRUE,TRUE),1,
ISBETWEEN(F54,D54,E54,TRUE,TRUE),1,
ISBETWEEN(G54,D54,E54,TRUE,TRUE),1,
1,0)"),1.0)</f>
        <v>1</v>
      </c>
    </row>
    <row r="55">
      <c r="A55" s="2" t="s">
        <v>55</v>
      </c>
      <c r="B55" s="1" t="str">
        <f>IFERROR(__xludf.DUMMYFUNCTION("SPLIT(A55,"","",)"),"17-66")</f>
        <v>17-66</v>
      </c>
      <c r="C55" s="1" t="str">
        <f>IFERROR(__xludf.DUMMYFUNCTION("""COMPUTED_VALUE"""),"17-67")</f>
        <v>17-67</v>
      </c>
      <c r="D55" s="4">
        <f>IFERROR(__xludf.DUMMYFUNCTION("split(B55,""-"")"),17.0)</f>
        <v>17</v>
      </c>
      <c r="E55" s="4">
        <f>IFERROR(__xludf.DUMMYFUNCTION("""COMPUTED_VALUE"""),66.0)</f>
        <v>66</v>
      </c>
      <c r="F55" s="4">
        <f>IFERROR(__xludf.DUMMYFUNCTION("split(C55,""-"")"),17.0)</f>
        <v>17</v>
      </c>
      <c r="G55" s="4">
        <f>IFERROR(__xludf.DUMMYFUNCTION("""COMPUTED_VALUE"""),67.0)</f>
        <v>67</v>
      </c>
      <c r="H55" s="4">
        <f t="shared" si="1"/>
        <v>1</v>
      </c>
      <c r="J55" s="4">
        <f>IFERROR(__xludf.DUMMYFUNCTION("IFS(
ISBETWEEN(D55,F55,G55,TRUE,TRUE),1,
ISBETWEEN(E55,F55,G55,TRUE,TRUE),1,
ISBETWEEN(F55,D55,E55,TRUE,TRUE),1,
ISBETWEEN(G55,D55,E55,TRUE,TRUE),1,
1,0)"),1.0)</f>
        <v>1</v>
      </c>
    </row>
    <row r="56">
      <c r="A56" s="2" t="s">
        <v>56</v>
      </c>
      <c r="B56" s="1" t="str">
        <f>IFERROR(__xludf.DUMMYFUNCTION("SPLIT(A56,"","",)"),"18-95")</f>
        <v>18-95</v>
      </c>
      <c r="C56" s="1" t="str">
        <f>IFERROR(__xludf.DUMMYFUNCTION("""COMPUTED_VALUE"""),"16-16")</f>
        <v>16-16</v>
      </c>
      <c r="D56" s="4">
        <f>IFERROR(__xludf.DUMMYFUNCTION("split(B56,""-"")"),18.0)</f>
        <v>18</v>
      </c>
      <c r="E56" s="4">
        <f>IFERROR(__xludf.DUMMYFUNCTION("""COMPUTED_VALUE"""),95.0)</f>
        <v>95</v>
      </c>
      <c r="F56" s="4">
        <f>IFERROR(__xludf.DUMMYFUNCTION("split(C56,""-"")"),16.0)</f>
        <v>16</v>
      </c>
      <c r="G56" s="4">
        <f>IFERROR(__xludf.DUMMYFUNCTION("""COMPUTED_VALUE"""),16.0)</f>
        <v>16</v>
      </c>
      <c r="H56" s="4">
        <f t="shared" si="1"/>
        <v>0</v>
      </c>
      <c r="J56" s="4">
        <f>IFERROR(__xludf.DUMMYFUNCTION("IFS(
ISBETWEEN(D56,F56,G56,TRUE,TRUE),1,
ISBETWEEN(E56,F56,G56,TRUE,TRUE),1,
ISBETWEEN(F56,D56,E56,TRUE,TRUE),1,
ISBETWEEN(G56,D56,E56,TRUE,TRUE),1,
1,0)"),0.0)</f>
        <v>0</v>
      </c>
    </row>
    <row r="57">
      <c r="A57" s="2" t="s">
        <v>57</v>
      </c>
      <c r="B57" s="1" t="str">
        <f>IFERROR(__xludf.DUMMYFUNCTION("SPLIT(A57,"","",)"),"6-22")</f>
        <v>6-22</v>
      </c>
      <c r="C57" s="1" t="str">
        <f>IFERROR(__xludf.DUMMYFUNCTION("""COMPUTED_VALUE"""),"21-21")</f>
        <v>21-21</v>
      </c>
      <c r="D57" s="4">
        <f>IFERROR(__xludf.DUMMYFUNCTION("split(B57,""-"")"),6.0)</f>
        <v>6</v>
      </c>
      <c r="E57" s="4">
        <f>IFERROR(__xludf.DUMMYFUNCTION("""COMPUTED_VALUE"""),22.0)</f>
        <v>22</v>
      </c>
      <c r="F57" s="4">
        <f>IFERROR(__xludf.DUMMYFUNCTION("split(C57,""-"")"),21.0)</f>
        <v>21</v>
      </c>
      <c r="G57" s="4">
        <f>IFERROR(__xludf.DUMMYFUNCTION("""COMPUTED_VALUE"""),21.0)</f>
        <v>21</v>
      </c>
      <c r="H57" s="4">
        <f t="shared" si="1"/>
        <v>1</v>
      </c>
      <c r="J57" s="4">
        <f>IFERROR(__xludf.DUMMYFUNCTION("IFS(
ISBETWEEN(D57,F57,G57,TRUE,TRUE),1,
ISBETWEEN(E57,F57,G57,TRUE,TRUE),1,
ISBETWEEN(F57,D57,E57,TRUE,TRUE),1,
ISBETWEEN(G57,D57,E57,TRUE,TRUE),1,
1,0)"),1.0)</f>
        <v>1</v>
      </c>
    </row>
    <row r="58">
      <c r="A58" s="2" t="s">
        <v>58</v>
      </c>
      <c r="B58" s="1" t="str">
        <f>IFERROR(__xludf.DUMMYFUNCTION("SPLIT(A58,"","",)"),"74-78")</f>
        <v>74-78</v>
      </c>
      <c r="C58" s="1" t="str">
        <f>IFERROR(__xludf.DUMMYFUNCTION("""COMPUTED_VALUE"""),"74-77")</f>
        <v>74-77</v>
      </c>
      <c r="D58" s="4">
        <f>IFERROR(__xludf.DUMMYFUNCTION("split(B58,""-"")"),74.0)</f>
        <v>74</v>
      </c>
      <c r="E58" s="4">
        <f>IFERROR(__xludf.DUMMYFUNCTION("""COMPUTED_VALUE"""),78.0)</f>
        <v>78</v>
      </c>
      <c r="F58" s="4">
        <f>IFERROR(__xludf.DUMMYFUNCTION("split(C58,""-"")"),74.0)</f>
        <v>74</v>
      </c>
      <c r="G58" s="4">
        <f>IFERROR(__xludf.DUMMYFUNCTION("""COMPUTED_VALUE"""),77.0)</f>
        <v>77</v>
      </c>
      <c r="H58" s="4">
        <f t="shared" si="1"/>
        <v>1</v>
      </c>
      <c r="J58" s="4">
        <f>IFERROR(__xludf.DUMMYFUNCTION("IFS(
ISBETWEEN(D58,F58,G58,TRUE,TRUE),1,
ISBETWEEN(E58,F58,G58,TRUE,TRUE),1,
ISBETWEEN(F58,D58,E58,TRUE,TRUE),1,
ISBETWEEN(G58,D58,E58,TRUE,TRUE),1,
1,0)"),1.0)</f>
        <v>1</v>
      </c>
    </row>
    <row r="59">
      <c r="A59" s="2" t="s">
        <v>59</v>
      </c>
      <c r="B59" s="1" t="str">
        <f>IFERROR(__xludf.DUMMYFUNCTION("SPLIT(A59,"","",)"),"90-99")</f>
        <v>90-99</v>
      </c>
      <c r="C59" s="1" t="str">
        <f>IFERROR(__xludf.DUMMYFUNCTION("""COMPUTED_VALUE"""),"91-94")</f>
        <v>91-94</v>
      </c>
      <c r="D59" s="4">
        <f>IFERROR(__xludf.DUMMYFUNCTION("split(B59,""-"")"),90.0)</f>
        <v>90</v>
      </c>
      <c r="E59" s="4">
        <f>IFERROR(__xludf.DUMMYFUNCTION("""COMPUTED_VALUE"""),99.0)</f>
        <v>99</v>
      </c>
      <c r="F59" s="4">
        <f>IFERROR(__xludf.DUMMYFUNCTION("split(C59,""-"")"),91.0)</f>
        <v>91</v>
      </c>
      <c r="G59" s="4">
        <f>IFERROR(__xludf.DUMMYFUNCTION("""COMPUTED_VALUE"""),94.0)</f>
        <v>94</v>
      </c>
      <c r="H59" s="4">
        <f t="shared" si="1"/>
        <v>1</v>
      </c>
      <c r="J59" s="4">
        <f>IFERROR(__xludf.DUMMYFUNCTION("IFS(
ISBETWEEN(D59,F59,G59,TRUE,TRUE),1,
ISBETWEEN(E59,F59,G59,TRUE,TRUE),1,
ISBETWEEN(F59,D59,E59,TRUE,TRUE),1,
ISBETWEEN(G59,D59,E59,TRUE,TRUE),1,
1,0)"),1.0)</f>
        <v>1</v>
      </c>
    </row>
    <row r="60">
      <c r="A60" s="2" t="s">
        <v>60</v>
      </c>
      <c r="B60" s="1" t="str">
        <f>IFERROR(__xludf.DUMMYFUNCTION("SPLIT(A60,"","",)"),"1-34")</f>
        <v>1-34</v>
      </c>
      <c r="C60" s="1" t="str">
        <f>IFERROR(__xludf.DUMMYFUNCTION("""COMPUTED_VALUE"""),"7-78")</f>
        <v>7-78</v>
      </c>
      <c r="D60" s="4">
        <f>IFERROR(__xludf.DUMMYFUNCTION("split(B60,""-"")"),1.0)</f>
        <v>1</v>
      </c>
      <c r="E60" s="4">
        <f>IFERROR(__xludf.DUMMYFUNCTION("""COMPUTED_VALUE"""),34.0)</f>
        <v>34</v>
      </c>
      <c r="F60" s="4">
        <f>IFERROR(__xludf.DUMMYFUNCTION("split(C60,""-"")"),7.0)</f>
        <v>7</v>
      </c>
      <c r="G60" s="4">
        <f>IFERROR(__xludf.DUMMYFUNCTION("""COMPUTED_VALUE"""),78.0)</f>
        <v>78</v>
      </c>
      <c r="H60" s="4">
        <f t="shared" si="1"/>
        <v>0</v>
      </c>
      <c r="J60" s="4">
        <f>IFERROR(__xludf.DUMMYFUNCTION("IFS(
ISBETWEEN(D60,F60,G60,TRUE,TRUE),1,
ISBETWEEN(E60,F60,G60,TRUE,TRUE),1,
ISBETWEEN(F60,D60,E60,TRUE,TRUE),1,
ISBETWEEN(G60,D60,E60,TRUE,TRUE),1,
1,0)"),1.0)</f>
        <v>1</v>
      </c>
    </row>
    <row r="61">
      <c r="A61" s="2" t="s">
        <v>61</v>
      </c>
      <c r="B61" s="1" t="str">
        <f>IFERROR(__xludf.DUMMYFUNCTION("SPLIT(A61,"","",)"),"72-72")</f>
        <v>72-72</v>
      </c>
      <c r="C61" s="1" t="str">
        <f>IFERROR(__xludf.DUMMYFUNCTION("""COMPUTED_VALUE"""),"9-73")</f>
        <v>9-73</v>
      </c>
      <c r="D61" s="4">
        <f>IFERROR(__xludf.DUMMYFUNCTION("split(B61,""-"")"),72.0)</f>
        <v>72</v>
      </c>
      <c r="E61" s="4">
        <f>IFERROR(__xludf.DUMMYFUNCTION("""COMPUTED_VALUE"""),72.0)</f>
        <v>72</v>
      </c>
      <c r="F61" s="4">
        <f>IFERROR(__xludf.DUMMYFUNCTION("split(C61,""-"")"),9.0)</f>
        <v>9</v>
      </c>
      <c r="G61" s="4">
        <f>IFERROR(__xludf.DUMMYFUNCTION("""COMPUTED_VALUE"""),73.0)</f>
        <v>73</v>
      </c>
      <c r="H61" s="4">
        <f t="shared" si="1"/>
        <v>1</v>
      </c>
      <c r="J61" s="4">
        <f>IFERROR(__xludf.DUMMYFUNCTION("IFS(
ISBETWEEN(D61,F61,G61,TRUE,TRUE),1,
ISBETWEEN(E61,F61,G61,TRUE,TRUE),1,
ISBETWEEN(F61,D61,E61,TRUE,TRUE),1,
ISBETWEEN(G61,D61,E61,TRUE,TRUE),1,
1,0)"),1.0)</f>
        <v>1</v>
      </c>
    </row>
    <row r="62">
      <c r="A62" s="2" t="s">
        <v>62</v>
      </c>
      <c r="B62" s="1" t="str">
        <f>IFERROR(__xludf.DUMMYFUNCTION("SPLIT(A62,"","",)"),"80-80")</f>
        <v>80-80</v>
      </c>
      <c r="C62" s="1" t="str">
        <f>IFERROR(__xludf.DUMMYFUNCTION("""COMPUTED_VALUE"""),"79-97")</f>
        <v>79-97</v>
      </c>
      <c r="D62" s="4">
        <f>IFERROR(__xludf.DUMMYFUNCTION("split(B62,""-"")"),80.0)</f>
        <v>80</v>
      </c>
      <c r="E62" s="4">
        <f>IFERROR(__xludf.DUMMYFUNCTION("""COMPUTED_VALUE"""),80.0)</f>
        <v>80</v>
      </c>
      <c r="F62" s="4">
        <f>IFERROR(__xludf.DUMMYFUNCTION("split(C62,""-"")"),79.0)</f>
        <v>79</v>
      </c>
      <c r="G62" s="4">
        <f>IFERROR(__xludf.DUMMYFUNCTION("""COMPUTED_VALUE"""),97.0)</f>
        <v>97</v>
      </c>
      <c r="H62" s="4">
        <f t="shared" si="1"/>
        <v>1</v>
      </c>
      <c r="J62" s="4">
        <f>IFERROR(__xludf.DUMMYFUNCTION("IFS(
ISBETWEEN(D62,F62,G62,TRUE,TRUE),1,
ISBETWEEN(E62,F62,G62,TRUE,TRUE),1,
ISBETWEEN(F62,D62,E62,TRUE,TRUE),1,
ISBETWEEN(G62,D62,E62,TRUE,TRUE),1,
1,0)"),1.0)</f>
        <v>1</v>
      </c>
    </row>
    <row r="63">
      <c r="A63" s="2" t="s">
        <v>63</v>
      </c>
      <c r="B63" s="1" t="str">
        <f>IFERROR(__xludf.DUMMYFUNCTION("SPLIT(A63,"","",)"),"71-80")</f>
        <v>71-80</v>
      </c>
      <c r="C63" s="1" t="str">
        <f>IFERROR(__xludf.DUMMYFUNCTION("""COMPUTED_VALUE"""),"77-81")</f>
        <v>77-81</v>
      </c>
      <c r="D63" s="4">
        <f>IFERROR(__xludf.DUMMYFUNCTION("split(B63,""-"")"),71.0)</f>
        <v>71</v>
      </c>
      <c r="E63" s="4">
        <f>IFERROR(__xludf.DUMMYFUNCTION("""COMPUTED_VALUE"""),80.0)</f>
        <v>80</v>
      </c>
      <c r="F63" s="4">
        <f>IFERROR(__xludf.DUMMYFUNCTION("split(C63,""-"")"),77.0)</f>
        <v>77</v>
      </c>
      <c r="G63" s="4">
        <f>IFERROR(__xludf.DUMMYFUNCTION("""COMPUTED_VALUE"""),81.0)</f>
        <v>81</v>
      </c>
      <c r="H63" s="4">
        <f t="shared" si="1"/>
        <v>0</v>
      </c>
      <c r="J63" s="4">
        <f>IFERROR(__xludf.DUMMYFUNCTION("IFS(
ISBETWEEN(D63,F63,G63,TRUE,TRUE),1,
ISBETWEEN(E63,F63,G63,TRUE,TRUE),1,
ISBETWEEN(F63,D63,E63,TRUE,TRUE),1,
ISBETWEEN(G63,D63,E63,TRUE,TRUE),1,
1,0)"),1.0)</f>
        <v>1</v>
      </c>
    </row>
    <row r="64">
      <c r="A64" s="2" t="s">
        <v>64</v>
      </c>
      <c r="B64" s="1" t="str">
        <f>IFERROR(__xludf.DUMMYFUNCTION("SPLIT(A64,"","",)"),"61-62")</f>
        <v>61-62</v>
      </c>
      <c r="C64" s="1" t="str">
        <f>IFERROR(__xludf.DUMMYFUNCTION("""COMPUTED_VALUE"""),"59-61")</f>
        <v>59-61</v>
      </c>
      <c r="D64" s="4">
        <f>IFERROR(__xludf.DUMMYFUNCTION("split(B64,""-"")"),61.0)</f>
        <v>61</v>
      </c>
      <c r="E64" s="4">
        <f>IFERROR(__xludf.DUMMYFUNCTION("""COMPUTED_VALUE"""),62.0)</f>
        <v>62</v>
      </c>
      <c r="F64" s="4">
        <f>IFERROR(__xludf.DUMMYFUNCTION("split(C64,""-"")"),59.0)</f>
        <v>59</v>
      </c>
      <c r="G64" s="4">
        <f>IFERROR(__xludf.DUMMYFUNCTION("""COMPUTED_VALUE"""),61.0)</f>
        <v>61</v>
      </c>
      <c r="H64" s="4">
        <f t="shared" si="1"/>
        <v>0</v>
      </c>
      <c r="J64" s="4">
        <f>IFERROR(__xludf.DUMMYFUNCTION("IFS(
ISBETWEEN(D64,F64,G64,TRUE,TRUE),1,
ISBETWEEN(E64,F64,G64,TRUE,TRUE),1,
ISBETWEEN(F64,D64,E64,TRUE,TRUE),1,
ISBETWEEN(G64,D64,E64,TRUE,TRUE),1,
1,0)"),1.0)</f>
        <v>1</v>
      </c>
    </row>
    <row r="65">
      <c r="A65" s="2" t="s">
        <v>65</v>
      </c>
      <c r="B65" s="1" t="str">
        <f>IFERROR(__xludf.DUMMYFUNCTION("SPLIT(A65,"","",)"),"87-89")</f>
        <v>87-89</v>
      </c>
      <c r="C65" s="1" t="str">
        <f>IFERROR(__xludf.DUMMYFUNCTION("""COMPUTED_VALUE"""),"37-88")</f>
        <v>37-88</v>
      </c>
      <c r="D65" s="4">
        <f>IFERROR(__xludf.DUMMYFUNCTION("split(B65,""-"")"),87.0)</f>
        <v>87</v>
      </c>
      <c r="E65" s="4">
        <f>IFERROR(__xludf.DUMMYFUNCTION("""COMPUTED_VALUE"""),89.0)</f>
        <v>89</v>
      </c>
      <c r="F65" s="4">
        <f>IFERROR(__xludf.DUMMYFUNCTION("split(C65,""-"")"),37.0)</f>
        <v>37</v>
      </c>
      <c r="G65" s="4">
        <f>IFERROR(__xludf.DUMMYFUNCTION("""COMPUTED_VALUE"""),88.0)</f>
        <v>88</v>
      </c>
      <c r="H65" s="4">
        <f t="shared" si="1"/>
        <v>0</v>
      </c>
      <c r="J65" s="4">
        <f>IFERROR(__xludf.DUMMYFUNCTION("IFS(
ISBETWEEN(D65,F65,G65,TRUE,TRUE),1,
ISBETWEEN(E65,F65,G65,TRUE,TRUE),1,
ISBETWEEN(F65,D65,E65,TRUE,TRUE),1,
ISBETWEEN(G65,D65,E65,TRUE,TRUE),1,
1,0)"),1.0)</f>
        <v>1</v>
      </c>
    </row>
    <row r="66">
      <c r="A66" s="2" t="s">
        <v>66</v>
      </c>
      <c r="B66" s="1" t="str">
        <f>IFERROR(__xludf.DUMMYFUNCTION("SPLIT(A66,"","",)"),"30-40")</f>
        <v>30-40</v>
      </c>
      <c r="C66" s="1" t="str">
        <f>IFERROR(__xludf.DUMMYFUNCTION("""COMPUTED_VALUE"""),"40-81")</f>
        <v>40-81</v>
      </c>
      <c r="D66" s="4">
        <f>IFERROR(__xludf.DUMMYFUNCTION("split(B66,""-"")"),30.0)</f>
        <v>30</v>
      </c>
      <c r="E66" s="4">
        <f>IFERROR(__xludf.DUMMYFUNCTION("""COMPUTED_VALUE"""),40.0)</f>
        <v>40</v>
      </c>
      <c r="F66" s="4">
        <f>IFERROR(__xludf.DUMMYFUNCTION("split(C66,""-"")"),40.0)</f>
        <v>40</v>
      </c>
      <c r="G66" s="4">
        <f>IFERROR(__xludf.DUMMYFUNCTION("""COMPUTED_VALUE"""),81.0)</f>
        <v>81</v>
      </c>
      <c r="H66" s="4">
        <f t="shared" si="1"/>
        <v>0</v>
      </c>
      <c r="J66" s="4">
        <f>IFERROR(__xludf.DUMMYFUNCTION("IFS(
ISBETWEEN(D66,F66,G66,TRUE,TRUE),1,
ISBETWEEN(E66,F66,G66,TRUE,TRUE),1,
ISBETWEEN(F66,D66,E66,TRUE,TRUE),1,
ISBETWEEN(G66,D66,E66,TRUE,TRUE),1,
1,0)"),1.0)</f>
        <v>1</v>
      </c>
    </row>
    <row r="67">
      <c r="A67" s="2" t="s">
        <v>67</v>
      </c>
      <c r="B67" s="1" t="str">
        <f>IFERROR(__xludf.DUMMYFUNCTION("SPLIT(A67,"","",)"),"5-21")</f>
        <v>5-21</v>
      </c>
      <c r="C67" s="1" t="str">
        <f>IFERROR(__xludf.DUMMYFUNCTION("""COMPUTED_VALUE"""),"21-69")</f>
        <v>21-69</v>
      </c>
      <c r="D67" s="4">
        <f>IFERROR(__xludf.DUMMYFUNCTION("split(B67,""-"")"),5.0)</f>
        <v>5</v>
      </c>
      <c r="E67" s="4">
        <f>IFERROR(__xludf.DUMMYFUNCTION("""COMPUTED_VALUE"""),21.0)</f>
        <v>21</v>
      </c>
      <c r="F67" s="4">
        <f>IFERROR(__xludf.DUMMYFUNCTION("split(C67,""-"")"),21.0)</f>
        <v>21</v>
      </c>
      <c r="G67" s="4">
        <f>IFERROR(__xludf.DUMMYFUNCTION("""COMPUTED_VALUE"""),69.0)</f>
        <v>69</v>
      </c>
      <c r="H67" s="4">
        <f t="shared" si="1"/>
        <v>0</v>
      </c>
      <c r="J67" s="4">
        <f>IFERROR(__xludf.DUMMYFUNCTION("IFS(
ISBETWEEN(D67,F67,G67,TRUE,TRUE),1,
ISBETWEEN(E67,F67,G67,TRUE,TRUE),1,
ISBETWEEN(F67,D67,E67,TRUE,TRUE),1,
ISBETWEEN(G67,D67,E67,TRUE,TRUE),1,
1,0)"),1.0)</f>
        <v>1</v>
      </c>
    </row>
    <row r="68">
      <c r="A68" s="2" t="s">
        <v>68</v>
      </c>
      <c r="B68" s="1" t="str">
        <f>IFERROR(__xludf.DUMMYFUNCTION("SPLIT(A68,"","",)"),"17-37")</f>
        <v>17-37</v>
      </c>
      <c r="C68" s="1" t="str">
        <f>IFERROR(__xludf.DUMMYFUNCTION("""COMPUTED_VALUE"""),"16-18")</f>
        <v>16-18</v>
      </c>
      <c r="D68" s="4">
        <f>IFERROR(__xludf.DUMMYFUNCTION("split(B68,""-"")"),17.0)</f>
        <v>17</v>
      </c>
      <c r="E68" s="4">
        <f>IFERROR(__xludf.DUMMYFUNCTION("""COMPUTED_VALUE"""),37.0)</f>
        <v>37</v>
      </c>
      <c r="F68" s="4">
        <f>IFERROR(__xludf.DUMMYFUNCTION("split(C68,""-"")"),16.0)</f>
        <v>16</v>
      </c>
      <c r="G68" s="4">
        <f>IFERROR(__xludf.DUMMYFUNCTION("""COMPUTED_VALUE"""),18.0)</f>
        <v>18</v>
      </c>
      <c r="H68" s="4">
        <f t="shared" si="1"/>
        <v>0</v>
      </c>
      <c r="J68" s="4">
        <f>IFERROR(__xludf.DUMMYFUNCTION("IFS(
ISBETWEEN(D68,F68,G68,TRUE,TRUE),1,
ISBETWEEN(E68,F68,G68,TRUE,TRUE),1,
ISBETWEEN(F68,D68,E68,TRUE,TRUE),1,
ISBETWEEN(G68,D68,E68,TRUE,TRUE),1,
1,0)"),1.0)</f>
        <v>1</v>
      </c>
    </row>
    <row r="69">
      <c r="A69" s="2" t="s">
        <v>69</v>
      </c>
      <c r="B69" s="1" t="str">
        <f>IFERROR(__xludf.DUMMYFUNCTION("SPLIT(A69,"","",)"),"39-74")</f>
        <v>39-74</v>
      </c>
      <c r="C69" s="1" t="str">
        <f>IFERROR(__xludf.DUMMYFUNCTION("""COMPUTED_VALUE"""),"17-98")</f>
        <v>17-98</v>
      </c>
      <c r="D69" s="4">
        <f>IFERROR(__xludf.DUMMYFUNCTION("split(B69,""-"")"),39.0)</f>
        <v>39</v>
      </c>
      <c r="E69" s="4">
        <f>IFERROR(__xludf.DUMMYFUNCTION("""COMPUTED_VALUE"""),74.0)</f>
        <v>74</v>
      </c>
      <c r="F69" s="4">
        <f>IFERROR(__xludf.DUMMYFUNCTION("split(C69,""-"")"),17.0)</f>
        <v>17</v>
      </c>
      <c r="G69" s="4">
        <f>IFERROR(__xludf.DUMMYFUNCTION("""COMPUTED_VALUE"""),98.0)</f>
        <v>98</v>
      </c>
      <c r="H69" s="4">
        <f t="shared" si="1"/>
        <v>1</v>
      </c>
      <c r="J69" s="4">
        <f>IFERROR(__xludf.DUMMYFUNCTION("IFS(
ISBETWEEN(D69,F69,G69,TRUE,TRUE),1,
ISBETWEEN(E69,F69,G69,TRUE,TRUE),1,
ISBETWEEN(F69,D69,E69,TRUE,TRUE),1,
ISBETWEEN(G69,D69,E69,TRUE,TRUE),1,
1,0)"),1.0)</f>
        <v>1</v>
      </c>
    </row>
    <row r="70">
      <c r="A70" s="2" t="s">
        <v>70</v>
      </c>
      <c r="B70" s="1" t="str">
        <f>IFERROR(__xludf.DUMMYFUNCTION("SPLIT(A70,"","",)"),"73-98")</f>
        <v>73-98</v>
      </c>
      <c r="C70" s="1" t="str">
        <f>IFERROR(__xludf.DUMMYFUNCTION("""COMPUTED_VALUE"""),"14-96")</f>
        <v>14-96</v>
      </c>
      <c r="D70" s="4">
        <f>IFERROR(__xludf.DUMMYFUNCTION("split(B70,""-"")"),73.0)</f>
        <v>73</v>
      </c>
      <c r="E70" s="4">
        <f>IFERROR(__xludf.DUMMYFUNCTION("""COMPUTED_VALUE"""),98.0)</f>
        <v>98</v>
      </c>
      <c r="F70" s="4">
        <f>IFERROR(__xludf.DUMMYFUNCTION("split(C70,""-"")"),14.0)</f>
        <v>14</v>
      </c>
      <c r="G70" s="4">
        <f>IFERROR(__xludf.DUMMYFUNCTION("""COMPUTED_VALUE"""),96.0)</f>
        <v>96</v>
      </c>
      <c r="H70" s="4">
        <f t="shared" si="1"/>
        <v>0</v>
      </c>
      <c r="J70" s="4">
        <f>IFERROR(__xludf.DUMMYFUNCTION("IFS(
ISBETWEEN(D70,F70,G70,TRUE,TRUE),1,
ISBETWEEN(E70,F70,G70,TRUE,TRUE),1,
ISBETWEEN(F70,D70,E70,TRUE,TRUE),1,
ISBETWEEN(G70,D70,E70,TRUE,TRUE),1,
1,0)"),1.0)</f>
        <v>1</v>
      </c>
    </row>
    <row r="71">
      <c r="A71" s="2" t="s">
        <v>71</v>
      </c>
      <c r="B71" s="1" t="str">
        <f>IFERROR(__xludf.DUMMYFUNCTION("SPLIT(A71,"","",)"),"16-95")</f>
        <v>16-95</v>
      </c>
      <c r="C71" s="1" t="str">
        <f>IFERROR(__xludf.DUMMYFUNCTION("""COMPUTED_VALUE"""),"15-17")</f>
        <v>15-17</v>
      </c>
      <c r="D71" s="4">
        <f>IFERROR(__xludf.DUMMYFUNCTION("split(B71,""-"")"),16.0)</f>
        <v>16</v>
      </c>
      <c r="E71" s="4">
        <f>IFERROR(__xludf.DUMMYFUNCTION("""COMPUTED_VALUE"""),95.0)</f>
        <v>95</v>
      </c>
      <c r="F71" s="4">
        <f>IFERROR(__xludf.DUMMYFUNCTION("split(C71,""-"")"),15.0)</f>
        <v>15</v>
      </c>
      <c r="G71" s="4">
        <f>IFERROR(__xludf.DUMMYFUNCTION("""COMPUTED_VALUE"""),17.0)</f>
        <v>17</v>
      </c>
      <c r="H71" s="4">
        <f t="shared" si="1"/>
        <v>0</v>
      </c>
      <c r="J71" s="4">
        <f>IFERROR(__xludf.DUMMYFUNCTION("IFS(
ISBETWEEN(D71,F71,G71,TRUE,TRUE),1,
ISBETWEEN(E71,F71,G71,TRUE,TRUE),1,
ISBETWEEN(F71,D71,E71,TRUE,TRUE),1,
ISBETWEEN(G71,D71,E71,TRUE,TRUE),1,
1,0)"),1.0)</f>
        <v>1</v>
      </c>
    </row>
    <row r="72">
      <c r="A72" s="2" t="s">
        <v>72</v>
      </c>
      <c r="B72" s="1" t="str">
        <f>IFERROR(__xludf.DUMMYFUNCTION("SPLIT(A72,"","",)"),"22-62")</f>
        <v>22-62</v>
      </c>
      <c r="C72" s="1" t="str">
        <f>IFERROR(__xludf.DUMMYFUNCTION("""COMPUTED_VALUE"""),"22-63")</f>
        <v>22-63</v>
      </c>
      <c r="D72" s="4">
        <f>IFERROR(__xludf.DUMMYFUNCTION("split(B72,""-"")"),22.0)</f>
        <v>22</v>
      </c>
      <c r="E72" s="4">
        <f>IFERROR(__xludf.DUMMYFUNCTION("""COMPUTED_VALUE"""),62.0)</f>
        <v>62</v>
      </c>
      <c r="F72" s="4">
        <f>IFERROR(__xludf.DUMMYFUNCTION("split(C72,""-"")"),22.0)</f>
        <v>22</v>
      </c>
      <c r="G72" s="4">
        <f>IFERROR(__xludf.DUMMYFUNCTION("""COMPUTED_VALUE"""),63.0)</f>
        <v>63</v>
      </c>
      <c r="H72" s="4">
        <f t="shared" si="1"/>
        <v>1</v>
      </c>
      <c r="J72" s="4">
        <f>IFERROR(__xludf.DUMMYFUNCTION("IFS(
ISBETWEEN(D72,F72,G72,TRUE,TRUE),1,
ISBETWEEN(E72,F72,G72,TRUE,TRUE),1,
ISBETWEEN(F72,D72,E72,TRUE,TRUE),1,
ISBETWEEN(G72,D72,E72,TRUE,TRUE),1,
1,0)"),1.0)</f>
        <v>1</v>
      </c>
    </row>
    <row r="73">
      <c r="A73" s="2" t="s">
        <v>73</v>
      </c>
      <c r="B73" s="3">
        <f>IFERROR(__xludf.DUMMYFUNCTION("SPLIT(A73,"","",)"),44655.0)</f>
        <v>44655</v>
      </c>
      <c r="C73" s="1" t="str">
        <f>IFERROR(__xludf.DUMMYFUNCTION("""COMPUTED_VALUE"""),"5-63")</f>
        <v>5-63</v>
      </c>
      <c r="D73" s="4">
        <f>IFERROR(__xludf.DUMMYFUNCTION("split(B73,""-"")"),4.0)</f>
        <v>4</v>
      </c>
      <c r="E73" s="4">
        <f>IFERROR(__xludf.DUMMYFUNCTION("""COMPUTED_VALUE"""),4.0)</f>
        <v>4</v>
      </c>
      <c r="F73" s="4">
        <f>IFERROR(__xludf.DUMMYFUNCTION("split(C73,""-"")"),5.0)</f>
        <v>5</v>
      </c>
      <c r="G73" s="4">
        <f>IFERROR(__xludf.DUMMYFUNCTION("""COMPUTED_VALUE"""),63.0)</f>
        <v>63</v>
      </c>
      <c r="H73" s="4">
        <f t="shared" si="1"/>
        <v>0</v>
      </c>
      <c r="J73" s="4">
        <f>IFERROR(__xludf.DUMMYFUNCTION("IFS(
ISBETWEEN(D73,F73,G73,TRUE,TRUE),1,
ISBETWEEN(E73,F73,G73,TRUE,TRUE),1,
ISBETWEEN(F73,D73,E73,TRUE,TRUE),1,
ISBETWEEN(G73,D73,E73,TRUE,TRUE),1,
1,0)"),0.0)</f>
        <v>0</v>
      </c>
    </row>
    <row r="74">
      <c r="A74" s="2" t="s">
        <v>74</v>
      </c>
      <c r="B74" s="3">
        <f>IFERROR(__xludf.DUMMYFUNCTION("SPLIT(A74,"","",)"),44874.0)</f>
        <v>44874</v>
      </c>
      <c r="C74" s="1" t="str">
        <f>IFERROR(__xludf.DUMMYFUNCTION("""COMPUTED_VALUE"""),"10-92")</f>
        <v>10-92</v>
      </c>
      <c r="D74" s="4">
        <f>IFERROR(__xludf.DUMMYFUNCTION("split(B74,""-"")"),9.0)</f>
        <v>9</v>
      </c>
      <c r="E74" s="4">
        <f>IFERROR(__xludf.DUMMYFUNCTION("""COMPUTED_VALUE"""),11.0)</f>
        <v>11</v>
      </c>
      <c r="F74" s="4">
        <f>IFERROR(__xludf.DUMMYFUNCTION("split(C74,""-"")"),10.0)</f>
        <v>10</v>
      </c>
      <c r="G74" s="4">
        <f>IFERROR(__xludf.DUMMYFUNCTION("""COMPUTED_VALUE"""),92.0)</f>
        <v>92</v>
      </c>
      <c r="H74" s="4">
        <f t="shared" si="1"/>
        <v>0</v>
      </c>
      <c r="J74" s="4">
        <f>IFERROR(__xludf.DUMMYFUNCTION("IFS(
ISBETWEEN(D74,F74,G74,TRUE,TRUE),1,
ISBETWEEN(E74,F74,G74,TRUE,TRUE),1,
ISBETWEEN(F74,D74,E74,TRUE,TRUE),1,
ISBETWEEN(G74,D74,E74,TRUE,TRUE),1,
1,0)"),1.0)</f>
        <v>1</v>
      </c>
    </row>
    <row r="75">
      <c r="A75" s="2" t="s">
        <v>75</v>
      </c>
      <c r="B75" s="1" t="str">
        <f>IFERROR(__xludf.DUMMYFUNCTION("SPLIT(A75,"","",)"),"33-51")</f>
        <v>33-51</v>
      </c>
      <c r="C75" s="1" t="str">
        <f>IFERROR(__xludf.DUMMYFUNCTION("""COMPUTED_VALUE"""),"51-96")</f>
        <v>51-96</v>
      </c>
      <c r="D75" s="4">
        <f>IFERROR(__xludf.DUMMYFUNCTION("split(B75,""-"")"),33.0)</f>
        <v>33</v>
      </c>
      <c r="E75" s="4">
        <f>IFERROR(__xludf.DUMMYFUNCTION("""COMPUTED_VALUE"""),51.0)</f>
        <v>51</v>
      </c>
      <c r="F75" s="4">
        <f>IFERROR(__xludf.DUMMYFUNCTION("split(C75,""-"")"),51.0)</f>
        <v>51</v>
      </c>
      <c r="G75" s="4">
        <f>IFERROR(__xludf.DUMMYFUNCTION("""COMPUTED_VALUE"""),96.0)</f>
        <v>96</v>
      </c>
      <c r="H75" s="4">
        <f t="shared" si="1"/>
        <v>0</v>
      </c>
      <c r="J75" s="4">
        <f>IFERROR(__xludf.DUMMYFUNCTION("IFS(
ISBETWEEN(D75,F75,G75,TRUE,TRUE),1,
ISBETWEEN(E75,F75,G75,TRUE,TRUE),1,
ISBETWEEN(F75,D75,E75,TRUE,TRUE),1,
ISBETWEEN(G75,D75,E75,TRUE,TRUE),1,
1,0)"),1.0)</f>
        <v>1</v>
      </c>
    </row>
    <row r="76">
      <c r="A76" s="2" t="s">
        <v>76</v>
      </c>
      <c r="B76" s="1" t="str">
        <f>IFERROR(__xludf.DUMMYFUNCTION("SPLIT(A76,"","",)"),"1-99")</f>
        <v>1-99</v>
      </c>
      <c r="C76" s="1" t="str">
        <f>IFERROR(__xludf.DUMMYFUNCTION("""COMPUTED_VALUE"""),"1-51")</f>
        <v>1-51</v>
      </c>
      <c r="D76" s="4">
        <f>IFERROR(__xludf.DUMMYFUNCTION("split(B76,""-"")"),1.0)</f>
        <v>1</v>
      </c>
      <c r="E76" s="4">
        <f>IFERROR(__xludf.DUMMYFUNCTION("""COMPUTED_VALUE"""),99.0)</f>
        <v>99</v>
      </c>
      <c r="F76" s="4">
        <f>IFERROR(__xludf.DUMMYFUNCTION("split(C76,""-"")"),1.0)</f>
        <v>1</v>
      </c>
      <c r="G76" s="4">
        <f>IFERROR(__xludf.DUMMYFUNCTION("""COMPUTED_VALUE"""),51.0)</f>
        <v>51</v>
      </c>
      <c r="H76" s="4">
        <f t="shared" si="1"/>
        <v>1</v>
      </c>
      <c r="J76" s="4">
        <f>IFERROR(__xludf.DUMMYFUNCTION("IFS(
ISBETWEEN(D76,F76,G76,TRUE,TRUE),1,
ISBETWEEN(E76,F76,G76,TRUE,TRUE),1,
ISBETWEEN(F76,D76,E76,TRUE,TRUE),1,
ISBETWEEN(G76,D76,E76,TRUE,TRUE),1,
1,0)"),1.0)</f>
        <v>1</v>
      </c>
    </row>
    <row r="77">
      <c r="A77" s="2" t="s">
        <v>77</v>
      </c>
      <c r="B77" s="1" t="str">
        <f>IFERROR(__xludf.DUMMYFUNCTION("SPLIT(A77,"","",)"),"5-76")</f>
        <v>5-76</v>
      </c>
      <c r="C77" s="1" t="str">
        <f>IFERROR(__xludf.DUMMYFUNCTION("""COMPUTED_VALUE"""),"4-76")</f>
        <v>4-76</v>
      </c>
      <c r="D77" s="4">
        <f>IFERROR(__xludf.DUMMYFUNCTION("split(B77,""-"")"),5.0)</f>
        <v>5</v>
      </c>
      <c r="E77" s="4">
        <f>IFERROR(__xludf.DUMMYFUNCTION("""COMPUTED_VALUE"""),76.0)</f>
        <v>76</v>
      </c>
      <c r="F77" s="4">
        <f>IFERROR(__xludf.DUMMYFUNCTION("split(C77,""-"")"),4.0)</f>
        <v>4</v>
      </c>
      <c r="G77" s="4">
        <f>IFERROR(__xludf.DUMMYFUNCTION("""COMPUTED_VALUE"""),76.0)</f>
        <v>76</v>
      </c>
      <c r="H77" s="4">
        <f t="shared" si="1"/>
        <v>1</v>
      </c>
      <c r="J77" s="4">
        <f>IFERROR(__xludf.DUMMYFUNCTION("IFS(
ISBETWEEN(D77,F77,G77,TRUE,TRUE),1,
ISBETWEEN(E77,F77,G77,TRUE,TRUE),1,
ISBETWEEN(F77,D77,E77,TRUE,TRUE),1,
ISBETWEEN(G77,D77,E77,TRUE,TRUE),1,
1,0)"),1.0)</f>
        <v>1</v>
      </c>
    </row>
    <row r="78">
      <c r="A78" s="2" t="s">
        <v>78</v>
      </c>
      <c r="B78" s="1" t="str">
        <f>IFERROR(__xludf.DUMMYFUNCTION("SPLIT(A78,"","",)"),"58-84")</f>
        <v>58-84</v>
      </c>
      <c r="C78" s="1" t="str">
        <f>IFERROR(__xludf.DUMMYFUNCTION("""COMPUTED_VALUE"""),"35-89")</f>
        <v>35-89</v>
      </c>
      <c r="D78" s="4">
        <f>IFERROR(__xludf.DUMMYFUNCTION("split(B78,""-"")"),58.0)</f>
        <v>58</v>
      </c>
      <c r="E78" s="4">
        <f>IFERROR(__xludf.DUMMYFUNCTION("""COMPUTED_VALUE"""),84.0)</f>
        <v>84</v>
      </c>
      <c r="F78" s="4">
        <f>IFERROR(__xludf.DUMMYFUNCTION("split(C78,""-"")"),35.0)</f>
        <v>35</v>
      </c>
      <c r="G78" s="4">
        <f>IFERROR(__xludf.DUMMYFUNCTION("""COMPUTED_VALUE"""),89.0)</f>
        <v>89</v>
      </c>
      <c r="H78" s="4">
        <f t="shared" si="1"/>
        <v>1</v>
      </c>
      <c r="J78" s="4">
        <f>IFERROR(__xludf.DUMMYFUNCTION("IFS(
ISBETWEEN(D78,F78,G78,TRUE,TRUE),1,
ISBETWEEN(E78,F78,G78,TRUE,TRUE),1,
ISBETWEEN(F78,D78,E78,TRUE,TRUE),1,
ISBETWEEN(G78,D78,E78,TRUE,TRUE),1,
1,0)"),1.0)</f>
        <v>1</v>
      </c>
    </row>
    <row r="79">
      <c r="A79" s="2" t="s">
        <v>79</v>
      </c>
      <c r="B79" s="1" t="str">
        <f>IFERROR(__xludf.DUMMYFUNCTION("SPLIT(A79,"","",)"),"2-25")</f>
        <v>2-25</v>
      </c>
      <c r="C79" s="1" t="str">
        <f>IFERROR(__xludf.DUMMYFUNCTION("""COMPUTED_VALUE"""),"24-38")</f>
        <v>24-38</v>
      </c>
      <c r="D79" s="4">
        <f>IFERROR(__xludf.DUMMYFUNCTION("split(B79,""-"")"),2.0)</f>
        <v>2</v>
      </c>
      <c r="E79" s="4">
        <f>IFERROR(__xludf.DUMMYFUNCTION("""COMPUTED_VALUE"""),25.0)</f>
        <v>25</v>
      </c>
      <c r="F79" s="4">
        <f>IFERROR(__xludf.DUMMYFUNCTION("split(C79,""-"")"),24.0)</f>
        <v>24</v>
      </c>
      <c r="G79" s="4">
        <f>IFERROR(__xludf.DUMMYFUNCTION("""COMPUTED_VALUE"""),38.0)</f>
        <v>38</v>
      </c>
      <c r="H79" s="4">
        <f t="shared" si="1"/>
        <v>0</v>
      </c>
      <c r="J79" s="4">
        <f>IFERROR(__xludf.DUMMYFUNCTION("IFS(
ISBETWEEN(D79,F79,G79,TRUE,TRUE),1,
ISBETWEEN(E79,F79,G79,TRUE,TRUE),1,
ISBETWEEN(F79,D79,E79,TRUE,TRUE),1,
ISBETWEEN(G79,D79,E79,TRUE,TRUE),1,
1,0)"),1.0)</f>
        <v>1</v>
      </c>
    </row>
    <row r="80">
      <c r="A80" s="2" t="s">
        <v>80</v>
      </c>
      <c r="B80" s="3">
        <f>IFERROR(__xludf.DUMMYFUNCTION("SPLIT(A80,"","",)"),44774.0)</f>
        <v>44774</v>
      </c>
      <c r="C80" s="1" t="str">
        <f>IFERROR(__xludf.DUMMYFUNCTION("""COMPUTED_VALUE"""),"8-95")</f>
        <v>8-95</v>
      </c>
      <c r="D80" s="4">
        <f>IFERROR(__xludf.DUMMYFUNCTION("split(B80,""-"")"),1.0)</f>
        <v>1</v>
      </c>
      <c r="E80" s="4">
        <f>IFERROR(__xludf.DUMMYFUNCTION("""COMPUTED_VALUE"""),8.0)</f>
        <v>8</v>
      </c>
      <c r="F80" s="4">
        <f>IFERROR(__xludf.DUMMYFUNCTION("split(C80,""-"")"),8.0)</f>
        <v>8</v>
      </c>
      <c r="G80" s="4">
        <f>IFERROR(__xludf.DUMMYFUNCTION("""COMPUTED_VALUE"""),95.0)</f>
        <v>95</v>
      </c>
      <c r="H80" s="4">
        <f t="shared" si="1"/>
        <v>0</v>
      </c>
      <c r="J80" s="4">
        <f>IFERROR(__xludf.DUMMYFUNCTION("IFS(
ISBETWEEN(D80,F80,G80,TRUE,TRUE),1,
ISBETWEEN(E80,F80,G80,TRUE,TRUE),1,
ISBETWEEN(F80,D80,E80,TRUE,TRUE),1,
ISBETWEEN(G80,D80,E80,TRUE,TRUE),1,
1,0)"),1.0)</f>
        <v>1</v>
      </c>
    </row>
    <row r="81">
      <c r="A81" s="2" t="s">
        <v>81</v>
      </c>
      <c r="B81" s="1" t="str">
        <f>IFERROR(__xludf.DUMMYFUNCTION("SPLIT(A81,"","",)"),"48-79")</f>
        <v>48-79</v>
      </c>
      <c r="C81" s="1" t="str">
        <f>IFERROR(__xludf.DUMMYFUNCTION("""COMPUTED_VALUE"""),"25-78")</f>
        <v>25-78</v>
      </c>
      <c r="D81" s="4">
        <f>IFERROR(__xludf.DUMMYFUNCTION("split(B81,""-"")"),48.0)</f>
        <v>48</v>
      </c>
      <c r="E81" s="4">
        <f>IFERROR(__xludf.DUMMYFUNCTION("""COMPUTED_VALUE"""),79.0)</f>
        <v>79</v>
      </c>
      <c r="F81" s="4">
        <f>IFERROR(__xludf.DUMMYFUNCTION("split(C81,""-"")"),25.0)</f>
        <v>25</v>
      </c>
      <c r="G81" s="4">
        <f>IFERROR(__xludf.DUMMYFUNCTION("""COMPUTED_VALUE"""),78.0)</f>
        <v>78</v>
      </c>
      <c r="H81" s="4">
        <f t="shared" si="1"/>
        <v>0</v>
      </c>
      <c r="J81" s="4">
        <f>IFERROR(__xludf.DUMMYFUNCTION("IFS(
ISBETWEEN(D81,F81,G81,TRUE,TRUE),1,
ISBETWEEN(E81,F81,G81,TRUE,TRUE),1,
ISBETWEEN(F81,D81,E81,TRUE,TRUE),1,
ISBETWEEN(G81,D81,E81,TRUE,TRUE),1,
1,0)"),1.0)</f>
        <v>1</v>
      </c>
    </row>
    <row r="82">
      <c r="A82" s="2" t="s">
        <v>82</v>
      </c>
      <c r="B82" s="1" t="str">
        <f>IFERROR(__xludf.DUMMYFUNCTION("SPLIT(A82,"","",)"),"85-98")</f>
        <v>85-98</v>
      </c>
      <c r="C82" s="1" t="str">
        <f>IFERROR(__xludf.DUMMYFUNCTION("""COMPUTED_VALUE"""),"6-86")</f>
        <v>6-86</v>
      </c>
      <c r="D82" s="4">
        <f>IFERROR(__xludf.DUMMYFUNCTION("split(B82,""-"")"),85.0)</f>
        <v>85</v>
      </c>
      <c r="E82" s="4">
        <f>IFERROR(__xludf.DUMMYFUNCTION("""COMPUTED_VALUE"""),98.0)</f>
        <v>98</v>
      </c>
      <c r="F82" s="4">
        <f>IFERROR(__xludf.DUMMYFUNCTION("split(C82,""-"")"),6.0)</f>
        <v>6</v>
      </c>
      <c r="G82" s="4">
        <f>IFERROR(__xludf.DUMMYFUNCTION("""COMPUTED_VALUE"""),86.0)</f>
        <v>86</v>
      </c>
      <c r="H82" s="4">
        <f t="shared" si="1"/>
        <v>0</v>
      </c>
      <c r="J82" s="4">
        <f>IFERROR(__xludf.DUMMYFUNCTION("IFS(
ISBETWEEN(D82,F82,G82,TRUE,TRUE),1,
ISBETWEEN(E82,F82,G82,TRUE,TRUE),1,
ISBETWEEN(F82,D82,E82,TRUE,TRUE),1,
ISBETWEEN(G82,D82,E82,TRUE,TRUE),1,
1,0)"),1.0)</f>
        <v>1</v>
      </c>
    </row>
    <row r="83">
      <c r="A83" s="2" t="s">
        <v>83</v>
      </c>
      <c r="B83" s="1" t="str">
        <f>IFERROR(__xludf.DUMMYFUNCTION("SPLIT(A83,"","",)"),"2-24")</f>
        <v>2-24</v>
      </c>
      <c r="C83" s="1" t="str">
        <f>IFERROR(__xludf.DUMMYFUNCTION("""COMPUTED_VALUE"""),"9-25")</f>
        <v>9-25</v>
      </c>
      <c r="D83" s="4">
        <f>IFERROR(__xludf.DUMMYFUNCTION("split(B83,""-"")"),2.0)</f>
        <v>2</v>
      </c>
      <c r="E83" s="4">
        <f>IFERROR(__xludf.DUMMYFUNCTION("""COMPUTED_VALUE"""),24.0)</f>
        <v>24</v>
      </c>
      <c r="F83" s="4">
        <f>IFERROR(__xludf.DUMMYFUNCTION("split(C83,""-"")"),9.0)</f>
        <v>9</v>
      </c>
      <c r="G83" s="4">
        <f>IFERROR(__xludf.DUMMYFUNCTION("""COMPUTED_VALUE"""),25.0)</f>
        <v>25</v>
      </c>
      <c r="H83" s="4">
        <f t="shared" si="1"/>
        <v>0</v>
      </c>
      <c r="J83" s="4">
        <f>IFERROR(__xludf.DUMMYFUNCTION("IFS(
ISBETWEEN(D83,F83,G83,TRUE,TRUE),1,
ISBETWEEN(E83,F83,G83,TRUE,TRUE),1,
ISBETWEEN(F83,D83,E83,TRUE,TRUE),1,
ISBETWEEN(G83,D83,E83,TRUE,TRUE),1,
1,0)"),1.0)</f>
        <v>1</v>
      </c>
    </row>
    <row r="84">
      <c r="A84" s="2" t="s">
        <v>84</v>
      </c>
      <c r="B84" s="1" t="str">
        <f>IFERROR(__xludf.DUMMYFUNCTION("SPLIT(A84,"","",)"),"7-60")</f>
        <v>7-60</v>
      </c>
      <c r="C84" s="1" t="str">
        <f>IFERROR(__xludf.DUMMYFUNCTION("""COMPUTED_VALUE"""),"6-60")</f>
        <v>6-60</v>
      </c>
      <c r="D84" s="4">
        <f>IFERROR(__xludf.DUMMYFUNCTION("split(B84,""-"")"),7.0)</f>
        <v>7</v>
      </c>
      <c r="E84" s="4">
        <f>IFERROR(__xludf.DUMMYFUNCTION("""COMPUTED_VALUE"""),60.0)</f>
        <v>60</v>
      </c>
      <c r="F84" s="4">
        <f>IFERROR(__xludf.DUMMYFUNCTION("split(C84,""-"")"),6.0)</f>
        <v>6</v>
      </c>
      <c r="G84" s="4">
        <f>IFERROR(__xludf.DUMMYFUNCTION("""COMPUTED_VALUE"""),60.0)</f>
        <v>60</v>
      </c>
      <c r="H84" s="4">
        <f t="shared" si="1"/>
        <v>1</v>
      </c>
      <c r="J84" s="4">
        <f>IFERROR(__xludf.DUMMYFUNCTION("IFS(
ISBETWEEN(D84,F84,G84,TRUE,TRUE),1,
ISBETWEEN(E84,F84,G84,TRUE,TRUE),1,
ISBETWEEN(F84,D84,E84,TRUE,TRUE),1,
ISBETWEEN(G84,D84,E84,TRUE,TRUE),1,
1,0)"),1.0)</f>
        <v>1</v>
      </c>
    </row>
    <row r="85">
      <c r="A85" s="2" t="s">
        <v>85</v>
      </c>
      <c r="B85" s="3">
        <f>IFERROR(__xludf.DUMMYFUNCTION("SPLIT(A85,"","",)"),44716.0)</f>
        <v>44716</v>
      </c>
      <c r="C85" s="1" t="str">
        <f>IFERROR(__xludf.DUMMYFUNCTION("""COMPUTED_VALUE"""),"5-28")</f>
        <v>5-28</v>
      </c>
      <c r="D85" s="4">
        <f>IFERROR(__xludf.DUMMYFUNCTION("split(B85,""-"")"),4.0)</f>
        <v>4</v>
      </c>
      <c r="E85" s="4">
        <f>IFERROR(__xludf.DUMMYFUNCTION("""COMPUTED_VALUE"""),6.0)</f>
        <v>6</v>
      </c>
      <c r="F85" s="4">
        <f>IFERROR(__xludf.DUMMYFUNCTION("split(C85,""-"")"),5.0)</f>
        <v>5</v>
      </c>
      <c r="G85" s="4">
        <f>IFERROR(__xludf.DUMMYFUNCTION("""COMPUTED_VALUE"""),28.0)</f>
        <v>28</v>
      </c>
      <c r="H85" s="4">
        <f t="shared" si="1"/>
        <v>0</v>
      </c>
      <c r="J85" s="4">
        <f>IFERROR(__xludf.DUMMYFUNCTION("IFS(
ISBETWEEN(D85,F85,G85,TRUE,TRUE),1,
ISBETWEEN(E85,F85,G85,TRUE,TRUE),1,
ISBETWEEN(F85,D85,E85,TRUE,TRUE),1,
ISBETWEEN(G85,D85,E85,TRUE,TRUE),1,
1,0)"),1.0)</f>
        <v>1</v>
      </c>
    </row>
    <row r="86">
      <c r="A86" s="2" t="s">
        <v>86</v>
      </c>
      <c r="B86" s="1" t="str">
        <f>IFERROR(__xludf.DUMMYFUNCTION("SPLIT(A86,"","",)"),"8-95")</f>
        <v>8-95</v>
      </c>
      <c r="C86" s="1" t="str">
        <f>IFERROR(__xludf.DUMMYFUNCTION("""COMPUTED_VALUE"""),"19-98")</f>
        <v>19-98</v>
      </c>
      <c r="D86" s="4">
        <f>IFERROR(__xludf.DUMMYFUNCTION("split(B86,""-"")"),8.0)</f>
        <v>8</v>
      </c>
      <c r="E86" s="4">
        <f>IFERROR(__xludf.DUMMYFUNCTION("""COMPUTED_VALUE"""),95.0)</f>
        <v>95</v>
      </c>
      <c r="F86" s="4">
        <f>IFERROR(__xludf.DUMMYFUNCTION("split(C86,""-"")"),19.0)</f>
        <v>19</v>
      </c>
      <c r="G86" s="4">
        <f>IFERROR(__xludf.DUMMYFUNCTION("""COMPUTED_VALUE"""),98.0)</f>
        <v>98</v>
      </c>
      <c r="H86" s="4">
        <f t="shared" si="1"/>
        <v>0</v>
      </c>
      <c r="J86" s="4">
        <f>IFERROR(__xludf.DUMMYFUNCTION("IFS(
ISBETWEEN(D86,F86,G86,TRUE,TRUE),1,
ISBETWEEN(E86,F86,G86,TRUE,TRUE),1,
ISBETWEEN(F86,D86,E86,TRUE,TRUE),1,
ISBETWEEN(G86,D86,E86,TRUE,TRUE),1,
1,0)"),1.0)</f>
        <v>1</v>
      </c>
    </row>
    <row r="87">
      <c r="A87" s="2" t="s">
        <v>87</v>
      </c>
      <c r="B87" s="1" t="str">
        <f>IFERROR(__xludf.DUMMYFUNCTION("SPLIT(A87,"","",)"),"19-19")</f>
        <v>19-19</v>
      </c>
      <c r="C87" s="1" t="str">
        <f>IFERROR(__xludf.DUMMYFUNCTION("""COMPUTED_VALUE"""),"19-82")</f>
        <v>19-82</v>
      </c>
      <c r="D87" s="4">
        <f>IFERROR(__xludf.DUMMYFUNCTION("split(B87,""-"")"),19.0)</f>
        <v>19</v>
      </c>
      <c r="E87" s="4">
        <f>IFERROR(__xludf.DUMMYFUNCTION("""COMPUTED_VALUE"""),19.0)</f>
        <v>19</v>
      </c>
      <c r="F87" s="4">
        <f>IFERROR(__xludf.DUMMYFUNCTION("split(C87,""-"")"),19.0)</f>
        <v>19</v>
      </c>
      <c r="G87" s="4">
        <f>IFERROR(__xludf.DUMMYFUNCTION("""COMPUTED_VALUE"""),82.0)</f>
        <v>82</v>
      </c>
      <c r="H87" s="4">
        <f t="shared" si="1"/>
        <v>1</v>
      </c>
      <c r="J87" s="4">
        <f>IFERROR(__xludf.DUMMYFUNCTION("IFS(
ISBETWEEN(D87,F87,G87,TRUE,TRUE),1,
ISBETWEEN(E87,F87,G87,TRUE,TRUE),1,
ISBETWEEN(F87,D87,E87,TRUE,TRUE),1,
ISBETWEEN(G87,D87,E87,TRUE,TRUE),1,
1,0)"),1.0)</f>
        <v>1</v>
      </c>
    </row>
    <row r="88">
      <c r="A88" s="2" t="s">
        <v>88</v>
      </c>
      <c r="B88" s="1" t="str">
        <f>IFERROR(__xludf.DUMMYFUNCTION("SPLIT(A88,"","",)"),"71-83")</f>
        <v>71-83</v>
      </c>
      <c r="C88" s="1" t="str">
        <f>IFERROR(__xludf.DUMMYFUNCTION("""COMPUTED_VALUE"""),"33-87")</f>
        <v>33-87</v>
      </c>
      <c r="D88" s="4">
        <f>IFERROR(__xludf.DUMMYFUNCTION("split(B88,""-"")"),71.0)</f>
        <v>71</v>
      </c>
      <c r="E88" s="4">
        <f>IFERROR(__xludf.DUMMYFUNCTION("""COMPUTED_VALUE"""),83.0)</f>
        <v>83</v>
      </c>
      <c r="F88" s="4">
        <f>IFERROR(__xludf.DUMMYFUNCTION("split(C88,""-"")"),33.0)</f>
        <v>33</v>
      </c>
      <c r="G88" s="4">
        <f>IFERROR(__xludf.DUMMYFUNCTION("""COMPUTED_VALUE"""),87.0)</f>
        <v>87</v>
      </c>
      <c r="H88" s="4">
        <f t="shared" si="1"/>
        <v>1</v>
      </c>
      <c r="J88" s="4">
        <f>IFERROR(__xludf.DUMMYFUNCTION("IFS(
ISBETWEEN(D88,F88,G88,TRUE,TRUE),1,
ISBETWEEN(E88,F88,G88,TRUE,TRUE),1,
ISBETWEEN(F88,D88,E88,TRUE,TRUE),1,
ISBETWEEN(G88,D88,E88,TRUE,TRUE),1,
1,0)"),1.0)</f>
        <v>1</v>
      </c>
    </row>
    <row r="89">
      <c r="A89" s="2" t="s">
        <v>89</v>
      </c>
      <c r="B89" s="1" t="str">
        <f>IFERROR(__xludf.DUMMYFUNCTION("SPLIT(A89,"","",)"),"61-77")</f>
        <v>61-77</v>
      </c>
      <c r="C89" s="1" t="str">
        <f>IFERROR(__xludf.DUMMYFUNCTION("""COMPUTED_VALUE"""),"95-95")</f>
        <v>95-95</v>
      </c>
      <c r="D89" s="4">
        <f>IFERROR(__xludf.DUMMYFUNCTION("split(B89,""-"")"),61.0)</f>
        <v>61</v>
      </c>
      <c r="E89" s="4">
        <f>IFERROR(__xludf.DUMMYFUNCTION("""COMPUTED_VALUE"""),77.0)</f>
        <v>77</v>
      </c>
      <c r="F89" s="4">
        <f>IFERROR(__xludf.DUMMYFUNCTION("split(C89,""-"")"),95.0)</f>
        <v>95</v>
      </c>
      <c r="G89" s="4">
        <f>IFERROR(__xludf.DUMMYFUNCTION("""COMPUTED_VALUE"""),95.0)</f>
        <v>95</v>
      </c>
      <c r="H89" s="4">
        <f t="shared" si="1"/>
        <v>0</v>
      </c>
      <c r="J89" s="4">
        <f>IFERROR(__xludf.DUMMYFUNCTION("IFS(
ISBETWEEN(D89,F89,G89,TRUE,TRUE),1,
ISBETWEEN(E89,F89,G89,TRUE,TRUE),1,
ISBETWEEN(F89,D89,E89,TRUE,TRUE),1,
ISBETWEEN(G89,D89,E89,TRUE,TRUE),1,
1,0)"),0.0)</f>
        <v>0</v>
      </c>
    </row>
    <row r="90">
      <c r="A90" s="2" t="s">
        <v>90</v>
      </c>
      <c r="B90" s="1" t="str">
        <f>IFERROR(__xludf.DUMMYFUNCTION("SPLIT(A90,"","",)"),"57-58")</f>
        <v>57-58</v>
      </c>
      <c r="C90" s="1" t="str">
        <f>IFERROR(__xludf.DUMMYFUNCTION("""COMPUTED_VALUE"""),"56-59")</f>
        <v>56-59</v>
      </c>
      <c r="D90" s="4">
        <f>IFERROR(__xludf.DUMMYFUNCTION("split(B90,""-"")"),57.0)</f>
        <v>57</v>
      </c>
      <c r="E90" s="4">
        <f>IFERROR(__xludf.DUMMYFUNCTION("""COMPUTED_VALUE"""),58.0)</f>
        <v>58</v>
      </c>
      <c r="F90" s="4">
        <f>IFERROR(__xludf.DUMMYFUNCTION("split(C90,""-"")"),56.0)</f>
        <v>56</v>
      </c>
      <c r="G90" s="4">
        <f>IFERROR(__xludf.DUMMYFUNCTION("""COMPUTED_VALUE"""),59.0)</f>
        <v>59</v>
      </c>
      <c r="H90" s="4">
        <f t="shared" si="1"/>
        <v>1</v>
      </c>
      <c r="J90" s="4">
        <f>IFERROR(__xludf.DUMMYFUNCTION("IFS(
ISBETWEEN(D90,F90,G90,TRUE,TRUE),1,
ISBETWEEN(E90,F90,G90,TRUE,TRUE),1,
ISBETWEEN(F90,D90,E90,TRUE,TRUE),1,
ISBETWEEN(G90,D90,E90,TRUE,TRUE),1,
1,0)"),1.0)</f>
        <v>1</v>
      </c>
    </row>
    <row r="91">
      <c r="A91" s="2" t="s">
        <v>91</v>
      </c>
      <c r="B91" s="1" t="str">
        <f>IFERROR(__xludf.DUMMYFUNCTION("SPLIT(A91,"","",)"),"3-53")</f>
        <v>3-53</v>
      </c>
      <c r="C91" s="1" t="str">
        <f>IFERROR(__xludf.DUMMYFUNCTION("""COMPUTED_VALUE"""),"1-98")</f>
        <v>1-98</v>
      </c>
      <c r="D91" s="4">
        <f>IFERROR(__xludf.DUMMYFUNCTION("split(B91,""-"")"),3.0)</f>
        <v>3</v>
      </c>
      <c r="E91" s="4">
        <f>IFERROR(__xludf.DUMMYFUNCTION("""COMPUTED_VALUE"""),53.0)</f>
        <v>53</v>
      </c>
      <c r="F91" s="4">
        <f>IFERROR(__xludf.DUMMYFUNCTION("split(C91,""-"")"),1.0)</f>
        <v>1</v>
      </c>
      <c r="G91" s="4">
        <f>IFERROR(__xludf.DUMMYFUNCTION("""COMPUTED_VALUE"""),98.0)</f>
        <v>98</v>
      </c>
      <c r="H91" s="4">
        <f t="shared" si="1"/>
        <v>1</v>
      </c>
      <c r="J91" s="4">
        <f>IFERROR(__xludf.DUMMYFUNCTION("IFS(
ISBETWEEN(D91,F91,G91,TRUE,TRUE),1,
ISBETWEEN(E91,F91,G91,TRUE,TRUE),1,
ISBETWEEN(F91,D91,E91,TRUE,TRUE),1,
ISBETWEEN(G91,D91,E91,TRUE,TRUE),1,
1,0)"),1.0)</f>
        <v>1</v>
      </c>
    </row>
    <row r="92">
      <c r="A92" s="2" t="s">
        <v>92</v>
      </c>
      <c r="B92" s="1" t="str">
        <f>IFERROR(__xludf.DUMMYFUNCTION("SPLIT(A92,"","",)"),"83-83")</f>
        <v>83-83</v>
      </c>
      <c r="C92" s="1" t="str">
        <f>IFERROR(__xludf.DUMMYFUNCTION("""COMPUTED_VALUE"""),"10-84")</f>
        <v>10-84</v>
      </c>
      <c r="D92" s="4">
        <f>IFERROR(__xludf.DUMMYFUNCTION("split(B92,""-"")"),83.0)</f>
        <v>83</v>
      </c>
      <c r="E92" s="4">
        <f>IFERROR(__xludf.DUMMYFUNCTION("""COMPUTED_VALUE"""),83.0)</f>
        <v>83</v>
      </c>
      <c r="F92" s="4">
        <f>IFERROR(__xludf.DUMMYFUNCTION("split(C92,""-"")"),10.0)</f>
        <v>10</v>
      </c>
      <c r="G92" s="4">
        <f>IFERROR(__xludf.DUMMYFUNCTION("""COMPUTED_VALUE"""),84.0)</f>
        <v>84</v>
      </c>
      <c r="H92" s="4">
        <f t="shared" si="1"/>
        <v>1</v>
      </c>
      <c r="J92" s="4">
        <f>IFERROR(__xludf.DUMMYFUNCTION("IFS(
ISBETWEEN(D92,F92,G92,TRUE,TRUE),1,
ISBETWEEN(E92,F92,G92,TRUE,TRUE),1,
ISBETWEEN(F92,D92,E92,TRUE,TRUE),1,
ISBETWEEN(G92,D92,E92,TRUE,TRUE),1,
1,0)"),1.0)</f>
        <v>1</v>
      </c>
    </row>
    <row r="93">
      <c r="A93" s="2" t="s">
        <v>93</v>
      </c>
      <c r="B93" s="1" t="str">
        <f>IFERROR(__xludf.DUMMYFUNCTION("SPLIT(A93,"","",)"),"30-93")</f>
        <v>30-93</v>
      </c>
      <c r="C93" s="1" t="str">
        <f>IFERROR(__xludf.DUMMYFUNCTION("""COMPUTED_VALUE"""),"92-93")</f>
        <v>92-93</v>
      </c>
      <c r="D93" s="4">
        <f>IFERROR(__xludf.DUMMYFUNCTION("split(B93,""-"")"),30.0)</f>
        <v>30</v>
      </c>
      <c r="E93" s="4">
        <f>IFERROR(__xludf.DUMMYFUNCTION("""COMPUTED_VALUE"""),93.0)</f>
        <v>93</v>
      </c>
      <c r="F93" s="4">
        <f>IFERROR(__xludf.DUMMYFUNCTION("split(C93,""-"")"),92.0)</f>
        <v>92</v>
      </c>
      <c r="G93" s="4">
        <f>IFERROR(__xludf.DUMMYFUNCTION("""COMPUTED_VALUE"""),93.0)</f>
        <v>93</v>
      </c>
      <c r="H93" s="4">
        <f t="shared" si="1"/>
        <v>1</v>
      </c>
      <c r="J93" s="4">
        <f>IFERROR(__xludf.DUMMYFUNCTION("IFS(
ISBETWEEN(D93,F93,G93,TRUE,TRUE),1,
ISBETWEEN(E93,F93,G93,TRUE,TRUE),1,
ISBETWEEN(F93,D93,E93,TRUE,TRUE),1,
ISBETWEEN(G93,D93,E93,TRUE,TRUE),1,
1,0)"),1.0)</f>
        <v>1</v>
      </c>
    </row>
    <row r="94">
      <c r="A94" s="2" t="s">
        <v>94</v>
      </c>
      <c r="B94" s="1" t="str">
        <f>IFERROR(__xludf.DUMMYFUNCTION("SPLIT(A94,"","",)"),"37-73")</f>
        <v>37-73</v>
      </c>
      <c r="C94" s="1" t="str">
        <f>IFERROR(__xludf.DUMMYFUNCTION("""COMPUTED_VALUE"""),"4-95")</f>
        <v>4-95</v>
      </c>
      <c r="D94" s="4">
        <f>IFERROR(__xludf.DUMMYFUNCTION("split(B94,""-"")"),37.0)</f>
        <v>37</v>
      </c>
      <c r="E94" s="4">
        <f>IFERROR(__xludf.DUMMYFUNCTION("""COMPUTED_VALUE"""),73.0)</f>
        <v>73</v>
      </c>
      <c r="F94" s="4">
        <f>IFERROR(__xludf.DUMMYFUNCTION("split(C94,""-"")"),4.0)</f>
        <v>4</v>
      </c>
      <c r="G94" s="4">
        <f>IFERROR(__xludf.DUMMYFUNCTION("""COMPUTED_VALUE"""),95.0)</f>
        <v>95</v>
      </c>
      <c r="H94" s="4">
        <f t="shared" si="1"/>
        <v>1</v>
      </c>
      <c r="J94" s="4">
        <f>IFERROR(__xludf.DUMMYFUNCTION("IFS(
ISBETWEEN(D94,F94,G94,TRUE,TRUE),1,
ISBETWEEN(E94,F94,G94,TRUE,TRUE),1,
ISBETWEEN(F94,D94,E94,TRUE,TRUE),1,
ISBETWEEN(G94,D94,E94,TRUE,TRUE),1,
1,0)"),1.0)</f>
        <v>1</v>
      </c>
    </row>
    <row r="95">
      <c r="A95" s="2" t="s">
        <v>95</v>
      </c>
      <c r="B95" s="1" t="str">
        <f>IFERROR(__xludf.DUMMYFUNCTION("SPLIT(A95,"","",)"),"37-96")</f>
        <v>37-96</v>
      </c>
      <c r="C95" s="1" t="str">
        <f>IFERROR(__xludf.DUMMYFUNCTION("""COMPUTED_VALUE"""),"38-99")</f>
        <v>38-99</v>
      </c>
      <c r="D95" s="4">
        <f>IFERROR(__xludf.DUMMYFUNCTION("split(B95,""-"")"),37.0)</f>
        <v>37</v>
      </c>
      <c r="E95" s="4">
        <f>IFERROR(__xludf.DUMMYFUNCTION("""COMPUTED_VALUE"""),96.0)</f>
        <v>96</v>
      </c>
      <c r="F95" s="4">
        <f>IFERROR(__xludf.DUMMYFUNCTION("split(C95,""-"")"),38.0)</f>
        <v>38</v>
      </c>
      <c r="G95" s="4">
        <f>IFERROR(__xludf.DUMMYFUNCTION("""COMPUTED_VALUE"""),99.0)</f>
        <v>99</v>
      </c>
      <c r="H95" s="4">
        <f t="shared" si="1"/>
        <v>0</v>
      </c>
      <c r="J95" s="4">
        <f>IFERROR(__xludf.DUMMYFUNCTION("IFS(
ISBETWEEN(D95,F95,G95,TRUE,TRUE),1,
ISBETWEEN(E95,F95,G95,TRUE,TRUE),1,
ISBETWEEN(F95,D95,E95,TRUE,TRUE),1,
ISBETWEEN(G95,D95,E95,TRUE,TRUE),1,
1,0)"),1.0)</f>
        <v>1</v>
      </c>
    </row>
    <row r="96">
      <c r="A96" s="2" t="s">
        <v>96</v>
      </c>
      <c r="B96" s="1" t="str">
        <f>IFERROR(__xludf.DUMMYFUNCTION("SPLIT(A96,"","",)"),"23-89")</f>
        <v>23-89</v>
      </c>
      <c r="C96" s="1" t="str">
        <f>IFERROR(__xludf.DUMMYFUNCTION("""COMPUTED_VALUE"""),"2-20")</f>
        <v>2-20</v>
      </c>
      <c r="D96" s="4">
        <f>IFERROR(__xludf.DUMMYFUNCTION("split(B96,""-"")"),23.0)</f>
        <v>23</v>
      </c>
      <c r="E96" s="4">
        <f>IFERROR(__xludf.DUMMYFUNCTION("""COMPUTED_VALUE"""),89.0)</f>
        <v>89</v>
      </c>
      <c r="F96" s="4">
        <f>IFERROR(__xludf.DUMMYFUNCTION("split(C96,""-"")"),2.0)</f>
        <v>2</v>
      </c>
      <c r="G96" s="4">
        <f>IFERROR(__xludf.DUMMYFUNCTION("""COMPUTED_VALUE"""),20.0)</f>
        <v>20</v>
      </c>
      <c r="H96" s="4">
        <f t="shared" si="1"/>
        <v>0</v>
      </c>
      <c r="J96" s="4">
        <f>IFERROR(__xludf.DUMMYFUNCTION("IFS(
ISBETWEEN(D96,F96,G96,TRUE,TRUE),1,
ISBETWEEN(E96,F96,G96,TRUE,TRUE),1,
ISBETWEEN(F96,D96,E96,TRUE,TRUE),1,
ISBETWEEN(G96,D96,E96,TRUE,TRUE),1,
1,0)"),0.0)</f>
        <v>0</v>
      </c>
    </row>
    <row r="97">
      <c r="A97" s="2" t="s">
        <v>97</v>
      </c>
      <c r="B97" s="1" t="str">
        <f>IFERROR(__xludf.DUMMYFUNCTION("SPLIT(A97,"","",)"),"31-90")</f>
        <v>31-90</v>
      </c>
      <c r="C97" s="1" t="str">
        <f>IFERROR(__xludf.DUMMYFUNCTION("""COMPUTED_VALUE"""),"89-90")</f>
        <v>89-90</v>
      </c>
      <c r="D97" s="4">
        <f>IFERROR(__xludf.DUMMYFUNCTION("split(B97,""-"")"),31.0)</f>
        <v>31</v>
      </c>
      <c r="E97" s="4">
        <f>IFERROR(__xludf.DUMMYFUNCTION("""COMPUTED_VALUE"""),90.0)</f>
        <v>90</v>
      </c>
      <c r="F97" s="4">
        <f>IFERROR(__xludf.DUMMYFUNCTION("split(C97,""-"")"),89.0)</f>
        <v>89</v>
      </c>
      <c r="G97" s="4">
        <f>IFERROR(__xludf.DUMMYFUNCTION("""COMPUTED_VALUE"""),90.0)</f>
        <v>90</v>
      </c>
      <c r="H97" s="4">
        <f t="shared" si="1"/>
        <v>1</v>
      </c>
      <c r="J97" s="4">
        <f>IFERROR(__xludf.DUMMYFUNCTION("IFS(
ISBETWEEN(D97,F97,G97,TRUE,TRUE),1,
ISBETWEEN(E97,F97,G97,TRUE,TRUE),1,
ISBETWEEN(F97,D97,E97,TRUE,TRUE),1,
ISBETWEEN(G97,D97,E97,TRUE,TRUE),1,
1,0)"),1.0)</f>
        <v>1</v>
      </c>
    </row>
    <row r="98">
      <c r="A98" s="2" t="s">
        <v>98</v>
      </c>
      <c r="B98" s="1" t="str">
        <f>IFERROR(__xludf.DUMMYFUNCTION("SPLIT(A98,"","",)"),"53-59")</f>
        <v>53-59</v>
      </c>
      <c r="C98" s="1" t="str">
        <f>IFERROR(__xludf.DUMMYFUNCTION("""COMPUTED_VALUE"""),"60-60")</f>
        <v>60-60</v>
      </c>
      <c r="D98" s="4">
        <f>IFERROR(__xludf.DUMMYFUNCTION("split(B98,""-"")"),53.0)</f>
        <v>53</v>
      </c>
      <c r="E98" s="4">
        <f>IFERROR(__xludf.DUMMYFUNCTION("""COMPUTED_VALUE"""),59.0)</f>
        <v>59</v>
      </c>
      <c r="F98" s="4">
        <f>IFERROR(__xludf.DUMMYFUNCTION("split(C98,""-"")"),60.0)</f>
        <v>60</v>
      </c>
      <c r="G98" s="4">
        <f>IFERROR(__xludf.DUMMYFUNCTION("""COMPUTED_VALUE"""),60.0)</f>
        <v>60</v>
      </c>
      <c r="H98" s="4">
        <f t="shared" si="1"/>
        <v>0</v>
      </c>
      <c r="J98" s="4">
        <f>IFERROR(__xludf.DUMMYFUNCTION("IFS(
ISBETWEEN(D98,F98,G98,TRUE,TRUE),1,
ISBETWEEN(E98,F98,G98,TRUE,TRUE),1,
ISBETWEEN(F98,D98,E98,TRUE,TRUE),1,
ISBETWEEN(G98,D98,E98,TRUE,TRUE),1,
1,0)"),0.0)</f>
        <v>0</v>
      </c>
    </row>
    <row r="99">
      <c r="A99" s="2" t="s">
        <v>99</v>
      </c>
      <c r="B99" s="1" t="str">
        <f>IFERROR(__xludf.DUMMYFUNCTION("SPLIT(A99,"","",)"),"88-92")</f>
        <v>88-92</v>
      </c>
      <c r="C99" s="1" t="str">
        <f>IFERROR(__xludf.DUMMYFUNCTION("""COMPUTED_VALUE"""),"35-92")</f>
        <v>35-92</v>
      </c>
      <c r="D99" s="4">
        <f>IFERROR(__xludf.DUMMYFUNCTION("split(B99,""-"")"),88.0)</f>
        <v>88</v>
      </c>
      <c r="E99" s="4">
        <f>IFERROR(__xludf.DUMMYFUNCTION("""COMPUTED_VALUE"""),92.0)</f>
        <v>92</v>
      </c>
      <c r="F99" s="4">
        <f>IFERROR(__xludf.DUMMYFUNCTION("split(C99,""-"")"),35.0)</f>
        <v>35</v>
      </c>
      <c r="G99" s="4">
        <f>IFERROR(__xludf.DUMMYFUNCTION("""COMPUTED_VALUE"""),92.0)</f>
        <v>92</v>
      </c>
      <c r="H99" s="4">
        <f t="shared" si="1"/>
        <v>1</v>
      </c>
      <c r="J99" s="4">
        <f>IFERROR(__xludf.DUMMYFUNCTION("IFS(
ISBETWEEN(D99,F99,G99,TRUE,TRUE),1,
ISBETWEEN(E99,F99,G99,TRUE,TRUE),1,
ISBETWEEN(F99,D99,E99,TRUE,TRUE),1,
ISBETWEEN(G99,D99,E99,TRUE,TRUE),1,
1,0)"),1.0)</f>
        <v>1</v>
      </c>
    </row>
    <row r="100">
      <c r="A100" s="2" t="s">
        <v>100</v>
      </c>
      <c r="B100" s="1" t="str">
        <f>IFERROR(__xludf.DUMMYFUNCTION("SPLIT(A100,"","",)"),"47-84")</f>
        <v>47-84</v>
      </c>
      <c r="C100" s="1" t="str">
        <f>IFERROR(__xludf.DUMMYFUNCTION("""COMPUTED_VALUE"""),"46-98")</f>
        <v>46-98</v>
      </c>
      <c r="D100" s="4">
        <f>IFERROR(__xludf.DUMMYFUNCTION("split(B100,""-"")"),47.0)</f>
        <v>47</v>
      </c>
      <c r="E100" s="4">
        <f>IFERROR(__xludf.DUMMYFUNCTION("""COMPUTED_VALUE"""),84.0)</f>
        <v>84</v>
      </c>
      <c r="F100" s="4">
        <f>IFERROR(__xludf.DUMMYFUNCTION("split(C100,""-"")"),46.0)</f>
        <v>46</v>
      </c>
      <c r="G100" s="4">
        <f>IFERROR(__xludf.DUMMYFUNCTION("""COMPUTED_VALUE"""),98.0)</f>
        <v>98</v>
      </c>
      <c r="H100" s="4">
        <f t="shared" si="1"/>
        <v>1</v>
      </c>
      <c r="J100" s="4">
        <f>IFERROR(__xludf.DUMMYFUNCTION("IFS(
ISBETWEEN(D100,F100,G100,TRUE,TRUE),1,
ISBETWEEN(E100,F100,G100,TRUE,TRUE),1,
ISBETWEEN(F100,D100,E100,TRUE,TRUE),1,
ISBETWEEN(G100,D100,E100,TRUE,TRUE),1,
1,0)"),1.0)</f>
        <v>1</v>
      </c>
    </row>
    <row r="101">
      <c r="A101" s="2" t="s">
        <v>101</v>
      </c>
      <c r="B101" s="1" t="str">
        <f>IFERROR(__xludf.DUMMYFUNCTION("SPLIT(A101,"","",)"),"77-91")</f>
        <v>77-91</v>
      </c>
      <c r="C101" s="1" t="str">
        <f>IFERROR(__xludf.DUMMYFUNCTION("""COMPUTED_VALUE"""),"91-91")</f>
        <v>91-91</v>
      </c>
      <c r="D101" s="4">
        <f>IFERROR(__xludf.DUMMYFUNCTION("split(B101,""-"")"),77.0)</f>
        <v>77</v>
      </c>
      <c r="E101" s="4">
        <f>IFERROR(__xludf.DUMMYFUNCTION("""COMPUTED_VALUE"""),91.0)</f>
        <v>91</v>
      </c>
      <c r="F101" s="4">
        <f>IFERROR(__xludf.DUMMYFUNCTION("split(C101,""-"")"),91.0)</f>
        <v>91</v>
      </c>
      <c r="G101" s="4">
        <f>IFERROR(__xludf.DUMMYFUNCTION("""COMPUTED_VALUE"""),91.0)</f>
        <v>91</v>
      </c>
      <c r="H101" s="4">
        <f t="shared" si="1"/>
        <v>1</v>
      </c>
      <c r="J101" s="4">
        <f>IFERROR(__xludf.DUMMYFUNCTION("IFS(
ISBETWEEN(D101,F101,G101,TRUE,TRUE),1,
ISBETWEEN(E101,F101,G101,TRUE,TRUE),1,
ISBETWEEN(F101,D101,E101,TRUE,TRUE),1,
ISBETWEEN(G101,D101,E101,TRUE,TRUE),1,
1,0)"),1.0)</f>
        <v>1</v>
      </c>
    </row>
    <row r="102">
      <c r="A102" s="2" t="s">
        <v>102</v>
      </c>
      <c r="B102" s="1" t="str">
        <f>IFERROR(__xludf.DUMMYFUNCTION("SPLIT(A102,"","",)"),"16-53")</f>
        <v>16-53</v>
      </c>
      <c r="C102" s="1" t="str">
        <f>IFERROR(__xludf.DUMMYFUNCTION("""COMPUTED_VALUE"""),"16-54")</f>
        <v>16-54</v>
      </c>
      <c r="D102" s="4">
        <f>IFERROR(__xludf.DUMMYFUNCTION("split(B102,""-"")"),16.0)</f>
        <v>16</v>
      </c>
      <c r="E102" s="4">
        <f>IFERROR(__xludf.DUMMYFUNCTION("""COMPUTED_VALUE"""),53.0)</f>
        <v>53</v>
      </c>
      <c r="F102" s="4">
        <f>IFERROR(__xludf.DUMMYFUNCTION("split(C102,""-"")"),16.0)</f>
        <v>16</v>
      </c>
      <c r="G102" s="4">
        <f>IFERROR(__xludf.DUMMYFUNCTION("""COMPUTED_VALUE"""),54.0)</f>
        <v>54</v>
      </c>
      <c r="H102" s="4">
        <f t="shared" si="1"/>
        <v>1</v>
      </c>
      <c r="J102" s="4">
        <f>IFERROR(__xludf.DUMMYFUNCTION("IFS(
ISBETWEEN(D102,F102,G102,TRUE,TRUE),1,
ISBETWEEN(E102,F102,G102,TRUE,TRUE),1,
ISBETWEEN(F102,D102,E102,TRUE,TRUE),1,
ISBETWEEN(G102,D102,E102,TRUE,TRUE),1,
1,0)"),1.0)</f>
        <v>1</v>
      </c>
    </row>
    <row r="103">
      <c r="A103" s="2" t="s">
        <v>103</v>
      </c>
      <c r="B103" s="1" t="str">
        <f>IFERROR(__xludf.DUMMYFUNCTION("SPLIT(A103,"","",)"),"15-94")</f>
        <v>15-94</v>
      </c>
      <c r="C103" s="1" t="str">
        <f>IFERROR(__xludf.DUMMYFUNCTION("""COMPUTED_VALUE"""),"2-15")</f>
        <v>2-15</v>
      </c>
      <c r="D103" s="4">
        <f>IFERROR(__xludf.DUMMYFUNCTION("split(B103,""-"")"),15.0)</f>
        <v>15</v>
      </c>
      <c r="E103" s="4">
        <f>IFERROR(__xludf.DUMMYFUNCTION("""COMPUTED_VALUE"""),94.0)</f>
        <v>94</v>
      </c>
      <c r="F103" s="4">
        <f>IFERROR(__xludf.DUMMYFUNCTION("split(C103,""-"")"),2.0)</f>
        <v>2</v>
      </c>
      <c r="G103" s="4">
        <f>IFERROR(__xludf.DUMMYFUNCTION("""COMPUTED_VALUE"""),15.0)</f>
        <v>15</v>
      </c>
      <c r="H103" s="4">
        <f t="shared" si="1"/>
        <v>0</v>
      </c>
      <c r="J103" s="4">
        <f>IFERROR(__xludf.DUMMYFUNCTION("IFS(
ISBETWEEN(D103,F103,G103,TRUE,TRUE),1,
ISBETWEEN(E103,F103,G103,TRUE,TRUE),1,
ISBETWEEN(F103,D103,E103,TRUE,TRUE),1,
ISBETWEEN(G103,D103,E103,TRUE,TRUE),1,
1,0)"),1.0)</f>
        <v>1</v>
      </c>
    </row>
    <row r="104">
      <c r="A104" s="2" t="s">
        <v>104</v>
      </c>
      <c r="B104" s="1" t="str">
        <f>IFERROR(__xludf.DUMMYFUNCTION("SPLIT(A104,"","",)"),"26-54")</f>
        <v>26-54</v>
      </c>
      <c r="C104" s="1" t="str">
        <f>IFERROR(__xludf.DUMMYFUNCTION("""COMPUTED_VALUE"""),"76-79")</f>
        <v>76-79</v>
      </c>
      <c r="D104" s="4">
        <f>IFERROR(__xludf.DUMMYFUNCTION("split(B104,""-"")"),26.0)</f>
        <v>26</v>
      </c>
      <c r="E104" s="4">
        <f>IFERROR(__xludf.DUMMYFUNCTION("""COMPUTED_VALUE"""),54.0)</f>
        <v>54</v>
      </c>
      <c r="F104" s="4">
        <f>IFERROR(__xludf.DUMMYFUNCTION("split(C104,""-"")"),76.0)</f>
        <v>76</v>
      </c>
      <c r="G104" s="4">
        <f>IFERROR(__xludf.DUMMYFUNCTION("""COMPUTED_VALUE"""),79.0)</f>
        <v>79</v>
      </c>
      <c r="H104" s="4">
        <f t="shared" si="1"/>
        <v>0</v>
      </c>
      <c r="J104" s="4">
        <f>IFERROR(__xludf.DUMMYFUNCTION("IFS(
ISBETWEEN(D104,F104,G104,TRUE,TRUE),1,
ISBETWEEN(E104,F104,G104,TRUE,TRUE),1,
ISBETWEEN(F104,D104,E104,TRUE,TRUE),1,
ISBETWEEN(G104,D104,E104,TRUE,TRUE),1,
1,0)"),0.0)</f>
        <v>0</v>
      </c>
    </row>
    <row r="105">
      <c r="A105" s="2" t="s">
        <v>105</v>
      </c>
      <c r="B105" s="1" t="str">
        <f>IFERROR(__xludf.DUMMYFUNCTION("SPLIT(A105,"","",)"),"32-78")</f>
        <v>32-78</v>
      </c>
      <c r="C105" s="1" t="str">
        <f>IFERROR(__xludf.DUMMYFUNCTION("""COMPUTED_VALUE"""),"33-78")</f>
        <v>33-78</v>
      </c>
      <c r="D105" s="4">
        <f>IFERROR(__xludf.DUMMYFUNCTION("split(B105,""-"")"),32.0)</f>
        <v>32</v>
      </c>
      <c r="E105" s="4">
        <f>IFERROR(__xludf.DUMMYFUNCTION("""COMPUTED_VALUE"""),78.0)</f>
        <v>78</v>
      </c>
      <c r="F105" s="4">
        <f>IFERROR(__xludf.DUMMYFUNCTION("split(C105,""-"")"),33.0)</f>
        <v>33</v>
      </c>
      <c r="G105" s="4">
        <f>IFERROR(__xludf.DUMMYFUNCTION("""COMPUTED_VALUE"""),78.0)</f>
        <v>78</v>
      </c>
      <c r="H105" s="4">
        <f t="shared" si="1"/>
        <v>1</v>
      </c>
      <c r="J105" s="4">
        <f>IFERROR(__xludf.DUMMYFUNCTION("IFS(
ISBETWEEN(D105,F105,G105,TRUE,TRUE),1,
ISBETWEEN(E105,F105,G105,TRUE,TRUE),1,
ISBETWEEN(F105,D105,E105,TRUE,TRUE),1,
ISBETWEEN(G105,D105,E105,TRUE,TRUE),1,
1,0)"),1.0)</f>
        <v>1</v>
      </c>
    </row>
    <row r="106">
      <c r="A106" s="2" t="s">
        <v>106</v>
      </c>
      <c r="B106" s="3">
        <f>IFERROR(__xludf.DUMMYFUNCTION("SPLIT(A106,"","",)"),44654.0)</f>
        <v>44654</v>
      </c>
      <c r="C106" s="1" t="str">
        <f>IFERROR(__xludf.DUMMYFUNCTION("""COMPUTED_VALUE"""),"3-17")</f>
        <v>3-17</v>
      </c>
      <c r="D106" s="4">
        <f>IFERROR(__xludf.DUMMYFUNCTION("split(B106,""-"")"),3.0)</f>
        <v>3</v>
      </c>
      <c r="E106" s="4">
        <f>IFERROR(__xludf.DUMMYFUNCTION("""COMPUTED_VALUE"""),4.0)</f>
        <v>4</v>
      </c>
      <c r="F106" s="4">
        <f>IFERROR(__xludf.DUMMYFUNCTION("split(C106,""-"")"),3.0)</f>
        <v>3</v>
      </c>
      <c r="G106" s="4">
        <f>IFERROR(__xludf.DUMMYFUNCTION("""COMPUTED_VALUE"""),17.0)</f>
        <v>17</v>
      </c>
      <c r="H106" s="4">
        <f t="shared" si="1"/>
        <v>1</v>
      </c>
      <c r="J106" s="4">
        <f>IFERROR(__xludf.DUMMYFUNCTION("IFS(
ISBETWEEN(D106,F106,G106,TRUE,TRUE),1,
ISBETWEEN(E106,F106,G106,TRUE,TRUE),1,
ISBETWEEN(F106,D106,E106,TRUE,TRUE),1,
ISBETWEEN(G106,D106,E106,TRUE,TRUE),1,
1,0)"),1.0)</f>
        <v>1</v>
      </c>
    </row>
    <row r="107">
      <c r="A107" s="2" t="s">
        <v>107</v>
      </c>
      <c r="B107" s="1" t="str">
        <f>IFERROR(__xludf.DUMMYFUNCTION("SPLIT(A107,"","",)"),"48-54")</f>
        <v>48-54</v>
      </c>
      <c r="C107" s="1" t="str">
        <f>IFERROR(__xludf.DUMMYFUNCTION("""COMPUTED_VALUE"""),"39-40")</f>
        <v>39-40</v>
      </c>
      <c r="D107" s="4">
        <f>IFERROR(__xludf.DUMMYFUNCTION("split(B107,""-"")"),48.0)</f>
        <v>48</v>
      </c>
      <c r="E107" s="4">
        <f>IFERROR(__xludf.DUMMYFUNCTION("""COMPUTED_VALUE"""),54.0)</f>
        <v>54</v>
      </c>
      <c r="F107" s="4">
        <f>IFERROR(__xludf.DUMMYFUNCTION("split(C107,""-"")"),39.0)</f>
        <v>39</v>
      </c>
      <c r="G107" s="4">
        <f>IFERROR(__xludf.DUMMYFUNCTION("""COMPUTED_VALUE"""),40.0)</f>
        <v>40</v>
      </c>
      <c r="H107" s="4">
        <f t="shared" si="1"/>
        <v>0</v>
      </c>
      <c r="J107" s="4">
        <f>IFERROR(__xludf.DUMMYFUNCTION("IFS(
ISBETWEEN(D107,F107,G107,TRUE,TRUE),1,
ISBETWEEN(E107,F107,G107,TRUE,TRUE),1,
ISBETWEEN(F107,D107,E107,TRUE,TRUE),1,
ISBETWEEN(G107,D107,E107,TRUE,TRUE),1,
1,0)"),0.0)</f>
        <v>0</v>
      </c>
    </row>
    <row r="108">
      <c r="A108" s="2" t="s">
        <v>108</v>
      </c>
      <c r="B108" s="1" t="str">
        <f>IFERROR(__xludf.DUMMYFUNCTION("SPLIT(A108,"","",)"),"51-99")</f>
        <v>51-99</v>
      </c>
      <c r="C108" s="1" t="str">
        <f>IFERROR(__xludf.DUMMYFUNCTION("""COMPUTED_VALUE"""),"52-98")</f>
        <v>52-98</v>
      </c>
      <c r="D108" s="4">
        <f>IFERROR(__xludf.DUMMYFUNCTION("split(B108,""-"")"),51.0)</f>
        <v>51</v>
      </c>
      <c r="E108" s="4">
        <f>IFERROR(__xludf.DUMMYFUNCTION("""COMPUTED_VALUE"""),99.0)</f>
        <v>99</v>
      </c>
      <c r="F108" s="4">
        <f>IFERROR(__xludf.DUMMYFUNCTION("split(C108,""-"")"),52.0)</f>
        <v>52</v>
      </c>
      <c r="G108" s="4">
        <f>IFERROR(__xludf.DUMMYFUNCTION("""COMPUTED_VALUE"""),98.0)</f>
        <v>98</v>
      </c>
      <c r="H108" s="4">
        <f t="shared" si="1"/>
        <v>1</v>
      </c>
      <c r="J108" s="4">
        <f>IFERROR(__xludf.DUMMYFUNCTION("IFS(
ISBETWEEN(D108,F108,G108,TRUE,TRUE),1,
ISBETWEEN(E108,F108,G108,TRUE,TRUE),1,
ISBETWEEN(F108,D108,E108,TRUE,TRUE),1,
ISBETWEEN(G108,D108,E108,TRUE,TRUE),1,
1,0)"),1.0)</f>
        <v>1</v>
      </c>
    </row>
    <row r="109">
      <c r="A109" s="2" t="s">
        <v>109</v>
      </c>
      <c r="B109" s="3">
        <f>IFERROR(__xludf.DUMMYFUNCTION("SPLIT(A109,"","",)"),44844.0)</f>
        <v>44844</v>
      </c>
      <c r="C109" s="1" t="str">
        <f>IFERROR(__xludf.DUMMYFUNCTION("""COMPUTED_VALUE"""),"9-56")</f>
        <v>9-56</v>
      </c>
      <c r="D109" s="4">
        <f>IFERROR(__xludf.DUMMYFUNCTION("split(B109,""-"")"),10.0)</f>
        <v>10</v>
      </c>
      <c r="E109" s="4">
        <f>IFERROR(__xludf.DUMMYFUNCTION("""COMPUTED_VALUE"""),10.0)</f>
        <v>10</v>
      </c>
      <c r="F109" s="4">
        <f>IFERROR(__xludf.DUMMYFUNCTION("split(C109,""-"")"),9.0)</f>
        <v>9</v>
      </c>
      <c r="G109" s="4">
        <f>IFERROR(__xludf.DUMMYFUNCTION("""COMPUTED_VALUE"""),56.0)</f>
        <v>56</v>
      </c>
      <c r="H109" s="4">
        <f t="shared" si="1"/>
        <v>1</v>
      </c>
      <c r="J109" s="4">
        <f>IFERROR(__xludf.DUMMYFUNCTION("IFS(
ISBETWEEN(D109,F109,G109,TRUE,TRUE),1,
ISBETWEEN(E109,F109,G109,TRUE,TRUE),1,
ISBETWEEN(F109,D109,E109,TRUE,TRUE),1,
ISBETWEEN(G109,D109,E109,TRUE,TRUE),1,
1,0)"),1.0)</f>
        <v>1</v>
      </c>
    </row>
    <row r="110">
      <c r="A110" s="2" t="s">
        <v>110</v>
      </c>
      <c r="B110" s="1" t="str">
        <f>IFERROR(__xludf.DUMMYFUNCTION("SPLIT(A110,"","",)"),"70-75")</f>
        <v>70-75</v>
      </c>
      <c r="C110" s="1" t="str">
        <f>IFERROR(__xludf.DUMMYFUNCTION("""COMPUTED_VALUE"""),"71-71")</f>
        <v>71-71</v>
      </c>
      <c r="D110" s="4">
        <f>IFERROR(__xludf.DUMMYFUNCTION("split(B110,""-"")"),70.0)</f>
        <v>70</v>
      </c>
      <c r="E110" s="4">
        <f>IFERROR(__xludf.DUMMYFUNCTION("""COMPUTED_VALUE"""),75.0)</f>
        <v>75</v>
      </c>
      <c r="F110" s="4">
        <f>IFERROR(__xludf.DUMMYFUNCTION("split(C110,""-"")"),71.0)</f>
        <v>71</v>
      </c>
      <c r="G110" s="4">
        <f>IFERROR(__xludf.DUMMYFUNCTION("""COMPUTED_VALUE"""),71.0)</f>
        <v>71</v>
      </c>
      <c r="H110" s="4">
        <f t="shared" si="1"/>
        <v>1</v>
      </c>
      <c r="J110" s="4">
        <f>IFERROR(__xludf.DUMMYFUNCTION("IFS(
ISBETWEEN(D110,F110,G110,TRUE,TRUE),1,
ISBETWEEN(E110,F110,G110,TRUE,TRUE),1,
ISBETWEEN(F110,D110,E110,TRUE,TRUE),1,
ISBETWEEN(G110,D110,E110,TRUE,TRUE),1,
1,0)"),1.0)</f>
        <v>1</v>
      </c>
    </row>
    <row r="111">
      <c r="A111" s="2" t="s">
        <v>111</v>
      </c>
      <c r="B111" s="1" t="str">
        <f>IFERROR(__xludf.DUMMYFUNCTION("SPLIT(A111,"","",)"),"24-43")</f>
        <v>24-43</v>
      </c>
      <c r="C111" s="1" t="str">
        <f>IFERROR(__xludf.DUMMYFUNCTION("""COMPUTED_VALUE"""),"23-35")</f>
        <v>23-35</v>
      </c>
      <c r="D111" s="4">
        <f>IFERROR(__xludf.DUMMYFUNCTION("split(B111,""-"")"),24.0)</f>
        <v>24</v>
      </c>
      <c r="E111" s="4">
        <f>IFERROR(__xludf.DUMMYFUNCTION("""COMPUTED_VALUE"""),43.0)</f>
        <v>43</v>
      </c>
      <c r="F111" s="4">
        <f>IFERROR(__xludf.DUMMYFUNCTION("split(C111,""-"")"),23.0)</f>
        <v>23</v>
      </c>
      <c r="G111" s="4">
        <f>IFERROR(__xludf.DUMMYFUNCTION("""COMPUTED_VALUE"""),35.0)</f>
        <v>35</v>
      </c>
      <c r="H111" s="4">
        <f t="shared" si="1"/>
        <v>0</v>
      </c>
      <c r="J111" s="4">
        <f>IFERROR(__xludf.DUMMYFUNCTION("IFS(
ISBETWEEN(D111,F111,G111,TRUE,TRUE),1,
ISBETWEEN(E111,F111,G111,TRUE,TRUE),1,
ISBETWEEN(F111,D111,E111,TRUE,TRUE),1,
ISBETWEEN(G111,D111,E111,TRUE,TRUE),1,
1,0)"),1.0)</f>
        <v>1</v>
      </c>
    </row>
    <row r="112">
      <c r="A112" s="2" t="s">
        <v>112</v>
      </c>
      <c r="B112" s="1" t="str">
        <f>IFERROR(__xludf.DUMMYFUNCTION("SPLIT(A112,"","",)"),"41-83")</f>
        <v>41-83</v>
      </c>
      <c r="C112" s="1" t="str">
        <f>IFERROR(__xludf.DUMMYFUNCTION("""COMPUTED_VALUE"""),"40-83")</f>
        <v>40-83</v>
      </c>
      <c r="D112" s="4">
        <f>IFERROR(__xludf.DUMMYFUNCTION("split(B112,""-"")"),41.0)</f>
        <v>41</v>
      </c>
      <c r="E112" s="4">
        <f>IFERROR(__xludf.DUMMYFUNCTION("""COMPUTED_VALUE"""),83.0)</f>
        <v>83</v>
      </c>
      <c r="F112" s="4">
        <f>IFERROR(__xludf.DUMMYFUNCTION("split(C112,""-"")"),40.0)</f>
        <v>40</v>
      </c>
      <c r="G112" s="4">
        <f>IFERROR(__xludf.DUMMYFUNCTION("""COMPUTED_VALUE"""),83.0)</f>
        <v>83</v>
      </c>
      <c r="H112" s="4">
        <f t="shared" si="1"/>
        <v>1</v>
      </c>
      <c r="J112" s="4">
        <f>IFERROR(__xludf.DUMMYFUNCTION("IFS(
ISBETWEEN(D112,F112,G112,TRUE,TRUE),1,
ISBETWEEN(E112,F112,G112,TRUE,TRUE),1,
ISBETWEEN(F112,D112,E112,TRUE,TRUE),1,
ISBETWEEN(G112,D112,E112,TRUE,TRUE),1,
1,0)"),1.0)</f>
        <v>1</v>
      </c>
    </row>
    <row r="113">
      <c r="A113" s="2" t="s">
        <v>113</v>
      </c>
      <c r="B113" s="1" t="str">
        <f>IFERROR(__xludf.DUMMYFUNCTION("SPLIT(A113,"","",)"),"23-76")</f>
        <v>23-76</v>
      </c>
      <c r="C113" s="1" t="str">
        <f>IFERROR(__xludf.DUMMYFUNCTION("""COMPUTED_VALUE"""),"22-23")</f>
        <v>22-23</v>
      </c>
      <c r="D113" s="4">
        <f>IFERROR(__xludf.DUMMYFUNCTION("split(B113,""-"")"),23.0)</f>
        <v>23</v>
      </c>
      <c r="E113" s="4">
        <f>IFERROR(__xludf.DUMMYFUNCTION("""COMPUTED_VALUE"""),76.0)</f>
        <v>76</v>
      </c>
      <c r="F113" s="4">
        <f>IFERROR(__xludf.DUMMYFUNCTION("split(C113,""-"")"),22.0)</f>
        <v>22</v>
      </c>
      <c r="G113" s="4">
        <f>IFERROR(__xludf.DUMMYFUNCTION("""COMPUTED_VALUE"""),23.0)</f>
        <v>23</v>
      </c>
      <c r="H113" s="4">
        <f t="shared" si="1"/>
        <v>0</v>
      </c>
      <c r="J113" s="4">
        <f>IFERROR(__xludf.DUMMYFUNCTION("IFS(
ISBETWEEN(D113,F113,G113,TRUE,TRUE),1,
ISBETWEEN(E113,F113,G113,TRUE,TRUE),1,
ISBETWEEN(F113,D113,E113,TRUE,TRUE),1,
ISBETWEEN(G113,D113,E113,TRUE,TRUE),1,
1,0)"),1.0)</f>
        <v>1</v>
      </c>
    </row>
    <row r="114">
      <c r="A114" s="2" t="s">
        <v>114</v>
      </c>
      <c r="B114" s="1" t="str">
        <f>IFERROR(__xludf.DUMMYFUNCTION("SPLIT(A114,"","",)"),"29-60")</f>
        <v>29-60</v>
      </c>
      <c r="C114" s="1" t="str">
        <f>IFERROR(__xludf.DUMMYFUNCTION("""COMPUTED_VALUE"""),"13-37")</f>
        <v>13-37</v>
      </c>
      <c r="D114" s="4">
        <f>IFERROR(__xludf.DUMMYFUNCTION("split(B114,""-"")"),29.0)</f>
        <v>29</v>
      </c>
      <c r="E114" s="4">
        <f>IFERROR(__xludf.DUMMYFUNCTION("""COMPUTED_VALUE"""),60.0)</f>
        <v>60</v>
      </c>
      <c r="F114" s="4">
        <f>IFERROR(__xludf.DUMMYFUNCTION("split(C114,""-"")"),13.0)</f>
        <v>13</v>
      </c>
      <c r="G114" s="4">
        <f>IFERROR(__xludf.DUMMYFUNCTION("""COMPUTED_VALUE"""),37.0)</f>
        <v>37</v>
      </c>
      <c r="H114" s="4">
        <f t="shared" si="1"/>
        <v>0</v>
      </c>
      <c r="J114" s="4">
        <f>IFERROR(__xludf.DUMMYFUNCTION("IFS(
ISBETWEEN(D114,F114,G114,TRUE,TRUE),1,
ISBETWEEN(E114,F114,G114,TRUE,TRUE),1,
ISBETWEEN(F114,D114,E114,TRUE,TRUE),1,
ISBETWEEN(G114,D114,E114,TRUE,TRUE),1,
1,0)"),1.0)</f>
        <v>1</v>
      </c>
    </row>
    <row r="115">
      <c r="A115" s="2" t="s">
        <v>115</v>
      </c>
      <c r="B115" s="1" t="str">
        <f>IFERROR(__xludf.DUMMYFUNCTION("SPLIT(A115,"","",)"),"3-31")</f>
        <v>3-31</v>
      </c>
      <c r="C115" s="1" t="str">
        <f>IFERROR(__xludf.DUMMYFUNCTION("""COMPUTED_VALUE"""),"2-38")</f>
        <v>2-38</v>
      </c>
      <c r="D115" s="4">
        <f>IFERROR(__xludf.DUMMYFUNCTION("split(B115,""-"")"),3.0)</f>
        <v>3</v>
      </c>
      <c r="E115" s="4">
        <f>IFERROR(__xludf.DUMMYFUNCTION("""COMPUTED_VALUE"""),31.0)</f>
        <v>31</v>
      </c>
      <c r="F115" s="4">
        <f>IFERROR(__xludf.DUMMYFUNCTION("split(C115,""-"")"),2.0)</f>
        <v>2</v>
      </c>
      <c r="G115" s="4">
        <f>IFERROR(__xludf.DUMMYFUNCTION("""COMPUTED_VALUE"""),38.0)</f>
        <v>38</v>
      </c>
      <c r="H115" s="4">
        <f t="shared" si="1"/>
        <v>1</v>
      </c>
      <c r="J115" s="4">
        <f>IFERROR(__xludf.DUMMYFUNCTION("IFS(
ISBETWEEN(D115,F115,G115,TRUE,TRUE),1,
ISBETWEEN(E115,F115,G115,TRUE,TRUE),1,
ISBETWEEN(F115,D115,E115,TRUE,TRUE),1,
ISBETWEEN(G115,D115,E115,TRUE,TRUE),1,
1,0)"),1.0)</f>
        <v>1</v>
      </c>
    </row>
    <row r="116">
      <c r="A116" s="2" t="s">
        <v>116</v>
      </c>
      <c r="B116" s="1" t="str">
        <f>IFERROR(__xludf.DUMMYFUNCTION("SPLIT(A116,"","",)"),"34-48")</f>
        <v>34-48</v>
      </c>
      <c r="C116" s="1" t="str">
        <f>IFERROR(__xludf.DUMMYFUNCTION("""COMPUTED_VALUE"""),"26-47")</f>
        <v>26-47</v>
      </c>
      <c r="D116" s="4">
        <f>IFERROR(__xludf.DUMMYFUNCTION("split(B116,""-"")"),34.0)</f>
        <v>34</v>
      </c>
      <c r="E116" s="4">
        <f>IFERROR(__xludf.DUMMYFUNCTION("""COMPUTED_VALUE"""),48.0)</f>
        <v>48</v>
      </c>
      <c r="F116" s="4">
        <f>IFERROR(__xludf.DUMMYFUNCTION("split(C116,""-"")"),26.0)</f>
        <v>26</v>
      </c>
      <c r="G116" s="4">
        <f>IFERROR(__xludf.DUMMYFUNCTION("""COMPUTED_VALUE"""),47.0)</f>
        <v>47</v>
      </c>
      <c r="H116" s="4">
        <f t="shared" si="1"/>
        <v>0</v>
      </c>
      <c r="J116" s="4">
        <f>IFERROR(__xludf.DUMMYFUNCTION("IFS(
ISBETWEEN(D116,F116,G116,TRUE,TRUE),1,
ISBETWEEN(E116,F116,G116,TRUE,TRUE),1,
ISBETWEEN(F116,D116,E116,TRUE,TRUE),1,
ISBETWEEN(G116,D116,E116,TRUE,TRUE),1,
1,0)"),1.0)</f>
        <v>1</v>
      </c>
    </row>
    <row r="117">
      <c r="A117" s="2" t="s">
        <v>117</v>
      </c>
      <c r="B117" s="1" t="str">
        <f>IFERROR(__xludf.DUMMYFUNCTION("SPLIT(A117,"","",)"),"6-96")</f>
        <v>6-96</v>
      </c>
      <c r="C117" s="1" t="str">
        <f>IFERROR(__xludf.DUMMYFUNCTION("""COMPUTED_VALUE"""),"95-95")</f>
        <v>95-95</v>
      </c>
      <c r="D117" s="4">
        <f>IFERROR(__xludf.DUMMYFUNCTION("split(B117,""-"")"),6.0)</f>
        <v>6</v>
      </c>
      <c r="E117" s="4">
        <f>IFERROR(__xludf.DUMMYFUNCTION("""COMPUTED_VALUE"""),96.0)</f>
        <v>96</v>
      </c>
      <c r="F117" s="4">
        <f>IFERROR(__xludf.DUMMYFUNCTION("split(C117,""-"")"),95.0)</f>
        <v>95</v>
      </c>
      <c r="G117" s="4">
        <f>IFERROR(__xludf.DUMMYFUNCTION("""COMPUTED_VALUE"""),95.0)</f>
        <v>95</v>
      </c>
      <c r="H117" s="4">
        <f t="shared" si="1"/>
        <v>1</v>
      </c>
      <c r="J117" s="4">
        <f>IFERROR(__xludf.DUMMYFUNCTION("IFS(
ISBETWEEN(D117,F117,G117,TRUE,TRUE),1,
ISBETWEEN(E117,F117,G117,TRUE,TRUE),1,
ISBETWEEN(F117,D117,E117,TRUE,TRUE),1,
ISBETWEEN(G117,D117,E117,TRUE,TRUE),1,
1,0)"),1.0)</f>
        <v>1</v>
      </c>
    </row>
    <row r="118">
      <c r="A118" s="2" t="s">
        <v>118</v>
      </c>
      <c r="B118" s="1" t="str">
        <f>IFERROR(__xludf.DUMMYFUNCTION("SPLIT(A118,"","",)"),"94-99")</f>
        <v>94-99</v>
      </c>
      <c r="C118" s="1" t="str">
        <f>IFERROR(__xludf.DUMMYFUNCTION("""COMPUTED_VALUE"""),"98-98")</f>
        <v>98-98</v>
      </c>
      <c r="D118" s="4">
        <f>IFERROR(__xludf.DUMMYFUNCTION("split(B118,""-"")"),94.0)</f>
        <v>94</v>
      </c>
      <c r="E118" s="4">
        <f>IFERROR(__xludf.DUMMYFUNCTION("""COMPUTED_VALUE"""),99.0)</f>
        <v>99</v>
      </c>
      <c r="F118" s="4">
        <f>IFERROR(__xludf.DUMMYFUNCTION("split(C118,""-"")"),98.0)</f>
        <v>98</v>
      </c>
      <c r="G118" s="4">
        <f>IFERROR(__xludf.DUMMYFUNCTION("""COMPUTED_VALUE"""),98.0)</f>
        <v>98</v>
      </c>
      <c r="H118" s="4">
        <f t="shared" si="1"/>
        <v>1</v>
      </c>
      <c r="J118" s="4">
        <f>IFERROR(__xludf.DUMMYFUNCTION("IFS(
ISBETWEEN(D118,F118,G118,TRUE,TRUE),1,
ISBETWEEN(E118,F118,G118,TRUE,TRUE),1,
ISBETWEEN(F118,D118,E118,TRUE,TRUE),1,
ISBETWEEN(G118,D118,E118,TRUE,TRUE),1,
1,0)"),1.0)</f>
        <v>1</v>
      </c>
    </row>
    <row r="119">
      <c r="A119" s="2" t="s">
        <v>119</v>
      </c>
      <c r="B119" s="1" t="str">
        <f>IFERROR(__xludf.DUMMYFUNCTION("SPLIT(A119,"","",)"),"3-84")</f>
        <v>3-84</v>
      </c>
      <c r="C119" s="1" t="str">
        <f>IFERROR(__xludf.DUMMYFUNCTION("""COMPUTED_VALUE"""),"3-84")</f>
        <v>3-84</v>
      </c>
      <c r="D119" s="4">
        <f>IFERROR(__xludf.DUMMYFUNCTION("split(B119,""-"")"),3.0)</f>
        <v>3</v>
      </c>
      <c r="E119" s="4">
        <f>IFERROR(__xludf.DUMMYFUNCTION("""COMPUTED_VALUE"""),84.0)</f>
        <v>84</v>
      </c>
      <c r="F119" s="4">
        <f>IFERROR(__xludf.DUMMYFUNCTION("split(C119,""-"")"),3.0)</f>
        <v>3</v>
      </c>
      <c r="G119" s="4">
        <f>IFERROR(__xludf.DUMMYFUNCTION("""COMPUTED_VALUE"""),84.0)</f>
        <v>84</v>
      </c>
      <c r="H119" s="4">
        <f t="shared" si="1"/>
        <v>1</v>
      </c>
      <c r="J119" s="4">
        <f>IFERROR(__xludf.DUMMYFUNCTION("IFS(
ISBETWEEN(D119,F119,G119,TRUE,TRUE),1,
ISBETWEEN(E119,F119,G119,TRUE,TRUE),1,
ISBETWEEN(F119,D119,E119,TRUE,TRUE),1,
ISBETWEEN(G119,D119,E119,TRUE,TRUE),1,
1,0)"),1.0)</f>
        <v>1</v>
      </c>
    </row>
    <row r="120">
      <c r="A120" s="2" t="s">
        <v>120</v>
      </c>
      <c r="B120" s="1" t="str">
        <f>IFERROR(__xludf.DUMMYFUNCTION("SPLIT(A120,"","",)"),"7-62")</f>
        <v>7-62</v>
      </c>
      <c r="C120" s="1" t="str">
        <f>IFERROR(__xludf.DUMMYFUNCTION("""COMPUTED_VALUE"""),"61-62")</f>
        <v>61-62</v>
      </c>
      <c r="D120" s="4">
        <f>IFERROR(__xludf.DUMMYFUNCTION("split(B120,""-"")"),7.0)</f>
        <v>7</v>
      </c>
      <c r="E120" s="4">
        <f>IFERROR(__xludf.DUMMYFUNCTION("""COMPUTED_VALUE"""),62.0)</f>
        <v>62</v>
      </c>
      <c r="F120" s="4">
        <f>IFERROR(__xludf.DUMMYFUNCTION("split(C120,""-"")"),61.0)</f>
        <v>61</v>
      </c>
      <c r="G120" s="4">
        <f>IFERROR(__xludf.DUMMYFUNCTION("""COMPUTED_VALUE"""),62.0)</f>
        <v>62</v>
      </c>
      <c r="H120" s="4">
        <f t="shared" si="1"/>
        <v>1</v>
      </c>
      <c r="J120" s="4">
        <f>IFERROR(__xludf.DUMMYFUNCTION("IFS(
ISBETWEEN(D120,F120,G120,TRUE,TRUE),1,
ISBETWEEN(E120,F120,G120,TRUE,TRUE),1,
ISBETWEEN(F120,D120,E120,TRUE,TRUE),1,
ISBETWEEN(G120,D120,E120,TRUE,TRUE),1,
1,0)"),1.0)</f>
        <v>1</v>
      </c>
    </row>
    <row r="121">
      <c r="A121" s="2" t="s">
        <v>121</v>
      </c>
      <c r="B121" s="1" t="str">
        <f>IFERROR(__xludf.DUMMYFUNCTION("SPLIT(A121,"","",)"),"16-93")</f>
        <v>16-93</v>
      </c>
      <c r="C121" s="1" t="str">
        <f>IFERROR(__xludf.DUMMYFUNCTION("""COMPUTED_VALUE"""),"99-99")</f>
        <v>99-99</v>
      </c>
      <c r="D121" s="4">
        <f>IFERROR(__xludf.DUMMYFUNCTION("split(B121,""-"")"),16.0)</f>
        <v>16</v>
      </c>
      <c r="E121" s="4">
        <f>IFERROR(__xludf.DUMMYFUNCTION("""COMPUTED_VALUE"""),93.0)</f>
        <v>93</v>
      </c>
      <c r="F121" s="4">
        <f>IFERROR(__xludf.DUMMYFUNCTION("split(C121,""-"")"),99.0)</f>
        <v>99</v>
      </c>
      <c r="G121" s="4">
        <f>IFERROR(__xludf.DUMMYFUNCTION("""COMPUTED_VALUE"""),99.0)</f>
        <v>99</v>
      </c>
      <c r="H121" s="4">
        <f t="shared" si="1"/>
        <v>0</v>
      </c>
      <c r="J121" s="4">
        <f>IFERROR(__xludf.DUMMYFUNCTION("IFS(
ISBETWEEN(D121,F121,G121,TRUE,TRUE),1,
ISBETWEEN(E121,F121,G121,TRUE,TRUE),1,
ISBETWEEN(F121,D121,E121,TRUE,TRUE),1,
ISBETWEEN(G121,D121,E121,TRUE,TRUE),1,
1,0)"),0.0)</f>
        <v>0</v>
      </c>
    </row>
    <row r="122">
      <c r="A122" s="2" t="s">
        <v>122</v>
      </c>
      <c r="B122" s="1" t="str">
        <f>IFERROR(__xludf.DUMMYFUNCTION("SPLIT(A122,"","",)"),"68-84")</f>
        <v>68-84</v>
      </c>
      <c r="C122" s="1" t="str">
        <f>IFERROR(__xludf.DUMMYFUNCTION("""COMPUTED_VALUE"""),"67-92")</f>
        <v>67-92</v>
      </c>
      <c r="D122" s="4">
        <f>IFERROR(__xludf.DUMMYFUNCTION("split(B122,""-"")"),68.0)</f>
        <v>68</v>
      </c>
      <c r="E122" s="4">
        <f>IFERROR(__xludf.DUMMYFUNCTION("""COMPUTED_VALUE"""),84.0)</f>
        <v>84</v>
      </c>
      <c r="F122" s="4">
        <f>IFERROR(__xludf.DUMMYFUNCTION("split(C122,""-"")"),67.0)</f>
        <v>67</v>
      </c>
      <c r="G122" s="4">
        <f>IFERROR(__xludf.DUMMYFUNCTION("""COMPUTED_VALUE"""),92.0)</f>
        <v>92</v>
      </c>
      <c r="H122" s="4">
        <f t="shared" si="1"/>
        <v>1</v>
      </c>
      <c r="J122" s="4">
        <f>IFERROR(__xludf.DUMMYFUNCTION("IFS(
ISBETWEEN(D122,F122,G122,TRUE,TRUE),1,
ISBETWEEN(E122,F122,G122,TRUE,TRUE),1,
ISBETWEEN(F122,D122,E122,TRUE,TRUE),1,
ISBETWEEN(G122,D122,E122,TRUE,TRUE),1,
1,0)"),1.0)</f>
        <v>1</v>
      </c>
    </row>
    <row r="123">
      <c r="A123" s="2" t="s">
        <v>123</v>
      </c>
      <c r="B123" s="1" t="str">
        <f>IFERROR(__xludf.DUMMYFUNCTION("SPLIT(A123,"","",)"),"91-91")</f>
        <v>91-91</v>
      </c>
      <c r="C123" s="1" t="str">
        <f>IFERROR(__xludf.DUMMYFUNCTION("""COMPUTED_VALUE"""),"23-92")</f>
        <v>23-92</v>
      </c>
      <c r="D123" s="4">
        <f>IFERROR(__xludf.DUMMYFUNCTION("split(B123,""-"")"),91.0)</f>
        <v>91</v>
      </c>
      <c r="E123" s="4">
        <f>IFERROR(__xludf.DUMMYFUNCTION("""COMPUTED_VALUE"""),91.0)</f>
        <v>91</v>
      </c>
      <c r="F123" s="4">
        <f>IFERROR(__xludf.DUMMYFUNCTION("split(C123,""-"")"),23.0)</f>
        <v>23</v>
      </c>
      <c r="G123" s="4">
        <f>IFERROR(__xludf.DUMMYFUNCTION("""COMPUTED_VALUE"""),92.0)</f>
        <v>92</v>
      </c>
      <c r="H123" s="4">
        <f t="shared" si="1"/>
        <v>1</v>
      </c>
      <c r="J123" s="4">
        <f>IFERROR(__xludf.DUMMYFUNCTION("IFS(
ISBETWEEN(D123,F123,G123,TRUE,TRUE),1,
ISBETWEEN(E123,F123,G123,TRUE,TRUE),1,
ISBETWEEN(F123,D123,E123,TRUE,TRUE),1,
ISBETWEEN(G123,D123,E123,TRUE,TRUE),1,
1,0)"),1.0)</f>
        <v>1</v>
      </c>
    </row>
    <row r="124">
      <c r="A124" s="2" t="s">
        <v>124</v>
      </c>
      <c r="B124" s="1" t="str">
        <f>IFERROR(__xludf.DUMMYFUNCTION("SPLIT(A124,"","",)"),"56-81")</f>
        <v>56-81</v>
      </c>
      <c r="C124" s="1" t="str">
        <f>IFERROR(__xludf.DUMMYFUNCTION("""COMPUTED_VALUE"""),"61-82")</f>
        <v>61-82</v>
      </c>
      <c r="D124" s="4">
        <f>IFERROR(__xludf.DUMMYFUNCTION("split(B124,""-"")"),56.0)</f>
        <v>56</v>
      </c>
      <c r="E124" s="4">
        <f>IFERROR(__xludf.DUMMYFUNCTION("""COMPUTED_VALUE"""),81.0)</f>
        <v>81</v>
      </c>
      <c r="F124" s="4">
        <f>IFERROR(__xludf.DUMMYFUNCTION("split(C124,""-"")"),61.0)</f>
        <v>61</v>
      </c>
      <c r="G124" s="4">
        <f>IFERROR(__xludf.DUMMYFUNCTION("""COMPUTED_VALUE"""),82.0)</f>
        <v>82</v>
      </c>
      <c r="H124" s="4">
        <f t="shared" si="1"/>
        <v>0</v>
      </c>
      <c r="J124" s="4">
        <f>IFERROR(__xludf.DUMMYFUNCTION("IFS(
ISBETWEEN(D124,F124,G124,TRUE,TRUE),1,
ISBETWEEN(E124,F124,G124,TRUE,TRUE),1,
ISBETWEEN(F124,D124,E124,TRUE,TRUE),1,
ISBETWEEN(G124,D124,E124,TRUE,TRUE),1,
1,0)"),1.0)</f>
        <v>1</v>
      </c>
    </row>
    <row r="125">
      <c r="A125" s="2" t="s">
        <v>125</v>
      </c>
      <c r="B125" s="1" t="str">
        <f>IFERROR(__xludf.DUMMYFUNCTION("SPLIT(A125,"","",)"),"93-94")</f>
        <v>93-94</v>
      </c>
      <c r="C125" s="1" t="str">
        <f>IFERROR(__xludf.DUMMYFUNCTION("""COMPUTED_VALUE"""),"44-95")</f>
        <v>44-95</v>
      </c>
      <c r="D125" s="4">
        <f>IFERROR(__xludf.DUMMYFUNCTION("split(B125,""-"")"),93.0)</f>
        <v>93</v>
      </c>
      <c r="E125" s="4">
        <f>IFERROR(__xludf.DUMMYFUNCTION("""COMPUTED_VALUE"""),94.0)</f>
        <v>94</v>
      </c>
      <c r="F125" s="4">
        <f>IFERROR(__xludf.DUMMYFUNCTION("split(C125,""-"")"),44.0)</f>
        <v>44</v>
      </c>
      <c r="G125" s="4">
        <f>IFERROR(__xludf.DUMMYFUNCTION("""COMPUTED_VALUE"""),95.0)</f>
        <v>95</v>
      </c>
      <c r="H125" s="4">
        <f t="shared" si="1"/>
        <v>1</v>
      </c>
      <c r="J125" s="4">
        <f>IFERROR(__xludf.DUMMYFUNCTION("IFS(
ISBETWEEN(D125,F125,G125,TRUE,TRUE),1,
ISBETWEEN(E125,F125,G125,TRUE,TRUE),1,
ISBETWEEN(F125,D125,E125,TRUE,TRUE),1,
ISBETWEEN(G125,D125,E125,TRUE,TRUE),1,
1,0)"),1.0)</f>
        <v>1</v>
      </c>
    </row>
    <row r="126">
      <c r="A126" s="2" t="s">
        <v>126</v>
      </c>
      <c r="B126" s="1" t="str">
        <f>IFERROR(__xludf.DUMMYFUNCTION("SPLIT(A126,"","",)"),"24-52")</f>
        <v>24-52</v>
      </c>
      <c r="C126" s="1" t="str">
        <f>IFERROR(__xludf.DUMMYFUNCTION("""COMPUTED_VALUE"""),"48-58")</f>
        <v>48-58</v>
      </c>
      <c r="D126" s="4">
        <f>IFERROR(__xludf.DUMMYFUNCTION("split(B126,""-"")"),24.0)</f>
        <v>24</v>
      </c>
      <c r="E126" s="4">
        <f>IFERROR(__xludf.DUMMYFUNCTION("""COMPUTED_VALUE"""),52.0)</f>
        <v>52</v>
      </c>
      <c r="F126" s="4">
        <f>IFERROR(__xludf.DUMMYFUNCTION("split(C126,""-"")"),48.0)</f>
        <v>48</v>
      </c>
      <c r="G126" s="4">
        <f>IFERROR(__xludf.DUMMYFUNCTION("""COMPUTED_VALUE"""),58.0)</f>
        <v>58</v>
      </c>
      <c r="H126" s="4">
        <f t="shared" si="1"/>
        <v>0</v>
      </c>
      <c r="J126" s="4">
        <f>IFERROR(__xludf.DUMMYFUNCTION("IFS(
ISBETWEEN(D126,F126,G126,TRUE,TRUE),1,
ISBETWEEN(E126,F126,G126,TRUE,TRUE),1,
ISBETWEEN(F126,D126,E126,TRUE,TRUE),1,
ISBETWEEN(G126,D126,E126,TRUE,TRUE),1,
1,0)"),1.0)</f>
        <v>1</v>
      </c>
    </row>
    <row r="127">
      <c r="A127" s="2" t="s">
        <v>127</v>
      </c>
      <c r="B127" s="1" t="str">
        <f>IFERROR(__xludf.DUMMYFUNCTION("SPLIT(A127,"","",)"),"4-81")</f>
        <v>4-81</v>
      </c>
      <c r="C127" s="3">
        <f>IFERROR(__xludf.DUMMYFUNCTION("""COMPUTED_VALUE"""),44683.0)</f>
        <v>44683</v>
      </c>
      <c r="D127" s="4">
        <f>IFERROR(__xludf.DUMMYFUNCTION("split(B127,""-"")"),4.0)</f>
        <v>4</v>
      </c>
      <c r="E127" s="4">
        <f>IFERROR(__xludf.DUMMYFUNCTION("""COMPUTED_VALUE"""),81.0)</f>
        <v>81</v>
      </c>
      <c r="F127" s="4">
        <f>IFERROR(__xludf.DUMMYFUNCTION("split(C127,""-"")"),2.0)</f>
        <v>2</v>
      </c>
      <c r="G127" s="4">
        <f>IFERROR(__xludf.DUMMYFUNCTION("""COMPUTED_VALUE"""),5.0)</f>
        <v>5</v>
      </c>
      <c r="H127" s="4">
        <f t="shared" si="1"/>
        <v>0</v>
      </c>
      <c r="J127" s="4">
        <f>IFERROR(__xludf.DUMMYFUNCTION("IFS(
ISBETWEEN(D127,F127,G127,TRUE,TRUE),1,
ISBETWEEN(E127,F127,G127,TRUE,TRUE),1,
ISBETWEEN(F127,D127,E127,TRUE,TRUE),1,
ISBETWEEN(G127,D127,E127,TRUE,TRUE),1,
1,0)"),1.0)</f>
        <v>1</v>
      </c>
    </row>
    <row r="128">
      <c r="A128" s="2" t="s">
        <v>128</v>
      </c>
      <c r="B128" s="1" t="str">
        <f>IFERROR(__xludf.DUMMYFUNCTION("SPLIT(A128,"","",)"),"26-73")</f>
        <v>26-73</v>
      </c>
      <c r="C128" s="1" t="str">
        <f>IFERROR(__xludf.DUMMYFUNCTION("""COMPUTED_VALUE"""),"27-74")</f>
        <v>27-74</v>
      </c>
      <c r="D128" s="4">
        <f>IFERROR(__xludf.DUMMYFUNCTION("split(B128,""-"")"),26.0)</f>
        <v>26</v>
      </c>
      <c r="E128" s="4">
        <f>IFERROR(__xludf.DUMMYFUNCTION("""COMPUTED_VALUE"""),73.0)</f>
        <v>73</v>
      </c>
      <c r="F128" s="4">
        <f>IFERROR(__xludf.DUMMYFUNCTION("split(C128,""-"")"),27.0)</f>
        <v>27</v>
      </c>
      <c r="G128" s="4">
        <f>IFERROR(__xludf.DUMMYFUNCTION("""COMPUTED_VALUE"""),74.0)</f>
        <v>74</v>
      </c>
      <c r="H128" s="4">
        <f t="shared" si="1"/>
        <v>0</v>
      </c>
      <c r="J128" s="4">
        <f>IFERROR(__xludf.DUMMYFUNCTION("IFS(
ISBETWEEN(D128,F128,G128,TRUE,TRUE),1,
ISBETWEEN(E128,F128,G128,TRUE,TRUE),1,
ISBETWEEN(F128,D128,E128,TRUE,TRUE),1,
ISBETWEEN(G128,D128,E128,TRUE,TRUE),1,
1,0)"),1.0)</f>
        <v>1</v>
      </c>
    </row>
    <row r="129">
      <c r="A129" s="2" t="s">
        <v>129</v>
      </c>
      <c r="B129" s="1" t="str">
        <f>IFERROR(__xludf.DUMMYFUNCTION("SPLIT(A129,"","",)"),"3-95")</f>
        <v>3-95</v>
      </c>
      <c r="C129" s="1" t="str">
        <f>IFERROR(__xludf.DUMMYFUNCTION("""COMPUTED_VALUE"""),"3-96")</f>
        <v>3-96</v>
      </c>
      <c r="D129" s="4">
        <f>IFERROR(__xludf.DUMMYFUNCTION("split(B129,""-"")"),3.0)</f>
        <v>3</v>
      </c>
      <c r="E129" s="4">
        <f>IFERROR(__xludf.DUMMYFUNCTION("""COMPUTED_VALUE"""),95.0)</f>
        <v>95</v>
      </c>
      <c r="F129" s="4">
        <f>IFERROR(__xludf.DUMMYFUNCTION("split(C129,""-"")"),3.0)</f>
        <v>3</v>
      </c>
      <c r="G129" s="4">
        <f>IFERROR(__xludf.DUMMYFUNCTION("""COMPUTED_VALUE"""),96.0)</f>
        <v>96</v>
      </c>
      <c r="H129" s="4">
        <f t="shared" si="1"/>
        <v>1</v>
      </c>
      <c r="J129" s="4">
        <f>IFERROR(__xludf.DUMMYFUNCTION("IFS(
ISBETWEEN(D129,F129,G129,TRUE,TRUE),1,
ISBETWEEN(E129,F129,G129,TRUE,TRUE),1,
ISBETWEEN(F129,D129,E129,TRUE,TRUE),1,
ISBETWEEN(G129,D129,E129,TRUE,TRUE),1,
1,0)"),1.0)</f>
        <v>1</v>
      </c>
    </row>
    <row r="130">
      <c r="A130" s="2" t="s">
        <v>130</v>
      </c>
      <c r="B130" s="1" t="str">
        <f>IFERROR(__xludf.DUMMYFUNCTION("SPLIT(A130,"","",)"),"10-84")</f>
        <v>10-84</v>
      </c>
      <c r="C130" s="1" t="str">
        <f>IFERROR(__xludf.DUMMYFUNCTION("""COMPUTED_VALUE"""),"1-60")</f>
        <v>1-60</v>
      </c>
      <c r="D130" s="4">
        <f>IFERROR(__xludf.DUMMYFUNCTION("split(B130,""-"")"),10.0)</f>
        <v>10</v>
      </c>
      <c r="E130" s="4">
        <f>IFERROR(__xludf.DUMMYFUNCTION("""COMPUTED_VALUE"""),84.0)</f>
        <v>84</v>
      </c>
      <c r="F130" s="4">
        <f>IFERROR(__xludf.DUMMYFUNCTION("split(C130,""-"")"),1.0)</f>
        <v>1</v>
      </c>
      <c r="G130" s="4">
        <f>IFERROR(__xludf.DUMMYFUNCTION("""COMPUTED_VALUE"""),60.0)</f>
        <v>60</v>
      </c>
      <c r="H130" s="4">
        <f t="shared" si="1"/>
        <v>0</v>
      </c>
      <c r="J130" s="4">
        <f>IFERROR(__xludf.DUMMYFUNCTION("IFS(
ISBETWEEN(D130,F130,G130,TRUE,TRUE),1,
ISBETWEEN(E130,F130,G130,TRUE,TRUE),1,
ISBETWEEN(F130,D130,E130,TRUE,TRUE),1,
ISBETWEEN(G130,D130,E130,TRUE,TRUE),1,
1,0)"),1.0)</f>
        <v>1</v>
      </c>
    </row>
    <row r="131">
      <c r="A131" s="2" t="s">
        <v>131</v>
      </c>
      <c r="B131" s="1" t="str">
        <f>IFERROR(__xludf.DUMMYFUNCTION("SPLIT(A131,"","",)"),"15-17")</f>
        <v>15-17</v>
      </c>
      <c r="C131" s="1" t="str">
        <f>IFERROR(__xludf.DUMMYFUNCTION("""COMPUTED_VALUE"""),"13-17")</f>
        <v>13-17</v>
      </c>
      <c r="D131" s="4">
        <f>IFERROR(__xludf.DUMMYFUNCTION("split(B131,""-"")"),15.0)</f>
        <v>15</v>
      </c>
      <c r="E131" s="4">
        <f>IFERROR(__xludf.DUMMYFUNCTION("""COMPUTED_VALUE"""),17.0)</f>
        <v>17</v>
      </c>
      <c r="F131" s="4">
        <f>IFERROR(__xludf.DUMMYFUNCTION("split(C131,""-"")"),13.0)</f>
        <v>13</v>
      </c>
      <c r="G131" s="4">
        <f>IFERROR(__xludf.DUMMYFUNCTION("""COMPUTED_VALUE"""),17.0)</f>
        <v>17</v>
      </c>
      <c r="H131" s="4">
        <f t="shared" si="1"/>
        <v>1</v>
      </c>
      <c r="J131" s="4">
        <f>IFERROR(__xludf.DUMMYFUNCTION("IFS(
ISBETWEEN(D131,F131,G131,TRUE,TRUE),1,
ISBETWEEN(E131,F131,G131,TRUE,TRUE),1,
ISBETWEEN(F131,D131,E131,TRUE,TRUE),1,
ISBETWEEN(G131,D131,E131,TRUE,TRUE),1,
1,0)"),1.0)</f>
        <v>1</v>
      </c>
    </row>
    <row r="132">
      <c r="A132" s="2" t="s">
        <v>132</v>
      </c>
      <c r="B132" s="1" t="str">
        <f>IFERROR(__xludf.DUMMYFUNCTION("SPLIT(A132,"","",)"),"18-88")</f>
        <v>18-88</v>
      </c>
      <c r="C132" s="1" t="str">
        <f>IFERROR(__xludf.DUMMYFUNCTION("""COMPUTED_VALUE"""),"3-89")</f>
        <v>3-89</v>
      </c>
      <c r="D132" s="4">
        <f>IFERROR(__xludf.DUMMYFUNCTION("split(B132,""-"")"),18.0)</f>
        <v>18</v>
      </c>
      <c r="E132" s="4">
        <f>IFERROR(__xludf.DUMMYFUNCTION("""COMPUTED_VALUE"""),88.0)</f>
        <v>88</v>
      </c>
      <c r="F132" s="4">
        <f>IFERROR(__xludf.DUMMYFUNCTION("split(C132,""-"")"),3.0)</f>
        <v>3</v>
      </c>
      <c r="G132" s="4">
        <f>IFERROR(__xludf.DUMMYFUNCTION("""COMPUTED_VALUE"""),89.0)</f>
        <v>89</v>
      </c>
      <c r="H132" s="4">
        <f t="shared" si="1"/>
        <v>1</v>
      </c>
      <c r="J132" s="4">
        <f>IFERROR(__xludf.DUMMYFUNCTION("IFS(
ISBETWEEN(D132,F132,G132,TRUE,TRUE),1,
ISBETWEEN(E132,F132,G132,TRUE,TRUE),1,
ISBETWEEN(F132,D132,E132,TRUE,TRUE),1,
ISBETWEEN(G132,D132,E132,TRUE,TRUE),1,
1,0)"),1.0)</f>
        <v>1</v>
      </c>
    </row>
    <row r="133">
      <c r="A133" s="2" t="s">
        <v>133</v>
      </c>
      <c r="B133" s="1" t="str">
        <f>IFERROR(__xludf.DUMMYFUNCTION("SPLIT(A133,"","",)"),"62-73")</f>
        <v>62-73</v>
      </c>
      <c r="C133" s="1" t="str">
        <f>IFERROR(__xludf.DUMMYFUNCTION("""COMPUTED_VALUE"""),"27-72")</f>
        <v>27-72</v>
      </c>
      <c r="D133" s="4">
        <f>IFERROR(__xludf.DUMMYFUNCTION("split(B133,""-"")"),62.0)</f>
        <v>62</v>
      </c>
      <c r="E133" s="4">
        <f>IFERROR(__xludf.DUMMYFUNCTION("""COMPUTED_VALUE"""),73.0)</f>
        <v>73</v>
      </c>
      <c r="F133" s="4">
        <f>IFERROR(__xludf.DUMMYFUNCTION("split(C133,""-"")"),27.0)</f>
        <v>27</v>
      </c>
      <c r="G133" s="4">
        <f>IFERROR(__xludf.DUMMYFUNCTION("""COMPUTED_VALUE"""),72.0)</f>
        <v>72</v>
      </c>
      <c r="H133" s="4">
        <f t="shared" si="1"/>
        <v>0</v>
      </c>
      <c r="J133" s="4">
        <f>IFERROR(__xludf.DUMMYFUNCTION("IFS(
ISBETWEEN(D133,F133,G133,TRUE,TRUE),1,
ISBETWEEN(E133,F133,G133,TRUE,TRUE),1,
ISBETWEEN(F133,D133,E133,TRUE,TRUE),1,
ISBETWEEN(G133,D133,E133,TRUE,TRUE),1,
1,0)"),1.0)</f>
        <v>1</v>
      </c>
    </row>
    <row r="134">
      <c r="A134" s="2" t="s">
        <v>134</v>
      </c>
      <c r="B134" s="3">
        <f>IFERROR(__xludf.DUMMYFUNCTION("SPLIT(A134,"","",)"),44907.0)</f>
        <v>44907</v>
      </c>
      <c r="C134" s="1" t="str">
        <f>IFERROR(__xludf.DUMMYFUNCTION("""COMPUTED_VALUE"""),"11-97")</f>
        <v>11-97</v>
      </c>
      <c r="D134" s="4">
        <f>IFERROR(__xludf.DUMMYFUNCTION("split(B134,""-"")"),12.0)</f>
        <v>12</v>
      </c>
      <c r="E134" s="4">
        <f>IFERROR(__xludf.DUMMYFUNCTION("""COMPUTED_VALUE"""),12.0)</f>
        <v>12</v>
      </c>
      <c r="F134" s="4">
        <f>IFERROR(__xludf.DUMMYFUNCTION("split(C134,""-"")"),11.0)</f>
        <v>11</v>
      </c>
      <c r="G134" s="4">
        <f>IFERROR(__xludf.DUMMYFUNCTION("""COMPUTED_VALUE"""),97.0)</f>
        <v>97</v>
      </c>
      <c r="H134" s="4">
        <f t="shared" si="1"/>
        <v>1</v>
      </c>
      <c r="J134" s="4">
        <f>IFERROR(__xludf.DUMMYFUNCTION("IFS(
ISBETWEEN(D134,F134,G134,TRUE,TRUE),1,
ISBETWEEN(E134,F134,G134,TRUE,TRUE),1,
ISBETWEEN(F134,D134,E134,TRUE,TRUE),1,
ISBETWEEN(G134,D134,E134,TRUE,TRUE),1,
1,0)"),1.0)</f>
        <v>1</v>
      </c>
    </row>
    <row r="135">
      <c r="A135" s="2" t="s">
        <v>135</v>
      </c>
      <c r="B135" s="1" t="str">
        <f>IFERROR(__xludf.DUMMYFUNCTION("SPLIT(A135,"","",)"),"9-27")</f>
        <v>9-27</v>
      </c>
      <c r="C135" s="1" t="str">
        <f>IFERROR(__xludf.DUMMYFUNCTION("""COMPUTED_VALUE"""),"27-43")</f>
        <v>27-43</v>
      </c>
      <c r="D135" s="4">
        <f>IFERROR(__xludf.DUMMYFUNCTION("split(B135,""-"")"),9.0)</f>
        <v>9</v>
      </c>
      <c r="E135" s="4">
        <f>IFERROR(__xludf.DUMMYFUNCTION("""COMPUTED_VALUE"""),27.0)</f>
        <v>27</v>
      </c>
      <c r="F135" s="4">
        <f>IFERROR(__xludf.DUMMYFUNCTION("split(C135,""-"")"),27.0)</f>
        <v>27</v>
      </c>
      <c r="G135" s="4">
        <f>IFERROR(__xludf.DUMMYFUNCTION("""COMPUTED_VALUE"""),43.0)</f>
        <v>43</v>
      </c>
      <c r="H135" s="4">
        <f t="shared" si="1"/>
        <v>0</v>
      </c>
      <c r="J135" s="4">
        <f>IFERROR(__xludf.DUMMYFUNCTION("IFS(
ISBETWEEN(D135,F135,G135,TRUE,TRUE),1,
ISBETWEEN(E135,F135,G135,TRUE,TRUE),1,
ISBETWEEN(F135,D135,E135,TRUE,TRUE),1,
ISBETWEEN(G135,D135,E135,TRUE,TRUE),1,
1,0)"),1.0)</f>
        <v>1</v>
      </c>
    </row>
    <row r="136">
      <c r="A136" s="2" t="s">
        <v>136</v>
      </c>
      <c r="B136" s="1" t="str">
        <f>IFERROR(__xludf.DUMMYFUNCTION("SPLIT(A136,"","",)"),"1-62")</f>
        <v>1-62</v>
      </c>
      <c r="C136" s="3">
        <f>IFERROR(__xludf.DUMMYFUNCTION("""COMPUTED_VALUE"""),44562.0)</f>
        <v>44562</v>
      </c>
      <c r="D136" s="4">
        <f>IFERROR(__xludf.DUMMYFUNCTION("split(B136,""-"")"),1.0)</f>
        <v>1</v>
      </c>
      <c r="E136" s="4">
        <f>IFERROR(__xludf.DUMMYFUNCTION("""COMPUTED_VALUE"""),62.0)</f>
        <v>62</v>
      </c>
      <c r="F136" s="4">
        <f>IFERROR(__xludf.DUMMYFUNCTION("split(C136,""-"")"),1.0)</f>
        <v>1</v>
      </c>
      <c r="G136" s="4">
        <f>IFERROR(__xludf.DUMMYFUNCTION("""COMPUTED_VALUE"""),1.0)</f>
        <v>1</v>
      </c>
      <c r="H136" s="4">
        <f t="shared" si="1"/>
        <v>1</v>
      </c>
      <c r="J136" s="4">
        <f>IFERROR(__xludf.DUMMYFUNCTION("IFS(
ISBETWEEN(D136,F136,G136,TRUE,TRUE),1,
ISBETWEEN(E136,F136,G136,TRUE,TRUE),1,
ISBETWEEN(F136,D136,E136,TRUE,TRUE),1,
ISBETWEEN(G136,D136,E136,TRUE,TRUE),1,
1,0)"),1.0)</f>
        <v>1</v>
      </c>
    </row>
    <row r="137">
      <c r="A137" s="2" t="s">
        <v>137</v>
      </c>
      <c r="B137" s="1" t="str">
        <f>IFERROR(__xludf.DUMMYFUNCTION("SPLIT(A137,"","",)"),"94-95")</f>
        <v>94-95</v>
      </c>
      <c r="C137" s="1" t="str">
        <f>IFERROR(__xludf.DUMMYFUNCTION("""COMPUTED_VALUE"""),"82-92")</f>
        <v>82-92</v>
      </c>
      <c r="D137" s="4">
        <f>IFERROR(__xludf.DUMMYFUNCTION("split(B137,""-"")"),94.0)</f>
        <v>94</v>
      </c>
      <c r="E137" s="4">
        <f>IFERROR(__xludf.DUMMYFUNCTION("""COMPUTED_VALUE"""),95.0)</f>
        <v>95</v>
      </c>
      <c r="F137" s="4">
        <f>IFERROR(__xludf.DUMMYFUNCTION("split(C137,""-"")"),82.0)</f>
        <v>82</v>
      </c>
      <c r="G137" s="4">
        <f>IFERROR(__xludf.DUMMYFUNCTION("""COMPUTED_VALUE"""),92.0)</f>
        <v>92</v>
      </c>
      <c r="H137" s="4">
        <f t="shared" si="1"/>
        <v>0</v>
      </c>
      <c r="J137" s="4">
        <f>IFERROR(__xludf.DUMMYFUNCTION("IFS(
ISBETWEEN(D137,F137,G137,TRUE,TRUE),1,
ISBETWEEN(E137,F137,G137,TRUE,TRUE),1,
ISBETWEEN(F137,D137,E137,TRUE,TRUE),1,
ISBETWEEN(G137,D137,E137,TRUE,TRUE),1,
1,0)"),0.0)</f>
        <v>0</v>
      </c>
    </row>
    <row r="138">
      <c r="A138" s="2" t="s">
        <v>138</v>
      </c>
      <c r="B138" s="1" t="str">
        <f>IFERROR(__xludf.DUMMYFUNCTION("SPLIT(A138,"","",)"),"28-89")</f>
        <v>28-89</v>
      </c>
      <c r="C138" s="1" t="str">
        <f>IFERROR(__xludf.DUMMYFUNCTION("""COMPUTED_VALUE"""),"89-90")</f>
        <v>89-90</v>
      </c>
      <c r="D138" s="4">
        <f>IFERROR(__xludf.DUMMYFUNCTION("split(B138,""-"")"),28.0)</f>
        <v>28</v>
      </c>
      <c r="E138" s="4">
        <f>IFERROR(__xludf.DUMMYFUNCTION("""COMPUTED_VALUE"""),89.0)</f>
        <v>89</v>
      </c>
      <c r="F138" s="4">
        <f>IFERROR(__xludf.DUMMYFUNCTION("split(C138,""-"")"),89.0)</f>
        <v>89</v>
      </c>
      <c r="G138" s="4">
        <f>IFERROR(__xludf.DUMMYFUNCTION("""COMPUTED_VALUE"""),90.0)</f>
        <v>90</v>
      </c>
      <c r="H138" s="4">
        <f t="shared" si="1"/>
        <v>0</v>
      </c>
      <c r="J138" s="4">
        <f>IFERROR(__xludf.DUMMYFUNCTION("IFS(
ISBETWEEN(D138,F138,G138,TRUE,TRUE),1,
ISBETWEEN(E138,F138,G138,TRUE,TRUE),1,
ISBETWEEN(F138,D138,E138,TRUE,TRUE),1,
ISBETWEEN(G138,D138,E138,TRUE,TRUE),1,
1,0)"),1.0)</f>
        <v>1</v>
      </c>
    </row>
    <row r="139">
      <c r="A139" s="2" t="s">
        <v>139</v>
      </c>
      <c r="B139" s="1" t="str">
        <f>IFERROR(__xludf.DUMMYFUNCTION("SPLIT(A139,"","",)"),"33-36")</f>
        <v>33-36</v>
      </c>
      <c r="C139" s="1" t="str">
        <f>IFERROR(__xludf.DUMMYFUNCTION("""COMPUTED_VALUE"""),"19-24")</f>
        <v>19-24</v>
      </c>
      <c r="D139" s="4">
        <f>IFERROR(__xludf.DUMMYFUNCTION("split(B139,""-"")"),33.0)</f>
        <v>33</v>
      </c>
      <c r="E139" s="4">
        <f>IFERROR(__xludf.DUMMYFUNCTION("""COMPUTED_VALUE"""),36.0)</f>
        <v>36</v>
      </c>
      <c r="F139" s="4">
        <f>IFERROR(__xludf.DUMMYFUNCTION("split(C139,""-"")"),19.0)</f>
        <v>19</v>
      </c>
      <c r="G139" s="4">
        <f>IFERROR(__xludf.DUMMYFUNCTION("""COMPUTED_VALUE"""),24.0)</f>
        <v>24</v>
      </c>
      <c r="H139" s="4">
        <f t="shared" si="1"/>
        <v>0</v>
      </c>
      <c r="J139" s="4">
        <f>IFERROR(__xludf.DUMMYFUNCTION("IFS(
ISBETWEEN(D139,F139,G139,TRUE,TRUE),1,
ISBETWEEN(E139,F139,G139,TRUE,TRUE),1,
ISBETWEEN(F139,D139,E139,TRUE,TRUE),1,
ISBETWEEN(G139,D139,E139,TRUE,TRUE),1,
1,0)"),0.0)</f>
        <v>0</v>
      </c>
    </row>
    <row r="140">
      <c r="A140" s="2" t="s">
        <v>140</v>
      </c>
      <c r="B140" s="1" t="str">
        <f>IFERROR(__xludf.DUMMYFUNCTION("SPLIT(A140,"","",)"),"14-41")</f>
        <v>14-41</v>
      </c>
      <c r="C140" s="1" t="str">
        <f>IFERROR(__xludf.DUMMYFUNCTION("""COMPUTED_VALUE"""),"13-42")</f>
        <v>13-42</v>
      </c>
      <c r="D140" s="4">
        <f>IFERROR(__xludf.DUMMYFUNCTION("split(B140,""-"")"),14.0)</f>
        <v>14</v>
      </c>
      <c r="E140" s="4">
        <f>IFERROR(__xludf.DUMMYFUNCTION("""COMPUTED_VALUE"""),41.0)</f>
        <v>41</v>
      </c>
      <c r="F140" s="4">
        <f>IFERROR(__xludf.DUMMYFUNCTION("split(C140,""-"")"),13.0)</f>
        <v>13</v>
      </c>
      <c r="G140" s="4">
        <f>IFERROR(__xludf.DUMMYFUNCTION("""COMPUTED_VALUE"""),42.0)</f>
        <v>42</v>
      </c>
      <c r="H140" s="4">
        <f t="shared" si="1"/>
        <v>1</v>
      </c>
      <c r="J140" s="4">
        <f>IFERROR(__xludf.DUMMYFUNCTION("IFS(
ISBETWEEN(D140,F140,G140,TRUE,TRUE),1,
ISBETWEEN(E140,F140,G140,TRUE,TRUE),1,
ISBETWEEN(F140,D140,E140,TRUE,TRUE),1,
ISBETWEEN(G140,D140,E140,TRUE,TRUE),1,
1,0)"),1.0)</f>
        <v>1</v>
      </c>
    </row>
    <row r="141">
      <c r="A141" s="2" t="s">
        <v>141</v>
      </c>
      <c r="B141" s="1" t="str">
        <f>IFERROR(__xludf.DUMMYFUNCTION("SPLIT(A141,"","",)"),"3-92")</f>
        <v>3-92</v>
      </c>
      <c r="C141" s="1" t="str">
        <f>IFERROR(__xludf.DUMMYFUNCTION("""COMPUTED_VALUE"""),"4-91")</f>
        <v>4-91</v>
      </c>
      <c r="D141" s="4">
        <f>IFERROR(__xludf.DUMMYFUNCTION("split(B141,""-"")"),3.0)</f>
        <v>3</v>
      </c>
      <c r="E141" s="4">
        <f>IFERROR(__xludf.DUMMYFUNCTION("""COMPUTED_VALUE"""),92.0)</f>
        <v>92</v>
      </c>
      <c r="F141" s="4">
        <f>IFERROR(__xludf.DUMMYFUNCTION("split(C141,""-"")"),4.0)</f>
        <v>4</v>
      </c>
      <c r="G141" s="4">
        <f>IFERROR(__xludf.DUMMYFUNCTION("""COMPUTED_VALUE"""),91.0)</f>
        <v>91</v>
      </c>
      <c r="H141" s="4">
        <f t="shared" si="1"/>
        <v>1</v>
      </c>
      <c r="J141" s="4">
        <f>IFERROR(__xludf.DUMMYFUNCTION("IFS(
ISBETWEEN(D141,F141,G141,TRUE,TRUE),1,
ISBETWEEN(E141,F141,G141,TRUE,TRUE),1,
ISBETWEEN(F141,D141,E141,TRUE,TRUE),1,
ISBETWEEN(G141,D141,E141,TRUE,TRUE),1,
1,0)"),1.0)</f>
        <v>1</v>
      </c>
    </row>
    <row r="142">
      <c r="A142" s="2" t="s">
        <v>142</v>
      </c>
      <c r="B142" s="1" t="str">
        <f>IFERROR(__xludf.DUMMYFUNCTION("SPLIT(A142,"","",)"),"82-88")</f>
        <v>82-88</v>
      </c>
      <c r="C142" s="1" t="str">
        <f>IFERROR(__xludf.DUMMYFUNCTION("""COMPUTED_VALUE"""),"5-84")</f>
        <v>5-84</v>
      </c>
      <c r="D142" s="4">
        <f>IFERROR(__xludf.DUMMYFUNCTION("split(B142,""-"")"),82.0)</f>
        <v>82</v>
      </c>
      <c r="E142" s="4">
        <f>IFERROR(__xludf.DUMMYFUNCTION("""COMPUTED_VALUE"""),88.0)</f>
        <v>88</v>
      </c>
      <c r="F142" s="4">
        <f>IFERROR(__xludf.DUMMYFUNCTION("split(C142,""-"")"),5.0)</f>
        <v>5</v>
      </c>
      <c r="G142" s="4">
        <f>IFERROR(__xludf.DUMMYFUNCTION("""COMPUTED_VALUE"""),84.0)</f>
        <v>84</v>
      </c>
      <c r="H142" s="4">
        <f t="shared" si="1"/>
        <v>0</v>
      </c>
      <c r="J142" s="4">
        <f>IFERROR(__xludf.DUMMYFUNCTION("IFS(
ISBETWEEN(D142,F142,G142,TRUE,TRUE),1,
ISBETWEEN(E142,F142,G142,TRUE,TRUE),1,
ISBETWEEN(F142,D142,E142,TRUE,TRUE),1,
ISBETWEEN(G142,D142,E142,TRUE,TRUE),1,
1,0)"),1.0)</f>
        <v>1</v>
      </c>
    </row>
    <row r="143">
      <c r="A143" s="2" t="s">
        <v>143</v>
      </c>
      <c r="B143" s="1" t="str">
        <f>IFERROR(__xludf.DUMMYFUNCTION("SPLIT(A143,"","",)"),"12-47")</f>
        <v>12-47</v>
      </c>
      <c r="C143" s="3">
        <f>IFERROR(__xludf.DUMMYFUNCTION("""COMPUTED_VALUE"""),44903.0)</f>
        <v>44903</v>
      </c>
      <c r="D143" s="4">
        <f>IFERROR(__xludf.DUMMYFUNCTION("split(B143,""-"")"),12.0)</f>
        <v>12</v>
      </c>
      <c r="E143" s="4">
        <f>IFERROR(__xludf.DUMMYFUNCTION("""COMPUTED_VALUE"""),47.0)</f>
        <v>47</v>
      </c>
      <c r="F143" s="4">
        <f>IFERROR(__xludf.DUMMYFUNCTION("split(C143,""-"")"),8.0)</f>
        <v>8</v>
      </c>
      <c r="G143" s="4">
        <f>IFERROR(__xludf.DUMMYFUNCTION("""COMPUTED_VALUE"""),12.0)</f>
        <v>12</v>
      </c>
      <c r="H143" s="4">
        <f t="shared" si="1"/>
        <v>0</v>
      </c>
      <c r="J143" s="4">
        <f>IFERROR(__xludf.DUMMYFUNCTION("IFS(
ISBETWEEN(D143,F143,G143,TRUE,TRUE),1,
ISBETWEEN(E143,F143,G143,TRUE,TRUE),1,
ISBETWEEN(F143,D143,E143,TRUE,TRUE),1,
ISBETWEEN(G143,D143,E143,TRUE,TRUE),1,
1,0)"),1.0)</f>
        <v>1</v>
      </c>
    </row>
    <row r="144">
      <c r="A144" s="2" t="s">
        <v>144</v>
      </c>
      <c r="B144" s="1" t="str">
        <f>IFERROR(__xludf.DUMMYFUNCTION("SPLIT(A144,"","",)"),"20-99")</f>
        <v>20-99</v>
      </c>
      <c r="C144" s="1" t="str">
        <f>IFERROR(__xludf.DUMMYFUNCTION("""COMPUTED_VALUE"""),"20-96")</f>
        <v>20-96</v>
      </c>
      <c r="D144" s="4">
        <f>IFERROR(__xludf.DUMMYFUNCTION("split(B144,""-"")"),20.0)</f>
        <v>20</v>
      </c>
      <c r="E144" s="4">
        <f>IFERROR(__xludf.DUMMYFUNCTION("""COMPUTED_VALUE"""),99.0)</f>
        <v>99</v>
      </c>
      <c r="F144" s="4">
        <f>IFERROR(__xludf.DUMMYFUNCTION("split(C144,""-"")"),20.0)</f>
        <v>20</v>
      </c>
      <c r="G144" s="4">
        <f>IFERROR(__xludf.DUMMYFUNCTION("""COMPUTED_VALUE"""),96.0)</f>
        <v>96</v>
      </c>
      <c r="H144" s="4">
        <f t="shared" si="1"/>
        <v>1</v>
      </c>
      <c r="J144" s="4">
        <f>IFERROR(__xludf.DUMMYFUNCTION("IFS(
ISBETWEEN(D144,F144,G144,TRUE,TRUE),1,
ISBETWEEN(E144,F144,G144,TRUE,TRUE),1,
ISBETWEEN(F144,D144,E144,TRUE,TRUE),1,
ISBETWEEN(G144,D144,E144,TRUE,TRUE),1,
1,0)"),1.0)</f>
        <v>1</v>
      </c>
    </row>
    <row r="145">
      <c r="A145" s="2" t="s">
        <v>145</v>
      </c>
      <c r="B145" s="1" t="str">
        <f>IFERROR(__xludf.DUMMYFUNCTION("SPLIT(A145,"","",)"),"2-76")</f>
        <v>2-76</v>
      </c>
      <c r="C145" s="1" t="str">
        <f>IFERROR(__xludf.DUMMYFUNCTION("""COMPUTED_VALUE"""),"1-75")</f>
        <v>1-75</v>
      </c>
      <c r="D145" s="4">
        <f>IFERROR(__xludf.DUMMYFUNCTION("split(B145,""-"")"),2.0)</f>
        <v>2</v>
      </c>
      <c r="E145" s="4">
        <f>IFERROR(__xludf.DUMMYFUNCTION("""COMPUTED_VALUE"""),76.0)</f>
        <v>76</v>
      </c>
      <c r="F145" s="4">
        <f>IFERROR(__xludf.DUMMYFUNCTION("split(C145,""-"")"),1.0)</f>
        <v>1</v>
      </c>
      <c r="G145" s="4">
        <f>IFERROR(__xludf.DUMMYFUNCTION("""COMPUTED_VALUE"""),75.0)</f>
        <v>75</v>
      </c>
      <c r="H145" s="4">
        <f t="shared" si="1"/>
        <v>0</v>
      </c>
      <c r="J145" s="4">
        <f>IFERROR(__xludf.DUMMYFUNCTION("IFS(
ISBETWEEN(D145,F145,G145,TRUE,TRUE),1,
ISBETWEEN(E145,F145,G145,TRUE,TRUE),1,
ISBETWEEN(F145,D145,E145,TRUE,TRUE),1,
ISBETWEEN(G145,D145,E145,TRUE,TRUE),1,
1,0)"),1.0)</f>
        <v>1</v>
      </c>
    </row>
    <row r="146">
      <c r="A146" s="2" t="s">
        <v>146</v>
      </c>
      <c r="B146" s="1" t="str">
        <f>IFERROR(__xludf.DUMMYFUNCTION("SPLIT(A146,"","",)"),"55-92")</f>
        <v>55-92</v>
      </c>
      <c r="C146" s="1" t="str">
        <f>IFERROR(__xludf.DUMMYFUNCTION("""COMPUTED_VALUE"""),"31-90")</f>
        <v>31-90</v>
      </c>
      <c r="D146" s="4">
        <f>IFERROR(__xludf.DUMMYFUNCTION("split(B146,""-"")"),55.0)</f>
        <v>55</v>
      </c>
      <c r="E146" s="4">
        <f>IFERROR(__xludf.DUMMYFUNCTION("""COMPUTED_VALUE"""),92.0)</f>
        <v>92</v>
      </c>
      <c r="F146" s="4">
        <f>IFERROR(__xludf.DUMMYFUNCTION("split(C146,""-"")"),31.0)</f>
        <v>31</v>
      </c>
      <c r="G146" s="4">
        <f>IFERROR(__xludf.DUMMYFUNCTION("""COMPUTED_VALUE"""),90.0)</f>
        <v>90</v>
      </c>
      <c r="H146" s="4">
        <f t="shared" si="1"/>
        <v>0</v>
      </c>
      <c r="J146" s="4">
        <f>IFERROR(__xludf.DUMMYFUNCTION("IFS(
ISBETWEEN(D146,F146,G146,TRUE,TRUE),1,
ISBETWEEN(E146,F146,G146,TRUE,TRUE),1,
ISBETWEEN(F146,D146,E146,TRUE,TRUE),1,
ISBETWEEN(G146,D146,E146,TRUE,TRUE),1,
1,0)"),1.0)</f>
        <v>1</v>
      </c>
    </row>
    <row r="147">
      <c r="A147" s="2" t="s">
        <v>147</v>
      </c>
      <c r="B147" s="1" t="str">
        <f>IFERROR(__xludf.DUMMYFUNCTION("SPLIT(A147,"","",)"),"10-80")</f>
        <v>10-80</v>
      </c>
      <c r="C147" s="1" t="str">
        <f>IFERROR(__xludf.DUMMYFUNCTION("""COMPUTED_VALUE"""),"30-81")</f>
        <v>30-81</v>
      </c>
      <c r="D147" s="4">
        <f>IFERROR(__xludf.DUMMYFUNCTION("split(B147,""-"")"),10.0)</f>
        <v>10</v>
      </c>
      <c r="E147" s="4">
        <f>IFERROR(__xludf.DUMMYFUNCTION("""COMPUTED_VALUE"""),80.0)</f>
        <v>80</v>
      </c>
      <c r="F147" s="4">
        <f>IFERROR(__xludf.DUMMYFUNCTION("split(C147,""-"")"),30.0)</f>
        <v>30</v>
      </c>
      <c r="G147" s="4">
        <f>IFERROR(__xludf.DUMMYFUNCTION("""COMPUTED_VALUE"""),81.0)</f>
        <v>81</v>
      </c>
      <c r="H147" s="4">
        <f t="shared" si="1"/>
        <v>0</v>
      </c>
      <c r="J147" s="4">
        <f>IFERROR(__xludf.DUMMYFUNCTION("IFS(
ISBETWEEN(D147,F147,G147,TRUE,TRUE),1,
ISBETWEEN(E147,F147,G147,TRUE,TRUE),1,
ISBETWEEN(F147,D147,E147,TRUE,TRUE),1,
ISBETWEEN(G147,D147,E147,TRUE,TRUE),1,
1,0)"),1.0)</f>
        <v>1</v>
      </c>
    </row>
    <row r="148">
      <c r="A148" s="2" t="s">
        <v>148</v>
      </c>
      <c r="B148" s="1" t="str">
        <f>IFERROR(__xludf.DUMMYFUNCTION("SPLIT(A148,"","",)"),"2-76")</f>
        <v>2-76</v>
      </c>
      <c r="C148" s="1" t="str">
        <f>IFERROR(__xludf.DUMMYFUNCTION("""COMPUTED_VALUE"""),"92-94")</f>
        <v>92-94</v>
      </c>
      <c r="D148" s="4">
        <f>IFERROR(__xludf.DUMMYFUNCTION("split(B148,""-"")"),2.0)</f>
        <v>2</v>
      </c>
      <c r="E148" s="4">
        <f>IFERROR(__xludf.DUMMYFUNCTION("""COMPUTED_VALUE"""),76.0)</f>
        <v>76</v>
      </c>
      <c r="F148" s="4">
        <f>IFERROR(__xludf.DUMMYFUNCTION("split(C148,""-"")"),92.0)</f>
        <v>92</v>
      </c>
      <c r="G148" s="4">
        <f>IFERROR(__xludf.DUMMYFUNCTION("""COMPUTED_VALUE"""),94.0)</f>
        <v>94</v>
      </c>
      <c r="H148" s="4">
        <f t="shared" si="1"/>
        <v>0</v>
      </c>
      <c r="J148" s="4">
        <f>IFERROR(__xludf.DUMMYFUNCTION("IFS(
ISBETWEEN(D148,F148,G148,TRUE,TRUE),1,
ISBETWEEN(E148,F148,G148,TRUE,TRUE),1,
ISBETWEEN(F148,D148,E148,TRUE,TRUE),1,
ISBETWEEN(G148,D148,E148,TRUE,TRUE),1,
1,0)"),0.0)</f>
        <v>0</v>
      </c>
    </row>
    <row r="149">
      <c r="A149" s="2" t="s">
        <v>149</v>
      </c>
      <c r="B149" s="1" t="str">
        <f>IFERROR(__xludf.DUMMYFUNCTION("SPLIT(A149,"","",)"),"30-30")</f>
        <v>30-30</v>
      </c>
      <c r="C149" s="1" t="str">
        <f>IFERROR(__xludf.DUMMYFUNCTION("""COMPUTED_VALUE"""),"30-80")</f>
        <v>30-80</v>
      </c>
      <c r="D149" s="4">
        <f>IFERROR(__xludf.DUMMYFUNCTION("split(B149,""-"")"),30.0)</f>
        <v>30</v>
      </c>
      <c r="E149" s="4">
        <f>IFERROR(__xludf.DUMMYFUNCTION("""COMPUTED_VALUE"""),30.0)</f>
        <v>30</v>
      </c>
      <c r="F149" s="4">
        <f>IFERROR(__xludf.DUMMYFUNCTION("split(C149,""-"")"),30.0)</f>
        <v>30</v>
      </c>
      <c r="G149" s="4">
        <f>IFERROR(__xludf.DUMMYFUNCTION("""COMPUTED_VALUE"""),80.0)</f>
        <v>80</v>
      </c>
      <c r="H149" s="4">
        <f t="shared" si="1"/>
        <v>1</v>
      </c>
      <c r="J149" s="4">
        <f>IFERROR(__xludf.DUMMYFUNCTION("IFS(
ISBETWEEN(D149,F149,G149,TRUE,TRUE),1,
ISBETWEEN(E149,F149,G149,TRUE,TRUE),1,
ISBETWEEN(F149,D149,E149,TRUE,TRUE),1,
ISBETWEEN(G149,D149,E149,TRUE,TRUE),1,
1,0)"),1.0)</f>
        <v>1</v>
      </c>
    </row>
    <row r="150">
      <c r="A150" s="2" t="s">
        <v>150</v>
      </c>
      <c r="B150" s="1" t="str">
        <f>IFERROR(__xludf.DUMMYFUNCTION("SPLIT(A150,"","",)"),"8-61")</f>
        <v>8-61</v>
      </c>
      <c r="C150" s="1" t="str">
        <f>IFERROR(__xludf.DUMMYFUNCTION("""COMPUTED_VALUE"""),"7-61")</f>
        <v>7-61</v>
      </c>
      <c r="D150" s="4">
        <f>IFERROR(__xludf.DUMMYFUNCTION("split(B150,""-"")"),8.0)</f>
        <v>8</v>
      </c>
      <c r="E150" s="4">
        <f>IFERROR(__xludf.DUMMYFUNCTION("""COMPUTED_VALUE"""),61.0)</f>
        <v>61</v>
      </c>
      <c r="F150" s="4">
        <f>IFERROR(__xludf.DUMMYFUNCTION("split(C150,""-"")"),7.0)</f>
        <v>7</v>
      </c>
      <c r="G150" s="4">
        <f>IFERROR(__xludf.DUMMYFUNCTION("""COMPUTED_VALUE"""),61.0)</f>
        <v>61</v>
      </c>
      <c r="H150" s="4">
        <f t="shared" si="1"/>
        <v>1</v>
      </c>
      <c r="J150" s="4">
        <f>IFERROR(__xludf.DUMMYFUNCTION("IFS(
ISBETWEEN(D150,F150,G150,TRUE,TRUE),1,
ISBETWEEN(E150,F150,G150,TRUE,TRUE),1,
ISBETWEEN(F150,D150,E150,TRUE,TRUE),1,
ISBETWEEN(G150,D150,E150,TRUE,TRUE),1,
1,0)"),1.0)</f>
        <v>1</v>
      </c>
    </row>
    <row r="151">
      <c r="A151" s="2" t="s">
        <v>151</v>
      </c>
      <c r="B151" s="1" t="str">
        <f>IFERROR(__xludf.DUMMYFUNCTION("SPLIT(A151,"","",)"),"11-94")</f>
        <v>11-94</v>
      </c>
      <c r="C151" s="1" t="str">
        <f>IFERROR(__xludf.DUMMYFUNCTION("""COMPUTED_VALUE"""),"93-99")</f>
        <v>93-99</v>
      </c>
      <c r="D151" s="4">
        <f>IFERROR(__xludf.DUMMYFUNCTION("split(B151,""-"")"),11.0)</f>
        <v>11</v>
      </c>
      <c r="E151" s="4">
        <f>IFERROR(__xludf.DUMMYFUNCTION("""COMPUTED_VALUE"""),94.0)</f>
        <v>94</v>
      </c>
      <c r="F151" s="4">
        <f>IFERROR(__xludf.DUMMYFUNCTION("split(C151,""-"")"),93.0)</f>
        <v>93</v>
      </c>
      <c r="G151" s="4">
        <f>IFERROR(__xludf.DUMMYFUNCTION("""COMPUTED_VALUE"""),99.0)</f>
        <v>99</v>
      </c>
      <c r="H151" s="4">
        <f t="shared" si="1"/>
        <v>0</v>
      </c>
      <c r="J151" s="4">
        <f>IFERROR(__xludf.DUMMYFUNCTION("IFS(
ISBETWEEN(D151,F151,G151,TRUE,TRUE),1,
ISBETWEEN(E151,F151,G151,TRUE,TRUE),1,
ISBETWEEN(F151,D151,E151,TRUE,TRUE),1,
ISBETWEEN(G151,D151,E151,TRUE,TRUE),1,
1,0)"),1.0)</f>
        <v>1</v>
      </c>
    </row>
    <row r="152">
      <c r="A152" s="2" t="s">
        <v>152</v>
      </c>
      <c r="B152" s="1" t="str">
        <f>IFERROR(__xludf.DUMMYFUNCTION("SPLIT(A152,"","",)"),"15-82")</f>
        <v>15-82</v>
      </c>
      <c r="C152" s="1" t="str">
        <f>IFERROR(__xludf.DUMMYFUNCTION("""COMPUTED_VALUE"""),"12-16")</f>
        <v>12-16</v>
      </c>
      <c r="D152" s="4">
        <f>IFERROR(__xludf.DUMMYFUNCTION("split(B152,""-"")"),15.0)</f>
        <v>15</v>
      </c>
      <c r="E152" s="4">
        <f>IFERROR(__xludf.DUMMYFUNCTION("""COMPUTED_VALUE"""),82.0)</f>
        <v>82</v>
      </c>
      <c r="F152" s="4">
        <f>IFERROR(__xludf.DUMMYFUNCTION("split(C152,""-"")"),12.0)</f>
        <v>12</v>
      </c>
      <c r="G152" s="4">
        <f>IFERROR(__xludf.DUMMYFUNCTION("""COMPUTED_VALUE"""),16.0)</f>
        <v>16</v>
      </c>
      <c r="H152" s="4">
        <f t="shared" si="1"/>
        <v>0</v>
      </c>
      <c r="J152" s="4">
        <f>IFERROR(__xludf.DUMMYFUNCTION("IFS(
ISBETWEEN(D152,F152,G152,TRUE,TRUE),1,
ISBETWEEN(E152,F152,G152,TRUE,TRUE),1,
ISBETWEEN(F152,D152,E152,TRUE,TRUE),1,
ISBETWEEN(G152,D152,E152,TRUE,TRUE),1,
1,0)"),1.0)</f>
        <v>1</v>
      </c>
    </row>
    <row r="153">
      <c r="A153" s="2" t="s">
        <v>153</v>
      </c>
      <c r="B153" s="1" t="str">
        <f>IFERROR(__xludf.DUMMYFUNCTION("SPLIT(A153,"","",)"),"58-63")</f>
        <v>58-63</v>
      </c>
      <c r="C153" s="1" t="str">
        <f>IFERROR(__xludf.DUMMYFUNCTION("""COMPUTED_VALUE"""),"58-77")</f>
        <v>58-77</v>
      </c>
      <c r="D153" s="4">
        <f>IFERROR(__xludf.DUMMYFUNCTION("split(B153,""-"")"),58.0)</f>
        <v>58</v>
      </c>
      <c r="E153" s="4">
        <f>IFERROR(__xludf.DUMMYFUNCTION("""COMPUTED_VALUE"""),63.0)</f>
        <v>63</v>
      </c>
      <c r="F153" s="4">
        <f>IFERROR(__xludf.DUMMYFUNCTION("split(C153,""-"")"),58.0)</f>
        <v>58</v>
      </c>
      <c r="G153" s="4">
        <f>IFERROR(__xludf.DUMMYFUNCTION("""COMPUTED_VALUE"""),77.0)</f>
        <v>77</v>
      </c>
      <c r="H153" s="4">
        <f t="shared" si="1"/>
        <v>1</v>
      </c>
      <c r="J153" s="4">
        <f>IFERROR(__xludf.DUMMYFUNCTION("IFS(
ISBETWEEN(D153,F153,G153,TRUE,TRUE),1,
ISBETWEEN(E153,F153,G153,TRUE,TRUE),1,
ISBETWEEN(F153,D153,E153,TRUE,TRUE),1,
ISBETWEEN(G153,D153,E153,TRUE,TRUE),1,
1,0)"),1.0)</f>
        <v>1</v>
      </c>
    </row>
    <row r="154">
      <c r="A154" s="2" t="s">
        <v>154</v>
      </c>
      <c r="B154" s="1" t="str">
        <f>IFERROR(__xludf.DUMMYFUNCTION("SPLIT(A154,"","",)"),"31-76")</f>
        <v>31-76</v>
      </c>
      <c r="C154" s="1" t="str">
        <f>IFERROR(__xludf.DUMMYFUNCTION("""COMPUTED_VALUE"""),"76-83")</f>
        <v>76-83</v>
      </c>
      <c r="D154" s="4">
        <f>IFERROR(__xludf.DUMMYFUNCTION("split(B154,""-"")"),31.0)</f>
        <v>31</v>
      </c>
      <c r="E154" s="4">
        <f>IFERROR(__xludf.DUMMYFUNCTION("""COMPUTED_VALUE"""),76.0)</f>
        <v>76</v>
      </c>
      <c r="F154" s="4">
        <f>IFERROR(__xludf.DUMMYFUNCTION("split(C154,""-"")"),76.0)</f>
        <v>76</v>
      </c>
      <c r="G154" s="4">
        <f>IFERROR(__xludf.DUMMYFUNCTION("""COMPUTED_VALUE"""),83.0)</f>
        <v>83</v>
      </c>
      <c r="H154" s="4">
        <f t="shared" si="1"/>
        <v>0</v>
      </c>
      <c r="J154" s="4">
        <f>IFERROR(__xludf.DUMMYFUNCTION("IFS(
ISBETWEEN(D154,F154,G154,TRUE,TRUE),1,
ISBETWEEN(E154,F154,G154,TRUE,TRUE),1,
ISBETWEEN(F154,D154,E154,TRUE,TRUE),1,
ISBETWEEN(G154,D154,E154,TRUE,TRUE),1,
1,0)"),1.0)</f>
        <v>1</v>
      </c>
    </row>
    <row r="155">
      <c r="A155" s="2" t="s">
        <v>155</v>
      </c>
      <c r="B155" s="1" t="str">
        <f>IFERROR(__xludf.DUMMYFUNCTION("SPLIT(A155,"","",)"),"36-87")</f>
        <v>36-87</v>
      </c>
      <c r="C155" s="1" t="str">
        <f>IFERROR(__xludf.DUMMYFUNCTION("""COMPUTED_VALUE"""),"35-61")</f>
        <v>35-61</v>
      </c>
      <c r="D155" s="4">
        <f>IFERROR(__xludf.DUMMYFUNCTION("split(B155,""-"")"),36.0)</f>
        <v>36</v>
      </c>
      <c r="E155" s="4">
        <f>IFERROR(__xludf.DUMMYFUNCTION("""COMPUTED_VALUE"""),87.0)</f>
        <v>87</v>
      </c>
      <c r="F155" s="4">
        <f>IFERROR(__xludf.DUMMYFUNCTION("split(C155,""-"")"),35.0)</f>
        <v>35</v>
      </c>
      <c r="G155" s="4">
        <f>IFERROR(__xludf.DUMMYFUNCTION("""COMPUTED_VALUE"""),61.0)</f>
        <v>61</v>
      </c>
      <c r="H155" s="4">
        <f t="shared" si="1"/>
        <v>0</v>
      </c>
      <c r="J155" s="4">
        <f>IFERROR(__xludf.DUMMYFUNCTION("IFS(
ISBETWEEN(D155,F155,G155,TRUE,TRUE),1,
ISBETWEEN(E155,F155,G155,TRUE,TRUE),1,
ISBETWEEN(F155,D155,E155,TRUE,TRUE),1,
ISBETWEEN(G155,D155,E155,TRUE,TRUE),1,
1,0)"),1.0)</f>
        <v>1</v>
      </c>
    </row>
    <row r="156">
      <c r="A156" s="2" t="s">
        <v>156</v>
      </c>
      <c r="B156" s="1" t="str">
        <f>IFERROR(__xludf.DUMMYFUNCTION("SPLIT(A156,"","",)"),"24-94")</f>
        <v>24-94</v>
      </c>
      <c r="C156" s="1" t="str">
        <f>IFERROR(__xludf.DUMMYFUNCTION("""COMPUTED_VALUE"""),"58-93")</f>
        <v>58-93</v>
      </c>
      <c r="D156" s="4">
        <f>IFERROR(__xludf.DUMMYFUNCTION("split(B156,""-"")"),24.0)</f>
        <v>24</v>
      </c>
      <c r="E156" s="4">
        <f>IFERROR(__xludf.DUMMYFUNCTION("""COMPUTED_VALUE"""),94.0)</f>
        <v>94</v>
      </c>
      <c r="F156" s="4">
        <f>IFERROR(__xludf.DUMMYFUNCTION("split(C156,""-"")"),58.0)</f>
        <v>58</v>
      </c>
      <c r="G156" s="4">
        <f>IFERROR(__xludf.DUMMYFUNCTION("""COMPUTED_VALUE"""),93.0)</f>
        <v>93</v>
      </c>
      <c r="H156" s="4">
        <f t="shared" si="1"/>
        <v>1</v>
      </c>
      <c r="J156" s="4">
        <f>IFERROR(__xludf.DUMMYFUNCTION("IFS(
ISBETWEEN(D156,F156,G156,TRUE,TRUE),1,
ISBETWEEN(E156,F156,G156,TRUE,TRUE),1,
ISBETWEEN(F156,D156,E156,TRUE,TRUE),1,
ISBETWEEN(G156,D156,E156,TRUE,TRUE),1,
1,0)"),1.0)</f>
        <v>1</v>
      </c>
    </row>
    <row r="157">
      <c r="A157" s="2" t="s">
        <v>157</v>
      </c>
      <c r="B157" s="1" t="str">
        <f>IFERROR(__xludf.DUMMYFUNCTION("SPLIT(A157,"","",)"),"7-52")</f>
        <v>7-52</v>
      </c>
      <c r="C157" s="1" t="str">
        <f>IFERROR(__xludf.DUMMYFUNCTION("""COMPUTED_VALUE"""),"10-35")</f>
        <v>10-35</v>
      </c>
      <c r="D157" s="4">
        <f>IFERROR(__xludf.DUMMYFUNCTION("split(B157,""-"")"),7.0)</f>
        <v>7</v>
      </c>
      <c r="E157" s="4">
        <f>IFERROR(__xludf.DUMMYFUNCTION("""COMPUTED_VALUE"""),52.0)</f>
        <v>52</v>
      </c>
      <c r="F157" s="4">
        <f>IFERROR(__xludf.DUMMYFUNCTION("split(C157,""-"")"),10.0)</f>
        <v>10</v>
      </c>
      <c r="G157" s="4">
        <f>IFERROR(__xludf.DUMMYFUNCTION("""COMPUTED_VALUE"""),35.0)</f>
        <v>35</v>
      </c>
      <c r="H157" s="4">
        <f t="shared" si="1"/>
        <v>1</v>
      </c>
      <c r="J157" s="4">
        <f>IFERROR(__xludf.DUMMYFUNCTION("IFS(
ISBETWEEN(D157,F157,G157,TRUE,TRUE),1,
ISBETWEEN(E157,F157,G157,TRUE,TRUE),1,
ISBETWEEN(F157,D157,E157,TRUE,TRUE),1,
ISBETWEEN(G157,D157,E157,TRUE,TRUE),1,
1,0)"),1.0)</f>
        <v>1</v>
      </c>
    </row>
    <row r="158">
      <c r="A158" s="2" t="s">
        <v>158</v>
      </c>
      <c r="B158" s="1" t="str">
        <f>IFERROR(__xludf.DUMMYFUNCTION("SPLIT(A158,"","",)"),"79-79")</f>
        <v>79-79</v>
      </c>
      <c r="C158" s="1" t="str">
        <f>IFERROR(__xludf.DUMMYFUNCTION("""COMPUTED_VALUE"""),"45-79")</f>
        <v>45-79</v>
      </c>
      <c r="D158" s="4">
        <f>IFERROR(__xludf.DUMMYFUNCTION("split(B158,""-"")"),79.0)</f>
        <v>79</v>
      </c>
      <c r="E158" s="4">
        <f>IFERROR(__xludf.DUMMYFUNCTION("""COMPUTED_VALUE"""),79.0)</f>
        <v>79</v>
      </c>
      <c r="F158" s="4">
        <f>IFERROR(__xludf.DUMMYFUNCTION("split(C158,""-"")"),45.0)</f>
        <v>45</v>
      </c>
      <c r="G158" s="4">
        <f>IFERROR(__xludf.DUMMYFUNCTION("""COMPUTED_VALUE"""),79.0)</f>
        <v>79</v>
      </c>
      <c r="H158" s="4">
        <f t="shared" si="1"/>
        <v>1</v>
      </c>
      <c r="J158" s="4">
        <f>IFERROR(__xludf.DUMMYFUNCTION("IFS(
ISBETWEEN(D158,F158,G158,TRUE,TRUE),1,
ISBETWEEN(E158,F158,G158,TRUE,TRUE),1,
ISBETWEEN(F158,D158,E158,TRUE,TRUE),1,
ISBETWEEN(G158,D158,E158,TRUE,TRUE),1,
1,0)"),1.0)</f>
        <v>1</v>
      </c>
    </row>
    <row r="159">
      <c r="A159" s="2" t="s">
        <v>159</v>
      </c>
      <c r="B159" s="1" t="str">
        <f>IFERROR(__xludf.DUMMYFUNCTION("SPLIT(A159,"","",)"),"93-97")</f>
        <v>93-97</v>
      </c>
      <c r="C159" s="1" t="str">
        <f>IFERROR(__xludf.DUMMYFUNCTION("""COMPUTED_VALUE"""),"5-56")</f>
        <v>5-56</v>
      </c>
      <c r="D159" s="4">
        <f>IFERROR(__xludf.DUMMYFUNCTION("split(B159,""-"")"),93.0)</f>
        <v>93</v>
      </c>
      <c r="E159" s="4">
        <f>IFERROR(__xludf.DUMMYFUNCTION("""COMPUTED_VALUE"""),97.0)</f>
        <v>97</v>
      </c>
      <c r="F159" s="4">
        <f>IFERROR(__xludf.DUMMYFUNCTION("split(C159,""-"")"),5.0)</f>
        <v>5</v>
      </c>
      <c r="G159" s="4">
        <f>IFERROR(__xludf.DUMMYFUNCTION("""COMPUTED_VALUE"""),56.0)</f>
        <v>56</v>
      </c>
      <c r="H159" s="4">
        <f t="shared" si="1"/>
        <v>0</v>
      </c>
      <c r="J159" s="4">
        <f>IFERROR(__xludf.DUMMYFUNCTION("IFS(
ISBETWEEN(D159,F159,G159,TRUE,TRUE),1,
ISBETWEEN(E159,F159,G159,TRUE,TRUE),1,
ISBETWEEN(F159,D159,E159,TRUE,TRUE),1,
ISBETWEEN(G159,D159,E159,TRUE,TRUE),1,
1,0)"),0.0)</f>
        <v>0</v>
      </c>
    </row>
    <row r="160">
      <c r="A160" s="2" t="s">
        <v>160</v>
      </c>
      <c r="B160" s="1" t="str">
        <f>IFERROR(__xludf.DUMMYFUNCTION("SPLIT(A160,"","",)"),"52-53")</f>
        <v>52-53</v>
      </c>
      <c r="C160" s="1" t="str">
        <f>IFERROR(__xludf.DUMMYFUNCTION("""COMPUTED_VALUE"""),"53-58")</f>
        <v>53-58</v>
      </c>
      <c r="D160" s="4">
        <f>IFERROR(__xludf.DUMMYFUNCTION("split(B160,""-"")"),52.0)</f>
        <v>52</v>
      </c>
      <c r="E160" s="4">
        <f>IFERROR(__xludf.DUMMYFUNCTION("""COMPUTED_VALUE"""),53.0)</f>
        <v>53</v>
      </c>
      <c r="F160" s="4">
        <f>IFERROR(__xludf.DUMMYFUNCTION("split(C160,""-"")"),53.0)</f>
        <v>53</v>
      </c>
      <c r="G160" s="4">
        <f>IFERROR(__xludf.DUMMYFUNCTION("""COMPUTED_VALUE"""),58.0)</f>
        <v>58</v>
      </c>
      <c r="H160" s="4">
        <f t="shared" si="1"/>
        <v>0</v>
      </c>
      <c r="J160" s="4">
        <f>IFERROR(__xludf.DUMMYFUNCTION("IFS(
ISBETWEEN(D160,F160,G160,TRUE,TRUE),1,
ISBETWEEN(E160,F160,G160,TRUE,TRUE),1,
ISBETWEEN(F160,D160,E160,TRUE,TRUE),1,
ISBETWEEN(G160,D160,E160,TRUE,TRUE),1,
1,0)"),1.0)</f>
        <v>1</v>
      </c>
    </row>
    <row r="161">
      <c r="A161" s="2" t="s">
        <v>161</v>
      </c>
      <c r="B161" s="1" t="str">
        <f>IFERROR(__xludf.DUMMYFUNCTION("SPLIT(A161,"","",)"),"35-90")</f>
        <v>35-90</v>
      </c>
      <c r="C161" s="1" t="str">
        <f>IFERROR(__xludf.DUMMYFUNCTION("""COMPUTED_VALUE"""),"29-35")</f>
        <v>29-35</v>
      </c>
      <c r="D161" s="4">
        <f>IFERROR(__xludf.DUMMYFUNCTION("split(B161,""-"")"),35.0)</f>
        <v>35</v>
      </c>
      <c r="E161" s="4">
        <f>IFERROR(__xludf.DUMMYFUNCTION("""COMPUTED_VALUE"""),90.0)</f>
        <v>90</v>
      </c>
      <c r="F161" s="4">
        <f>IFERROR(__xludf.DUMMYFUNCTION("split(C161,""-"")"),29.0)</f>
        <v>29</v>
      </c>
      <c r="G161" s="4">
        <f>IFERROR(__xludf.DUMMYFUNCTION("""COMPUTED_VALUE"""),35.0)</f>
        <v>35</v>
      </c>
      <c r="H161" s="4">
        <f t="shared" si="1"/>
        <v>0</v>
      </c>
      <c r="J161" s="4">
        <f>IFERROR(__xludf.DUMMYFUNCTION("IFS(
ISBETWEEN(D161,F161,G161,TRUE,TRUE),1,
ISBETWEEN(E161,F161,G161,TRUE,TRUE),1,
ISBETWEEN(F161,D161,E161,TRUE,TRUE),1,
ISBETWEEN(G161,D161,E161,TRUE,TRUE),1,
1,0)"),1.0)</f>
        <v>1</v>
      </c>
    </row>
    <row r="162">
      <c r="A162" s="2" t="s">
        <v>162</v>
      </c>
      <c r="B162" s="1" t="str">
        <f>IFERROR(__xludf.DUMMYFUNCTION("SPLIT(A162,"","",)"),"26-48")</f>
        <v>26-48</v>
      </c>
      <c r="C162" s="1" t="str">
        <f>IFERROR(__xludf.DUMMYFUNCTION("""COMPUTED_VALUE"""),"26-49")</f>
        <v>26-49</v>
      </c>
      <c r="D162" s="4">
        <f>IFERROR(__xludf.DUMMYFUNCTION("split(B162,""-"")"),26.0)</f>
        <v>26</v>
      </c>
      <c r="E162" s="4">
        <f>IFERROR(__xludf.DUMMYFUNCTION("""COMPUTED_VALUE"""),48.0)</f>
        <v>48</v>
      </c>
      <c r="F162" s="4">
        <f>IFERROR(__xludf.DUMMYFUNCTION("split(C162,""-"")"),26.0)</f>
        <v>26</v>
      </c>
      <c r="G162" s="4">
        <f>IFERROR(__xludf.DUMMYFUNCTION("""COMPUTED_VALUE"""),49.0)</f>
        <v>49</v>
      </c>
      <c r="H162" s="4">
        <f t="shared" si="1"/>
        <v>1</v>
      </c>
      <c r="J162" s="4">
        <f>IFERROR(__xludf.DUMMYFUNCTION("IFS(
ISBETWEEN(D162,F162,G162,TRUE,TRUE),1,
ISBETWEEN(E162,F162,G162,TRUE,TRUE),1,
ISBETWEEN(F162,D162,E162,TRUE,TRUE),1,
ISBETWEEN(G162,D162,E162,TRUE,TRUE),1,
1,0)"),1.0)</f>
        <v>1</v>
      </c>
    </row>
    <row r="163">
      <c r="A163" s="2" t="s">
        <v>163</v>
      </c>
      <c r="B163" s="1" t="str">
        <f>IFERROR(__xludf.DUMMYFUNCTION("SPLIT(A163,"","",)"),"7-97")</f>
        <v>7-97</v>
      </c>
      <c r="C163" s="3">
        <f>IFERROR(__xludf.DUMMYFUNCTION("""COMPUTED_VALUE"""),44747.0)</f>
        <v>44747</v>
      </c>
      <c r="D163" s="4">
        <f>IFERROR(__xludf.DUMMYFUNCTION("split(B163,""-"")"),7.0)</f>
        <v>7</v>
      </c>
      <c r="E163" s="4">
        <f>IFERROR(__xludf.DUMMYFUNCTION("""COMPUTED_VALUE"""),97.0)</f>
        <v>97</v>
      </c>
      <c r="F163" s="4">
        <f>IFERROR(__xludf.DUMMYFUNCTION("split(C163,""-"")"),5.0)</f>
        <v>5</v>
      </c>
      <c r="G163" s="4">
        <f>IFERROR(__xludf.DUMMYFUNCTION("""COMPUTED_VALUE"""),7.0)</f>
        <v>7</v>
      </c>
      <c r="H163" s="4">
        <f t="shared" si="1"/>
        <v>0</v>
      </c>
      <c r="J163" s="4">
        <f>IFERROR(__xludf.DUMMYFUNCTION("IFS(
ISBETWEEN(D163,F163,G163,TRUE,TRUE),1,
ISBETWEEN(E163,F163,G163,TRUE,TRUE),1,
ISBETWEEN(F163,D163,E163,TRUE,TRUE),1,
ISBETWEEN(G163,D163,E163,TRUE,TRUE),1,
1,0)"),1.0)</f>
        <v>1</v>
      </c>
    </row>
    <row r="164">
      <c r="A164" s="2" t="s">
        <v>164</v>
      </c>
      <c r="B164" s="1" t="str">
        <f>IFERROR(__xludf.DUMMYFUNCTION("SPLIT(A164,"","",)"),"33-63")</f>
        <v>33-63</v>
      </c>
      <c r="C164" s="1" t="str">
        <f>IFERROR(__xludf.DUMMYFUNCTION("""COMPUTED_VALUE"""),"33-78")</f>
        <v>33-78</v>
      </c>
      <c r="D164" s="4">
        <f>IFERROR(__xludf.DUMMYFUNCTION("split(B164,""-"")"),33.0)</f>
        <v>33</v>
      </c>
      <c r="E164" s="4">
        <f>IFERROR(__xludf.DUMMYFUNCTION("""COMPUTED_VALUE"""),63.0)</f>
        <v>63</v>
      </c>
      <c r="F164" s="4">
        <f>IFERROR(__xludf.DUMMYFUNCTION("split(C164,""-"")"),33.0)</f>
        <v>33</v>
      </c>
      <c r="G164" s="4">
        <f>IFERROR(__xludf.DUMMYFUNCTION("""COMPUTED_VALUE"""),78.0)</f>
        <v>78</v>
      </c>
      <c r="H164" s="4">
        <f t="shared" si="1"/>
        <v>1</v>
      </c>
      <c r="J164" s="4">
        <f>IFERROR(__xludf.DUMMYFUNCTION("IFS(
ISBETWEEN(D164,F164,G164,TRUE,TRUE),1,
ISBETWEEN(E164,F164,G164,TRUE,TRUE),1,
ISBETWEEN(F164,D164,E164,TRUE,TRUE),1,
ISBETWEEN(G164,D164,E164,TRUE,TRUE),1,
1,0)"),1.0)</f>
        <v>1</v>
      </c>
    </row>
    <row r="165">
      <c r="A165" s="2" t="s">
        <v>165</v>
      </c>
      <c r="B165" s="3">
        <f>IFERROR(__xludf.DUMMYFUNCTION("SPLIT(A165,"","",)"),44905.0)</f>
        <v>44905</v>
      </c>
      <c r="C165" s="1" t="str">
        <f>IFERROR(__xludf.DUMMYFUNCTION("""COMPUTED_VALUE"""),"11-88")</f>
        <v>11-88</v>
      </c>
      <c r="D165" s="4">
        <f>IFERROR(__xludf.DUMMYFUNCTION("split(B165,""-"")"),10.0)</f>
        <v>10</v>
      </c>
      <c r="E165" s="4">
        <f>IFERROR(__xludf.DUMMYFUNCTION("""COMPUTED_VALUE"""),12.0)</f>
        <v>12</v>
      </c>
      <c r="F165" s="4">
        <f>IFERROR(__xludf.DUMMYFUNCTION("split(C165,""-"")"),11.0)</f>
        <v>11</v>
      </c>
      <c r="G165" s="4">
        <f>IFERROR(__xludf.DUMMYFUNCTION("""COMPUTED_VALUE"""),88.0)</f>
        <v>88</v>
      </c>
      <c r="H165" s="4">
        <f t="shared" si="1"/>
        <v>0</v>
      </c>
      <c r="J165" s="4">
        <f>IFERROR(__xludf.DUMMYFUNCTION("IFS(
ISBETWEEN(D165,F165,G165,TRUE,TRUE),1,
ISBETWEEN(E165,F165,G165,TRUE,TRUE),1,
ISBETWEEN(F165,D165,E165,TRUE,TRUE),1,
ISBETWEEN(G165,D165,E165,TRUE,TRUE),1,
1,0)"),1.0)</f>
        <v>1</v>
      </c>
    </row>
    <row r="166">
      <c r="A166" s="2" t="s">
        <v>166</v>
      </c>
      <c r="B166" s="1" t="str">
        <f>IFERROR(__xludf.DUMMYFUNCTION("SPLIT(A166,"","",)"),"41-41")</f>
        <v>41-41</v>
      </c>
      <c r="C166" s="1" t="str">
        <f>IFERROR(__xludf.DUMMYFUNCTION("""COMPUTED_VALUE"""),"30-41")</f>
        <v>30-41</v>
      </c>
      <c r="D166" s="4">
        <f>IFERROR(__xludf.DUMMYFUNCTION("split(B166,""-"")"),41.0)</f>
        <v>41</v>
      </c>
      <c r="E166" s="4">
        <f>IFERROR(__xludf.DUMMYFUNCTION("""COMPUTED_VALUE"""),41.0)</f>
        <v>41</v>
      </c>
      <c r="F166" s="4">
        <f>IFERROR(__xludf.DUMMYFUNCTION("split(C166,""-"")"),30.0)</f>
        <v>30</v>
      </c>
      <c r="G166" s="4">
        <f>IFERROR(__xludf.DUMMYFUNCTION("""COMPUTED_VALUE"""),41.0)</f>
        <v>41</v>
      </c>
      <c r="H166" s="4">
        <f t="shared" si="1"/>
        <v>1</v>
      </c>
      <c r="J166" s="4">
        <f>IFERROR(__xludf.DUMMYFUNCTION("IFS(
ISBETWEEN(D166,F166,G166,TRUE,TRUE),1,
ISBETWEEN(E166,F166,G166,TRUE,TRUE),1,
ISBETWEEN(F166,D166,E166,TRUE,TRUE),1,
ISBETWEEN(G166,D166,E166,TRUE,TRUE),1,
1,0)"),1.0)</f>
        <v>1</v>
      </c>
    </row>
    <row r="167">
      <c r="A167" s="2" t="s">
        <v>167</v>
      </c>
      <c r="B167" s="1" t="str">
        <f>IFERROR(__xludf.DUMMYFUNCTION("SPLIT(A167,"","",)"),"5-90")</f>
        <v>5-90</v>
      </c>
      <c r="C167" s="1" t="str">
        <f>IFERROR(__xludf.DUMMYFUNCTION("""COMPUTED_VALUE"""),"4-91")</f>
        <v>4-91</v>
      </c>
      <c r="D167" s="4">
        <f>IFERROR(__xludf.DUMMYFUNCTION("split(B167,""-"")"),5.0)</f>
        <v>5</v>
      </c>
      <c r="E167" s="4">
        <f>IFERROR(__xludf.DUMMYFUNCTION("""COMPUTED_VALUE"""),90.0)</f>
        <v>90</v>
      </c>
      <c r="F167" s="4">
        <f>IFERROR(__xludf.DUMMYFUNCTION("split(C167,""-"")"),4.0)</f>
        <v>4</v>
      </c>
      <c r="G167" s="4">
        <f>IFERROR(__xludf.DUMMYFUNCTION("""COMPUTED_VALUE"""),91.0)</f>
        <v>91</v>
      </c>
      <c r="H167" s="4">
        <f t="shared" si="1"/>
        <v>1</v>
      </c>
      <c r="J167" s="4">
        <f>IFERROR(__xludf.DUMMYFUNCTION("IFS(
ISBETWEEN(D167,F167,G167,TRUE,TRUE),1,
ISBETWEEN(E167,F167,G167,TRUE,TRUE),1,
ISBETWEEN(F167,D167,E167,TRUE,TRUE),1,
ISBETWEEN(G167,D167,E167,TRUE,TRUE),1,
1,0)"),1.0)</f>
        <v>1</v>
      </c>
    </row>
    <row r="168">
      <c r="A168" s="2" t="s">
        <v>168</v>
      </c>
      <c r="B168" s="3">
        <f>IFERROR(__xludf.DUMMYFUNCTION("SPLIT(A168,"","",)"),44623.0)</f>
        <v>44623</v>
      </c>
      <c r="C168" s="1" t="str">
        <f>IFERROR(__xludf.DUMMYFUNCTION("""COMPUTED_VALUE"""),"6-86")</f>
        <v>6-86</v>
      </c>
      <c r="D168" s="4">
        <f>IFERROR(__xludf.DUMMYFUNCTION("split(B168,""-"")"),3.0)</f>
        <v>3</v>
      </c>
      <c r="E168" s="4">
        <f>IFERROR(__xludf.DUMMYFUNCTION("""COMPUTED_VALUE"""),3.0)</f>
        <v>3</v>
      </c>
      <c r="F168" s="4">
        <f>IFERROR(__xludf.DUMMYFUNCTION("split(C168,""-"")"),6.0)</f>
        <v>6</v>
      </c>
      <c r="G168" s="4">
        <f>IFERROR(__xludf.DUMMYFUNCTION("""COMPUTED_VALUE"""),86.0)</f>
        <v>86</v>
      </c>
      <c r="H168" s="4">
        <f t="shared" si="1"/>
        <v>0</v>
      </c>
      <c r="J168" s="4">
        <f>IFERROR(__xludf.DUMMYFUNCTION("IFS(
ISBETWEEN(D168,F168,G168,TRUE,TRUE),1,
ISBETWEEN(E168,F168,G168,TRUE,TRUE),1,
ISBETWEEN(F168,D168,E168,TRUE,TRUE),1,
ISBETWEEN(G168,D168,E168,TRUE,TRUE),1,
1,0)"),0.0)</f>
        <v>0</v>
      </c>
    </row>
    <row r="169">
      <c r="A169" s="2" t="s">
        <v>169</v>
      </c>
      <c r="B169" s="1" t="str">
        <f>IFERROR(__xludf.DUMMYFUNCTION("SPLIT(A169,"","",)"),"43-90")</f>
        <v>43-90</v>
      </c>
      <c r="C169" s="1" t="str">
        <f>IFERROR(__xludf.DUMMYFUNCTION("""COMPUTED_VALUE"""),"52-90")</f>
        <v>52-90</v>
      </c>
      <c r="D169" s="4">
        <f>IFERROR(__xludf.DUMMYFUNCTION("split(B169,""-"")"),43.0)</f>
        <v>43</v>
      </c>
      <c r="E169" s="4">
        <f>IFERROR(__xludf.DUMMYFUNCTION("""COMPUTED_VALUE"""),90.0)</f>
        <v>90</v>
      </c>
      <c r="F169" s="4">
        <f>IFERROR(__xludf.DUMMYFUNCTION("split(C169,""-"")"),52.0)</f>
        <v>52</v>
      </c>
      <c r="G169" s="4">
        <f>IFERROR(__xludf.DUMMYFUNCTION("""COMPUTED_VALUE"""),90.0)</f>
        <v>90</v>
      </c>
      <c r="H169" s="4">
        <f t="shared" si="1"/>
        <v>1</v>
      </c>
      <c r="J169" s="4">
        <f>IFERROR(__xludf.DUMMYFUNCTION("IFS(
ISBETWEEN(D169,F169,G169,TRUE,TRUE),1,
ISBETWEEN(E169,F169,G169,TRUE,TRUE),1,
ISBETWEEN(F169,D169,E169,TRUE,TRUE),1,
ISBETWEEN(G169,D169,E169,TRUE,TRUE),1,
1,0)"),1.0)</f>
        <v>1</v>
      </c>
    </row>
    <row r="170">
      <c r="A170" s="2" t="s">
        <v>170</v>
      </c>
      <c r="B170" s="1" t="str">
        <f>IFERROR(__xludf.DUMMYFUNCTION("SPLIT(A170,"","",)"),"31-57")</f>
        <v>31-57</v>
      </c>
      <c r="C170" s="1" t="str">
        <f>IFERROR(__xludf.DUMMYFUNCTION("""COMPUTED_VALUE"""),"30-32")</f>
        <v>30-32</v>
      </c>
      <c r="D170" s="4">
        <f>IFERROR(__xludf.DUMMYFUNCTION("split(B170,""-"")"),31.0)</f>
        <v>31</v>
      </c>
      <c r="E170" s="4">
        <f>IFERROR(__xludf.DUMMYFUNCTION("""COMPUTED_VALUE"""),57.0)</f>
        <v>57</v>
      </c>
      <c r="F170" s="4">
        <f>IFERROR(__xludf.DUMMYFUNCTION("split(C170,""-"")"),30.0)</f>
        <v>30</v>
      </c>
      <c r="G170" s="4">
        <f>IFERROR(__xludf.DUMMYFUNCTION("""COMPUTED_VALUE"""),32.0)</f>
        <v>32</v>
      </c>
      <c r="H170" s="4">
        <f t="shared" si="1"/>
        <v>0</v>
      </c>
      <c r="J170" s="4">
        <f>IFERROR(__xludf.DUMMYFUNCTION("IFS(
ISBETWEEN(D170,F170,G170,TRUE,TRUE),1,
ISBETWEEN(E170,F170,G170,TRUE,TRUE),1,
ISBETWEEN(F170,D170,E170,TRUE,TRUE),1,
ISBETWEEN(G170,D170,E170,TRUE,TRUE),1,
1,0)"),1.0)</f>
        <v>1</v>
      </c>
    </row>
    <row r="171">
      <c r="A171" s="2" t="s">
        <v>171</v>
      </c>
      <c r="B171" s="1" t="str">
        <f>IFERROR(__xludf.DUMMYFUNCTION("SPLIT(A171,"","",)"),"70-89")</f>
        <v>70-89</v>
      </c>
      <c r="C171" s="1" t="str">
        <f>IFERROR(__xludf.DUMMYFUNCTION("""COMPUTED_VALUE"""),"4-71")</f>
        <v>4-71</v>
      </c>
      <c r="D171" s="4">
        <f>IFERROR(__xludf.DUMMYFUNCTION("split(B171,""-"")"),70.0)</f>
        <v>70</v>
      </c>
      <c r="E171" s="4">
        <f>IFERROR(__xludf.DUMMYFUNCTION("""COMPUTED_VALUE"""),89.0)</f>
        <v>89</v>
      </c>
      <c r="F171" s="4">
        <f>IFERROR(__xludf.DUMMYFUNCTION("split(C171,""-"")"),4.0)</f>
        <v>4</v>
      </c>
      <c r="G171" s="4">
        <f>IFERROR(__xludf.DUMMYFUNCTION("""COMPUTED_VALUE"""),71.0)</f>
        <v>71</v>
      </c>
      <c r="H171" s="4">
        <f t="shared" si="1"/>
        <v>0</v>
      </c>
      <c r="J171" s="4">
        <f>IFERROR(__xludf.DUMMYFUNCTION("IFS(
ISBETWEEN(D171,F171,G171,TRUE,TRUE),1,
ISBETWEEN(E171,F171,G171,TRUE,TRUE),1,
ISBETWEEN(F171,D171,E171,TRUE,TRUE),1,
ISBETWEEN(G171,D171,E171,TRUE,TRUE),1,
1,0)"),1.0)</f>
        <v>1</v>
      </c>
    </row>
    <row r="172">
      <c r="A172" s="2" t="s">
        <v>172</v>
      </c>
      <c r="B172" s="1" t="str">
        <f>IFERROR(__xludf.DUMMYFUNCTION("SPLIT(A172,"","",)"),"4-96")</f>
        <v>4-96</v>
      </c>
      <c r="C172" s="3">
        <f>IFERROR(__xludf.DUMMYFUNCTION("""COMPUTED_VALUE"""),44684.0)</f>
        <v>44684</v>
      </c>
      <c r="D172" s="4">
        <f>IFERROR(__xludf.DUMMYFUNCTION("split(B172,""-"")"),4.0)</f>
        <v>4</v>
      </c>
      <c r="E172" s="4">
        <f>IFERROR(__xludf.DUMMYFUNCTION("""COMPUTED_VALUE"""),96.0)</f>
        <v>96</v>
      </c>
      <c r="F172" s="4">
        <f>IFERROR(__xludf.DUMMYFUNCTION("split(C172,""-"")"),3.0)</f>
        <v>3</v>
      </c>
      <c r="G172" s="4">
        <f>IFERROR(__xludf.DUMMYFUNCTION("""COMPUTED_VALUE"""),5.0)</f>
        <v>5</v>
      </c>
      <c r="H172" s="4">
        <f t="shared" si="1"/>
        <v>0</v>
      </c>
      <c r="J172" s="4">
        <f>IFERROR(__xludf.DUMMYFUNCTION("IFS(
ISBETWEEN(D172,F172,G172,TRUE,TRUE),1,
ISBETWEEN(E172,F172,G172,TRUE,TRUE),1,
ISBETWEEN(F172,D172,E172,TRUE,TRUE),1,
ISBETWEEN(G172,D172,E172,TRUE,TRUE),1,
1,0)"),1.0)</f>
        <v>1</v>
      </c>
    </row>
    <row r="173">
      <c r="A173" s="2" t="s">
        <v>173</v>
      </c>
      <c r="B173" s="1" t="str">
        <f>IFERROR(__xludf.DUMMYFUNCTION("SPLIT(A173,"","",)"),"70-70")</f>
        <v>70-70</v>
      </c>
      <c r="C173" s="1" t="str">
        <f>IFERROR(__xludf.DUMMYFUNCTION("""COMPUTED_VALUE"""),"10-71")</f>
        <v>10-71</v>
      </c>
      <c r="D173" s="4">
        <f>IFERROR(__xludf.DUMMYFUNCTION("split(B173,""-"")"),70.0)</f>
        <v>70</v>
      </c>
      <c r="E173" s="4">
        <f>IFERROR(__xludf.DUMMYFUNCTION("""COMPUTED_VALUE"""),70.0)</f>
        <v>70</v>
      </c>
      <c r="F173" s="4">
        <f>IFERROR(__xludf.DUMMYFUNCTION("split(C173,""-"")"),10.0)</f>
        <v>10</v>
      </c>
      <c r="G173" s="4">
        <f>IFERROR(__xludf.DUMMYFUNCTION("""COMPUTED_VALUE"""),71.0)</f>
        <v>71</v>
      </c>
      <c r="H173" s="4">
        <f t="shared" si="1"/>
        <v>1</v>
      </c>
      <c r="J173" s="4">
        <f>IFERROR(__xludf.DUMMYFUNCTION("IFS(
ISBETWEEN(D173,F173,G173,TRUE,TRUE),1,
ISBETWEEN(E173,F173,G173,TRUE,TRUE),1,
ISBETWEEN(F173,D173,E173,TRUE,TRUE),1,
ISBETWEEN(G173,D173,E173,TRUE,TRUE),1,
1,0)"),1.0)</f>
        <v>1</v>
      </c>
    </row>
    <row r="174">
      <c r="A174" s="2" t="s">
        <v>174</v>
      </c>
      <c r="B174" s="1" t="str">
        <f>IFERROR(__xludf.DUMMYFUNCTION("SPLIT(A174,"","",)"),"50-71")</f>
        <v>50-71</v>
      </c>
      <c r="C174" s="1" t="str">
        <f>IFERROR(__xludf.DUMMYFUNCTION("""COMPUTED_VALUE"""),"50-51")</f>
        <v>50-51</v>
      </c>
      <c r="D174" s="4">
        <f>IFERROR(__xludf.DUMMYFUNCTION("split(B174,""-"")"),50.0)</f>
        <v>50</v>
      </c>
      <c r="E174" s="4">
        <f>IFERROR(__xludf.DUMMYFUNCTION("""COMPUTED_VALUE"""),71.0)</f>
        <v>71</v>
      </c>
      <c r="F174" s="4">
        <f>IFERROR(__xludf.DUMMYFUNCTION("split(C174,""-"")"),50.0)</f>
        <v>50</v>
      </c>
      <c r="G174" s="4">
        <f>IFERROR(__xludf.DUMMYFUNCTION("""COMPUTED_VALUE"""),51.0)</f>
        <v>51</v>
      </c>
      <c r="H174" s="4">
        <f t="shared" si="1"/>
        <v>1</v>
      </c>
      <c r="J174" s="4">
        <f>IFERROR(__xludf.DUMMYFUNCTION("IFS(
ISBETWEEN(D174,F174,G174,TRUE,TRUE),1,
ISBETWEEN(E174,F174,G174,TRUE,TRUE),1,
ISBETWEEN(F174,D174,E174,TRUE,TRUE),1,
ISBETWEEN(G174,D174,E174,TRUE,TRUE),1,
1,0)"),1.0)</f>
        <v>1</v>
      </c>
    </row>
    <row r="175">
      <c r="A175" s="2" t="s">
        <v>175</v>
      </c>
      <c r="B175" s="1" t="str">
        <f>IFERROR(__xludf.DUMMYFUNCTION("SPLIT(A175,"","",)"),"46-47")</f>
        <v>46-47</v>
      </c>
      <c r="C175" s="1" t="str">
        <f>IFERROR(__xludf.DUMMYFUNCTION("""COMPUTED_VALUE"""),"47-89")</f>
        <v>47-89</v>
      </c>
      <c r="D175" s="4">
        <f>IFERROR(__xludf.DUMMYFUNCTION("split(B175,""-"")"),46.0)</f>
        <v>46</v>
      </c>
      <c r="E175" s="4">
        <f>IFERROR(__xludf.DUMMYFUNCTION("""COMPUTED_VALUE"""),47.0)</f>
        <v>47</v>
      </c>
      <c r="F175" s="4">
        <f>IFERROR(__xludf.DUMMYFUNCTION("split(C175,""-"")"),47.0)</f>
        <v>47</v>
      </c>
      <c r="G175" s="4">
        <f>IFERROR(__xludf.DUMMYFUNCTION("""COMPUTED_VALUE"""),89.0)</f>
        <v>89</v>
      </c>
      <c r="H175" s="4">
        <f t="shared" si="1"/>
        <v>0</v>
      </c>
      <c r="J175" s="4">
        <f>IFERROR(__xludf.DUMMYFUNCTION("IFS(
ISBETWEEN(D175,F175,G175,TRUE,TRUE),1,
ISBETWEEN(E175,F175,G175,TRUE,TRUE),1,
ISBETWEEN(F175,D175,E175,TRUE,TRUE),1,
ISBETWEEN(G175,D175,E175,TRUE,TRUE),1,
1,0)"),1.0)</f>
        <v>1</v>
      </c>
    </row>
    <row r="176">
      <c r="A176" s="2" t="s">
        <v>176</v>
      </c>
      <c r="B176" s="1" t="str">
        <f>IFERROR(__xludf.DUMMYFUNCTION("SPLIT(A176,"","",)"),"66-87")</f>
        <v>66-87</v>
      </c>
      <c r="C176" s="1" t="str">
        <f>IFERROR(__xludf.DUMMYFUNCTION("""COMPUTED_VALUE"""),"65-87")</f>
        <v>65-87</v>
      </c>
      <c r="D176" s="4">
        <f>IFERROR(__xludf.DUMMYFUNCTION("split(B176,""-"")"),66.0)</f>
        <v>66</v>
      </c>
      <c r="E176" s="4">
        <f>IFERROR(__xludf.DUMMYFUNCTION("""COMPUTED_VALUE"""),87.0)</f>
        <v>87</v>
      </c>
      <c r="F176" s="4">
        <f>IFERROR(__xludf.DUMMYFUNCTION("split(C176,""-"")"),65.0)</f>
        <v>65</v>
      </c>
      <c r="G176" s="4">
        <f>IFERROR(__xludf.DUMMYFUNCTION("""COMPUTED_VALUE"""),87.0)</f>
        <v>87</v>
      </c>
      <c r="H176" s="4">
        <f t="shared" si="1"/>
        <v>1</v>
      </c>
      <c r="J176" s="4">
        <f>IFERROR(__xludf.DUMMYFUNCTION("IFS(
ISBETWEEN(D176,F176,G176,TRUE,TRUE),1,
ISBETWEEN(E176,F176,G176,TRUE,TRUE),1,
ISBETWEEN(F176,D176,E176,TRUE,TRUE),1,
ISBETWEEN(G176,D176,E176,TRUE,TRUE),1,
1,0)"),1.0)</f>
        <v>1</v>
      </c>
    </row>
    <row r="177">
      <c r="A177" s="2" t="s">
        <v>177</v>
      </c>
      <c r="B177" s="1" t="str">
        <f>IFERROR(__xludf.DUMMYFUNCTION("SPLIT(A177,"","",)"),"6-85")</f>
        <v>6-85</v>
      </c>
      <c r="C177" s="3">
        <f>IFERROR(__xludf.DUMMYFUNCTION("""COMPUTED_VALUE"""),44714.0)</f>
        <v>44714</v>
      </c>
      <c r="D177" s="4">
        <f>IFERROR(__xludf.DUMMYFUNCTION("split(B177,""-"")"),6.0)</f>
        <v>6</v>
      </c>
      <c r="E177" s="4">
        <f>IFERROR(__xludf.DUMMYFUNCTION("""COMPUTED_VALUE"""),85.0)</f>
        <v>85</v>
      </c>
      <c r="F177" s="4">
        <f>IFERROR(__xludf.DUMMYFUNCTION("split(C177,""-"")"),2.0)</f>
        <v>2</v>
      </c>
      <c r="G177" s="4">
        <f>IFERROR(__xludf.DUMMYFUNCTION("""COMPUTED_VALUE"""),6.0)</f>
        <v>6</v>
      </c>
      <c r="H177" s="4">
        <f t="shared" si="1"/>
        <v>0</v>
      </c>
      <c r="J177" s="4">
        <f>IFERROR(__xludf.DUMMYFUNCTION("IFS(
ISBETWEEN(D177,F177,G177,TRUE,TRUE),1,
ISBETWEEN(E177,F177,G177,TRUE,TRUE),1,
ISBETWEEN(F177,D177,E177,TRUE,TRUE),1,
ISBETWEEN(G177,D177,E177,TRUE,TRUE),1,
1,0)"),1.0)</f>
        <v>1</v>
      </c>
    </row>
    <row r="178">
      <c r="A178" s="2" t="s">
        <v>178</v>
      </c>
      <c r="B178" s="1" t="str">
        <f>IFERROR(__xludf.DUMMYFUNCTION("SPLIT(A178,"","",)"),"29-91")</f>
        <v>29-91</v>
      </c>
      <c r="C178" s="1" t="str">
        <f>IFERROR(__xludf.DUMMYFUNCTION("""COMPUTED_VALUE"""),"30-90")</f>
        <v>30-90</v>
      </c>
      <c r="D178" s="4">
        <f>IFERROR(__xludf.DUMMYFUNCTION("split(B178,""-"")"),29.0)</f>
        <v>29</v>
      </c>
      <c r="E178" s="4">
        <f>IFERROR(__xludf.DUMMYFUNCTION("""COMPUTED_VALUE"""),91.0)</f>
        <v>91</v>
      </c>
      <c r="F178" s="4">
        <f>IFERROR(__xludf.DUMMYFUNCTION("split(C178,""-"")"),30.0)</f>
        <v>30</v>
      </c>
      <c r="G178" s="4">
        <f>IFERROR(__xludf.DUMMYFUNCTION("""COMPUTED_VALUE"""),90.0)</f>
        <v>90</v>
      </c>
      <c r="H178" s="4">
        <f t="shared" si="1"/>
        <v>1</v>
      </c>
      <c r="J178" s="4">
        <f>IFERROR(__xludf.DUMMYFUNCTION("IFS(
ISBETWEEN(D178,F178,G178,TRUE,TRUE),1,
ISBETWEEN(E178,F178,G178,TRUE,TRUE),1,
ISBETWEEN(F178,D178,E178,TRUE,TRUE),1,
ISBETWEEN(G178,D178,E178,TRUE,TRUE),1,
1,0)"),1.0)</f>
        <v>1</v>
      </c>
    </row>
    <row r="179">
      <c r="A179" s="2" t="s">
        <v>179</v>
      </c>
      <c r="B179" s="1" t="str">
        <f>IFERROR(__xludf.DUMMYFUNCTION("SPLIT(A179,"","",)"),"44-79")</f>
        <v>44-79</v>
      </c>
      <c r="C179" s="1" t="str">
        <f>IFERROR(__xludf.DUMMYFUNCTION("""COMPUTED_VALUE"""),"14-47")</f>
        <v>14-47</v>
      </c>
      <c r="D179" s="4">
        <f>IFERROR(__xludf.DUMMYFUNCTION("split(B179,""-"")"),44.0)</f>
        <v>44</v>
      </c>
      <c r="E179" s="4">
        <f>IFERROR(__xludf.DUMMYFUNCTION("""COMPUTED_VALUE"""),79.0)</f>
        <v>79</v>
      </c>
      <c r="F179" s="4">
        <f>IFERROR(__xludf.DUMMYFUNCTION("split(C179,""-"")"),14.0)</f>
        <v>14</v>
      </c>
      <c r="G179" s="4">
        <f>IFERROR(__xludf.DUMMYFUNCTION("""COMPUTED_VALUE"""),47.0)</f>
        <v>47</v>
      </c>
      <c r="H179" s="4">
        <f t="shared" si="1"/>
        <v>0</v>
      </c>
      <c r="J179" s="4">
        <f>IFERROR(__xludf.DUMMYFUNCTION("IFS(
ISBETWEEN(D179,F179,G179,TRUE,TRUE),1,
ISBETWEEN(E179,F179,G179,TRUE,TRUE),1,
ISBETWEEN(F179,D179,E179,TRUE,TRUE),1,
ISBETWEEN(G179,D179,E179,TRUE,TRUE),1,
1,0)"),1.0)</f>
        <v>1</v>
      </c>
    </row>
    <row r="180">
      <c r="A180" s="2" t="s">
        <v>180</v>
      </c>
      <c r="B180" s="1" t="str">
        <f>IFERROR(__xludf.DUMMYFUNCTION("SPLIT(A180,"","",)"),"30-73")</f>
        <v>30-73</v>
      </c>
      <c r="C180" s="1" t="str">
        <f>IFERROR(__xludf.DUMMYFUNCTION("""COMPUTED_VALUE"""),"73-73")</f>
        <v>73-73</v>
      </c>
      <c r="D180" s="4">
        <f>IFERROR(__xludf.DUMMYFUNCTION("split(B180,""-"")"),30.0)</f>
        <v>30</v>
      </c>
      <c r="E180" s="4">
        <f>IFERROR(__xludf.DUMMYFUNCTION("""COMPUTED_VALUE"""),73.0)</f>
        <v>73</v>
      </c>
      <c r="F180" s="4">
        <f>IFERROR(__xludf.DUMMYFUNCTION("split(C180,""-"")"),73.0)</f>
        <v>73</v>
      </c>
      <c r="G180" s="4">
        <f>IFERROR(__xludf.DUMMYFUNCTION("""COMPUTED_VALUE"""),73.0)</f>
        <v>73</v>
      </c>
      <c r="H180" s="4">
        <f t="shared" si="1"/>
        <v>1</v>
      </c>
      <c r="J180" s="4">
        <f>IFERROR(__xludf.DUMMYFUNCTION("IFS(
ISBETWEEN(D180,F180,G180,TRUE,TRUE),1,
ISBETWEEN(E180,F180,G180,TRUE,TRUE),1,
ISBETWEEN(F180,D180,E180,TRUE,TRUE),1,
ISBETWEEN(G180,D180,E180,TRUE,TRUE),1,
1,0)"),1.0)</f>
        <v>1</v>
      </c>
    </row>
    <row r="181">
      <c r="A181" s="2" t="s">
        <v>181</v>
      </c>
      <c r="B181" s="1" t="str">
        <f>IFERROR(__xludf.DUMMYFUNCTION("SPLIT(A181,"","",)"),"24-93")</f>
        <v>24-93</v>
      </c>
      <c r="C181" s="1" t="str">
        <f>IFERROR(__xludf.DUMMYFUNCTION("""COMPUTED_VALUE"""),"24-89")</f>
        <v>24-89</v>
      </c>
      <c r="D181" s="4">
        <f>IFERROR(__xludf.DUMMYFUNCTION("split(B181,""-"")"),24.0)</f>
        <v>24</v>
      </c>
      <c r="E181" s="4">
        <f>IFERROR(__xludf.DUMMYFUNCTION("""COMPUTED_VALUE"""),93.0)</f>
        <v>93</v>
      </c>
      <c r="F181" s="4">
        <f>IFERROR(__xludf.DUMMYFUNCTION("split(C181,""-"")"),24.0)</f>
        <v>24</v>
      </c>
      <c r="G181" s="4">
        <f>IFERROR(__xludf.DUMMYFUNCTION("""COMPUTED_VALUE"""),89.0)</f>
        <v>89</v>
      </c>
      <c r="H181" s="4">
        <f t="shared" si="1"/>
        <v>1</v>
      </c>
      <c r="J181" s="4">
        <f>IFERROR(__xludf.DUMMYFUNCTION("IFS(
ISBETWEEN(D181,F181,G181,TRUE,TRUE),1,
ISBETWEEN(E181,F181,G181,TRUE,TRUE),1,
ISBETWEEN(F181,D181,E181,TRUE,TRUE),1,
ISBETWEEN(G181,D181,E181,TRUE,TRUE),1,
1,0)"),1.0)</f>
        <v>1</v>
      </c>
    </row>
    <row r="182">
      <c r="A182" s="2" t="s">
        <v>182</v>
      </c>
      <c r="B182" s="1" t="str">
        <f>IFERROR(__xludf.DUMMYFUNCTION("SPLIT(A182,"","",)"),"24-88")</f>
        <v>24-88</v>
      </c>
      <c r="C182" s="1" t="str">
        <f>IFERROR(__xludf.DUMMYFUNCTION("""COMPUTED_VALUE"""),"24-44")</f>
        <v>24-44</v>
      </c>
      <c r="D182" s="4">
        <f>IFERROR(__xludf.DUMMYFUNCTION("split(B182,""-"")"),24.0)</f>
        <v>24</v>
      </c>
      <c r="E182" s="4">
        <f>IFERROR(__xludf.DUMMYFUNCTION("""COMPUTED_VALUE"""),88.0)</f>
        <v>88</v>
      </c>
      <c r="F182" s="4">
        <f>IFERROR(__xludf.DUMMYFUNCTION("split(C182,""-"")"),24.0)</f>
        <v>24</v>
      </c>
      <c r="G182" s="4">
        <f>IFERROR(__xludf.DUMMYFUNCTION("""COMPUTED_VALUE"""),44.0)</f>
        <v>44</v>
      </c>
      <c r="H182" s="4">
        <f t="shared" si="1"/>
        <v>1</v>
      </c>
      <c r="J182" s="4">
        <f>IFERROR(__xludf.DUMMYFUNCTION("IFS(
ISBETWEEN(D182,F182,G182,TRUE,TRUE),1,
ISBETWEEN(E182,F182,G182,TRUE,TRUE),1,
ISBETWEEN(F182,D182,E182,TRUE,TRUE),1,
ISBETWEEN(G182,D182,E182,TRUE,TRUE),1,
1,0)"),1.0)</f>
        <v>1</v>
      </c>
    </row>
    <row r="183">
      <c r="A183" s="2" t="s">
        <v>183</v>
      </c>
      <c r="B183" s="1" t="str">
        <f>IFERROR(__xludf.DUMMYFUNCTION("SPLIT(A183,"","",)"),"29-32")</f>
        <v>29-32</v>
      </c>
      <c r="C183" s="1" t="str">
        <f>IFERROR(__xludf.DUMMYFUNCTION("""COMPUTED_VALUE"""),"32-32")</f>
        <v>32-32</v>
      </c>
      <c r="D183" s="4">
        <f>IFERROR(__xludf.DUMMYFUNCTION("split(B183,""-"")"),29.0)</f>
        <v>29</v>
      </c>
      <c r="E183" s="4">
        <f>IFERROR(__xludf.DUMMYFUNCTION("""COMPUTED_VALUE"""),32.0)</f>
        <v>32</v>
      </c>
      <c r="F183" s="4">
        <f>IFERROR(__xludf.DUMMYFUNCTION("split(C183,""-"")"),32.0)</f>
        <v>32</v>
      </c>
      <c r="G183" s="4">
        <f>IFERROR(__xludf.DUMMYFUNCTION("""COMPUTED_VALUE"""),32.0)</f>
        <v>32</v>
      </c>
      <c r="H183" s="4">
        <f t="shared" si="1"/>
        <v>1</v>
      </c>
      <c r="J183" s="4">
        <f>IFERROR(__xludf.DUMMYFUNCTION("IFS(
ISBETWEEN(D183,F183,G183,TRUE,TRUE),1,
ISBETWEEN(E183,F183,G183,TRUE,TRUE),1,
ISBETWEEN(F183,D183,E183,TRUE,TRUE),1,
ISBETWEEN(G183,D183,E183,TRUE,TRUE),1,
1,0)"),1.0)</f>
        <v>1</v>
      </c>
    </row>
    <row r="184">
      <c r="A184" s="2" t="s">
        <v>184</v>
      </c>
      <c r="B184" s="1" t="str">
        <f>IFERROR(__xludf.DUMMYFUNCTION("SPLIT(A184,"","",)"),"14-30")</f>
        <v>14-30</v>
      </c>
      <c r="C184" s="1" t="str">
        <f>IFERROR(__xludf.DUMMYFUNCTION("""COMPUTED_VALUE"""),"30-30")</f>
        <v>30-30</v>
      </c>
      <c r="D184" s="4">
        <f>IFERROR(__xludf.DUMMYFUNCTION("split(B184,""-"")"),14.0)</f>
        <v>14</v>
      </c>
      <c r="E184" s="4">
        <f>IFERROR(__xludf.DUMMYFUNCTION("""COMPUTED_VALUE"""),30.0)</f>
        <v>30</v>
      </c>
      <c r="F184" s="4">
        <f>IFERROR(__xludf.DUMMYFUNCTION("split(C184,""-"")"),30.0)</f>
        <v>30</v>
      </c>
      <c r="G184" s="4">
        <f>IFERROR(__xludf.DUMMYFUNCTION("""COMPUTED_VALUE"""),30.0)</f>
        <v>30</v>
      </c>
      <c r="H184" s="4">
        <f t="shared" si="1"/>
        <v>1</v>
      </c>
      <c r="J184" s="4">
        <f>IFERROR(__xludf.DUMMYFUNCTION("IFS(
ISBETWEEN(D184,F184,G184,TRUE,TRUE),1,
ISBETWEEN(E184,F184,G184,TRUE,TRUE),1,
ISBETWEEN(F184,D184,E184,TRUE,TRUE),1,
ISBETWEEN(G184,D184,E184,TRUE,TRUE),1,
1,0)"),1.0)</f>
        <v>1</v>
      </c>
    </row>
    <row r="185">
      <c r="A185" s="2" t="s">
        <v>185</v>
      </c>
      <c r="B185" s="1" t="str">
        <f>IFERROR(__xludf.DUMMYFUNCTION("SPLIT(A185,"","",)"),"69-78")</f>
        <v>69-78</v>
      </c>
      <c r="C185" s="1" t="str">
        <f>IFERROR(__xludf.DUMMYFUNCTION("""COMPUTED_VALUE"""),"70-70")</f>
        <v>70-70</v>
      </c>
      <c r="D185" s="4">
        <f>IFERROR(__xludf.DUMMYFUNCTION("split(B185,""-"")"),69.0)</f>
        <v>69</v>
      </c>
      <c r="E185" s="4">
        <f>IFERROR(__xludf.DUMMYFUNCTION("""COMPUTED_VALUE"""),78.0)</f>
        <v>78</v>
      </c>
      <c r="F185" s="4">
        <f>IFERROR(__xludf.DUMMYFUNCTION("split(C185,""-"")"),70.0)</f>
        <v>70</v>
      </c>
      <c r="G185" s="4">
        <f>IFERROR(__xludf.DUMMYFUNCTION("""COMPUTED_VALUE"""),70.0)</f>
        <v>70</v>
      </c>
      <c r="H185" s="4">
        <f t="shared" si="1"/>
        <v>1</v>
      </c>
      <c r="J185" s="4">
        <f>IFERROR(__xludf.DUMMYFUNCTION("IFS(
ISBETWEEN(D185,F185,G185,TRUE,TRUE),1,
ISBETWEEN(E185,F185,G185,TRUE,TRUE),1,
ISBETWEEN(F185,D185,E185,TRUE,TRUE),1,
ISBETWEEN(G185,D185,E185,TRUE,TRUE),1,
1,0)"),1.0)</f>
        <v>1</v>
      </c>
    </row>
    <row r="186">
      <c r="A186" s="2" t="s">
        <v>186</v>
      </c>
      <c r="B186" s="1" t="str">
        <f>IFERROR(__xludf.DUMMYFUNCTION("SPLIT(A186,"","",)"),"35-48")</f>
        <v>35-48</v>
      </c>
      <c r="C186" s="1" t="str">
        <f>IFERROR(__xludf.DUMMYFUNCTION("""COMPUTED_VALUE"""),"23-27")</f>
        <v>23-27</v>
      </c>
      <c r="D186" s="4">
        <f>IFERROR(__xludf.DUMMYFUNCTION("split(B186,""-"")"),35.0)</f>
        <v>35</v>
      </c>
      <c r="E186" s="4">
        <f>IFERROR(__xludf.DUMMYFUNCTION("""COMPUTED_VALUE"""),48.0)</f>
        <v>48</v>
      </c>
      <c r="F186" s="4">
        <f>IFERROR(__xludf.DUMMYFUNCTION("split(C186,""-"")"),23.0)</f>
        <v>23</v>
      </c>
      <c r="G186" s="4">
        <f>IFERROR(__xludf.DUMMYFUNCTION("""COMPUTED_VALUE"""),27.0)</f>
        <v>27</v>
      </c>
      <c r="H186" s="4">
        <f t="shared" si="1"/>
        <v>0</v>
      </c>
      <c r="J186" s="4">
        <f>IFERROR(__xludf.DUMMYFUNCTION("IFS(
ISBETWEEN(D186,F186,G186,TRUE,TRUE),1,
ISBETWEEN(E186,F186,G186,TRUE,TRUE),1,
ISBETWEEN(F186,D186,E186,TRUE,TRUE),1,
ISBETWEEN(G186,D186,E186,TRUE,TRUE),1,
1,0)"),0.0)</f>
        <v>0</v>
      </c>
    </row>
    <row r="187">
      <c r="A187" s="2" t="s">
        <v>187</v>
      </c>
      <c r="B187" s="1" t="str">
        <f>IFERROR(__xludf.DUMMYFUNCTION("SPLIT(A187,"","",)"),"86-86")</f>
        <v>86-86</v>
      </c>
      <c r="C187" s="1" t="str">
        <f>IFERROR(__xludf.DUMMYFUNCTION("""COMPUTED_VALUE"""),"65-86")</f>
        <v>65-86</v>
      </c>
      <c r="D187" s="4">
        <f>IFERROR(__xludf.DUMMYFUNCTION("split(B187,""-"")"),86.0)</f>
        <v>86</v>
      </c>
      <c r="E187" s="4">
        <f>IFERROR(__xludf.DUMMYFUNCTION("""COMPUTED_VALUE"""),86.0)</f>
        <v>86</v>
      </c>
      <c r="F187" s="4">
        <f>IFERROR(__xludf.DUMMYFUNCTION("split(C187,""-"")"),65.0)</f>
        <v>65</v>
      </c>
      <c r="G187" s="4">
        <f>IFERROR(__xludf.DUMMYFUNCTION("""COMPUTED_VALUE"""),86.0)</f>
        <v>86</v>
      </c>
      <c r="H187" s="4">
        <f t="shared" si="1"/>
        <v>1</v>
      </c>
      <c r="J187" s="4">
        <f>IFERROR(__xludf.DUMMYFUNCTION("IFS(
ISBETWEEN(D187,F187,G187,TRUE,TRUE),1,
ISBETWEEN(E187,F187,G187,TRUE,TRUE),1,
ISBETWEEN(F187,D187,E187,TRUE,TRUE),1,
ISBETWEEN(G187,D187,E187,TRUE,TRUE),1,
1,0)"),1.0)</f>
        <v>1</v>
      </c>
    </row>
    <row r="188">
      <c r="A188" s="2" t="s">
        <v>188</v>
      </c>
      <c r="B188" s="1" t="str">
        <f>IFERROR(__xludf.DUMMYFUNCTION("SPLIT(A188,"","",)"),"91-92")</f>
        <v>91-92</v>
      </c>
      <c r="C188" s="1" t="str">
        <f>IFERROR(__xludf.DUMMYFUNCTION("""COMPUTED_VALUE"""),"70-91")</f>
        <v>70-91</v>
      </c>
      <c r="D188" s="4">
        <f>IFERROR(__xludf.DUMMYFUNCTION("split(B188,""-"")"),91.0)</f>
        <v>91</v>
      </c>
      <c r="E188" s="4">
        <f>IFERROR(__xludf.DUMMYFUNCTION("""COMPUTED_VALUE"""),92.0)</f>
        <v>92</v>
      </c>
      <c r="F188" s="4">
        <f>IFERROR(__xludf.DUMMYFUNCTION("split(C188,""-"")"),70.0)</f>
        <v>70</v>
      </c>
      <c r="G188" s="4">
        <f>IFERROR(__xludf.DUMMYFUNCTION("""COMPUTED_VALUE"""),91.0)</f>
        <v>91</v>
      </c>
      <c r="H188" s="4">
        <f t="shared" si="1"/>
        <v>0</v>
      </c>
      <c r="J188" s="4">
        <f>IFERROR(__xludf.DUMMYFUNCTION("IFS(
ISBETWEEN(D188,F188,G188,TRUE,TRUE),1,
ISBETWEEN(E188,F188,G188,TRUE,TRUE),1,
ISBETWEEN(F188,D188,E188,TRUE,TRUE),1,
ISBETWEEN(G188,D188,E188,TRUE,TRUE),1,
1,0)"),1.0)</f>
        <v>1</v>
      </c>
    </row>
    <row r="189">
      <c r="A189" s="2" t="s">
        <v>189</v>
      </c>
      <c r="B189" s="1" t="str">
        <f>IFERROR(__xludf.DUMMYFUNCTION("SPLIT(A189,"","",)"),"18-78")</f>
        <v>18-78</v>
      </c>
      <c r="C189" s="1" t="str">
        <f>IFERROR(__xludf.DUMMYFUNCTION("""COMPUTED_VALUE"""),"11-17")</f>
        <v>11-17</v>
      </c>
      <c r="D189" s="4">
        <f>IFERROR(__xludf.DUMMYFUNCTION("split(B189,""-"")"),18.0)</f>
        <v>18</v>
      </c>
      <c r="E189" s="4">
        <f>IFERROR(__xludf.DUMMYFUNCTION("""COMPUTED_VALUE"""),78.0)</f>
        <v>78</v>
      </c>
      <c r="F189" s="4">
        <f>IFERROR(__xludf.DUMMYFUNCTION("split(C189,""-"")"),11.0)</f>
        <v>11</v>
      </c>
      <c r="G189" s="4">
        <f>IFERROR(__xludf.DUMMYFUNCTION("""COMPUTED_VALUE"""),17.0)</f>
        <v>17</v>
      </c>
      <c r="H189" s="4">
        <f t="shared" si="1"/>
        <v>0</v>
      </c>
      <c r="J189" s="4">
        <f>IFERROR(__xludf.DUMMYFUNCTION("IFS(
ISBETWEEN(D189,F189,G189,TRUE,TRUE),1,
ISBETWEEN(E189,F189,G189,TRUE,TRUE),1,
ISBETWEEN(F189,D189,E189,TRUE,TRUE),1,
ISBETWEEN(G189,D189,E189,TRUE,TRUE),1,
1,0)"),0.0)</f>
        <v>0</v>
      </c>
    </row>
    <row r="190">
      <c r="A190" s="2" t="s">
        <v>190</v>
      </c>
      <c r="B190" s="1" t="str">
        <f>IFERROR(__xludf.DUMMYFUNCTION("SPLIT(A190,"","",)"),"40-40")</f>
        <v>40-40</v>
      </c>
      <c r="C190" s="1" t="str">
        <f>IFERROR(__xludf.DUMMYFUNCTION("""COMPUTED_VALUE"""),"40-75")</f>
        <v>40-75</v>
      </c>
      <c r="D190" s="4">
        <f>IFERROR(__xludf.DUMMYFUNCTION("split(B190,""-"")"),40.0)</f>
        <v>40</v>
      </c>
      <c r="E190" s="4">
        <f>IFERROR(__xludf.DUMMYFUNCTION("""COMPUTED_VALUE"""),40.0)</f>
        <v>40</v>
      </c>
      <c r="F190" s="4">
        <f>IFERROR(__xludf.DUMMYFUNCTION("split(C190,""-"")"),40.0)</f>
        <v>40</v>
      </c>
      <c r="G190" s="4">
        <f>IFERROR(__xludf.DUMMYFUNCTION("""COMPUTED_VALUE"""),75.0)</f>
        <v>75</v>
      </c>
      <c r="H190" s="4">
        <f t="shared" si="1"/>
        <v>1</v>
      </c>
      <c r="J190" s="4">
        <f>IFERROR(__xludf.DUMMYFUNCTION("IFS(
ISBETWEEN(D190,F190,G190,TRUE,TRUE),1,
ISBETWEEN(E190,F190,G190,TRUE,TRUE),1,
ISBETWEEN(F190,D190,E190,TRUE,TRUE),1,
ISBETWEEN(G190,D190,E190,TRUE,TRUE),1,
1,0)"),1.0)</f>
        <v>1</v>
      </c>
    </row>
    <row r="191">
      <c r="A191" s="2" t="s">
        <v>191</v>
      </c>
      <c r="B191" s="1" t="str">
        <f>IFERROR(__xludf.DUMMYFUNCTION("SPLIT(A191,"","",)"),"50-52")</f>
        <v>50-52</v>
      </c>
      <c r="C191" s="1" t="str">
        <f>IFERROR(__xludf.DUMMYFUNCTION("""COMPUTED_VALUE"""),"55-81")</f>
        <v>55-81</v>
      </c>
      <c r="D191" s="4">
        <f>IFERROR(__xludf.DUMMYFUNCTION("split(B191,""-"")"),50.0)</f>
        <v>50</v>
      </c>
      <c r="E191" s="4">
        <f>IFERROR(__xludf.DUMMYFUNCTION("""COMPUTED_VALUE"""),52.0)</f>
        <v>52</v>
      </c>
      <c r="F191" s="4">
        <f>IFERROR(__xludf.DUMMYFUNCTION("split(C191,""-"")"),55.0)</f>
        <v>55</v>
      </c>
      <c r="G191" s="4">
        <f>IFERROR(__xludf.DUMMYFUNCTION("""COMPUTED_VALUE"""),81.0)</f>
        <v>81</v>
      </c>
      <c r="H191" s="4">
        <f t="shared" si="1"/>
        <v>0</v>
      </c>
      <c r="J191" s="4">
        <f>IFERROR(__xludf.DUMMYFUNCTION("IFS(
ISBETWEEN(D191,F191,G191,TRUE,TRUE),1,
ISBETWEEN(E191,F191,G191,TRUE,TRUE),1,
ISBETWEEN(F191,D191,E191,TRUE,TRUE),1,
ISBETWEEN(G191,D191,E191,TRUE,TRUE),1,
1,0)"),0.0)</f>
        <v>0</v>
      </c>
    </row>
    <row r="192">
      <c r="A192" s="2" t="s">
        <v>192</v>
      </c>
      <c r="B192" s="1" t="str">
        <f>IFERROR(__xludf.DUMMYFUNCTION("SPLIT(A192,"","",)"),"40-51")</f>
        <v>40-51</v>
      </c>
      <c r="C192" s="1" t="str">
        <f>IFERROR(__xludf.DUMMYFUNCTION("""COMPUTED_VALUE"""),"40-52")</f>
        <v>40-52</v>
      </c>
      <c r="D192" s="4">
        <f>IFERROR(__xludf.DUMMYFUNCTION("split(B192,""-"")"),40.0)</f>
        <v>40</v>
      </c>
      <c r="E192" s="4">
        <f>IFERROR(__xludf.DUMMYFUNCTION("""COMPUTED_VALUE"""),51.0)</f>
        <v>51</v>
      </c>
      <c r="F192" s="4">
        <f>IFERROR(__xludf.DUMMYFUNCTION("split(C192,""-"")"),40.0)</f>
        <v>40</v>
      </c>
      <c r="G192" s="4">
        <f>IFERROR(__xludf.DUMMYFUNCTION("""COMPUTED_VALUE"""),52.0)</f>
        <v>52</v>
      </c>
      <c r="H192" s="4">
        <f t="shared" si="1"/>
        <v>1</v>
      </c>
      <c r="J192" s="4">
        <f>IFERROR(__xludf.DUMMYFUNCTION("IFS(
ISBETWEEN(D192,F192,G192,TRUE,TRUE),1,
ISBETWEEN(E192,F192,G192,TRUE,TRUE),1,
ISBETWEEN(F192,D192,E192,TRUE,TRUE),1,
ISBETWEEN(G192,D192,E192,TRUE,TRUE),1,
1,0)"),1.0)</f>
        <v>1</v>
      </c>
    </row>
    <row r="193">
      <c r="A193" s="2" t="s">
        <v>193</v>
      </c>
      <c r="B193" s="1" t="str">
        <f>IFERROR(__xludf.DUMMYFUNCTION("SPLIT(A193,"","",)"),"27-64")</f>
        <v>27-64</v>
      </c>
      <c r="C193" s="1" t="str">
        <f>IFERROR(__xludf.DUMMYFUNCTION("""COMPUTED_VALUE"""),"27-65")</f>
        <v>27-65</v>
      </c>
      <c r="D193" s="4">
        <f>IFERROR(__xludf.DUMMYFUNCTION("split(B193,""-"")"),27.0)</f>
        <v>27</v>
      </c>
      <c r="E193" s="4">
        <f>IFERROR(__xludf.DUMMYFUNCTION("""COMPUTED_VALUE"""),64.0)</f>
        <v>64</v>
      </c>
      <c r="F193" s="4">
        <f>IFERROR(__xludf.DUMMYFUNCTION("split(C193,""-"")"),27.0)</f>
        <v>27</v>
      </c>
      <c r="G193" s="4">
        <f>IFERROR(__xludf.DUMMYFUNCTION("""COMPUTED_VALUE"""),65.0)</f>
        <v>65</v>
      </c>
      <c r="H193" s="4">
        <f t="shared" si="1"/>
        <v>1</v>
      </c>
      <c r="J193" s="4">
        <f>IFERROR(__xludf.DUMMYFUNCTION("IFS(
ISBETWEEN(D193,F193,G193,TRUE,TRUE),1,
ISBETWEEN(E193,F193,G193,TRUE,TRUE),1,
ISBETWEEN(F193,D193,E193,TRUE,TRUE),1,
ISBETWEEN(G193,D193,E193,TRUE,TRUE),1,
1,0)"),1.0)</f>
        <v>1</v>
      </c>
    </row>
    <row r="194">
      <c r="A194" s="2" t="s">
        <v>194</v>
      </c>
      <c r="B194" s="1" t="str">
        <f>IFERROR(__xludf.DUMMYFUNCTION("SPLIT(A194,"","",)"),"15-94")</f>
        <v>15-94</v>
      </c>
      <c r="C194" s="1" t="str">
        <f>IFERROR(__xludf.DUMMYFUNCTION("""COMPUTED_VALUE"""),"12-15")</f>
        <v>12-15</v>
      </c>
      <c r="D194" s="4">
        <f>IFERROR(__xludf.DUMMYFUNCTION("split(B194,""-"")"),15.0)</f>
        <v>15</v>
      </c>
      <c r="E194" s="4">
        <f>IFERROR(__xludf.DUMMYFUNCTION("""COMPUTED_VALUE"""),94.0)</f>
        <v>94</v>
      </c>
      <c r="F194" s="4">
        <f>IFERROR(__xludf.DUMMYFUNCTION("split(C194,""-"")"),12.0)</f>
        <v>12</v>
      </c>
      <c r="G194" s="4">
        <f>IFERROR(__xludf.DUMMYFUNCTION("""COMPUTED_VALUE"""),15.0)</f>
        <v>15</v>
      </c>
      <c r="H194" s="4">
        <f t="shared" si="1"/>
        <v>0</v>
      </c>
      <c r="J194" s="4">
        <f>IFERROR(__xludf.DUMMYFUNCTION("IFS(
ISBETWEEN(D194,F194,G194,TRUE,TRUE),1,
ISBETWEEN(E194,F194,G194,TRUE,TRUE),1,
ISBETWEEN(F194,D194,E194,TRUE,TRUE),1,
ISBETWEEN(G194,D194,E194,TRUE,TRUE),1,
1,0)"),1.0)</f>
        <v>1</v>
      </c>
    </row>
    <row r="195">
      <c r="A195" s="2" t="s">
        <v>195</v>
      </c>
      <c r="B195" s="1" t="str">
        <f>IFERROR(__xludf.DUMMYFUNCTION("SPLIT(A195,"","",)"),"86-99")</f>
        <v>86-99</v>
      </c>
      <c r="C195" s="1" t="str">
        <f>IFERROR(__xludf.DUMMYFUNCTION("""COMPUTED_VALUE"""),"59-92")</f>
        <v>59-92</v>
      </c>
      <c r="D195" s="4">
        <f>IFERROR(__xludf.DUMMYFUNCTION("split(B195,""-"")"),86.0)</f>
        <v>86</v>
      </c>
      <c r="E195" s="4">
        <f>IFERROR(__xludf.DUMMYFUNCTION("""COMPUTED_VALUE"""),99.0)</f>
        <v>99</v>
      </c>
      <c r="F195" s="4">
        <f>IFERROR(__xludf.DUMMYFUNCTION("split(C195,""-"")"),59.0)</f>
        <v>59</v>
      </c>
      <c r="G195" s="4">
        <f>IFERROR(__xludf.DUMMYFUNCTION("""COMPUTED_VALUE"""),92.0)</f>
        <v>92</v>
      </c>
      <c r="H195" s="4">
        <f t="shared" si="1"/>
        <v>0</v>
      </c>
      <c r="J195" s="4">
        <f>IFERROR(__xludf.DUMMYFUNCTION("IFS(
ISBETWEEN(D195,F195,G195,TRUE,TRUE),1,
ISBETWEEN(E195,F195,G195,TRUE,TRUE),1,
ISBETWEEN(F195,D195,E195,TRUE,TRUE),1,
ISBETWEEN(G195,D195,E195,TRUE,TRUE),1,
1,0)"),1.0)</f>
        <v>1</v>
      </c>
    </row>
    <row r="196">
      <c r="A196" s="2" t="s">
        <v>196</v>
      </c>
      <c r="B196" s="3">
        <f>IFERROR(__xludf.DUMMYFUNCTION("SPLIT(A196,"","",)"),44872.0)</f>
        <v>44872</v>
      </c>
      <c r="C196" s="1" t="str">
        <f>IFERROR(__xludf.DUMMYFUNCTION("""COMPUTED_VALUE"""),"10-69")</f>
        <v>10-69</v>
      </c>
      <c r="D196" s="4">
        <f>IFERROR(__xludf.DUMMYFUNCTION("split(B196,""-"")"),7.0)</f>
        <v>7</v>
      </c>
      <c r="E196" s="4">
        <f>IFERROR(__xludf.DUMMYFUNCTION("""COMPUTED_VALUE"""),11.0)</f>
        <v>11</v>
      </c>
      <c r="F196" s="4">
        <f>IFERROR(__xludf.DUMMYFUNCTION("split(C196,""-"")"),10.0)</f>
        <v>10</v>
      </c>
      <c r="G196" s="4">
        <f>IFERROR(__xludf.DUMMYFUNCTION("""COMPUTED_VALUE"""),69.0)</f>
        <v>69</v>
      </c>
      <c r="H196" s="4">
        <f t="shared" si="1"/>
        <v>0</v>
      </c>
      <c r="J196" s="4">
        <f>IFERROR(__xludf.DUMMYFUNCTION("IFS(
ISBETWEEN(D196,F196,G196,TRUE,TRUE),1,
ISBETWEEN(E196,F196,G196,TRUE,TRUE),1,
ISBETWEEN(F196,D196,E196,TRUE,TRUE),1,
ISBETWEEN(G196,D196,E196,TRUE,TRUE),1,
1,0)"),1.0)</f>
        <v>1</v>
      </c>
    </row>
    <row r="197">
      <c r="A197" s="2" t="s">
        <v>197</v>
      </c>
      <c r="B197" s="1" t="str">
        <f>IFERROR(__xludf.DUMMYFUNCTION("SPLIT(A197,"","",)"),"43-98")</f>
        <v>43-98</v>
      </c>
      <c r="C197" s="1" t="str">
        <f>IFERROR(__xludf.DUMMYFUNCTION("""COMPUTED_VALUE"""),"42-99")</f>
        <v>42-99</v>
      </c>
      <c r="D197" s="4">
        <f>IFERROR(__xludf.DUMMYFUNCTION("split(B197,""-"")"),43.0)</f>
        <v>43</v>
      </c>
      <c r="E197" s="4">
        <f>IFERROR(__xludf.DUMMYFUNCTION("""COMPUTED_VALUE"""),98.0)</f>
        <v>98</v>
      </c>
      <c r="F197" s="4">
        <f>IFERROR(__xludf.DUMMYFUNCTION("split(C197,""-"")"),42.0)</f>
        <v>42</v>
      </c>
      <c r="G197" s="4">
        <f>IFERROR(__xludf.DUMMYFUNCTION("""COMPUTED_VALUE"""),99.0)</f>
        <v>99</v>
      </c>
      <c r="H197" s="4">
        <f t="shared" si="1"/>
        <v>1</v>
      </c>
      <c r="J197" s="4">
        <f>IFERROR(__xludf.DUMMYFUNCTION("IFS(
ISBETWEEN(D197,F197,G197,TRUE,TRUE),1,
ISBETWEEN(E197,F197,G197,TRUE,TRUE),1,
ISBETWEEN(F197,D197,E197,TRUE,TRUE),1,
ISBETWEEN(G197,D197,E197,TRUE,TRUE),1,
1,0)"),1.0)</f>
        <v>1</v>
      </c>
    </row>
    <row r="198">
      <c r="A198" s="2" t="s">
        <v>198</v>
      </c>
      <c r="B198" s="1" t="str">
        <f>IFERROR(__xludf.DUMMYFUNCTION("SPLIT(A198,"","",)"),"6-88")</f>
        <v>6-88</v>
      </c>
      <c r="C198" s="1" t="str">
        <f>IFERROR(__xludf.DUMMYFUNCTION("""COMPUTED_VALUE"""),"5-89")</f>
        <v>5-89</v>
      </c>
      <c r="D198" s="4">
        <f>IFERROR(__xludf.DUMMYFUNCTION("split(B198,""-"")"),6.0)</f>
        <v>6</v>
      </c>
      <c r="E198" s="4">
        <f>IFERROR(__xludf.DUMMYFUNCTION("""COMPUTED_VALUE"""),88.0)</f>
        <v>88</v>
      </c>
      <c r="F198" s="4">
        <f>IFERROR(__xludf.DUMMYFUNCTION("split(C198,""-"")"),5.0)</f>
        <v>5</v>
      </c>
      <c r="G198" s="4">
        <f>IFERROR(__xludf.DUMMYFUNCTION("""COMPUTED_VALUE"""),89.0)</f>
        <v>89</v>
      </c>
      <c r="H198" s="4">
        <f t="shared" si="1"/>
        <v>1</v>
      </c>
      <c r="J198" s="4">
        <f>IFERROR(__xludf.DUMMYFUNCTION("IFS(
ISBETWEEN(D198,F198,G198,TRUE,TRUE),1,
ISBETWEEN(E198,F198,G198,TRUE,TRUE),1,
ISBETWEEN(F198,D198,E198,TRUE,TRUE),1,
ISBETWEEN(G198,D198,E198,TRUE,TRUE),1,
1,0)"),1.0)</f>
        <v>1</v>
      </c>
    </row>
    <row r="199">
      <c r="A199" s="2" t="s">
        <v>199</v>
      </c>
      <c r="B199" s="1" t="str">
        <f>IFERROR(__xludf.DUMMYFUNCTION("SPLIT(A199,"","",)"),"3-82")</f>
        <v>3-82</v>
      </c>
      <c r="C199" s="1" t="str">
        <f>IFERROR(__xludf.DUMMYFUNCTION("""COMPUTED_VALUE"""),"2-83")</f>
        <v>2-83</v>
      </c>
      <c r="D199" s="4">
        <f>IFERROR(__xludf.DUMMYFUNCTION("split(B199,""-"")"),3.0)</f>
        <v>3</v>
      </c>
      <c r="E199" s="4">
        <f>IFERROR(__xludf.DUMMYFUNCTION("""COMPUTED_VALUE"""),82.0)</f>
        <v>82</v>
      </c>
      <c r="F199" s="4">
        <f>IFERROR(__xludf.DUMMYFUNCTION("split(C199,""-"")"),2.0)</f>
        <v>2</v>
      </c>
      <c r="G199" s="4">
        <f>IFERROR(__xludf.DUMMYFUNCTION("""COMPUTED_VALUE"""),83.0)</f>
        <v>83</v>
      </c>
      <c r="H199" s="4">
        <f t="shared" si="1"/>
        <v>1</v>
      </c>
      <c r="J199" s="4">
        <f>IFERROR(__xludf.DUMMYFUNCTION("IFS(
ISBETWEEN(D199,F199,G199,TRUE,TRUE),1,
ISBETWEEN(E199,F199,G199,TRUE,TRUE),1,
ISBETWEEN(F199,D199,E199,TRUE,TRUE),1,
ISBETWEEN(G199,D199,E199,TRUE,TRUE),1,
1,0)"),1.0)</f>
        <v>1</v>
      </c>
    </row>
    <row r="200">
      <c r="A200" s="2" t="s">
        <v>200</v>
      </c>
      <c r="B200" s="1" t="str">
        <f>IFERROR(__xludf.DUMMYFUNCTION("SPLIT(A200,"","",)"),"79-98")</f>
        <v>79-98</v>
      </c>
      <c r="C200" s="1" t="str">
        <f>IFERROR(__xludf.DUMMYFUNCTION("""COMPUTED_VALUE"""),"98-98")</f>
        <v>98-98</v>
      </c>
      <c r="D200" s="4">
        <f>IFERROR(__xludf.DUMMYFUNCTION("split(B200,""-"")"),79.0)</f>
        <v>79</v>
      </c>
      <c r="E200" s="4">
        <f>IFERROR(__xludf.DUMMYFUNCTION("""COMPUTED_VALUE"""),98.0)</f>
        <v>98</v>
      </c>
      <c r="F200" s="4">
        <f>IFERROR(__xludf.DUMMYFUNCTION("split(C200,""-"")"),98.0)</f>
        <v>98</v>
      </c>
      <c r="G200" s="4">
        <f>IFERROR(__xludf.DUMMYFUNCTION("""COMPUTED_VALUE"""),98.0)</f>
        <v>98</v>
      </c>
      <c r="H200" s="4">
        <f t="shared" si="1"/>
        <v>1</v>
      </c>
      <c r="J200" s="4">
        <f>IFERROR(__xludf.DUMMYFUNCTION("IFS(
ISBETWEEN(D200,F200,G200,TRUE,TRUE),1,
ISBETWEEN(E200,F200,G200,TRUE,TRUE),1,
ISBETWEEN(F200,D200,E200,TRUE,TRUE),1,
ISBETWEEN(G200,D200,E200,TRUE,TRUE),1,
1,0)"),1.0)</f>
        <v>1</v>
      </c>
    </row>
    <row r="201">
      <c r="A201" s="2" t="s">
        <v>201</v>
      </c>
      <c r="B201" s="1" t="str">
        <f>IFERROR(__xludf.DUMMYFUNCTION("SPLIT(A201,"","",)"),"79-79")</f>
        <v>79-79</v>
      </c>
      <c r="C201" s="1" t="str">
        <f>IFERROR(__xludf.DUMMYFUNCTION("""COMPUTED_VALUE"""),"51-79")</f>
        <v>51-79</v>
      </c>
      <c r="D201" s="4">
        <f>IFERROR(__xludf.DUMMYFUNCTION("split(B201,""-"")"),79.0)</f>
        <v>79</v>
      </c>
      <c r="E201" s="4">
        <f>IFERROR(__xludf.DUMMYFUNCTION("""COMPUTED_VALUE"""),79.0)</f>
        <v>79</v>
      </c>
      <c r="F201" s="4">
        <f>IFERROR(__xludf.DUMMYFUNCTION("split(C201,""-"")"),51.0)</f>
        <v>51</v>
      </c>
      <c r="G201" s="4">
        <f>IFERROR(__xludf.DUMMYFUNCTION("""COMPUTED_VALUE"""),79.0)</f>
        <v>79</v>
      </c>
      <c r="H201" s="4">
        <f t="shared" si="1"/>
        <v>1</v>
      </c>
      <c r="J201" s="4">
        <f>IFERROR(__xludf.DUMMYFUNCTION("IFS(
ISBETWEEN(D201,F201,G201,TRUE,TRUE),1,
ISBETWEEN(E201,F201,G201,TRUE,TRUE),1,
ISBETWEEN(F201,D201,E201,TRUE,TRUE),1,
ISBETWEEN(G201,D201,E201,TRUE,TRUE),1,
1,0)"),1.0)</f>
        <v>1</v>
      </c>
    </row>
    <row r="202">
      <c r="A202" s="2" t="s">
        <v>202</v>
      </c>
      <c r="B202" s="1" t="str">
        <f>IFERROR(__xludf.DUMMYFUNCTION("SPLIT(A202,"","",)"),"77-77")</f>
        <v>77-77</v>
      </c>
      <c r="C202" s="1" t="str">
        <f>IFERROR(__xludf.DUMMYFUNCTION("""COMPUTED_VALUE"""),"3-77")</f>
        <v>3-77</v>
      </c>
      <c r="D202" s="4">
        <f>IFERROR(__xludf.DUMMYFUNCTION("split(B202,""-"")"),77.0)</f>
        <v>77</v>
      </c>
      <c r="E202" s="4">
        <f>IFERROR(__xludf.DUMMYFUNCTION("""COMPUTED_VALUE"""),77.0)</f>
        <v>77</v>
      </c>
      <c r="F202" s="4">
        <f>IFERROR(__xludf.DUMMYFUNCTION("split(C202,""-"")"),3.0)</f>
        <v>3</v>
      </c>
      <c r="G202" s="4">
        <f>IFERROR(__xludf.DUMMYFUNCTION("""COMPUTED_VALUE"""),77.0)</f>
        <v>77</v>
      </c>
      <c r="H202" s="4">
        <f t="shared" si="1"/>
        <v>1</v>
      </c>
      <c r="J202" s="4">
        <f>IFERROR(__xludf.DUMMYFUNCTION("IFS(
ISBETWEEN(D202,F202,G202,TRUE,TRUE),1,
ISBETWEEN(E202,F202,G202,TRUE,TRUE),1,
ISBETWEEN(F202,D202,E202,TRUE,TRUE),1,
ISBETWEEN(G202,D202,E202,TRUE,TRUE),1,
1,0)"),1.0)</f>
        <v>1</v>
      </c>
    </row>
    <row r="203">
      <c r="A203" s="2" t="s">
        <v>203</v>
      </c>
      <c r="B203" s="3">
        <f>IFERROR(__xludf.DUMMYFUNCTION("SPLIT(A203,"","",)"),44780.0)</f>
        <v>44780</v>
      </c>
      <c r="C203" s="1" t="str">
        <f>IFERROR(__xludf.DUMMYFUNCTION("""COMPUTED_VALUE"""),"8-89")</f>
        <v>8-89</v>
      </c>
      <c r="D203" s="4">
        <f>IFERROR(__xludf.DUMMYFUNCTION("split(B203,""-"")"),7.0)</f>
        <v>7</v>
      </c>
      <c r="E203" s="4">
        <f>IFERROR(__xludf.DUMMYFUNCTION("""COMPUTED_VALUE"""),8.0)</f>
        <v>8</v>
      </c>
      <c r="F203" s="4">
        <f>IFERROR(__xludf.DUMMYFUNCTION("split(C203,""-"")"),8.0)</f>
        <v>8</v>
      </c>
      <c r="G203" s="4">
        <f>IFERROR(__xludf.DUMMYFUNCTION("""COMPUTED_VALUE"""),89.0)</f>
        <v>89</v>
      </c>
      <c r="H203" s="4">
        <f t="shared" si="1"/>
        <v>0</v>
      </c>
      <c r="J203" s="4">
        <f>IFERROR(__xludf.DUMMYFUNCTION("IFS(
ISBETWEEN(D203,F203,G203,TRUE,TRUE),1,
ISBETWEEN(E203,F203,G203,TRUE,TRUE),1,
ISBETWEEN(F203,D203,E203,TRUE,TRUE),1,
ISBETWEEN(G203,D203,E203,TRUE,TRUE),1,
1,0)"),1.0)</f>
        <v>1</v>
      </c>
    </row>
    <row r="204">
      <c r="A204" s="2" t="s">
        <v>204</v>
      </c>
      <c r="B204" s="1" t="str">
        <f>IFERROR(__xludf.DUMMYFUNCTION("SPLIT(A204,"","",)"),"35-54")</f>
        <v>35-54</v>
      </c>
      <c r="C204" s="1" t="str">
        <f>IFERROR(__xludf.DUMMYFUNCTION("""COMPUTED_VALUE"""),"38-58")</f>
        <v>38-58</v>
      </c>
      <c r="D204" s="4">
        <f>IFERROR(__xludf.DUMMYFUNCTION("split(B204,""-"")"),35.0)</f>
        <v>35</v>
      </c>
      <c r="E204" s="4">
        <f>IFERROR(__xludf.DUMMYFUNCTION("""COMPUTED_VALUE"""),54.0)</f>
        <v>54</v>
      </c>
      <c r="F204" s="4">
        <f>IFERROR(__xludf.DUMMYFUNCTION("split(C204,""-"")"),38.0)</f>
        <v>38</v>
      </c>
      <c r="G204" s="4">
        <f>IFERROR(__xludf.DUMMYFUNCTION("""COMPUTED_VALUE"""),58.0)</f>
        <v>58</v>
      </c>
      <c r="H204" s="4">
        <f t="shared" si="1"/>
        <v>0</v>
      </c>
      <c r="J204" s="4">
        <f>IFERROR(__xludf.DUMMYFUNCTION("IFS(
ISBETWEEN(D204,F204,G204,TRUE,TRUE),1,
ISBETWEEN(E204,F204,G204,TRUE,TRUE),1,
ISBETWEEN(F204,D204,E204,TRUE,TRUE),1,
ISBETWEEN(G204,D204,E204,TRUE,TRUE),1,
1,0)"),1.0)</f>
        <v>1</v>
      </c>
    </row>
    <row r="205">
      <c r="A205" s="2" t="s">
        <v>205</v>
      </c>
      <c r="B205" s="1" t="str">
        <f>IFERROR(__xludf.DUMMYFUNCTION("SPLIT(A205,"","",)"),"63-85")</f>
        <v>63-85</v>
      </c>
      <c r="C205" s="1" t="str">
        <f>IFERROR(__xludf.DUMMYFUNCTION("""COMPUTED_VALUE"""),"84-84")</f>
        <v>84-84</v>
      </c>
      <c r="D205" s="4">
        <f>IFERROR(__xludf.DUMMYFUNCTION("split(B205,""-"")"),63.0)</f>
        <v>63</v>
      </c>
      <c r="E205" s="4">
        <f>IFERROR(__xludf.DUMMYFUNCTION("""COMPUTED_VALUE"""),85.0)</f>
        <v>85</v>
      </c>
      <c r="F205" s="4">
        <f>IFERROR(__xludf.DUMMYFUNCTION("split(C205,""-"")"),84.0)</f>
        <v>84</v>
      </c>
      <c r="G205" s="4">
        <f>IFERROR(__xludf.DUMMYFUNCTION("""COMPUTED_VALUE"""),84.0)</f>
        <v>84</v>
      </c>
      <c r="H205" s="4">
        <f t="shared" si="1"/>
        <v>1</v>
      </c>
      <c r="J205" s="4">
        <f>IFERROR(__xludf.DUMMYFUNCTION("IFS(
ISBETWEEN(D205,F205,G205,TRUE,TRUE),1,
ISBETWEEN(E205,F205,G205,TRUE,TRUE),1,
ISBETWEEN(F205,D205,E205,TRUE,TRUE),1,
ISBETWEEN(G205,D205,E205,TRUE,TRUE),1,
1,0)"),1.0)</f>
        <v>1</v>
      </c>
    </row>
    <row r="206">
      <c r="A206" s="2" t="s">
        <v>206</v>
      </c>
      <c r="B206" s="1" t="str">
        <f>IFERROR(__xludf.DUMMYFUNCTION("SPLIT(A206,"","",)"),"23-94")</f>
        <v>23-94</v>
      </c>
      <c r="C206" s="1" t="str">
        <f>IFERROR(__xludf.DUMMYFUNCTION("""COMPUTED_VALUE"""),"47-79")</f>
        <v>47-79</v>
      </c>
      <c r="D206" s="4">
        <f>IFERROR(__xludf.DUMMYFUNCTION("split(B206,""-"")"),23.0)</f>
        <v>23</v>
      </c>
      <c r="E206" s="4">
        <f>IFERROR(__xludf.DUMMYFUNCTION("""COMPUTED_VALUE"""),94.0)</f>
        <v>94</v>
      </c>
      <c r="F206" s="4">
        <f>IFERROR(__xludf.DUMMYFUNCTION("split(C206,""-"")"),47.0)</f>
        <v>47</v>
      </c>
      <c r="G206" s="4">
        <f>IFERROR(__xludf.DUMMYFUNCTION("""COMPUTED_VALUE"""),79.0)</f>
        <v>79</v>
      </c>
      <c r="H206" s="4">
        <f t="shared" si="1"/>
        <v>1</v>
      </c>
      <c r="J206" s="4">
        <f>IFERROR(__xludf.DUMMYFUNCTION("IFS(
ISBETWEEN(D206,F206,G206,TRUE,TRUE),1,
ISBETWEEN(E206,F206,G206,TRUE,TRUE),1,
ISBETWEEN(F206,D206,E206,TRUE,TRUE),1,
ISBETWEEN(G206,D206,E206,TRUE,TRUE),1,
1,0)"),1.0)</f>
        <v>1</v>
      </c>
    </row>
    <row r="207">
      <c r="A207" s="2" t="s">
        <v>207</v>
      </c>
      <c r="B207" s="1" t="str">
        <f>IFERROR(__xludf.DUMMYFUNCTION("SPLIT(A207,"","",)"),"25-26")</f>
        <v>25-26</v>
      </c>
      <c r="C207" s="1" t="str">
        <f>IFERROR(__xludf.DUMMYFUNCTION("""COMPUTED_VALUE"""),"25-93")</f>
        <v>25-93</v>
      </c>
      <c r="D207" s="4">
        <f>IFERROR(__xludf.DUMMYFUNCTION("split(B207,""-"")"),25.0)</f>
        <v>25</v>
      </c>
      <c r="E207" s="4">
        <f>IFERROR(__xludf.DUMMYFUNCTION("""COMPUTED_VALUE"""),26.0)</f>
        <v>26</v>
      </c>
      <c r="F207" s="4">
        <f>IFERROR(__xludf.DUMMYFUNCTION("split(C207,""-"")"),25.0)</f>
        <v>25</v>
      </c>
      <c r="G207" s="4">
        <f>IFERROR(__xludf.DUMMYFUNCTION("""COMPUTED_VALUE"""),93.0)</f>
        <v>93</v>
      </c>
      <c r="H207" s="4">
        <f t="shared" si="1"/>
        <v>1</v>
      </c>
      <c r="J207" s="4">
        <f>IFERROR(__xludf.DUMMYFUNCTION("IFS(
ISBETWEEN(D207,F207,G207,TRUE,TRUE),1,
ISBETWEEN(E207,F207,G207,TRUE,TRUE),1,
ISBETWEEN(F207,D207,E207,TRUE,TRUE),1,
ISBETWEEN(G207,D207,E207,TRUE,TRUE),1,
1,0)"),1.0)</f>
        <v>1</v>
      </c>
    </row>
    <row r="208">
      <c r="A208" s="2" t="s">
        <v>208</v>
      </c>
      <c r="B208" s="1" t="str">
        <f>IFERROR(__xludf.DUMMYFUNCTION("SPLIT(A208,"","",)"),"91-91")</f>
        <v>91-91</v>
      </c>
      <c r="C208" s="1" t="str">
        <f>IFERROR(__xludf.DUMMYFUNCTION("""COMPUTED_VALUE"""),"57-91")</f>
        <v>57-91</v>
      </c>
      <c r="D208" s="4">
        <f>IFERROR(__xludf.DUMMYFUNCTION("split(B208,""-"")"),91.0)</f>
        <v>91</v>
      </c>
      <c r="E208" s="4">
        <f>IFERROR(__xludf.DUMMYFUNCTION("""COMPUTED_VALUE"""),91.0)</f>
        <v>91</v>
      </c>
      <c r="F208" s="4">
        <f>IFERROR(__xludf.DUMMYFUNCTION("split(C208,""-"")"),57.0)</f>
        <v>57</v>
      </c>
      <c r="G208" s="4">
        <f>IFERROR(__xludf.DUMMYFUNCTION("""COMPUTED_VALUE"""),91.0)</f>
        <v>91</v>
      </c>
      <c r="H208" s="4">
        <f t="shared" si="1"/>
        <v>1</v>
      </c>
      <c r="J208" s="4">
        <f>IFERROR(__xludf.DUMMYFUNCTION("IFS(
ISBETWEEN(D208,F208,G208,TRUE,TRUE),1,
ISBETWEEN(E208,F208,G208,TRUE,TRUE),1,
ISBETWEEN(F208,D208,E208,TRUE,TRUE),1,
ISBETWEEN(G208,D208,E208,TRUE,TRUE),1,
1,0)"),1.0)</f>
        <v>1</v>
      </c>
    </row>
    <row r="209">
      <c r="A209" s="2" t="s">
        <v>209</v>
      </c>
      <c r="B209" s="1" t="str">
        <f>IFERROR(__xludf.DUMMYFUNCTION("SPLIT(A209,"","",)"),"17-94")</f>
        <v>17-94</v>
      </c>
      <c r="C209" s="1" t="str">
        <f>IFERROR(__xludf.DUMMYFUNCTION("""COMPUTED_VALUE"""),"13-17")</f>
        <v>13-17</v>
      </c>
      <c r="D209" s="4">
        <f>IFERROR(__xludf.DUMMYFUNCTION("split(B209,""-"")"),17.0)</f>
        <v>17</v>
      </c>
      <c r="E209" s="4">
        <f>IFERROR(__xludf.DUMMYFUNCTION("""COMPUTED_VALUE"""),94.0)</f>
        <v>94</v>
      </c>
      <c r="F209" s="4">
        <f>IFERROR(__xludf.DUMMYFUNCTION("split(C209,""-"")"),13.0)</f>
        <v>13</v>
      </c>
      <c r="G209" s="4">
        <f>IFERROR(__xludf.DUMMYFUNCTION("""COMPUTED_VALUE"""),17.0)</f>
        <v>17</v>
      </c>
      <c r="H209" s="4">
        <f t="shared" si="1"/>
        <v>0</v>
      </c>
      <c r="J209" s="4">
        <f>IFERROR(__xludf.DUMMYFUNCTION("IFS(
ISBETWEEN(D209,F209,G209,TRUE,TRUE),1,
ISBETWEEN(E209,F209,G209,TRUE,TRUE),1,
ISBETWEEN(F209,D209,E209,TRUE,TRUE),1,
ISBETWEEN(G209,D209,E209,TRUE,TRUE),1,
1,0)"),1.0)</f>
        <v>1</v>
      </c>
    </row>
    <row r="210">
      <c r="A210" s="2" t="s">
        <v>210</v>
      </c>
      <c r="B210" s="1" t="str">
        <f>IFERROR(__xludf.DUMMYFUNCTION("SPLIT(A210,"","",)"),"17-50")</f>
        <v>17-50</v>
      </c>
      <c r="C210" s="1" t="str">
        <f>IFERROR(__xludf.DUMMYFUNCTION("""COMPUTED_VALUE"""),"16-51")</f>
        <v>16-51</v>
      </c>
      <c r="D210" s="4">
        <f>IFERROR(__xludf.DUMMYFUNCTION("split(B210,""-"")"),17.0)</f>
        <v>17</v>
      </c>
      <c r="E210" s="4">
        <f>IFERROR(__xludf.DUMMYFUNCTION("""COMPUTED_VALUE"""),50.0)</f>
        <v>50</v>
      </c>
      <c r="F210" s="4">
        <f>IFERROR(__xludf.DUMMYFUNCTION("split(C210,""-"")"),16.0)</f>
        <v>16</v>
      </c>
      <c r="G210" s="4">
        <f>IFERROR(__xludf.DUMMYFUNCTION("""COMPUTED_VALUE"""),51.0)</f>
        <v>51</v>
      </c>
      <c r="H210" s="4">
        <f t="shared" si="1"/>
        <v>1</v>
      </c>
      <c r="J210" s="4">
        <f>IFERROR(__xludf.DUMMYFUNCTION("IFS(
ISBETWEEN(D210,F210,G210,TRUE,TRUE),1,
ISBETWEEN(E210,F210,G210,TRUE,TRUE),1,
ISBETWEEN(F210,D210,E210,TRUE,TRUE),1,
ISBETWEEN(G210,D210,E210,TRUE,TRUE),1,
1,0)"),1.0)</f>
        <v>1</v>
      </c>
    </row>
    <row r="211">
      <c r="A211" s="2" t="s">
        <v>211</v>
      </c>
      <c r="B211" s="1" t="str">
        <f>IFERROR(__xludf.DUMMYFUNCTION("SPLIT(A211,"","",)"),"39-67")</f>
        <v>39-67</v>
      </c>
      <c r="C211" s="1" t="str">
        <f>IFERROR(__xludf.DUMMYFUNCTION("""COMPUTED_VALUE"""),"51-68")</f>
        <v>51-68</v>
      </c>
      <c r="D211" s="4">
        <f>IFERROR(__xludf.DUMMYFUNCTION("split(B211,""-"")"),39.0)</f>
        <v>39</v>
      </c>
      <c r="E211" s="4">
        <f>IFERROR(__xludf.DUMMYFUNCTION("""COMPUTED_VALUE"""),67.0)</f>
        <v>67</v>
      </c>
      <c r="F211" s="4">
        <f>IFERROR(__xludf.DUMMYFUNCTION("split(C211,""-"")"),51.0)</f>
        <v>51</v>
      </c>
      <c r="G211" s="4">
        <f>IFERROR(__xludf.DUMMYFUNCTION("""COMPUTED_VALUE"""),68.0)</f>
        <v>68</v>
      </c>
      <c r="H211" s="4">
        <f t="shared" si="1"/>
        <v>0</v>
      </c>
      <c r="J211" s="4">
        <f>IFERROR(__xludf.DUMMYFUNCTION("IFS(
ISBETWEEN(D211,F211,G211,TRUE,TRUE),1,
ISBETWEEN(E211,F211,G211,TRUE,TRUE),1,
ISBETWEEN(F211,D211,E211,TRUE,TRUE),1,
ISBETWEEN(G211,D211,E211,TRUE,TRUE),1,
1,0)"),1.0)</f>
        <v>1</v>
      </c>
    </row>
    <row r="212">
      <c r="A212" s="2" t="s">
        <v>212</v>
      </c>
      <c r="B212" s="1" t="str">
        <f>IFERROR(__xludf.DUMMYFUNCTION("SPLIT(A212,"","",)"),"13-93")</f>
        <v>13-93</v>
      </c>
      <c r="C212" s="1" t="str">
        <f>IFERROR(__xludf.DUMMYFUNCTION("""COMPUTED_VALUE"""),"12-94")</f>
        <v>12-94</v>
      </c>
      <c r="D212" s="4">
        <f>IFERROR(__xludf.DUMMYFUNCTION("split(B212,""-"")"),13.0)</f>
        <v>13</v>
      </c>
      <c r="E212" s="4">
        <f>IFERROR(__xludf.DUMMYFUNCTION("""COMPUTED_VALUE"""),93.0)</f>
        <v>93</v>
      </c>
      <c r="F212" s="4">
        <f>IFERROR(__xludf.DUMMYFUNCTION("split(C212,""-"")"),12.0)</f>
        <v>12</v>
      </c>
      <c r="G212" s="4">
        <f>IFERROR(__xludf.DUMMYFUNCTION("""COMPUTED_VALUE"""),94.0)</f>
        <v>94</v>
      </c>
      <c r="H212" s="4">
        <f t="shared" si="1"/>
        <v>1</v>
      </c>
      <c r="J212" s="4">
        <f>IFERROR(__xludf.DUMMYFUNCTION("IFS(
ISBETWEEN(D212,F212,G212,TRUE,TRUE),1,
ISBETWEEN(E212,F212,G212,TRUE,TRUE),1,
ISBETWEEN(F212,D212,E212,TRUE,TRUE),1,
ISBETWEEN(G212,D212,E212,TRUE,TRUE),1,
1,0)"),1.0)</f>
        <v>1</v>
      </c>
    </row>
    <row r="213">
      <c r="A213" s="2" t="s">
        <v>213</v>
      </c>
      <c r="B213" s="1" t="str">
        <f>IFERROR(__xludf.DUMMYFUNCTION("SPLIT(A213,"","",)"),"4-96")</f>
        <v>4-96</v>
      </c>
      <c r="C213" s="3">
        <f>IFERROR(__xludf.DUMMYFUNCTION("""COMPUTED_VALUE"""),44686.0)</f>
        <v>44686</v>
      </c>
      <c r="D213" s="4">
        <f>IFERROR(__xludf.DUMMYFUNCTION("split(B213,""-"")"),4.0)</f>
        <v>4</v>
      </c>
      <c r="E213" s="4">
        <f>IFERROR(__xludf.DUMMYFUNCTION("""COMPUTED_VALUE"""),96.0)</f>
        <v>96</v>
      </c>
      <c r="F213" s="4">
        <f>IFERROR(__xludf.DUMMYFUNCTION("split(C213,""-"")"),5.0)</f>
        <v>5</v>
      </c>
      <c r="G213" s="4">
        <f>IFERROR(__xludf.DUMMYFUNCTION("""COMPUTED_VALUE"""),5.0)</f>
        <v>5</v>
      </c>
      <c r="H213" s="4">
        <f t="shared" si="1"/>
        <v>1</v>
      </c>
      <c r="J213" s="4">
        <f>IFERROR(__xludf.DUMMYFUNCTION("IFS(
ISBETWEEN(D213,F213,G213,TRUE,TRUE),1,
ISBETWEEN(E213,F213,G213,TRUE,TRUE),1,
ISBETWEEN(F213,D213,E213,TRUE,TRUE),1,
ISBETWEEN(G213,D213,E213,TRUE,TRUE),1,
1,0)"),1.0)</f>
        <v>1</v>
      </c>
    </row>
    <row r="214">
      <c r="A214" s="2" t="s">
        <v>214</v>
      </c>
      <c r="B214" s="1" t="str">
        <f>IFERROR(__xludf.DUMMYFUNCTION("SPLIT(A214,"","",)"),"10-87")</f>
        <v>10-87</v>
      </c>
      <c r="C214" s="1" t="str">
        <f>IFERROR(__xludf.DUMMYFUNCTION("""COMPUTED_VALUE"""),"23-87")</f>
        <v>23-87</v>
      </c>
      <c r="D214" s="4">
        <f>IFERROR(__xludf.DUMMYFUNCTION("split(B214,""-"")"),10.0)</f>
        <v>10</v>
      </c>
      <c r="E214" s="4">
        <f>IFERROR(__xludf.DUMMYFUNCTION("""COMPUTED_VALUE"""),87.0)</f>
        <v>87</v>
      </c>
      <c r="F214" s="4">
        <f>IFERROR(__xludf.DUMMYFUNCTION("split(C214,""-"")"),23.0)</f>
        <v>23</v>
      </c>
      <c r="G214" s="4">
        <f>IFERROR(__xludf.DUMMYFUNCTION("""COMPUTED_VALUE"""),87.0)</f>
        <v>87</v>
      </c>
      <c r="H214" s="4">
        <f t="shared" si="1"/>
        <v>1</v>
      </c>
      <c r="J214" s="4">
        <f>IFERROR(__xludf.DUMMYFUNCTION("IFS(
ISBETWEEN(D214,F214,G214,TRUE,TRUE),1,
ISBETWEEN(E214,F214,G214,TRUE,TRUE),1,
ISBETWEEN(F214,D214,E214,TRUE,TRUE),1,
ISBETWEEN(G214,D214,E214,TRUE,TRUE),1,
1,0)"),1.0)</f>
        <v>1</v>
      </c>
    </row>
    <row r="215">
      <c r="A215" s="2" t="s">
        <v>215</v>
      </c>
      <c r="B215" s="1" t="str">
        <f>IFERROR(__xludf.DUMMYFUNCTION("SPLIT(A215,"","",)"),"24-93")</f>
        <v>24-93</v>
      </c>
      <c r="C215" s="1" t="str">
        <f>IFERROR(__xludf.DUMMYFUNCTION("""COMPUTED_VALUE"""),"81-96")</f>
        <v>81-96</v>
      </c>
      <c r="D215" s="4">
        <f>IFERROR(__xludf.DUMMYFUNCTION("split(B215,""-"")"),24.0)</f>
        <v>24</v>
      </c>
      <c r="E215" s="4">
        <f>IFERROR(__xludf.DUMMYFUNCTION("""COMPUTED_VALUE"""),93.0)</f>
        <v>93</v>
      </c>
      <c r="F215" s="4">
        <f>IFERROR(__xludf.DUMMYFUNCTION("split(C215,""-"")"),81.0)</f>
        <v>81</v>
      </c>
      <c r="G215" s="4">
        <f>IFERROR(__xludf.DUMMYFUNCTION("""COMPUTED_VALUE"""),96.0)</f>
        <v>96</v>
      </c>
      <c r="H215" s="4">
        <f t="shared" si="1"/>
        <v>0</v>
      </c>
      <c r="J215" s="4">
        <f>IFERROR(__xludf.DUMMYFUNCTION("IFS(
ISBETWEEN(D215,F215,G215,TRUE,TRUE),1,
ISBETWEEN(E215,F215,G215,TRUE,TRUE),1,
ISBETWEEN(F215,D215,E215,TRUE,TRUE),1,
ISBETWEEN(G215,D215,E215,TRUE,TRUE),1,
1,0)"),1.0)</f>
        <v>1</v>
      </c>
    </row>
    <row r="216">
      <c r="A216" s="2" t="s">
        <v>216</v>
      </c>
      <c r="B216" s="1" t="str">
        <f>IFERROR(__xludf.DUMMYFUNCTION("SPLIT(A216,"","",)"),"44-59")</f>
        <v>44-59</v>
      </c>
      <c r="C216" s="1" t="str">
        <f>IFERROR(__xludf.DUMMYFUNCTION("""COMPUTED_VALUE"""),"7-45")</f>
        <v>7-45</v>
      </c>
      <c r="D216" s="4">
        <f>IFERROR(__xludf.DUMMYFUNCTION("split(B216,""-"")"),44.0)</f>
        <v>44</v>
      </c>
      <c r="E216" s="4">
        <f>IFERROR(__xludf.DUMMYFUNCTION("""COMPUTED_VALUE"""),59.0)</f>
        <v>59</v>
      </c>
      <c r="F216" s="4">
        <f>IFERROR(__xludf.DUMMYFUNCTION("split(C216,""-"")"),7.0)</f>
        <v>7</v>
      </c>
      <c r="G216" s="4">
        <f>IFERROR(__xludf.DUMMYFUNCTION("""COMPUTED_VALUE"""),45.0)</f>
        <v>45</v>
      </c>
      <c r="H216" s="4">
        <f t="shared" si="1"/>
        <v>0</v>
      </c>
      <c r="J216" s="4">
        <f>IFERROR(__xludf.DUMMYFUNCTION("IFS(
ISBETWEEN(D216,F216,G216,TRUE,TRUE),1,
ISBETWEEN(E216,F216,G216,TRUE,TRUE),1,
ISBETWEEN(F216,D216,E216,TRUE,TRUE),1,
ISBETWEEN(G216,D216,E216,TRUE,TRUE),1,
1,0)"),1.0)</f>
        <v>1</v>
      </c>
    </row>
    <row r="217">
      <c r="A217" s="2" t="s">
        <v>217</v>
      </c>
      <c r="B217" s="1" t="str">
        <f>IFERROR(__xludf.DUMMYFUNCTION("SPLIT(A217,"","",)"),"16-76")</f>
        <v>16-76</v>
      </c>
      <c r="C217" s="1" t="str">
        <f>IFERROR(__xludf.DUMMYFUNCTION("""COMPUTED_VALUE"""),"16-61")</f>
        <v>16-61</v>
      </c>
      <c r="D217" s="4">
        <f>IFERROR(__xludf.DUMMYFUNCTION("split(B217,""-"")"),16.0)</f>
        <v>16</v>
      </c>
      <c r="E217" s="4">
        <f>IFERROR(__xludf.DUMMYFUNCTION("""COMPUTED_VALUE"""),76.0)</f>
        <v>76</v>
      </c>
      <c r="F217" s="4">
        <f>IFERROR(__xludf.DUMMYFUNCTION("split(C217,""-"")"),16.0)</f>
        <v>16</v>
      </c>
      <c r="G217" s="4">
        <f>IFERROR(__xludf.DUMMYFUNCTION("""COMPUTED_VALUE"""),61.0)</f>
        <v>61</v>
      </c>
      <c r="H217" s="4">
        <f t="shared" si="1"/>
        <v>1</v>
      </c>
      <c r="J217" s="4">
        <f>IFERROR(__xludf.DUMMYFUNCTION("IFS(
ISBETWEEN(D217,F217,G217,TRUE,TRUE),1,
ISBETWEEN(E217,F217,G217,TRUE,TRUE),1,
ISBETWEEN(F217,D217,E217,TRUE,TRUE),1,
ISBETWEEN(G217,D217,E217,TRUE,TRUE),1,
1,0)"),1.0)</f>
        <v>1</v>
      </c>
    </row>
    <row r="218">
      <c r="A218" s="2" t="s">
        <v>218</v>
      </c>
      <c r="B218" s="1" t="str">
        <f>IFERROR(__xludf.DUMMYFUNCTION("SPLIT(A218,"","",)"),"23-52")</f>
        <v>23-52</v>
      </c>
      <c r="C218" s="1" t="str">
        <f>IFERROR(__xludf.DUMMYFUNCTION("""COMPUTED_VALUE"""),"23-53")</f>
        <v>23-53</v>
      </c>
      <c r="D218" s="4">
        <f>IFERROR(__xludf.DUMMYFUNCTION("split(B218,""-"")"),23.0)</f>
        <v>23</v>
      </c>
      <c r="E218" s="4">
        <f>IFERROR(__xludf.DUMMYFUNCTION("""COMPUTED_VALUE"""),52.0)</f>
        <v>52</v>
      </c>
      <c r="F218" s="4">
        <f>IFERROR(__xludf.DUMMYFUNCTION("split(C218,""-"")"),23.0)</f>
        <v>23</v>
      </c>
      <c r="G218" s="4">
        <f>IFERROR(__xludf.DUMMYFUNCTION("""COMPUTED_VALUE"""),53.0)</f>
        <v>53</v>
      </c>
      <c r="H218" s="4">
        <f t="shared" si="1"/>
        <v>1</v>
      </c>
      <c r="J218" s="4">
        <f>IFERROR(__xludf.DUMMYFUNCTION("IFS(
ISBETWEEN(D218,F218,G218,TRUE,TRUE),1,
ISBETWEEN(E218,F218,G218,TRUE,TRUE),1,
ISBETWEEN(F218,D218,E218,TRUE,TRUE),1,
ISBETWEEN(G218,D218,E218,TRUE,TRUE),1,
1,0)"),1.0)</f>
        <v>1</v>
      </c>
    </row>
    <row r="219">
      <c r="A219" s="2" t="s">
        <v>219</v>
      </c>
      <c r="B219" s="1" t="str">
        <f>IFERROR(__xludf.DUMMYFUNCTION("SPLIT(A219,"","",)"),"30-56")</f>
        <v>30-56</v>
      </c>
      <c r="C219" s="1" t="str">
        <f>IFERROR(__xludf.DUMMYFUNCTION("""COMPUTED_VALUE"""),"29-56")</f>
        <v>29-56</v>
      </c>
      <c r="D219" s="4">
        <f>IFERROR(__xludf.DUMMYFUNCTION("split(B219,""-"")"),30.0)</f>
        <v>30</v>
      </c>
      <c r="E219" s="4">
        <f>IFERROR(__xludf.DUMMYFUNCTION("""COMPUTED_VALUE"""),56.0)</f>
        <v>56</v>
      </c>
      <c r="F219" s="4">
        <f>IFERROR(__xludf.DUMMYFUNCTION("split(C219,""-"")"),29.0)</f>
        <v>29</v>
      </c>
      <c r="G219" s="4">
        <f>IFERROR(__xludf.DUMMYFUNCTION("""COMPUTED_VALUE"""),56.0)</f>
        <v>56</v>
      </c>
      <c r="H219" s="4">
        <f t="shared" si="1"/>
        <v>1</v>
      </c>
      <c r="J219" s="4">
        <f>IFERROR(__xludf.DUMMYFUNCTION("IFS(
ISBETWEEN(D219,F219,G219,TRUE,TRUE),1,
ISBETWEEN(E219,F219,G219,TRUE,TRUE),1,
ISBETWEEN(F219,D219,E219,TRUE,TRUE),1,
ISBETWEEN(G219,D219,E219,TRUE,TRUE),1,
1,0)"),1.0)</f>
        <v>1</v>
      </c>
    </row>
    <row r="220">
      <c r="A220" s="2" t="s">
        <v>220</v>
      </c>
      <c r="B220" s="1" t="str">
        <f>IFERROR(__xludf.DUMMYFUNCTION("SPLIT(A220,"","",)"),"20-20")</f>
        <v>20-20</v>
      </c>
      <c r="C220" s="1" t="str">
        <f>IFERROR(__xludf.DUMMYFUNCTION("""COMPUTED_VALUE"""),"23-75")</f>
        <v>23-75</v>
      </c>
      <c r="D220" s="4">
        <f>IFERROR(__xludf.DUMMYFUNCTION("split(B220,""-"")"),20.0)</f>
        <v>20</v>
      </c>
      <c r="E220" s="4">
        <f>IFERROR(__xludf.DUMMYFUNCTION("""COMPUTED_VALUE"""),20.0)</f>
        <v>20</v>
      </c>
      <c r="F220" s="4">
        <f>IFERROR(__xludf.DUMMYFUNCTION("split(C220,""-"")"),23.0)</f>
        <v>23</v>
      </c>
      <c r="G220" s="4">
        <f>IFERROR(__xludf.DUMMYFUNCTION("""COMPUTED_VALUE"""),75.0)</f>
        <v>75</v>
      </c>
      <c r="H220" s="4">
        <f t="shared" si="1"/>
        <v>0</v>
      </c>
      <c r="J220" s="4">
        <f>IFERROR(__xludf.DUMMYFUNCTION("IFS(
ISBETWEEN(D220,F220,G220,TRUE,TRUE),1,
ISBETWEEN(E220,F220,G220,TRUE,TRUE),1,
ISBETWEEN(F220,D220,E220,TRUE,TRUE),1,
ISBETWEEN(G220,D220,E220,TRUE,TRUE),1,
1,0)"),0.0)</f>
        <v>0</v>
      </c>
    </row>
    <row r="221">
      <c r="A221" s="2" t="s">
        <v>221</v>
      </c>
      <c r="B221" s="1" t="str">
        <f>IFERROR(__xludf.DUMMYFUNCTION("SPLIT(A221,"","",)"),"4-95")</f>
        <v>4-95</v>
      </c>
      <c r="C221" s="1" t="str">
        <f>IFERROR(__xludf.DUMMYFUNCTION("""COMPUTED_VALUE"""),"5-94")</f>
        <v>5-94</v>
      </c>
      <c r="D221" s="4">
        <f>IFERROR(__xludf.DUMMYFUNCTION("split(B221,""-"")"),4.0)</f>
        <v>4</v>
      </c>
      <c r="E221" s="4">
        <f>IFERROR(__xludf.DUMMYFUNCTION("""COMPUTED_VALUE"""),95.0)</f>
        <v>95</v>
      </c>
      <c r="F221" s="4">
        <f>IFERROR(__xludf.DUMMYFUNCTION("split(C221,""-"")"),5.0)</f>
        <v>5</v>
      </c>
      <c r="G221" s="4">
        <f>IFERROR(__xludf.DUMMYFUNCTION("""COMPUTED_VALUE"""),94.0)</f>
        <v>94</v>
      </c>
      <c r="H221" s="4">
        <f t="shared" si="1"/>
        <v>1</v>
      </c>
      <c r="J221" s="4">
        <f>IFERROR(__xludf.DUMMYFUNCTION("IFS(
ISBETWEEN(D221,F221,G221,TRUE,TRUE),1,
ISBETWEEN(E221,F221,G221,TRUE,TRUE),1,
ISBETWEEN(F221,D221,E221,TRUE,TRUE),1,
ISBETWEEN(G221,D221,E221,TRUE,TRUE),1,
1,0)"),1.0)</f>
        <v>1</v>
      </c>
    </row>
    <row r="222">
      <c r="A222" s="2" t="s">
        <v>222</v>
      </c>
      <c r="B222" s="1" t="str">
        <f>IFERROR(__xludf.DUMMYFUNCTION("SPLIT(A222,"","",)"),"79-97")</f>
        <v>79-97</v>
      </c>
      <c r="C222" s="1" t="str">
        <f>IFERROR(__xludf.DUMMYFUNCTION("""COMPUTED_VALUE"""),"80-97")</f>
        <v>80-97</v>
      </c>
      <c r="D222" s="4">
        <f>IFERROR(__xludf.DUMMYFUNCTION("split(B222,""-"")"),79.0)</f>
        <v>79</v>
      </c>
      <c r="E222" s="4">
        <f>IFERROR(__xludf.DUMMYFUNCTION("""COMPUTED_VALUE"""),97.0)</f>
        <v>97</v>
      </c>
      <c r="F222" s="4">
        <f>IFERROR(__xludf.DUMMYFUNCTION("split(C222,""-"")"),80.0)</f>
        <v>80</v>
      </c>
      <c r="G222" s="4">
        <f>IFERROR(__xludf.DUMMYFUNCTION("""COMPUTED_VALUE"""),97.0)</f>
        <v>97</v>
      </c>
      <c r="H222" s="4">
        <f t="shared" si="1"/>
        <v>1</v>
      </c>
      <c r="J222" s="4">
        <f>IFERROR(__xludf.DUMMYFUNCTION("IFS(
ISBETWEEN(D222,F222,G222,TRUE,TRUE),1,
ISBETWEEN(E222,F222,G222,TRUE,TRUE),1,
ISBETWEEN(F222,D222,E222,TRUE,TRUE),1,
ISBETWEEN(G222,D222,E222,TRUE,TRUE),1,
1,0)"),1.0)</f>
        <v>1</v>
      </c>
    </row>
    <row r="223">
      <c r="A223" s="2" t="s">
        <v>223</v>
      </c>
      <c r="B223" s="1" t="str">
        <f>IFERROR(__xludf.DUMMYFUNCTION("SPLIT(A223,"","",)"),"53-91")</f>
        <v>53-91</v>
      </c>
      <c r="C223" s="1" t="str">
        <f>IFERROR(__xludf.DUMMYFUNCTION("""COMPUTED_VALUE"""),"72-93")</f>
        <v>72-93</v>
      </c>
      <c r="D223" s="4">
        <f>IFERROR(__xludf.DUMMYFUNCTION("split(B223,""-"")"),53.0)</f>
        <v>53</v>
      </c>
      <c r="E223" s="4">
        <f>IFERROR(__xludf.DUMMYFUNCTION("""COMPUTED_VALUE"""),91.0)</f>
        <v>91</v>
      </c>
      <c r="F223" s="4">
        <f>IFERROR(__xludf.DUMMYFUNCTION("split(C223,""-"")"),72.0)</f>
        <v>72</v>
      </c>
      <c r="G223" s="4">
        <f>IFERROR(__xludf.DUMMYFUNCTION("""COMPUTED_VALUE"""),93.0)</f>
        <v>93</v>
      </c>
      <c r="H223" s="4">
        <f t="shared" si="1"/>
        <v>0</v>
      </c>
      <c r="J223" s="4">
        <f>IFERROR(__xludf.DUMMYFUNCTION("IFS(
ISBETWEEN(D223,F223,G223,TRUE,TRUE),1,
ISBETWEEN(E223,F223,G223,TRUE,TRUE),1,
ISBETWEEN(F223,D223,E223,TRUE,TRUE),1,
ISBETWEEN(G223,D223,E223,TRUE,TRUE),1,
1,0)"),1.0)</f>
        <v>1</v>
      </c>
    </row>
    <row r="224">
      <c r="A224" s="2" t="s">
        <v>224</v>
      </c>
      <c r="B224" s="1" t="str">
        <f>IFERROR(__xludf.DUMMYFUNCTION("SPLIT(A224,"","",)"),"16-50")</f>
        <v>16-50</v>
      </c>
      <c r="C224" s="1" t="str">
        <f>IFERROR(__xludf.DUMMYFUNCTION("""COMPUTED_VALUE"""),"15-17")</f>
        <v>15-17</v>
      </c>
      <c r="D224" s="4">
        <f>IFERROR(__xludf.DUMMYFUNCTION("split(B224,""-"")"),16.0)</f>
        <v>16</v>
      </c>
      <c r="E224" s="4">
        <f>IFERROR(__xludf.DUMMYFUNCTION("""COMPUTED_VALUE"""),50.0)</f>
        <v>50</v>
      </c>
      <c r="F224" s="4">
        <f>IFERROR(__xludf.DUMMYFUNCTION("split(C224,""-"")"),15.0)</f>
        <v>15</v>
      </c>
      <c r="G224" s="4">
        <f>IFERROR(__xludf.DUMMYFUNCTION("""COMPUTED_VALUE"""),17.0)</f>
        <v>17</v>
      </c>
      <c r="H224" s="4">
        <f t="shared" si="1"/>
        <v>0</v>
      </c>
      <c r="J224" s="4">
        <f>IFERROR(__xludf.DUMMYFUNCTION("IFS(
ISBETWEEN(D224,F224,G224,TRUE,TRUE),1,
ISBETWEEN(E224,F224,G224,TRUE,TRUE),1,
ISBETWEEN(F224,D224,E224,TRUE,TRUE),1,
ISBETWEEN(G224,D224,E224,TRUE,TRUE),1,
1,0)"),1.0)</f>
        <v>1</v>
      </c>
    </row>
    <row r="225">
      <c r="A225" s="2" t="s">
        <v>225</v>
      </c>
      <c r="B225" s="1" t="str">
        <f>IFERROR(__xludf.DUMMYFUNCTION("SPLIT(A225,"","",)"),"16-99")</f>
        <v>16-99</v>
      </c>
      <c r="C225" s="1" t="str">
        <f>IFERROR(__xludf.DUMMYFUNCTION("""COMPUTED_VALUE"""),"15-16")</f>
        <v>15-16</v>
      </c>
      <c r="D225" s="4">
        <f>IFERROR(__xludf.DUMMYFUNCTION("split(B225,""-"")"),16.0)</f>
        <v>16</v>
      </c>
      <c r="E225" s="4">
        <f>IFERROR(__xludf.DUMMYFUNCTION("""COMPUTED_VALUE"""),99.0)</f>
        <v>99</v>
      </c>
      <c r="F225" s="4">
        <f>IFERROR(__xludf.DUMMYFUNCTION("split(C225,""-"")"),15.0)</f>
        <v>15</v>
      </c>
      <c r="G225" s="4">
        <f>IFERROR(__xludf.DUMMYFUNCTION("""COMPUTED_VALUE"""),16.0)</f>
        <v>16</v>
      </c>
      <c r="H225" s="4">
        <f t="shared" si="1"/>
        <v>0</v>
      </c>
      <c r="J225" s="4">
        <f>IFERROR(__xludf.DUMMYFUNCTION("IFS(
ISBETWEEN(D225,F225,G225,TRUE,TRUE),1,
ISBETWEEN(E225,F225,G225,TRUE,TRUE),1,
ISBETWEEN(F225,D225,E225,TRUE,TRUE),1,
ISBETWEEN(G225,D225,E225,TRUE,TRUE),1,
1,0)"),1.0)</f>
        <v>1</v>
      </c>
    </row>
    <row r="226">
      <c r="A226" s="2" t="s">
        <v>226</v>
      </c>
      <c r="B226" s="1" t="str">
        <f>IFERROR(__xludf.DUMMYFUNCTION("SPLIT(A226,"","",)"),"70-84")</f>
        <v>70-84</v>
      </c>
      <c r="C226" s="1" t="str">
        <f>IFERROR(__xludf.DUMMYFUNCTION("""COMPUTED_VALUE"""),"54-83")</f>
        <v>54-83</v>
      </c>
      <c r="D226" s="4">
        <f>IFERROR(__xludf.DUMMYFUNCTION("split(B226,""-"")"),70.0)</f>
        <v>70</v>
      </c>
      <c r="E226" s="4">
        <f>IFERROR(__xludf.DUMMYFUNCTION("""COMPUTED_VALUE"""),84.0)</f>
        <v>84</v>
      </c>
      <c r="F226" s="4">
        <f>IFERROR(__xludf.DUMMYFUNCTION("split(C226,""-"")"),54.0)</f>
        <v>54</v>
      </c>
      <c r="G226" s="4">
        <f>IFERROR(__xludf.DUMMYFUNCTION("""COMPUTED_VALUE"""),83.0)</f>
        <v>83</v>
      </c>
      <c r="H226" s="4">
        <f t="shared" si="1"/>
        <v>0</v>
      </c>
      <c r="J226" s="4">
        <f>IFERROR(__xludf.DUMMYFUNCTION("IFS(
ISBETWEEN(D226,F226,G226,TRUE,TRUE),1,
ISBETWEEN(E226,F226,G226,TRUE,TRUE),1,
ISBETWEEN(F226,D226,E226,TRUE,TRUE),1,
ISBETWEEN(G226,D226,E226,TRUE,TRUE),1,
1,0)"),1.0)</f>
        <v>1</v>
      </c>
    </row>
    <row r="227">
      <c r="A227" s="2" t="s">
        <v>227</v>
      </c>
      <c r="B227" s="1" t="str">
        <f>IFERROR(__xludf.DUMMYFUNCTION("SPLIT(A227,"","",)"),"56-89")</f>
        <v>56-89</v>
      </c>
      <c r="C227" s="1" t="str">
        <f>IFERROR(__xludf.DUMMYFUNCTION("""COMPUTED_VALUE"""),"57-89")</f>
        <v>57-89</v>
      </c>
      <c r="D227" s="4">
        <f>IFERROR(__xludf.DUMMYFUNCTION("split(B227,""-"")"),56.0)</f>
        <v>56</v>
      </c>
      <c r="E227" s="4">
        <f>IFERROR(__xludf.DUMMYFUNCTION("""COMPUTED_VALUE"""),89.0)</f>
        <v>89</v>
      </c>
      <c r="F227" s="4">
        <f>IFERROR(__xludf.DUMMYFUNCTION("split(C227,""-"")"),57.0)</f>
        <v>57</v>
      </c>
      <c r="G227" s="4">
        <f>IFERROR(__xludf.DUMMYFUNCTION("""COMPUTED_VALUE"""),89.0)</f>
        <v>89</v>
      </c>
      <c r="H227" s="4">
        <f t="shared" si="1"/>
        <v>1</v>
      </c>
      <c r="J227" s="4">
        <f>IFERROR(__xludf.DUMMYFUNCTION("IFS(
ISBETWEEN(D227,F227,G227,TRUE,TRUE),1,
ISBETWEEN(E227,F227,G227,TRUE,TRUE),1,
ISBETWEEN(F227,D227,E227,TRUE,TRUE),1,
ISBETWEEN(G227,D227,E227,TRUE,TRUE),1,
1,0)"),1.0)</f>
        <v>1</v>
      </c>
    </row>
    <row r="228">
      <c r="A228" s="2" t="s">
        <v>228</v>
      </c>
      <c r="B228" s="1" t="str">
        <f>IFERROR(__xludf.DUMMYFUNCTION("SPLIT(A228,"","",)"),"51-72")</f>
        <v>51-72</v>
      </c>
      <c r="C228" s="1" t="str">
        <f>IFERROR(__xludf.DUMMYFUNCTION("""COMPUTED_VALUE"""),"52-72")</f>
        <v>52-72</v>
      </c>
      <c r="D228" s="4">
        <f>IFERROR(__xludf.DUMMYFUNCTION("split(B228,""-"")"),51.0)</f>
        <v>51</v>
      </c>
      <c r="E228" s="4">
        <f>IFERROR(__xludf.DUMMYFUNCTION("""COMPUTED_VALUE"""),72.0)</f>
        <v>72</v>
      </c>
      <c r="F228" s="4">
        <f>IFERROR(__xludf.DUMMYFUNCTION("split(C228,""-"")"),52.0)</f>
        <v>52</v>
      </c>
      <c r="G228" s="4">
        <f>IFERROR(__xludf.DUMMYFUNCTION("""COMPUTED_VALUE"""),72.0)</f>
        <v>72</v>
      </c>
      <c r="H228" s="4">
        <f t="shared" si="1"/>
        <v>1</v>
      </c>
      <c r="J228" s="4">
        <f>IFERROR(__xludf.DUMMYFUNCTION("IFS(
ISBETWEEN(D228,F228,G228,TRUE,TRUE),1,
ISBETWEEN(E228,F228,G228,TRUE,TRUE),1,
ISBETWEEN(F228,D228,E228,TRUE,TRUE),1,
ISBETWEEN(G228,D228,E228,TRUE,TRUE),1,
1,0)"),1.0)</f>
        <v>1</v>
      </c>
    </row>
    <row r="229">
      <c r="A229" s="2" t="s">
        <v>229</v>
      </c>
      <c r="B229" s="1" t="str">
        <f>IFERROR(__xludf.DUMMYFUNCTION("SPLIT(A229,"","",)"),"55-57")</f>
        <v>55-57</v>
      </c>
      <c r="C229" s="1" t="str">
        <f>IFERROR(__xludf.DUMMYFUNCTION("""COMPUTED_VALUE"""),"30-56")</f>
        <v>30-56</v>
      </c>
      <c r="D229" s="4">
        <f>IFERROR(__xludf.DUMMYFUNCTION("split(B229,""-"")"),55.0)</f>
        <v>55</v>
      </c>
      <c r="E229" s="4">
        <f>IFERROR(__xludf.DUMMYFUNCTION("""COMPUTED_VALUE"""),57.0)</f>
        <v>57</v>
      </c>
      <c r="F229" s="4">
        <f>IFERROR(__xludf.DUMMYFUNCTION("split(C229,""-"")"),30.0)</f>
        <v>30</v>
      </c>
      <c r="G229" s="4">
        <f>IFERROR(__xludf.DUMMYFUNCTION("""COMPUTED_VALUE"""),56.0)</f>
        <v>56</v>
      </c>
      <c r="H229" s="4">
        <f t="shared" si="1"/>
        <v>0</v>
      </c>
      <c r="J229" s="4">
        <f>IFERROR(__xludf.DUMMYFUNCTION("IFS(
ISBETWEEN(D229,F229,G229,TRUE,TRUE),1,
ISBETWEEN(E229,F229,G229,TRUE,TRUE),1,
ISBETWEEN(F229,D229,E229,TRUE,TRUE),1,
ISBETWEEN(G229,D229,E229,TRUE,TRUE),1,
1,0)"),1.0)</f>
        <v>1</v>
      </c>
    </row>
    <row r="230">
      <c r="A230" s="2" t="s">
        <v>230</v>
      </c>
      <c r="B230" s="1" t="str">
        <f>IFERROR(__xludf.DUMMYFUNCTION("SPLIT(A230,"","",)"),"13-14")</f>
        <v>13-14</v>
      </c>
      <c r="C230" s="1" t="str">
        <f>IFERROR(__xludf.DUMMYFUNCTION("""COMPUTED_VALUE"""),"13-70")</f>
        <v>13-70</v>
      </c>
      <c r="D230" s="4">
        <f>IFERROR(__xludf.DUMMYFUNCTION("split(B230,""-"")"),13.0)</f>
        <v>13</v>
      </c>
      <c r="E230" s="4">
        <f>IFERROR(__xludf.DUMMYFUNCTION("""COMPUTED_VALUE"""),14.0)</f>
        <v>14</v>
      </c>
      <c r="F230" s="4">
        <f>IFERROR(__xludf.DUMMYFUNCTION("split(C230,""-"")"),13.0)</f>
        <v>13</v>
      </c>
      <c r="G230" s="4">
        <f>IFERROR(__xludf.DUMMYFUNCTION("""COMPUTED_VALUE"""),70.0)</f>
        <v>70</v>
      </c>
      <c r="H230" s="4">
        <f t="shared" si="1"/>
        <v>1</v>
      </c>
      <c r="J230" s="4">
        <f>IFERROR(__xludf.DUMMYFUNCTION("IFS(
ISBETWEEN(D230,F230,G230,TRUE,TRUE),1,
ISBETWEEN(E230,F230,G230,TRUE,TRUE),1,
ISBETWEEN(F230,D230,E230,TRUE,TRUE),1,
ISBETWEEN(G230,D230,E230,TRUE,TRUE),1,
1,0)"),1.0)</f>
        <v>1</v>
      </c>
    </row>
    <row r="231">
      <c r="A231" s="2" t="s">
        <v>231</v>
      </c>
      <c r="B231" s="1" t="str">
        <f>IFERROR(__xludf.DUMMYFUNCTION("SPLIT(A231,"","",)"),"27-51")</f>
        <v>27-51</v>
      </c>
      <c r="C231" s="1" t="str">
        <f>IFERROR(__xludf.DUMMYFUNCTION("""COMPUTED_VALUE"""),"8-79")</f>
        <v>8-79</v>
      </c>
      <c r="D231" s="4">
        <f>IFERROR(__xludf.DUMMYFUNCTION("split(B231,""-"")"),27.0)</f>
        <v>27</v>
      </c>
      <c r="E231" s="4">
        <f>IFERROR(__xludf.DUMMYFUNCTION("""COMPUTED_VALUE"""),51.0)</f>
        <v>51</v>
      </c>
      <c r="F231" s="4">
        <f>IFERROR(__xludf.DUMMYFUNCTION("split(C231,""-"")"),8.0)</f>
        <v>8</v>
      </c>
      <c r="G231" s="4">
        <f>IFERROR(__xludf.DUMMYFUNCTION("""COMPUTED_VALUE"""),79.0)</f>
        <v>79</v>
      </c>
      <c r="H231" s="4">
        <f t="shared" si="1"/>
        <v>1</v>
      </c>
      <c r="J231" s="4">
        <f>IFERROR(__xludf.DUMMYFUNCTION("IFS(
ISBETWEEN(D231,F231,G231,TRUE,TRUE),1,
ISBETWEEN(E231,F231,G231,TRUE,TRUE),1,
ISBETWEEN(F231,D231,E231,TRUE,TRUE),1,
ISBETWEEN(G231,D231,E231,TRUE,TRUE),1,
1,0)"),1.0)</f>
        <v>1</v>
      </c>
    </row>
    <row r="232">
      <c r="A232" s="2" t="s">
        <v>232</v>
      </c>
      <c r="B232" s="1" t="str">
        <f>IFERROR(__xludf.DUMMYFUNCTION("SPLIT(A232,"","",)"),"17-78")</f>
        <v>17-78</v>
      </c>
      <c r="C232" s="1" t="str">
        <f>IFERROR(__xludf.DUMMYFUNCTION("""COMPUTED_VALUE"""),"18-92")</f>
        <v>18-92</v>
      </c>
      <c r="D232" s="4">
        <f>IFERROR(__xludf.DUMMYFUNCTION("split(B232,""-"")"),17.0)</f>
        <v>17</v>
      </c>
      <c r="E232" s="4">
        <f>IFERROR(__xludf.DUMMYFUNCTION("""COMPUTED_VALUE"""),78.0)</f>
        <v>78</v>
      </c>
      <c r="F232" s="4">
        <f>IFERROR(__xludf.DUMMYFUNCTION("split(C232,""-"")"),18.0)</f>
        <v>18</v>
      </c>
      <c r="G232" s="4">
        <f>IFERROR(__xludf.DUMMYFUNCTION("""COMPUTED_VALUE"""),92.0)</f>
        <v>92</v>
      </c>
      <c r="H232" s="4">
        <f t="shared" si="1"/>
        <v>0</v>
      </c>
      <c r="J232" s="4">
        <f>IFERROR(__xludf.DUMMYFUNCTION("IFS(
ISBETWEEN(D232,F232,G232,TRUE,TRUE),1,
ISBETWEEN(E232,F232,G232,TRUE,TRUE),1,
ISBETWEEN(F232,D232,E232,TRUE,TRUE),1,
ISBETWEEN(G232,D232,E232,TRUE,TRUE),1,
1,0)"),1.0)</f>
        <v>1</v>
      </c>
    </row>
    <row r="233">
      <c r="A233" s="2" t="s">
        <v>233</v>
      </c>
      <c r="B233" s="1" t="str">
        <f>IFERROR(__xludf.DUMMYFUNCTION("SPLIT(A233,"","",)"),"66-95")</f>
        <v>66-95</v>
      </c>
      <c r="C233" s="1" t="str">
        <f>IFERROR(__xludf.DUMMYFUNCTION("""COMPUTED_VALUE"""),"67-94")</f>
        <v>67-94</v>
      </c>
      <c r="D233" s="4">
        <f>IFERROR(__xludf.DUMMYFUNCTION("split(B233,""-"")"),66.0)</f>
        <v>66</v>
      </c>
      <c r="E233" s="4">
        <f>IFERROR(__xludf.DUMMYFUNCTION("""COMPUTED_VALUE"""),95.0)</f>
        <v>95</v>
      </c>
      <c r="F233" s="4">
        <f>IFERROR(__xludf.DUMMYFUNCTION("split(C233,""-"")"),67.0)</f>
        <v>67</v>
      </c>
      <c r="G233" s="4">
        <f>IFERROR(__xludf.DUMMYFUNCTION("""COMPUTED_VALUE"""),94.0)</f>
        <v>94</v>
      </c>
      <c r="H233" s="4">
        <f t="shared" si="1"/>
        <v>1</v>
      </c>
      <c r="J233" s="4">
        <f>IFERROR(__xludf.DUMMYFUNCTION("IFS(
ISBETWEEN(D233,F233,G233,TRUE,TRUE),1,
ISBETWEEN(E233,F233,G233,TRUE,TRUE),1,
ISBETWEEN(F233,D233,E233,TRUE,TRUE),1,
ISBETWEEN(G233,D233,E233,TRUE,TRUE),1,
1,0)"),1.0)</f>
        <v>1</v>
      </c>
    </row>
    <row r="234">
      <c r="A234" s="2" t="s">
        <v>234</v>
      </c>
      <c r="B234" s="1" t="str">
        <f>IFERROR(__xludf.DUMMYFUNCTION("SPLIT(A234,"","",)"),"2-57")</f>
        <v>2-57</v>
      </c>
      <c r="C234" s="1" t="str">
        <f>IFERROR(__xludf.DUMMYFUNCTION("""COMPUTED_VALUE"""),"57-58")</f>
        <v>57-58</v>
      </c>
      <c r="D234" s="4">
        <f>IFERROR(__xludf.DUMMYFUNCTION("split(B234,""-"")"),2.0)</f>
        <v>2</v>
      </c>
      <c r="E234" s="4">
        <f>IFERROR(__xludf.DUMMYFUNCTION("""COMPUTED_VALUE"""),57.0)</f>
        <v>57</v>
      </c>
      <c r="F234" s="4">
        <f>IFERROR(__xludf.DUMMYFUNCTION("split(C234,""-"")"),57.0)</f>
        <v>57</v>
      </c>
      <c r="G234" s="4">
        <f>IFERROR(__xludf.DUMMYFUNCTION("""COMPUTED_VALUE"""),58.0)</f>
        <v>58</v>
      </c>
      <c r="H234" s="4">
        <f t="shared" si="1"/>
        <v>0</v>
      </c>
      <c r="J234" s="4">
        <f>IFERROR(__xludf.DUMMYFUNCTION("IFS(
ISBETWEEN(D234,F234,G234,TRUE,TRUE),1,
ISBETWEEN(E234,F234,G234,TRUE,TRUE),1,
ISBETWEEN(F234,D234,E234,TRUE,TRUE),1,
ISBETWEEN(G234,D234,E234,TRUE,TRUE),1,
1,0)"),1.0)</f>
        <v>1</v>
      </c>
    </row>
    <row r="235">
      <c r="A235" s="2" t="s">
        <v>235</v>
      </c>
      <c r="B235" s="1" t="str">
        <f>IFERROR(__xludf.DUMMYFUNCTION("SPLIT(A235,"","",)"),"26-93")</f>
        <v>26-93</v>
      </c>
      <c r="C235" s="1" t="str">
        <f>IFERROR(__xludf.DUMMYFUNCTION("""COMPUTED_VALUE"""),"27-64")</f>
        <v>27-64</v>
      </c>
      <c r="D235" s="4">
        <f>IFERROR(__xludf.DUMMYFUNCTION("split(B235,""-"")"),26.0)</f>
        <v>26</v>
      </c>
      <c r="E235" s="4">
        <f>IFERROR(__xludf.DUMMYFUNCTION("""COMPUTED_VALUE"""),93.0)</f>
        <v>93</v>
      </c>
      <c r="F235" s="4">
        <f>IFERROR(__xludf.DUMMYFUNCTION("split(C235,""-"")"),27.0)</f>
        <v>27</v>
      </c>
      <c r="G235" s="4">
        <f>IFERROR(__xludf.DUMMYFUNCTION("""COMPUTED_VALUE"""),64.0)</f>
        <v>64</v>
      </c>
      <c r="H235" s="4">
        <f t="shared" si="1"/>
        <v>1</v>
      </c>
      <c r="J235" s="4">
        <f>IFERROR(__xludf.DUMMYFUNCTION("IFS(
ISBETWEEN(D235,F235,G235,TRUE,TRUE),1,
ISBETWEEN(E235,F235,G235,TRUE,TRUE),1,
ISBETWEEN(F235,D235,E235,TRUE,TRUE),1,
ISBETWEEN(G235,D235,E235,TRUE,TRUE),1,
1,0)"),1.0)</f>
        <v>1</v>
      </c>
    </row>
    <row r="236">
      <c r="A236" s="2" t="s">
        <v>236</v>
      </c>
      <c r="B236" s="1" t="str">
        <f>IFERROR(__xludf.DUMMYFUNCTION("SPLIT(A236,"","",)"),"21-26")</f>
        <v>21-26</v>
      </c>
      <c r="C236" s="1" t="str">
        <f>IFERROR(__xludf.DUMMYFUNCTION("""COMPUTED_VALUE"""),"80-94")</f>
        <v>80-94</v>
      </c>
      <c r="D236" s="4">
        <f>IFERROR(__xludf.DUMMYFUNCTION("split(B236,""-"")"),21.0)</f>
        <v>21</v>
      </c>
      <c r="E236" s="4">
        <f>IFERROR(__xludf.DUMMYFUNCTION("""COMPUTED_VALUE"""),26.0)</f>
        <v>26</v>
      </c>
      <c r="F236" s="4">
        <f>IFERROR(__xludf.DUMMYFUNCTION("split(C236,""-"")"),80.0)</f>
        <v>80</v>
      </c>
      <c r="G236" s="4">
        <f>IFERROR(__xludf.DUMMYFUNCTION("""COMPUTED_VALUE"""),94.0)</f>
        <v>94</v>
      </c>
      <c r="H236" s="4">
        <f t="shared" si="1"/>
        <v>0</v>
      </c>
      <c r="J236" s="4">
        <f>IFERROR(__xludf.DUMMYFUNCTION("IFS(
ISBETWEEN(D236,F236,G236,TRUE,TRUE),1,
ISBETWEEN(E236,F236,G236,TRUE,TRUE),1,
ISBETWEEN(F236,D236,E236,TRUE,TRUE),1,
ISBETWEEN(G236,D236,E236,TRUE,TRUE),1,
1,0)"),0.0)</f>
        <v>0</v>
      </c>
    </row>
    <row r="237">
      <c r="A237" s="2" t="s">
        <v>237</v>
      </c>
      <c r="B237" s="1" t="str">
        <f>IFERROR(__xludf.DUMMYFUNCTION("SPLIT(A237,"","",)"),"28-41")</f>
        <v>28-41</v>
      </c>
      <c r="C237" s="1" t="str">
        <f>IFERROR(__xludf.DUMMYFUNCTION("""COMPUTED_VALUE"""),"21-25")</f>
        <v>21-25</v>
      </c>
      <c r="D237" s="4">
        <f>IFERROR(__xludf.DUMMYFUNCTION("split(B237,""-"")"),28.0)</f>
        <v>28</v>
      </c>
      <c r="E237" s="4">
        <f>IFERROR(__xludf.DUMMYFUNCTION("""COMPUTED_VALUE"""),41.0)</f>
        <v>41</v>
      </c>
      <c r="F237" s="4">
        <f>IFERROR(__xludf.DUMMYFUNCTION("split(C237,""-"")"),21.0)</f>
        <v>21</v>
      </c>
      <c r="G237" s="4">
        <f>IFERROR(__xludf.DUMMYFUNCTION("""COMPUTED_VALUE"""),25.0)</f>
        <v>25</v>
      </c>
      <c r="H237" s="4">
        <f t="shared" si="1"/>
        <v>0</v>
      </c>
      <c r="J237" s="4">
        <f>IFERROR(__xludf.DUMMYFUNCTION("IFS(
ISBETWEEN(D237,F237,G237,TRUE,TRUE),1,
ISBETWEEN(E237,F237,G237,TRUE,TRUE),1,
ISBETWEEN(F237,D237,E237,TRUE,TRUE),1,
ISBETWEEN(G237,D237,E237,TRUE,TRUE),1,
1,0)"),0.0)</f>
        <v>0</v>
      </c>
    </row>
    <row r="238">
      <c r="A238" s="2" t="s">
        <v>238</v>
      </c>
      <c r="B238" s="1" t="str">
        <f>IFERROR(__xludf.DUMMYFUNCTION("SPLIT(A238,"","",)"),"10-21")</f>
        <v>10-21</v>
      </c>
      <c r="C238" s="1" t="str">
        <f>IFERROR(__xludf.DUMMYFUNCTION("""COMPUTED_VALUE"""),"22-56")</f>
        <v>22-56</v>
      </c>
      <c r="D238" s="4">
        <f>IFERROR(__xludf.DUMMYFUNCTION("split(B238,""-"")"),10.0)</f>
        <v>10</v>
      </c>
      <c r="E238" s="4">
        <f>IFERROR(__xludf.DUMMYFUNCTION("""COMPUTED_VALUE"""),21.0)</f>
        <v>21</v>
      </c>
      <c r="F238" s="4">
        <f>IFERROR(__xludf.DUMMYFUNCTION("split(C238,""-"")"),22.0)</f>
        <v>22</v>
      </c>
      <c r="G238" s="4">
        <f>IFERROR(__xludf.DUMMYFUNCTION("""COMPUTED_VALUE"""),56.0)</f>
        <v>56</v>
      </c>
      <c r="H238" s="4">
        <f t="shared" si="1"/>
        <v>0</v>
      </c>
      <c r="J238" s="4">
        <f>IFERROR(__xludf.DUMMYFUNCTION("IFS(
ISBETWEEN(D238,F238,G238,TRUE,TRUE),1,
ISBETWEEN(E238,F238,G238,TRUE,TRUE),1,
ISBETWEEN(F238,D238,E238,TRUE,TRUE),1,
ISBETWEEN(G238,D238,E238,TRUE,TRUE),1,
1,0)"),0.0)</f>
        <v>0</v>
      </c>
    </row>
    <row r="239">
      <c r="A239" s="2" t="s">
        <v>239</v>
      </c>
      <c r="B239" s="1" t="str">
        <f>IFERROR(__xludf.DUMMYFUNCTION("SPLIT(A239,"","",)"),"91-94")</f>
        <v>91-94</v>
      </c>
      <c r="C239" s="1" t="str">
        <f>IFERROR(__xludf.DUMMYFUNCTION("""COMPUTED_VALUE"""),"7-92")</f>
        <v>7-92</v>
      </c>
      <c r="D239" s="4">
        <f>IFERROR(__xludf.DUMMYFUNCTION("split(B239,""-"")"),91.0)</f>
        <v>91</v>
      </c>
      <c r="E239" s="4">
        <f>IFERROR(__xludf.DUMMYFUNCTION("""COMPUTED_VALUE"""),94.0)</f>
        <v>94</v>
      </c>
      <c r="F239" s="4">
        <f>IFERROR(__xludf.DUMMYFUNCTION("split(C239,""-"")"),7.0)</f>
        <v>7</v>
      </c>
      <c r="G239" s="4">
        <f>IFERROR(__xludf.DUMMYFUNCTION("""COMPUTED_VALUE"""),92.0)</f>
        <v>92</v>
      </c>
      <c r="H239" s="4">
        <f t="shared" si="1"/>
        <v>0</v>
      </c>
      <c r="J239" s="4">
        <f>IFERROR(__xludf.DUMMYFUNCTION("IFS(
ISBETWEEN(D239,F239,G239,TRUE,TRUE),1,
ISBETWEEN(E239,F239,G239,TRUE,TRUE),1,
ISBETWEEN(F239,D239,E239,TRUE,TRUE),1,
ISBETWEEN(G239,D239,E239,TRUE,TRUE),1,
1,0)"),1.0)</f>
        <v>1</v>
      </c>
    </row>
    <row r="240">
      <c r="A240" s="2" t="s">
        <v>240</v>
      </c>
      <c r="B240" s="1" t="str">
        <f>IFERROR(__xludf.DUMMYFUNCTION("SPLIT(A240,"","",)"),"2-94")</f>
        <v>2-94</v>
      </c>
      <c r="C240" s="1" t="str">
        <f>IFERROR(__xludf.DUMMYFUNCTION("""COMPUTED_VALUE"""),"77-99")</f>
        <v>77-99</v>
      </c>
      <c r="D240" s="4">
        <f>IFERROR(__xludf.DUMMYFUNCTION("split(B240,""-"")"),2.0)</f>
        <v>2</v>
      </c>
      <c r="E240" s="4">
        <f>IFERROR(__xludf.DUMMYFUNCTION("""COMPUTED_VALUE"""),94.0)</f>
        <v>94</v>
      </c>
      <c r="F240" s="4">
        <f>IFERROR(__xludf.DUMMYFUNCTION("split(C240,""-"")"),77.0)</f>
        <v>77</v>
      </c>
      <c r="G240" s="4">
        <f>IFERROR(__xludf.DUMMYFUNCTION("""COMPUTED_VALUE"""),99.0)</f>
        <v>99</v>
      </c>
      <c r="H240" s="4">
        <f t="shared" si="1"/>
        <v>0</v>
      </c>
      <c r="J240" s="4">
        <f>IFERROR(__xludf.DUMMYFUNCTION("IFS(
ISBETWEEN(D240,F240,G240,TRUE,TRUE),1,
ISBETWEEN(E240,F240,G240,TRUE,TRUE),1,
ISBETWEEN(F240,D240,E240,TRUE,TRUE),1,
ISBETWEEN(G240,D240,E240,TRUE,TRUE),1,
1,0)"),1.0)</f>
        <v>1</v>
      </c>
    </row>
    <row r="241">
      <c r="A241" s="2" t="s">
        <v>241</v>
      </c>
      <c r="B241" s="1" t="str">
        <f>IFERROR(__xludf.DUMMYFUNCTION("SPLIT(A241,"","",)"),"4-29")</f>
        <v>4-29</v>
      </c>
      <c r="C241" s="1" t="str">
        <f>IFERROR(__xludf.DUMMYFUNCTION("""COMPUTED_VALUE"""),"29-30")</f>
        <v>29-30</v>
      </c>
      <c r="D241" s="4">
        <f>IFERROR(__xludf.DUMMYFUNCTION("split(B241,""-"")"),4.0)</f>
        <v>4</v>
      </c>
      <c r="E241" s="4">
        <f>IFERROR(__xludf.DUMMYFUNCTION("""COMPUTED_VALUE"""),29.0)</f>
        <v>29</v>
      </c>
      <c r="F241" s="4">
        <f>IFERROR(__xludf.DUMMYFUNCTION("split(C241,""-"")"),29.0)</f>
        <v>29</v>
      </c>
      <c r="G241" s="4">
        <f>IFERROR(__xludf.DUMMYFUNCTION("""COMPUTED_VALUE"""),30.0)</f>
        <v>30</v>
      </c>
      <c r="H241" s="4">
        <f t="shared" si="1"/>
        <v>0</v>
      </c>
      <c r="J241" s="4">
        <f>IFERROR(__xludf.DUMMYFUNCTION("IFS(
ISBETWEEN(D241,F241,G241,TRUE,TRUE),1,
ISBETWEEN(E241,F241,G241,TRUE,TRUE),1,
ISBETWEEN(F241,D241,E241,TRUE,TRUE),1,
ISBETWEEN(G241,D241,E241,TRUE,TRUE),1,
1,0)"),1.0)</f>
        <v>1</v>
      </c>
    </row>
    <row r="242">
      <c r="A242" s="2" t="s">
        <v>242</v>
      </c>
      <c r="B242" s="1" t="str">
        <f>IFERROR(__xludf.DUMMYFUNCTION("SPLIT(A242,"","",)"),"37-37")</f>
        <v>37-37</v>
      </c>
      <c r="C242" s="1" t="str">
        <f>IFERROR(__xludf.DUMMYFUNCTION("""COMPUTED_VALUE"""),"29-38")</f>
        <v>29-38</v>
      </c>
      <c r="D242" s="4">
        <f>IFERROR(__xludf.DUMMYFUNCTION("split(B242,""-"")"),37.0)</f>
        <v>37</v>
      </c>
      <c r="E242" s="4">
        <f>IFERROR(__xludf.DUMMYFUNCTION("""COMPUTED_VALUE"""),37.0)</f>
        <v>37</v>
      </c>
      <c r="F242" s="4">
        <f>IFERROR(__xludf.DUMMYFUNCTION("split(C242,""-"")"),29.0)</f>
        <v>29</v>
      </c>
      <c r="G242" s="4">
        <f>IFERROR(__xludf.DUMMYFUNCTION("""COMPUTED_VALUE"""),38.0)</f>
        <v>38</v>
      </c>
      <c r="H242" s="4">
        <f t="shared" si="1"/>
        <v>1</v>
      </c>
      <c r="J242" s="4">
        <f>IFERROR(__xludf.DUMMYFUNCTION("IFS(
ISBETWEEN(D242,F242,G242,TRUE,TRUE),1,
ISBETWEEN(E242,F242,G242,TRUE,TRUE),1,
ISBETWEEN(F242,D242,E242,TRUE,TRUE),1,
ISBETWEEN(G242,D242,E242,TRUE,TRUE),1,
1,0)"),1.0)</f>
        <v>1</v>
      </c>
    </row>
    <row r="243">
      <c r="A243" s="2" t="s">
        <v>243</v>
      </c>
      <c r="B243" s="1" t="str">
        <f>IFERROR(__xludf.DUMMYFUNCTION("SPLIT(A243,"","",)"),"89-89")</f>
        <v>89-89</v>
      </c>
      <c r="C243" s="1" t="str">
        <f>IFERROR(__xludf.DUMMYFUNCTION("""COMPUTED_VALUE"""),"33-89")</f>
        <v>33-89</v>
      </c>
      <c r="D243" s="4">
        <f>IFERROR(__xludf.DUMMYFUNCTION("split(B243,""-"")"),89.0)</f>
        <v>89</v>
      </c>
      <c r="E243" s="4">
        <f>IFERROR(__xludf.DUMMYFUNCTION("""COMPUTED_VALUE"""),89.0)</f>
        <v>89</v>
      </c>
      <c r="F243" s="4">
        <f>IFERROR(__xludf.DUMMYFUNCTION("split(C243,""-"")"),33.0)</f>
        <v>33</v>
      </c>
      <c r="G243" s="4">
        <f>IFERROR(__xludf.DUMMYFUNCTION("""COMPUTED_VALUE"""),89.0)</f>
        <v>89</v>
      </c>
      <c r="H243" s="4">
        <f t="shared" si="1"/>
        <v>1</v>
      </c>
      <c r="J243" s="4">
        <f>IFERROR(__xludf.DUMMYFUNCTION("IFS(
ISBETWEEN(D243,F243,G243,TRUE,TRUE),1,
ISBETWEEN(E243,F243,G243,TRUE,TRUE),1,
ISBETWEEN(F243,D243,E243,TRUE,TRUE),1,
ISBETWEEN(G243,D243,E243,TRUE,TRUE),1,
1,0)"),1.0)</f>
        <v>1</v>
      </c>
    </row>
    <row r="244">
      <c r="A244" s="2" t="s">
        <v>244</v>
      </c>
      <c r="B244" s="1" t="str">
        <f>IFERROR(__xludf.DUMMYFUNCTION("SPLIT(A244,"","",)"),"14-88")</f>
        <v>14-88</v>
      </c>
      <c r="C244" s="1" t="str">
        <f>IFERROR(__xludf.DUMMYFUNCTION("""COMPUTED_VALUE"""),"11-14")</f>
        <v>11-14</v>
      </c>
      <c r="D244" s="4">
        <f>IFERROR(__xludf.DUMMYFUNCTION("split(B244,""-"")"),14.0)</f>
        <v>14</v>
      </c>
      <c r="E244" s="4">
        <f>IFERROR(__xludf.DUMMYFUNCTION("""COMPUTED_VALUE"""),88.0)</f>
        <v>88</v>
      </c>
      <c r="F244" s="4">
        <f>IFERROR(__xludf.DUMMYFUNCTION("split(C244,""-"")"),11.0)</f>
        <v>11</v>
      </c>
      <c r="G244" s="4">
        <f>IFERROR(__xludf.DUMMYFUNCTION("""COMPUTED_VALUE"""),14.0)</f>
        <v>14</v>
      </c>
      <c r="H244" s="4">
        <f t="shared" si="1"/>
        <v>0</v>
      </c>
      <c r="J244" s="4">
        <f>IFERROR(__xludf.DUMMYFUNCTION("IFS(
ISBETWEEN(D244,F244,G244,TRUE,TRUE),1,
ISBETWEEN(E244,F244,G244,TRUE,TRUE),1,
ISBETWEEN(F244,D244,E244,TRUE,TRUE),1,
ISBETWEEN(G244,D244,E244,TRUE,TRUE),1,
1,0)"),1.0)</f>
        <v>1</v>
      </c>
    </row>
    <row r="245">
      <c r="A245" s="2" t="s">
        <v>245</v>
      </c>
      <c r="B245" s="1" t="str">
        <f>IFERROR(__xludf.DUMMYFUNCTION("SPLIT(A245,"","",)"),"8-80")</f>
        <v>8-80</v>
      </c>
      <c r="C245" s="3">
        <f>IFERROR(__xludf.DUMMYFUNCTION("""COMPUTED_VALUE"""),44781.0)</f>
        <v>44781</v>
      </c>
      <c r="D245" s="4">
        <f>IFERROR(__xludf.DUMMYFUNCTION("split(B245,""-"")"),8.0)</f>
        <v>8</v>
      </c>
      <c r="E245" s="4">
        <f>IFERROR(__xludf.DUMMYFUNCTION("""COMPUTED_VALUE"""),80.0)</f>
        <v>80</v>
      </c>
      <c r="F245" s="4">
        <f>IFERROR(__xludf.DUMMYFUNCTION("split(C245,""-"")"),8.0)</f>
        <v>8</v>
      </c>
      <c r="G245" s="4">
        <f>IFERROR(__xludf.DUMMYFUNCTION("""COMPUTED_VALUE"""),8.0)</f>
        <v>8</v>
      </c>
      <c r="H245" s="4">
        <f t="shared" si="1"/>
        <v>1</v>
      </c>
      <c r="J245" s="4">
        <f>IFERROR(__xludf.DUMMYFUNCTION("IFS(
ISBETWEEN(D245,F245,G245,TRUE,TRUE),1,
ISBETWEEN(E245,F245,G245,TRUE,TRUE),1,
ISBETWEEN(F245,D245,E245,TRUE,TRUE),1,
ISBETWEEN(G245,D245,E245,TRUE,TRUE),1,
1,0)"),1.0)</f>
        <v>1</v>
      </c>
    </row>
    <row r="246">
      <c r="A246" s="2" t="s">
        <v>246</v>
      </c>
      <c r="B246" s="3">
        <f>IFERROR(__xludf.DUMMYFUNCTION("SPLIT(A246,"","",)"),44749.0)</f>
        <v>44749</v>
      </c>
      <c r="C246" s="1" t="str">
        <f>IFERROR(__xludf.DUMMYFUNCTION("""COMPUTED_VALUE"""),"6-68")</f>
        <v>6-68</v>
      </c>
      <c r="D246" s="4">
        <f>IFERROR(__xludf.DUMMYFUNCTION("split(B246,""-"")"),7.0)</f>
        <v>7</v>
      </c>
      <c r="E246" s="4">
        <f>IFERROR(__xludf.DUMMYFUNCTION("""COMPUTED_VALUE"""),7.0)</f>
        <v>7</v>
      </c>
      <c r="F246" s="4">
        <f>IFERROR(__xludf.DUMMYFUNCTION("split(C246,""-"")"),6.0)</f>
        <v>6</v>
      </c>
      <c r="G246" s="4">
        <f>IFERROR(__xludf.DUMMYFUNCTION("""COMPUTED_VALUE"""),68.0)</f>
        <v>68</v>
      </c>
      <c r="H246" s="4">
        <f t="shared" si="1"/>
        <v>1</v>
      </c>
      <c r="J246" s="4">
        <f>IFERROR(__xludf.DUMMYFUNCTION("IFS(
ISBETWEEN(D246,F246,G246,TRUE,TRUE),1,
ISBETWEEN(E246,F246,G246,TRUE,TRUE),1,
ISBETWEEN(F246,D246,E246,TRUE,TRUE),1,
ISBETWEEN(G246,D246,E246,TRUE,TRUE),1,
1,0)"),1.0)</f>
        <v>1</v>
      </c>
    </row>
    <row r="247">
      <c r="A247" s="2" t="s">
        <v>247</v>
      </c>
      <c r="B247" s="1" t="str">
        <f>IFERROR(__xludf.DUMMYFUNCTION("SPLIT(A247,"","",)"),"3-98")</f>
        <v>3-98</v>
      </c>
      <c r="C247" s="1" t="str">
        <f>IFERROR(__xludf.DUMMYFUNCTION("""COMPUTED_VALUE"""),"2-20")</f>
        <v>2-20</v>
      </c>
      <c r="D247" s="4">
        <f>IFERROR(__xludf.DUMMYFUNCTION("split(B247,""-"")"),3.0)</f>
        <v>3</v>
      </c>
      <c r="E247" s="4">
        <f>IFERROR(__xludf.DUMMYFUNCTION("""COMPUTED_VALUE"""),98.0)</f>
        <v>98</v>
      </c>
      <c r="F247" s="4">
        <f>IFERROR(__xludf.DUMMYFUNCTION("split(C247,""-"")"),2.0)</f>
        <v>2</v>
      </c>
      <c r="G247" s="4">
        <f>IFERROR(__xludf.DUMMYFUNCTION("""COMPUTED_VALUE"""),20.0)</f>
        <v>20</v>
      </c>
      <c r="H247" s="4">
        <f t="shared" si="1"/>
        <v>0</v>
      </c>
      <c r="J247" s="4">
        <f>IFERROR(__xludf.DUMMYFUNCTION("IFS(
ISBETWEEN(D247,F247,G247,TRUE,TRUE),1,
ISBETWEEN(E247,F247,G247,TRUE,TRUE),1,
ISBETWEEN(F247,D247,E247,TRUE,TRUE),1,
ISBETWEEN(G247,D247,E247,TRUE,TRUE),1,
1,0)"),1.0)</f>
        <v>1</v>
      </c>
    </row>
    <row r="248">
      <c r="A248" s="2" t="s">
        <v>248</v>
      </c>
      <c r="B248" s="1" t="str">
        <f>IFERROR(__xludf.DUMMYFUNCTION("SPLIT(A248,"","",)"),"90-90")</f>
        <v>90-90</v>
      </c>
      <c r="C248" s="1" t="str">
        <f>IFERROR(__xludf.DUMMYFUNCTION("""COMPUTED_VALUE"""),"36-90")</f>
        <v>36-90</v>
      </c>
      <c r="D248" s="4">
        <f>IFERROR(__xludf.DUMMYFUNCTION("split(B248,""-"")"),90.0)</f>
        <v>90</v>
      </c>
      <c r="E248" s="4">
        <f>IFERROR(__xludf.DUMMYFUNCTION("""COMPUTED_VALUE"""),90.0)</f>
        <v>90</v>
      </c>
      <c r="F248" s="4">
        <f>IFERROR(__xludf.DUMMYFUNCTION("split(C248,""-"")"),36.0)</f>
        <v>36</v>
      </c>
      <c r="G248" s="4">
        <f>IFERROR(__xludf.DUMMYFUNCTION("""COMPUTED_VALUE"""),90.0)</f>
        <v>90</v>
      </c>
      <c r="H248" s="4">
        <f t="shared" si="1"/>
        <v>1</v>
      </c>
      <c r="J248" s="4">
        <f>IFERROR(__xludf.DUMMYFUNCTION("IFS(
ISBETWEEN(D248,F248,G248,TRUE,TRUE),1,
ISBETWEEN(E248,F248,G248,TRUE,TRUE),1,
ISBETWEEN(F248,D248,E248,TRUE,TRUE),1,
ISBETWEEN(G248,D248,E248,TRUE,TRUE),1,
1,0)"),1.0)</f>
        <v>1</v>
      </c>
    </row>
    <row r="249">
      <c r="A249" s="2" t="s">
        <v>249</v>
      </c>
      <c r="B249" s="1" t="str">
        <f>IFERROR(__xludf.DUMMYFUNCTION("SPLIT(A249,"","",)"),"81-96")</f>
        <v>81-96</v>
      </c>
      <c r="C249" s="1" t="str">
        <f>IFERROR(__xludf.DUMMYFUNCTION("""COMPUTED_VALUE"""),"80-87")</f>
        <v>80-87</v>
      </c>
      <c r="D249" s="4">
        <f>IFERROR(__xludf.DUMMYFUNCTION("split(B249,""-"")"),81.0)</f>
        <v>81</v>
      </c>
      <c r="E249" s="4">
        <f>IFERROR(__xludf.DUMMYFUNCTION("""COMPUTED_VALUE"""),96.0)</f>
        <v>96</v>
      </c>
      <c r="F249" s="4">
        <f>IFERROR(__xludf.DUMMYFUNCTION("split(C249,""-"")"),80.0)</f>
        <v>80</v>
      </c>
      <c r="G249" s="4">
        <f>IFERROR(__xludf.DUMMYFUNCTION("""COMPUTED_VALUE"""),87.0)</f>
        <v>87</v>
      </c>
      <c r="H249" s="4">
        <f t="shared" si="1"/>
        <v>0</v>
      </c>
      <c r="J249" s="4">
        <f>IFERROR(__xludf.DUMMYFUNCTION("IFS(
ISBETWEEN(D249,F249,G249,TRUE,TRUE),1,
ISBETWEEN(E249,F249,G249,TRUE,TRUE),1,
ISBETWEEN(F249,D249,E249,TRUE,TRUE),1,
ISBETWEEN(G249,D249,E249,TRUE,TRUE),1,
1,0)"),1.0)</f>
        <v>1</v>
      </c>
    </row>
    <row r="250">
      <c r="A250" s="2" t="s">
        <v>250</v>
      </c>
      <c r="B250" s="3">
        <f>IFERROR(__xludf.DUMMYFUNCTION("SPLIT(A250,"","",)"),44812.0)</f>
        <v>44812</v>
      </c>
      <c r="C250" s="1" t="str">
        <f>IFERROR(__xludf.DUMMYFUNCTION("""COMPUTED_VALUE"""),"8-98")</f>
        <v>8-98</v>
      </c>
      <c r="D250" s="4">
        <f>IFERROR(__xludf.DUMMYFUNCTION("split(B250,""-"")"),8.0)</f>
        <v>8</v>
      </c>
      <c r="E250" s="4">
        <f>IFERROR(__xludf.DUMMYFUNCTION("""COMPUTED_VALUE"""),9.0)</f>
        <v>9</v>
      </c>
      <c r="F250" s="4">
        <f>IFERROR(__xludf.DUMMYFUNCTION("split(C250,""-"")"),8.0)</f>
        <v>8</v>
      </c>
      <c r="G250" s="4">
        <f>IFERROR(__xludf.DUMMYFUNCTION("""COMPUTED_VALUE"""),98.0)</f>
        <v>98</v>
      </c>
      <c r="H250" s="4">
        <f t="shared" si="1"/>
        <v>1</v>
      </c>
      <c r="J250" s="4">
        <f>IFERROR(__xludf.DUMMYFUNCTION("IFS(
ISBETWEEN(D250,F250,G250,TRUE,TRUE),1,
ISBETWEEN(E250,F250,G250,TRUE,TRUE),1,
ISBETWEEN(F250,D250,E250,TRUE,TRUE),1,
ISBETWEEN(G250,D250,E250,TRUE,TRUE),1,
1,0)"),1.0)</f>
        <v>1</v>
      </c>
    </row>
    <row r="251">
      <c r="A251" s="2" t="s">
        <v>251</v>
      </c>
      <c r="B251" s="1" t="str">
        <f>IFERROR(__xludf.DUMMYFUNCTION("SPLIT(A251,"","",)"),"24-79")</f>
        <v>24-79</v>
      </c>
      <c r="C251" s="1" t="str">
        <f>IFERROR(__xludf.DUMMYFUNCTION("""COMPUTED_VALUE"""),"58-79")</f>
        <v>58-79</v>
      </c>
      <c r="D251" s="4">
        <f>IFERROR(__xludf.DUMMYFUNCTION("split(B251,""-"")"),24.0)</f>
        <v>24</v>
      </c>
      <c r="E251" s="4">
        <f>IFERROR(__xludf.DUMMYFUNCTION("""COMPUTED_VALUE"""),79.0)</f>
        <v>79</v>
      </c>
      <c r="F251" s="4">
        <f>IFERROR(__xludf.DUMMYFUNCTION("split(C251,""-"")"),58.0)</f>
        <v>58</v>
      </c>
      <c r="G251" s="4">
        <f>IFERROR(__xludf.DUMMYFUNCTION("""COMPUTED_VALUE"""),79.0)</f>
        <v>79</v>
      </c>
      <c r="H251" s="4">
        <f t="shared" si="1"/>
        <v>1</v>
      </c>
      <c r="J251" s="4">
        <f>IFERROR(__xludf.DUMMYFUNCTION("IFS(
ISBETWEEN(D251,F251,G251,TRUE,TRUE),1,
ISBETWEEN(E251,F251,G251,TRUE,TRUE),1,
ISBETWEEN(F251,D251,E251,TRUE,TRUE),1,
ISBETWEEN(G251,D251,E251,TRUE,TRUE),1,
1,0)"),1.0)</f>
        <v>1</v>
      </c>
    </row>
    <row r="252">
      <c r="A252" s="2" t="s">
        <v>252</v>
      </c>
      <c r="B252" s="1" t="str">
        <f>IFERROR(__xludf.DUMMYFUNCTION("SPLIT(A252,"","",)"),"19-96")</f>
        <v>19-96</v>
      </c>
      <c r="C252" s="1" t="str">
        <f>IFERROR(__xludf.DUMMYFUNCTION("""COMPUTED_VALUE"""),"20-95")</f>
        <v>20-95</v>
      </c>
      <c r="D252" s="4">
        <f>IFERROR(__xludf.DUMMYFUNCTION("split(B252,""-"")"),19.0)</f>
        <v>19</v>
      </c>
      <c r="E252" s="4">
        <f>IFERROR(__xludf.DUMMYFUNCTION("""COMPUTED_VALUE"""),96.0)</f>
        <v>96</v>
      </c>
      <c r="F252" s="4">
        <f>IFERROR(__xludf.DUMMYFUNCTION("split(C252,""-"")"),20.0)</f>
        <v>20</v>
      </c>
      <c r="G252" s="4">
        <f>IFERROR(__xludf.DUMMYFUNCTION("""COMPUTED_VALUE"""),95.0)</f>
        <v>95</v>
      </c>
      <c r="H252" s="4">
        <f t="shared" si="1"/>
        <v>1</v>
      </c>
      <c r="J252" s="4">
        <f>IFERROR(__xludf.DUMMYFUNCTION("IFS(
ISBETWEEN(D252,F252,G252,TRUE,TRUE),1,
ISBETWEEN(E252,F252,G252,TRUE,TRUE),1,
ISBETWEEN(F252,D252,E252,TRUE,TRUE),1,
ISBETWEEN(G252,D252,E252,TRUE,TRUE),1,
1,0)"),1.0)</f>
        <v>1</v>
      </c>
    </row>
    <row r="253">
      <c r="A253" s="2" t="s">
        <v>253</v>
      </c>
      <c r="B253" s="1" t="str">
        <f>IFERROR(__xludf.DUMMYFUNCTION("SPLIT(A253,"","",)"),"9-93")</f>
        <v>9-93</v>
      </c>
      <c r="C253" s="1" t="str">
        <f>IFERROR(__xludf.DUMMYFUNCTION("""COMPUTED_VALUE"""),"10-68")</f>
        <v>10-68</v>
      </c>
      <c r="D253" s="4">
        <f>IFERROR(__xludf.DUMMYFUNCTION("split(B253,""-"")"),9.0)</f>
        <v>9</v>
      </c>
      <c r="E253" s="4">
        <f>IFERROR(__xludf.DUMMYFUNCTION("""COMPUTED_VALUE"""),93.0)</f>
        <v>93</v>
      </c>
      <c r="F253" s="4">
        <f>IFERROR(__xludf.DUMMYFUNCTION("split(C253,""-"")"),10.0)</f>
        <v>10</v>
      </c>
      <c r="G253" s="4">
        <f>IFERROR(__xludf.DUMMYFUNCTION("""COMPUTED_VALUE"""),68.0)</f>
        <v>68</v>
      </c>
      <c r="H253" s="4">
        <f t="shared" si="1"/>
        <v>1</v>
      </c>
      <c r="J253" s="4">
        <f>IFERROR(__xludf.DUMMYFUNCTION("IFS(
ISBETWEEN(D253,F253,G253,TRUE,TRUE),1,
ISBETWEEN(E253,F253,G253,TRUE,TRUE),1,
ISBETWEEN(F253,D253,E253,TRUE,TRUE),1,
ISBETWEEN(G253,D253,E253,TRUE,TRUE),1,
1,0)"),1.0)</f>
        <v>1</v>
      </c>
    </row>
    <row r="254">
      <c r="A254" s="2" t="s">
        <v>254</v>
      </c>
      <c r="B254" s="1" t="str">
        <f>IFERROR(__xludf.DUMMYFUNCTION("SPLIT(A254,"","",)"),"68-90")</f>
        <v>68-90</v>
      </c>
      <c r="C254" s="1" t="str">
        <f>IFERROR(__xludf.DUMMYFUNCTION("""COMPUTED_VALUE"""),"68-89")</f>
        <v>68-89</v>
      </c>
      <c r="D254" s="4">
        <f>IFERROR(__xludf.DUMMYFUNCTION("split(B254,""-"")"),68.0)</f>
        <v>68</v>
      </c>
      <c r="E254" s="4">
        <f>IFERROR(__xludf.DUMMYFUNCTION("""COMPUTED_VALUE"""),90.0)</f>
        <v>90</v>
      </c>
      <c r="F254" s="4">
        <f>IFERROR(__xludf.DUMMYFUNCTION("split(C254,""-"")"),68.0)</f>
        <v>68</v>
      </c>
      <c r="G254" s="4">
        <f>IFERROR(__xludf.DUMMYFUNCTION("""COMPUTED_VALUE"""),89.0)</f>
        <v>89</v>
      </c>
      <c r="H254" s="4">
        <f t="shared" si="1"/>
        <v>1</v>
      </c>
      <c r="J254" s="4">
        <f>IFERROR(__xludf.DUMMYFUNCTION("IFS(
ISBETWEEN(D254,F254,G254,TRUE,TRUE),1,
ISBETWEEN(E254,F254,G254,TRUE,TRUE),1,
ISBETWEEN(F254,D254,E254,TRUE,TRUE),1,
ISBETWEEN(G254,D254,E254,TRUE,TRUE),1,
1,0)"),1.0)</f>
        <v>1</v>
      </c>
    </row>
    <row r="255">
      <c r="A255" s="2" t="s">
        <v>255</v>
      </c>
      <c r="B255" s="1" t="str">
        <f>IFERROR(__xludf.DUMMYFUNCTION("SPLIT(A255,"","",)"),"97-98")</f>
        <v>97-98</v>
      </c>
      <c r="C255" s="1" t="str">
        <f>IFERROR(__xludf.DUMMYFUNCTION("""COMPUTED_VALUE"""),"2-97")</f>
        <v>2-97</v>
      </c>
      <c r="D255" s="4">
        <f>IFERROR(__xludf.DUMMYFUNCTION("split(B255,""-"")"),97.0)</f>
        <v>97</v>
      </c>
      <c r="E255" s="4">
        <f>IFERROR(__xludf.DUMMYFUNCTION("""COMPUTED_VALUE"""),98.0)</f>
        <v>98</v>
      </c>
      <c r="F255" s="4">
        <f>IFERROR(__xludf.DUMMYFUNCTION("split(C255,""-"")"),2.0)</f>
        <v>2</v>
      </c>
      <c r="G255" s="4">
        <f>IFERROR(__xludf.DUMMYFUNCTION("""COMPUTED_VALUE"""),97.0)</f>
        <v>97</v>
      </c>
      <c r="H255" s="4">
        <f t="shared" si="1"/>
        <v>0</v>
      </c>
      <c r="J255" s="4">
        <f>IFERROR(__xludf.DUMMYFUNCTION("IFS(
ISBETWEEN(D255,F255,G255,TRUE,TRUE),1,
ISBETWEEN(E255,F255,G255,TRUE,TRUE),1,
ISBETWEEN(F255,D255,E255,TRUE,TRUE),1,
ISBETWEEN(G255,D255,E255,TRUE,TRUE),1,
1,0)"),1.0)</f>
        <v>1</v>
      </c>
    </row>
    <row r="256">
      <c r="A256" s="2" t="s">
        <v>256</v>
      </c>
      <c r="B256" s="1" t="str">
        <f>IFERROR(__xludf.DUMMYFUNCTION("SPLIT(A256,"","",)"),"57-71")</f>
        <v>57-71</v>
      </c>
      <c r="C256" s="1" t="str">
        <f>IFERROR(__xludf.DUMMYFUNCTION("""COMPUTED_VALUE"""),"12-58")</f>
        <v>12-58</v>
      </c>
      <c r="D256" s="4">
        <f>IFERROR(__xludf.DUMMYFUNCTION("split(B256,""-"")"),57.0)</f>
        <v>57</v>
      </c>
      <c r="E256" s="4">
        <f>IFERROR(__xludf.DUMMYFUNCTION("""COMPUTED_VALUE"""),71.0)</f>
        <v>71</v>
      </c>
      <c r="F256" s="4">
        <f>IFERROR(__xludf.DUMMYFUNCTION("split(C256,""-"")"),12.0)</f>
        <v>12</v>
      </c>
      <c r="G256" s="4">
        <f>IFERROR(__xludf.DUMMYFUNCTION("""COMPUTED_VALUE"""),58.0)</f>
        <v>58</v>
      </c>
      <c r="H256" s="4">
        <f t="shared" si="1"/>
        <v>0</v>
      </c>
      <c r="J256" s="4">
        <f>IFERROR(__xludf.DUMMYFUNCTION("IFS(
ISBETWEEN(D256,F256,G256,TRUE,TRUE),1,
ISBETWEEN(E256,F256,G256,TRUE,TRUE),1,
ISBETWEEN(F256,D256,E256,TRUE,TRUE),1,
ISBETWEEN(G256,D256,E256,TRUE,TRUE),1,
1,0)"),1.0)</f>
        <v>1</v>
      </c>
    </row>
    <row r="257">
      <c r="A257" s="2" t="s">
        <v>257</v>
      </c>
      <c r="B257" s="1" t="str">
        <f>IFERROR(__xludf.DUMMYFUNCTION("SPLIT(A257,"","",)"),"35-87")</f>
        <v>35-87</v>
      </c>
      <c r="C257" s="1" t="str">
        <f>IFERROR(__xludf.DUMMYFUNCTION("""COMPUTED_VALUE"""),"36-43")</f>
        <v>36-43</v>
      </c>
      <c r="D257" s="4">
        <f>IFERROR(__xludf.DUMMYFUNCTION("split(B257,""-"")"),35.0)</f>
        <v>35</v>
      </c>
      <c r="E257" s="4">
        <f>IFERROR(__xludf.DUMMYFUNCTION("""COMPUTED_VALUE"""),87.0)</f>
        <v>87</v>
      </c>
      <c r="F257" s="4">
        <f>IFERROR(__xludf.DUMMYFUNCTION("split(C257,""-"")"),36.0)</f>
        <v>36</v>
      </c>
      <c r="G257" s="4">
        <f>IFERROR(__xludf.DUMMYFUNCTION("""COMPUTED_VALUE"""),43.0)</f>
        <v>43</v>
      </c>
      <c r="H257" s="4">
        <f t="shared" si="1"/>
        <v>1</v>
      </c>
      <c r="J257" s="4">
        <f>IFERROR(__xludf.DUMMYFUNCTION("IFS(
ISBETWEEN(D257,F257,G257,TRUE,TRUE),1,
ISBETWEEN(E257,F257,G257,TRUE,TRUE),1,
ISBETWEEN(F257,D257,E257,TRUE,TRUE),1,
ISBETWEEN(G257,D257,E257,TRUE,TRUE),1,
1,0)"),1.0)</f>
        <v>1</v>
      </c>
    </row>
    <row r="258">
      <c r="A258" s="2" t="s">
        <v>258</v>
      </c>
      <c r="B258" s="3">
        <f>IFERROR(__xludf.DUMMYFUNCTION("SPLIT(A258,"","",)"),44652.0)</f>
        <v>44652</v>
      </c>
      <c r="C258" s="1" t="str">
        <f>IFERROR(__xludf.DUMMYFUNCTION("""COMPUTED_VALUE"""),"3-19")</f>
        <v>3-19</v>
      </c>
      <c r="D258" s="4">
        <f>IFERROR(__xludf.DUMMYFUNCTION("split(B258,""-"")"),1.0)</f>
        <v>1</v>
      </c>
      <c r="E258" s="4">
        <f>IFERROR(__xludf.DUMMYFUNCTION("""COMPUTED_VALUE"""),4.0)</f>
        <v>4</v>
      </c>
      <c r="F258" s="4">
        <f>IFERROR(__xludf.DUMMYFUNCTION("split(C258,""-"")"),3.0)</f>
        <v>3</v>
      </c>
      <c r="G258" s="4">
        <f>IFERROR(__xludf.DUMMYFUNCTION("""COMPUTED_VALUE"""),19.0)</f>
        <v>19</v>
      </c>
      <c r="H258" s="4">
        <f t="shared" si="1"/>
        <v>0</v>
      </c>
      <c r="J258" s="4">
        <f>IFERROR(__xludf.DUMMYFUNCTION("IFS(
ISBETWEEN(D258,F258,G258,TRUE,TRUE),1,
ISBETWEEN(E258,F258,G258,TRUE,TRUE),1,
ISBETWEEN(F258,D258,E258,TRUE,TRUE),1,
ISBETWEEN(G258,D258,E258,TRUE,TRUE),1,
1,0)"),1.0)</f>
        <v>1</v>
      </c>
    </row>
    <row r="259">
      <c r="A259" s="2" t="s">
        <v>259</v>
      </c>
      <c r="B259" s="1" t="str">
        <f>IFERROR(__xludf.DUMMYFUNCTION("SPLIT(A259,"","",)"),"34-45")</f>
        <v>34-45</v>
      </c>
      <c r="C259" s="1" t="str">
        <f>IFERROR(__xludf.DUMMYFUNCTION("""COMPUTED_VALUE"""),"39-46")</f>
        <v>39-46</v>
      </c>
      <c r="D259" s="4">
        <f>IFERROR(__xludf.DUMMYFUNCTION("split(B259,""-"")"),34.0)</f>
        <v>34</v>
      </c>
      <c r="E259" s="4">
        <f>IFERROR(__xludf.DUMMYFUNCTION("""COMPUTED_VALUE"""),45.0)</f>
        <v>45</v>
      </c>
      <c r="F259" s="4">
        <f>IFERROR(__xludf.DUMMYFUNCTION("split(C259,""-"")"),39.0)</f>
        <v>39</v>
      </c>
      <c r="G259" s="4">
        <f>IFERROR(__xludf.DUMMYFUNCTION("""COMPUTED_VALUE"""),46.0)</f>
        <v>46</v>
      </c>
      <c r="H259" s="4">
        <f t="shared" si="1"/>
        <v>0</v>
      </c>
      <c r="J259" s="4">
        <f>IFERROR(__xludf.DUMMYFUNCTION("IFS(
ISBETWEEN(D259,F259,G259,TRUE,TRUE),1,
ISBETWEEN(E259,F259,G259,TRUE,TRUE),1,
ISBETWEEN(F259,D259,E259,TRUE,TRUE),1,
ISBETWEEN(G259,D259,E259,TRUE,TRUE),1,
1,0)"),1.0)</f>
        <v>1</v>
      </c>
    </row>
    <row r="260">
      <c r="A260" s="2" t="s">
        <v>260</v>
      </c>
      <c r="B260" s="1" t="str">
        <f>IFERROR(__xludf.DUMMYFUNCTION("SPLIT(A260,"","",)"),"3-95")</f>
        <v>3-95</v>
      </c>
      <c r="C260" s="3">
        <f>IFERROR(__xludf.DUMMYFUNCTION("""COMPUTED_VALUE"""),44562.0)</f>
        <v>44562</v>
      </c>
      <c r="D260" s="4">
        <f>IFERROR(__xludf.DUMMYFUNCTION("split(B260,""-"")"),3.0)</f>
        <v>3</v>
      </c>
      <c r="E260" s="4">
        <f>IFERROR(__xludf.DUMMYFUNCTION("""COMPUTED_VALUE"""),95.0)</f>
        <v>95</v>
      </c>
      <c r="F260" s="4">
        <f>IFERROR(__xludf.DUMMYFUNCTION("split(C260,""-"")"),1.0)</f>
        <v>1</v>
      </c>
      <c r="G260" s="4">
        <f>IFERROR(__xludf.DUMMYFUNCTION("""COMPUTED_VALUE"""),1.0)</f>
        <v>1</v>
      </c>
      <c r="H260" s="4">
        <f t="shared" si="1"/>
        <v>0</v>
      </c>
      <c r="J260" s="4">
        <f>IFERROR(__xludf.DUMMYFUNCTION("IFS(
ISBETWEEN(D260,F260,G260,TRUE,TRUE),1,
ISBETWEEN(E260,F260,G260,TRUE,TRUE),1,
ISBETWEEN(F260,D260,E260,TRUE,TRUE),1,
ISBETWEEN(G260,D260,E260,TRUE,TRUE),1,
1,0)"),0.0)</f>
        <v>0</v>
      </c>
    </row>
    <row r="261">
      <c r="A261" s="2" t="s">
        <v>261</v>
      </c>
      <c r="B261" s="1" t="str">
        <f>IFERROR(__xludf.DUMMYFUNCTION("SPLIT(A261,"","",)"),"57-58")</f>
        <v>57-58</v>
      </c>
      <c r="C261" s="1" t="str">
        <f>IFERROR(__xludf.DUMMYFUNCTION("""COMPUTED_VALUE"""),"56-57")</f>
        <v>56-57</v>
      </c>
      <c r="D261" s="4">
        <f>IFERROR(__xludf.DUMMYFUNCTION("split(B261,""-"")"),57.0)</f>
        <v>57</v>
      </c>
      <c r="E261" s="4">
        <f>IFERROR(__xludf.DUMMYFUNCTION("""COMPUTED_VALUE"""),58.0)</f>
        <v>58</v>
      </c>
      <c r="F261" s="4">
        <f>IFERROR(__xludf.DUMMYFUNCTION("split(C261,""-"")"),56.0)</f>
        <v>56</v>
      </c>
      <c r="G261" s="4">
        <f>IFERROR(__xludf.DUMMYFUNCTION("""COMPUTED_VALUE"""),57.0)</f>
        <v>57</v>
      </c>
      <c r="H261" s="4">
        <f t="shared" si="1"/>
        <v>0</v>
      </c>
      <c r="J261" s="4">
        <f>IFERROR(__xludf.DUMMYFUNCTION("IFS(
ISBETWEEN(D261,F261,G261,TRUE,TRUE),1,
ISBETWEEN(E261,F261,G261,TRUE,TRUE),1,
ISBETWEEN(F261,D261,E261,TRUE,TRUE),1,
ISBETWEEN(G261,D261,E261,TRUE,TRUE),1,
1,0)"),1.0)</f>
        <v>1</v>
      </c>
    </row>
    <row r="262">
      <c r="A262" s="2" t="s">
        <v>262</v>
      </c>
      <c r="B262" s="1" t="str">
        <f>IFERROR(__xludf.DUMMYFUNCTION("SPLIT(A262,"","",)"),"1-97")</f>
        <v>1-97</v>
      </c>
      <c r="C262" s="3">
        <f>IFERROR(__xludf.DUMMYFUNCTION("""COMPUTED_VALUE"""),44594.0)</f>
        <v>44594</v>
      </c>
      <c r="D262" s="4">
        <f>IFERROR(__xludf.DUMMYFUNCTION("split(B262,""-"")"),1.0)</f>
        <v>1</v>
      </c>
      <c r="E262" s="4">
        <f>IFERROR(__xludf.DUMMYFUNCTION("""COMPUTED_VALUE"""),97.0)</f>
        <v>97</v>
      </c>
      <c r="F262" s="4">
        <f>IFERROR(__xludf.DUMMYFUNCTION("split(C262,""-"")"),2.0)</f>
        <v>2</v>
      </c>
      <c r="G262" s="4">
        <f>IFERROR(__xludf.DUMMYFUNCTION("""COMPUTED_VALUE"""),2.0)</f>
        <v>2</v>
      </c>
      <c r="H262" s="4">
        <f t="shared" si="1"/>
        <v>1</v>
      </c>
      <c r="J262" s="4">
        <f>IFERROR(__xludf.DUMMYFUNCTION("IFS(
ISBETWEEN(D262,F262,G262,TRUE,TRUE),1,
ISBETWEEN(E262,F262,G262,TRUE,TRUE),1,
ISBETWEEN(F262,D262,E262,TRUE,TRUE),1,
ISBETWEEN(G262,D262,E262,TRUE,TRUE),1,
1,0)"),1.0)</f>
        <v>1</v>
      </c>
    </row>
    <row r="263">
      <c r="A263" s="2" t="s">
        <v>263</v>
      </c>
      <c r="B263" s="1" t="str">
        <f>IFERROR(__xludf.DUMMYFUNCTION("SPLIT(A263,"","",)"),"67-72")</f>
        <v>67-72</v>
      </c>
      <c r="C263" s="1" t="str">
        <f>IFERROR(__xludf.DUMMYFUNCTION("""COMPUTED_VALUE"""),"7-73")</f>
        <v>7-73</v>
      </c>
      <c r="D263" s="4">
        <f>IFERROR(__xludf.DUMMYFUNCTION("split(B263,""-"")"),67.0)</f>
        <v>67</v>
      </c>
      <c r="E263" s="4">
        <f>IFERROR(__xludf.DUMMYFUNCTION("""COMPUTED_VALUE"""),72.0)</f>
        <v>72</v>
      </c>
      <c r="F263" s="4">
        <f>IFERROR(__xludf.DUMMYFUNCTION("split(C263,""-"")"),7.0)</f>
        <v>7</v>
      </c>
      <c r="G263" s="4">
        <f>IFERROR(__xludf.DUMMYFUNCTION("""COMPUTED_VALUE"""),73.0)</f>
        <v>73</v>
      </c>
      <c r="H263" s="4">
        <f t="shared" si="1"/>
        <v>1</v>
      </c>
      <c r="J263" s="4">
        <f>IFERROR(__xludf.DUMMYFUNCTION("IFS(
ISBETWEEN(D263,F263,G263,TRUE,TRUE),1,
ISBETWEEN(E263,F263,G263,TRUE,TRUE),1,
ISBETWEEN(F263,D263,E263,TRUE,TRUE),1,
ISBETWEEN(G263,D263,E263,TRUE,TRUE),1,
1,0)"),1.0)</f>
        <v>1</v>
      </c>
    </row>
    <row r="264">
      <c r="A264" s="2" t="s">
        <v>264</v>
      </c>
      <c r="B264" s="1" t="str">
        <f>IFERROR(__xludf.DUMMYFUNCTION("SPLIT(A264,"","",)"),"1-85")</f>
        <v>1-85</v>
      </c>
      <c r="C264" s="1" t="str">
        <f>IFERROR(__xludf.DUMMYFUNCTION("""COMPUTED_VALUE"""),"2-85")</f>
        <v>2-85</v>
      </c>
      <c r="D264" s="4">
        <f>IFERROR(__xludf.DUMMYFUNCTION("split(B264,""-"")"),1.0)</f>
        <v>1</v>
      </c>
      <c r="E264" s="4">
        <f>IFERROR(__xludf.DUMMYFUNCTION("""COMPUTED_VALUE"""),85.0)</f>
        <v>85</v>
      </c>
      <c r="F264" s="4">
        <f>IFERROR(__xludf.DUMMYFUNCTION("split(C264,""-"")"),2.0)</f>
        <v>2</v>
      </c>
      <c r="G264" s="4">
        <f>IFERROR(__xludf.DUMMYFUNCTION("""COMPUTED_VALUE"""),85.0)</f>
        <v>85</v>
      </c>
      <c r="H264" s="4">
        <f t="shared" si="1"/>
        <v>1</v>
      </c>
      <c r="J264" s="4">
        <f>IFERROR(__xludf.DUMMYFUNCTION("IFS(
ISBETWEEN(D264,F264,G264,TRUE,TRUE),1,
ISBETWEEN(E264,F264,G264,TRUE,TRUE),1,
ISBETWEEN(F264,D264,E264,TRUE,TRUE),1,
ISBETWEEN(G264,D264,E264,TRUE,TRUE),1,
1,0)"),1.0)</f>
        <v>1</v>
      </c>
    </row>
    <row r="265">
      <c r="A265" s="2" t="s">
        <v>265</v>
      </c>
      <c r="B265" s="1" t="str">
        <f>IFERROR(__xludf.DUMMYFUNCTION("SPLIT(A265,"","",)"),"25-80")</f>
        <v>25-80</v>
      </c>
      <c r="C265" s="1" t="str">
        <f>IFERROR(__xludf.DUMMYFUNCTION("""COMPUTED_VALUE"""),"71-79")</f>
        <v>71-79</v>
      </c>
      <c r="D265" s="4">
        <f>IFERROR(__xludf.DUMMYFUNCTION("split(B265,""-"")"),25.0)</f>
        <v>25</v>
      </c>
      <c r="E265" s="4">
        <f>IFERROR(__xludf.DUMMYFUNCTION("""COMPUTED_VALUE"""),80.0)</f>
        <v>80</v>
      </c>
      <c r="F265" s="4">
        <f>IFERROR(__xludf.DUMMYFUNCTION("split(C265,""-"")"),71.0)</f>
        <v>71</v>
      </c>
      <c r="G265" s="4">
        <f>IFERROR(__xludf.DUMMYFUNCTION("""COMPUTED_VALUE"""),79.0)</f>
        <v>79</v>
      </c>
      <c r="H265" s="4">
        <f t="shared" si="1"/>
        <v>1</v>
      </c>
      <c r="J265" s="4">
        <f>IFERROR(__xludf.DUMMYFUNCTION("IFS(
ISBETWEEN(D265,F265,G265,TRUE,TRUE),1,
ISBETWEEN(E265,F265,G265,TRUE,TRUE),1,
ISBETWEEN(F265,D265,E265,TRUE,TRUE),1,
ISBETWEEN(G265,D265,E265,TRUE,TRUE),1,
1,0)"),1.0)</f>
        <v>1</v>
      </c>
    </row>
    <row r="266">
      <c r="A266" s="2" t="s">
        <v>266</v>
      </c>
      <c r="B266" s="1" t="str">
        <f>IFERROR(__xludf.DUMMYFUNCTION("SPLIT(A266,"","",)"),"2-91")</f>
        <v>2-91</v>
      </c>
      <c r="C266" s="1" t="str">
        <f>IFERROR(__xludf.DUMMYFUNCTION("""COMPUTED_VALUE"""),"47-91")</f>
        <v>47-91</v>
      </c>
      <c r="D266" s="4">
        <f>IFERROR(__xludf.DUMMYFUNCTION("split(B266,""-"")"),2.0)</f>
        <v>2</v>
      </c>
      <c r="E266" s="4">
        <f>IFERROR(__xludf.DUMMYFUNCTION("""COMPUTED_VALUE"""),91.0)</f>
        <v>91</v>
      </c>
      <c r="F266" s="4">
        <f>IFERROR(__xludf.DUMMYFUNCTION("split(C266,""-"")"),47.0)</f>
        <v>47</v>
      </c>
      <c r="G266" s="4">
        <f>IFERROR(__xludf.DUMMYFUNCTION("""COMPUTED_VALUE"""),91.0)</f>
        <v>91</v>
      </c>
      <c r="H266" s="4">
        <f t="shared" si="1"/>
        <v>1</v>
      </c>
      <c r="J266" s="4">
        <f>IFERROR(__xludf.DUMMYFUNCTION("IFS(
ISBETWEEN(D266,F266,G266,TRUE,TRUE),1,
ISBETWEEN(E266,F266,G266,TRUE,TRUE),1,
ISBETWEEN(F266,D266,E266,TRUE,TRUE),1,
ISBETWEEN(G266,D266,E266,TRUE,TRUE),1,
1,0)"),1.0)</f>
        <v>1</v>
      </c>
    </row>
    <row r="267">
      <c r="A267" s="2" t="s">
        <v>267</v>
      </c>
      <c r="B267" s="1" t="str">
        <f>IFERROR(__xludf.DUMMYFUNCTION("SPLIT(A267,"","",)"),"40-84")</f>
        <v>40-84</v>
      </c>
      <c r="C267" s="1" t="str">
        <f>IFERROR(__xludf.DUMMYFUNCTION("""COMPUTED_VALUE"""),"26-84")</f>
        <v>26-84</v>
      </c>
      <c r="D267" s="4">
        <f>IFERROR(__xludf.DUMMYFUNCTION("split(B267,""-"")"),40.0)</f>
        <v>40</v>
      </c>
      <c r="E267" s="4">
        <f>IFERROR(__xludf.DUMMYFUNCTION("""COMPUTED_VALUE"""),84.0)</f>
        <v>84</v>
      </c>
      <c r="F267" s="4">
        <f>IFERROR(__xludf.DUMMYFUNCTION("split(C267,""-"")"),26.0)</f>
        <v>26</v>
      </c>
      <c r="G267" s="4">
        <f>IFERROR(__xludf.DUMMYFUNCTION("""COMPUTED_VALUE"""),84.0)</f>
        <v>84</v>
      </c>
      <c r="H267" s="4">
        <f t="shared" si="1"/>
        <v>1</v>
      </c>
      <c r="J267" s="4">
        <f>IFERROR(__xludf.DUMMYFUNCTION("IFS(
ISBETWEEN(D267,F267,G267,TRUE,TRUE),1,
ISBETWEEN(E267,F267,G267,TRUE,TRUE),1,
ISBETWEEN(F267,D267,E267,TRUE,TRUE),1,
ISBETWEEN(G267,D267,E267,TRUE,TRUE),1,
1,0)"),1.0)</f>
        <v>1</v>
      </c>
    </row>
    <row r="268">
      <c r="A268" s="2" t="s">
        <v>268</v>
      </c>
      <c r="B268" s="1" t="str">
        <f>IFERROR(__xludf.DUMMYFUNCTION("SPLIT(A268,"","",)"),"32-93")</f>
        <v>32-93</v>
      </c>
      <c r="C268" s="1" t="str">
        <f>IFERROR(__xludf.DUMMYFUNCTION("""COMPUTED_VALUE"""),"31-32")</f>
        <v>31-32</v>
      </c>
      <c r="D268" s="4">
        <f>IFERROR(__xludf.DUMMYFUNCTION("split(B268,""-"")"),32.0)</f>
        <v>32</v>
      </c>
      <c r="E268" s="4">
        <f>IFERROR(__xludf.DUMMYFUNCTION("""COMPUTED_VALUE"""),93.0)</f>
        <v>93</v>
      </c>
      <c r="F268" s="4">
        <f>IFERROR(__xludf.DUMMYFUNCTION("split(C268,""-"")"),31.0)</f>
        <v>31</v>
      </c>
      <c r="G268" s="4">
        <f>IFERROR(__xludf.DUMMYFUNCTION("""COMPUTED_VALUE"""),32.0)</f>
        <v>32</v>
      </c>
      <c r="H268" s="4">
        <f t="shared" si="1"/>
        <v>0</v>
      </c>
      <c r="J268" s="4">
        <f>IFERROR(__xludf.DUMMYFUNCTION("IFS(
ISBETWEEN(D268,F268,G268,TRUE,TRUE),1,
ISBETWEEN(E268,F268,G268,TRUE,TRUE),1,
ISBETWEEN(F268,D268,E268,TRUE,TRUE),1,
ISBETWEEN(G268,D268,E268,TRUE,TRUE),1,
1,0)"),1.0)</f>
        <v>1</v>
      </c>
    </row>
    <row r="269">
      <c r="A269" s="2" t="s">
        <v>269</v>
      </c>
      <c r="B269" s="1" t="str">
        <f>IFERROR(__xludf.DUMMYFUNCTION("SPLIT(A269,"","",)"),"37-96")</f>
        <v>37-96</v>
      </c>
      <c r="C269" s="1" t="str">
        <f>IFERROR(__xludf.DUMMYFUNCTION("""COMPUTED_VALUE"""),"6-85")</f>
        <v>6-85</v>
      </c>
      <c r="D269" s="4">
        <f>IFERROR(__xludf.DUMMYFUNCTION("split(B269,""-"")"),37.0)</f>
        <v>37</v>
      </c>
      <c r="E269" s="4">
        <f>IFERROR(__xludf.DUMMYFUNCTION("""COMPUTED_VALUE"""),96.0)</f>
        <v>96</v>
      </c>
      <c r="F269" s="4">
        <f>IFERROR(__xludf.DUMMYFUNCTION("split(C269,""-"")"),6.0)</f>
        <v>6</v>
      </c>
      <c r="G269" s="4">
        <f>IFERROR(__xludf.DUMMYFUNCTION("""COMPUTED_VALUE"""),85.0)</f>
        <v>85</v>
      </c>
      <c r="H269" s="4">
        <f t="shared" si="1"/>
        <v>0</v>
      </c>
      <c r="J269" s="4">
        <f>IFERROR(__xludf.DUMMYFUNCTION("IFS(
ISBETWEEN(D269,F269,G269,TRUE,TRUE),1,
ISBETWEEN(E269,F269,G269,TRUE,TRUE),1,
ISBETWEEN(F269,D269,E269,TRUE,TRUE),1,
ISBETWEEN(G269,D269,E269,TRUE,TRUE),1,
1,0)"),1.0)</f>
        <v>1</v>
      </c>
    </row>
    <row r="270">
      <c r="A270" s="2" t="s">
        <v>270</v>
      </c>
      <c r="B270" s="1" t="str">
        <f>IFERROR(__xludf.DUMMYFUNCTION("SPLIT(A270,"","",)"),"52-94")</f>
        <v>52-94</v>
      </c>
      <c r="C270" s="1" t="str">
        <f>IFERROR(__xludf.DUMMYFUNCTION("""COMPUTED_VALUE"""),"51-95")</f>
        <v>51-95</v>
      </c>
      <c r="D270" s="4">
        <f>IFERROR(__xludf.DUMMYFUNCTION("split(B270,""-"")"),52.0)</f>
        <v>52</v>
      </c>
      <c r="E270" s="4">
        <f>IFERROR(__xludf.DUMMYFUNCTION("""COMPUTED_VALUE"""),94.0)</f>
        <v>94</v>
      </c>
      <c r="F270" s="4">
        <f>IFERROR(__xludf.DUMMYFUNCTION("split(C270,""-"")"),51.0)</f>
        <v>51</v>
      </c>
      <c r="G270" s="4">
        <f>IFERROR(__xludf.DUMMYFUNCTION("""COMPUTED_VALUE"""),95.0)</f>
        <v>95</v>
      </c>
      <c r="H270" s="4">
        <f t="shared" si="1"/>
        <v>1</v>
      </c>
      <c r="J270" s="4">
        <f>IFERROR(__xludf.DUMMYFUNCTION("IFS(
ISBETWEEN(D270,F270,G270,TRUE,TRUE),1,
ISBETWEEN(E270,F270,G270,TRUE,TRUE),1,
ISBETWEEN(F270,D270,E270,TRUE,TRUE),1,
ISBETWEEN(G270,D270,E270,TRUE,TRUE),1,
1,0)"),1.0)</f>
        <v>1</v>
      </c>
    </row>
    <row r="271">
      <c r="A271" s="2" t="s">
        <v>271</v>
      </c>
      <c r="B271" s="1" t="str">
        <f>IFERROR(__xludf.DUMMYFUNCTION("SPLIT(A271,"","",)"),"23-94")</f>
        <v>23-94</v>
      </c>
      <c r="C271" s="1" t="str">
        <f>IFERROR(__xludf.DUMMYFUNCTION("""COMPUTED_VALUE"""),"22-96")</f>
        <v>22-96</v>
      </c>
      <c r="D271" s="4">
        <f>IFERROR(__xludf.DUMMYFUNCTION("split(B271,""-"")"),23.0)</f>
        <v>23</v>
      </c>
      <c r="E271" s="4">
        <f>IFERROR(__xludf.DUMMYFUNCTION("""COMPUTED_VALUE"""),94.0)</f>
        <v>94</v>
      </c>
      <c r="F271" s="4">
        <f>IFERROR(__xludf.DUMMYFUNCTION("split(C271,""-"")"),22.0)</f>
        <v>22</v>
      </c>
      <c r="G271" s="4">
        <f>IFERROR(__xludf.DUMMYFUNCTION("""COMPUTED_VALUE"""),96.0)</f>
        <v>96</v>
      </c>
      <c r="H271" s="4">
        <f t="shared" si="1"/>
        <v>1</v>
      </c>
      <c r="J271" s="4">
        <f>IFERROR(__xludf.DUMMYFUNCTION("IFS(
ISBETWEEN(D271,F271,G271,TRUE,TRUE),1,
ISBETWEEN(E271,F271,G271,TRUE,TRUE),1,
ISBETWEEN(F271,D271,E271,TRUE,TRUE),1,
ISBETWEEN(G271,D271,E271,TRUE,TRUE),1,
1,0)"),1.0)</f>
        <v>1</v>
      </c>
    </row>
    <row r="272">
      <c r="A272" s="2" t="s">
        <v>272</v>
      </c>
      <c r="B272" s="1" t="str">
        <f>IFERROR(__xludf.DUMMYFUNCTION("SPLIT(A272,"","",)"),"41-41")</f>
        <v>41-41</v>
      </c>
      <c r="C272" s="1" t="str">
        <f>IFERROR(__xludf.DUMMYFUNCTION("""COMPUTED_VALUE"""),"7-42")</f>
        <v>7-42</v>
      </c>
      <c r="D272" s="4">
        <f>IFERROR(__xludf.DUMMYFUNCTION("split(B272,""-"")"),41.0)</f>
        <v>41</v>
      </c>
      <c r="E272" s="4">
        <f>IFERROR(__xludf.DUMMYFUNCTION("""COMPUTED_VALUE"""),41.0)</f>
        <v>41</v>
      </c>
      <c r="F272" s="4">
        <f>IFERROR(__xludf.DUMMYFUNCTION("split(C272,""-"")"),7.0)</f>
        <v>7</v>
      </c>
      <c r="G272" s="4">
        <f>IFERROR(__xludf.DUMMYFUNCTION("""COMPUTED_VALUE"""),42.0)</f>
        <v>42</v>
      </c>
      <c r="H272" s="4">
        <f t="shared" si="1"/>
        <v>1</v>
      </c>
      <c r="J272" s="4">
        <f>IFERROR(__xludf.DUMMYFUNCTION("IFS(
ISBETWEEN(D272,F272,G272,TRUE,TRUE),1,
ISBETWEEN(E272,F272,G272,TRUE,TRUE),1,
ISBETWEEN(F272,D272,E272,TRUE,TRUE),1,
ISBETWEEN(G272,D272,E272,TRUE,TRUE),1,
1,0)"),1.0)</f>
        <v>1</v>
      </c>
    </row>
    <row r="273">
      <c r="A273" s="2" t="s">
        <v>273</v>
      </c>
      <c r="B273" s="1" t="str">
        <f>IFERROR(__xludf.DUMMYFUNCTION("SPLIT(A273,"","",)"),"51-83")</f>
        <v>51-83</v>
      </c>
      <c r="C273" s="1" t="str">
        <f>IFERROR(__xludf.DUMMYFUNCTION("""COMPUTED_VALUE"""),"50-83")</f>
        <v>50-83</v>
      </c>
      <c r="D273" s="4">
        <f>IFERROR(__xludf.DUMMYFUNCTION("split(B273,""-"")"),51.0)</f>
        <v>51</v>
      </c>
      <c r="E273" s="4">
        <f>IFERROR(__xludf.DUMMYFUNCTION("""COMPUTED_VALUE"""),83.0)</f>
        <v>83</v>
      </c>
      <c r="F273" s="4">
        <f>IFERROR(__xludf.DUMMYFUNCTION("split(C273,""-"")"),50.0)</f>
        <v>50</v>
      </c>
      <c r="G273" s="4">
        <f>IFERROR(__xludf.DUMMYFUNCTION("""COMPUTED_VALUE"""),83.0)</f>
        <v>83</v>
      </c>
      <c r="H273" s="4">
        <f t="shared" si="1"/>
        <v>1</v>
      </c>
      <c r="J273" s="4">
        <f>IFERROR(__xludf.DUMMYFUNCTION("IFS(
ISBETWEEN(D273,F273,G273,TRUE,TRUE),1,
ISBETWEEN(E273,F273,G273,TRUE,TRUE),1,
ISBETWEEN(F273,D273,E273,TRUE,TRUE),1,
ISBETWEEN(G273,D273,E273,TRUE,TRUE),1,
1,0)"),1.0)</f>
        <v>1</v>
      </c>
    </row>
    <row r="274">
      <c r="A274" s="2" t="s">
        <v>274</v>
      </c>
      <c r="B274" s="1" t="str">
        <f>IFERROR(__xludf.DUMMYFUNCTION("SPLIT(A274,"","",)"),"12-94")</f>
        <v>12-94</v>
      </c>
      <c r="C274" s="1" t="str">
        <f>IFERROR(__xludf.DUMMYFUNCTION("""COMPUTED_VALUE"""),"93-93")</f>
        <v>93-93</v>
      </c>
      <c r="D274" s="4">
        <f>IFERROR(__xludf.DUMMYFUNCTION("split(B274,""-"")"),12.0)</f>
        <v>12</v>
      </c>
      <c r="E274" s="4">
        <f>IFERROR(__xludf.DUMMYFUNCTION("""COMPUTED_VALUE"""),94.0)</f>
        <v>94</v>
      </c>
      <c r="F274" s="4">
        <f>IFERROR(__xludf.DUMMYFUNCTION("split(C274,""-"")"),93.0)</f>
        <v>93</v>
      </c>
      <c r="G274" s="4">
        <f>IFERROR(__xludf.DUMMYFUNCTION("""COMPUTED_VALUE"""),93.0)</f>
        <v>93</v>
      </c>
      <c r="H274" s="4">
        <f t="shared" si="1"/>
        <v>1</v>
      </c>
      <c r="J274" s="4">
        <f>IFERROR(__xludf.DUMMYFUNCTION("IFS(
ISBETWEEN(D274,F274,G274,TRUE,TRUE),1,
ISBETWEEN(E274,F274,G274,TRUE,TRUE),1,
ISBETWEEN(F274,D274,E274,TRUE,TRUE),1,
ISBETWEEN(G274,D274,E274,TRUE,TRUE),1,
1,0)"),1.0)</f>
        <v>1</v>
      </c>
    </row>
    <row r="275">
      <c r="A275" s="2" t="s">
        <v>275</v>
      </c>
      <c r="B275" s="1" t="str">
        <f>IFERROR(__xludf.DUMMYFUNCTION("SPLIT(A275,"","",)"),"28-29")</f>
        <v>28-29</v>
      </c>
      <c r="C275" s="1" t="str">
        <f>IFERROR(__xludf.DUMMYFUNCTION("""COMPUTED_VALUE"""),"29-98")</f>
        <v>29-98</v>
      </c>
      <c r="D275" s="4">
        <f>IFERROR(__xludf.DUMMYFUNCTION("split(B275,""-"")"),28.0)</f>
        <v>28</v>
      </c>
      <c r="E275" s="4">
        <f>IFERROR(__xludf.DUMMYFUNCTION("""COMPUTED_VALUE"""),29.0)</f>
        <v>29</v>
      </c>
      <c r="F275" s="4">
        <f>IFERROR(__xludf.DUMMYFUNCTION("split(C275,""-"")"),29.0)</f>
        <v>29</v>
      </c>
      <c r="G275" s="4">
        <f>IFERROR(__xludf.DUMMYFUNCTION("""COMPUTED_VALUE"""),98.0)</f>
        <v>98</v>
      </c>
      <c r="H275" s="4">
        <f t="shared" si="1"/>
        <v>0</v>
      </c>
      <c r="J275" s="4">
        <f>IFERROR(__xludf.DUMMYFUNCTION("IFS(
ISBETWEEN(D275,F275,G275,TRUE,TRUE),1,
ISBETWEEN(E275,F275,G275,TRUE,TRUE),1,
ISBETWEEN(F275,D275,E275,TRUE,TRUE),1,
ISBETWEEN(G275,D275,E275,TRUE,TRUE),1,
1,0)"),1.0)</f>
        <v>1</v>
      </c>
    </row>
    <row r="276">
      <c r="A276" s="2" t="s">
        <v>276</v>
      </c>
      <c r="B276" s="1" t="str">
        <f>IFERROR(__xludf.DUMMYFUNCTION("SPLIT(A276,"","",)"),"14-22")</f>
        <v>14-22</v>
      </c>
      <c r="C276" s="1" t="str">
        <f>IFERROR(__xludf.DUMMYFUNCTION("""COMPUTED_VALUE"""),"12-24")</f>
        <v>12-24</v>
      </c>
      <c r="D276" s="4">
        <f>IFERROR(__xludf.DUMMYFUNCTION("split(B276,""-"")"),14.0)</f>
        <v>14</v>
      </c>
      <c r="E276" s="4">
        <f>IFERROR(__xludf.DUMMYFUNCTION("""COMPUTED_VALUE"""),22.0)</f>
        <v>22</v>
      </c>
      <c r="F276" s="4">
        <f>IFERROR(__xludf.DUMMYFUNCTION("split(C276,""-"")"),12.0)</f>
        <v>12</v>
      </c>
      <c r="G276" s="4">
        <f>IFERROR(__xludf.DUMMYFUNCTION("""COMPUTED_VALUE"""),24.0)</f>
        <v>24</v>
      </c>
      <c r="H276" s="4">
        <f t="shared" si="1"/>
        <v>1</v>
      </c>
      <c r="J276" s="4">
        <f>IFERROR(__xludf.DUMMYFUNCTION("IFS(
ISBETWEEN(D276,F276,G276,TRUE,TRUE),1,
ISBETWEEN(E276,F276,G276,TRUE,TRUE),1,
ISBETWEEN(F276,D276,E276,TRUE,TRUE),1,
ISBETWEEN(G276,D276,E276,TRUE,TRUE),1,
1,0)"),1.0)</f>
        <v>1</v>
      </c>
    </row>
    <row r="277">
      <c r="A277" s="2" t="s">
        <v>277</v>
      </c>
      <c r="B277" s="1" t="str">
        <f>IFERROR(__xludf.DUMMYFUNCTION("SPLIT(A277,"","",)"),"6-96")</f>
        <v>6-96</v>
      </c>
      <c r="C277" s="1" t="str">
        <f>IFERROR(__xludf.DUMMYFUNCTION("""COMPUTED_VALUE"""),"95-96")</f>
        <v>95-96</v>
      </c>
      <c r="D277" s="4">
        <f>IFERROR(__xludf.DUMMYFUNCTION("split(B277,""-"")"),6.0)</f>
        <v>6</v>
      </c>
      <c r="E277" s="4">
        <f>IFERROR(__xludf.DUMMYFUNCTION("""COMPUTED_VALUE"""),96.0)</f>
        <v>96</v>
      </c>
      <c r="F277" s="4">
        <f>IFERROR(__xludf.DUMMYFUNCTION("split(C277,""-"")"),95.0)</f>
        <v>95</v>
      </c>
      <c r="G277" s="4">
        <f>IFERROR(__xludf.DUMMYFUNCTION("""COMPUTED_VALUE"""),96.0)</f>
        <v>96</v>
      </c>
      <c r="H277" s="4">
        <f t="shared" si="1"/>
        <v>1</v>
      </c>
      <c r="J277" s="4">
        <f>IFERROR(__xludf.DUMMYFUNCTION("IFS(
ISBETWEEN(D277,F277,G277,TRUE,TRUE),1,
ISBETWEEN(E277,F277,G277,TRUE,TRUE),1,
ISBETWEEN(F277,D277,E277,TRUE,TRUE),1,
ISBETWEEN(G277,D277,E277,TRUE,TRUE),1,
1,0)"),1.0)</f>
        <v>1</v>
      </c>
    </row>
    <row r="278">
      <c r="A278" s="2" t="s">
        <v>278</v>
      </c>
      <c r="B278" s="1" t="str">
        <f>IFERROR(__xludf.DUMMYFUNCTION("SPLIT(A278,"","",)"),"20-20")</f>
        <v>20-20</v>
      </c>
      <c r="C278" s="1" t="str">
        <f>IFERROR(__xludf.DUMMYFUNCTION("""COMPUTED_VALUE"""),"20-92")</f>
        <v>20-92</v>
      </c>
      <c r="D278" s="4">
        <f>IFERROR(__xludf.DUMMYFUNCTION("split(B278,""-"")"),20.0)</f>
        <v>20</v>
      </c>
      <c r="E278" s="4">
        <f>IFERROR(__xludf.DUMMYFUNCTION("""COMPUTED_VALUE"""),20.0)</f>
        <v>20</v>
      </c>
      <c r="F278" s="4">
        <f>IFERROR(__xludf.DUMMYFUNCTION("split(C278,""-"")"),20.0)</f>
        <v>20</v>
      </c>
      <c r="G278" s="4">
        <f>IFERROR(__xludf.DUMMYFUNCTION("""COMPUTED_VALUE"""),92.0)</f>
        <v>92</v>
      </c>
      <c r="H278" s="4">
        <f t="shared" si="1"/>
        <v>1</v>
      </c>
      <c r="J278" s="4">
        <f>IFERROR(__xludf.DUMMYFUNCTION("IFS(
ISBETWEEN(D278,F278,G278,TRUE,TRUE),1,
ISBETWEEN(E278,F278,G278,TRUE,TRUE),1,
ISBETWEEN(F278,D278,E278,TRUE,TRUE),1,
ISBETWEEN(G278,D278,E278,TRUE,TRUE),1,
1,0)"),1.0)</f>
        <v>1</v>
      </c>
    </row>
    <row r="279">
      <c r="A279" s="2" t="s">
        <v>279</v>
      </c>
      <c r="B279" s="1" t="str">
        <f>IFERROR(__xludf.DUMMYFUNCTION("SPLIT(A279,"","",)"),"15-34")</f>
        <v>15-34</v>
      </c>
      <c r="C279" s="1" t="str">
        <f>IFERROR(__xludf.DUMMYFUNCTION("""COMPUTED_VALUE"""),"5-15")</f>
        <v>5-15</v>
      </c>
      <c r="D279" s="4">
        <f>IFERROR(__xludf.DUMMYFUNCTION("split(B279,""-"")"),15.0)</f>
        <v>15</v>
      </c>
      <c r="E279" s="4">
        <f>IFERROR(__xludf.DUMMYFUNCTION("""COMPUTED_VALUE"""),34.0)</f>
        <v>34</v>
      </c>
      <c r="F279" s="4">
        <f>IFERROR(__xludf.DUMMYFUNCTION("split(C279,""-"")"),5.0)</f>
        <v>5</v>
      </c>
      <c r="G279" s="4">
        <f>IFERROR(__xludf.DUMMYFUNCTION("""COMPUTED_VALUE"""),15.0)</f>
        <v>15</v>
      </c>
      <c r="H279" s="4">
        <f t="shared" si="1"/>
        <v>0</v>
      </c>
      <c r="J279" s="4">
        <f>IFERROR(__xludf.DUMMYFUNCTION("IFS(
ISBETWEEN(D279,F279,G279,TRUE,TRUE),1,
ISBETWEEN(E279,F279,G279,TRUE,TRUE),1,
ISBETWEEN(F279,D279,E279,TRUE,TRUE),1,
ISBETWEEN(G279,D279,E279,TRUE,TRUE),1,
1,0)"),1.0)</f>
        <v>1</v>
      </c>
    </row>
    <row r="280">
      <c r="A280" s="2" t="s">
        <v>280</v>
      </c>
      <c r="B280" s="1" t="str">
        <f>IFERROR(__xludf.DUMMYFUNCTION("SPLIT(A280,"","",)"),"15-23")</f>
        <v>15-23</v>
      </c>
      <c r="C280" s="1" t="str">
        <f>IFERROR(__xludf.DUMMYFUNCTION("""COMPUTED_VALUE"""),"14-22")</f>
        <v>14-22</v>
      </c>
      <c r="D280" s="4">
        <f>IFERROR(__xludf.DUMMYFUNCTION("split(B280,""-"")"),15.0)</f>
        <v>15</v>
      </c>
      <c r="E280" s="4">
        <f>IFERROR(__xludf.DUMMYFUNCTION("""COMPUTED_VALUE"""),23.0)</f>
        <v>23</v>
      </c>
      <c r="F280" s="4">
        <f>IFERROR(__xludf.DUMMYFUNCTION("split(C280,""-"")"),14.0)</f>
        <v>14</v>
      </c>
      <c r="G280" s="4">
        <f>IFERROR(__xludf.DUMMYFUNCTION("""COMPUTED_VALUE"""),22.0)</f>
        <v>22</v>
      </c>
      <c r="H280" s="4">
        <f t="shared" si="1"/>
        <v>0</v>
      </c>
      <c r="J280" s="4">
        <f>IFERROR(__xludf.DUMMYFUNCTION("IFS(
ISBETWEEN(D280,F280,G280,TRUE,TRUE),1,
ISBETWEEN(E280,F280,G280,TRUE,TRUE),1,
ISBETWEEN(F280,D280,E280,TRUE,TRUE),1,
ISBETWEEN(G280,D280,E280,TRUE,TRUE),1,
1,0)"),1.0)</f>
        <v>1</v>
      </c>
    </row>
    <row r="281">
      <c r="A281" s="2" t="s">
        <v>281</v>
      </c>
      <c r="B281" s="1" t="str">
        <f>IFERROR(__xludf.DUMMYFUNCTION("SPLIT(A281,"","",)"),"88-90")</f>
        <v>88-90</v>
      </c>
      <c r="C281" s="1" t="str">
        <f>IFERROR(__xludf.DUMMYFUNCTION("""COMPUTED_VALUE"""),"87-94")</f>
        <v>87-94</v>
      </c>
      <c r="D281" s="4">
        <f>IFERROR(__xludf.DUMMYFUNCTION("split(B281,""-"")"),88.0)</f>
        <v>88</v>
      </c>
      <c r="E281" s="4">
        <f>IFERROR(__xludf.DUMMYFUNCTION("""COMPUTED_VALUE"""),90.0)</f>
        <v>90</v>
      </c>
      <c r="F281" s="4">
        <f>IFERROR(__xludf.DUMMYFUNCTION("split(C281,""-"")"),87.0)</f>
        <v>87</v>
      </c>
      <c r="G281" s="4">
        <f>IFERROR(__xludf.DUMMYFUNCTION("""COMPUTED_VALUE"""),94.0)</f>
        <v>94</v>
      </c>
      <c r="H281" s="4">
        <f t="shared" si="1"/>
        <v>1</v>
      </c>
      <c r="J281" s="4">
        <f>IFERROR(__xludf.DUMMYFUNCTION("IFS(
ISBETWEEN(D281,F281,G281,TRUE,TRUE),1,
ISBETWEEN(E281,F281,G281,TRUE,TRUE),1,
ISBETWEEN(F281,D281,E281,TRUE,TRUE),1,
ISBETWEEN(G281,D281,E281,TRUE,TRUE),1,
1,0)"),1.0)</f>
        <v>1</v>
      </c>
    </row>
    <row r="282">
      <c r="A282" s="2" t="s">
        <v>282</v>
      </c>
      <c r="B282" s="1" t="str">
        <f>IFERROR(__xludf.DUMMYFUNCTION("SPLIT(A282,"","",)"),"1-88")</f>
        <v>1-88</v>
      </c>
      <c r="C282" s="1" t="str">
        <f>IFERROR(__xludf.DUMMYFUNCTION("""COMPUTED_VALUE"""),"2-88")</f>
        <v>2-88</v>
      </c>
      <c r="D282" s="4">
        <f>IFERROR(__xludf.DUMMYFUNCTION("split(B282,""-"")"),1.0)</f>
        <v>1</v>
      </c>
      <c r="E282" s="4">
        <f>IFERROR(__xludf.DUMMYFUNCTION("""COMPUTED_VALUE"""),88.0)</f>
        <v>88</v>
      </c>
      <c r="F282" s="4">
        <f>IFERROR(__xludf.DUMMYFUNCTION("split(C282,""-"")"),2.0)</f>
        <v>2</v>
      </c>
      <c r="G282" s="4">
        <f>IFERROR(__xludf.DUMMYFUNCTION("""COMPUTED_VALUE"""),88.0)</f>
        <v>88</v>
      </c>
      <c r="H282" s="4">
        <f t="shared" si="1"/>
        <v>1</v>
      </c>
      <c r="J282" s="4">
        <f>IFERROR(__xludf.DUMMYFUNCTION("IFS(
ISBETWEEN(D282,F282,G282,TRUE,TRUE),1,
ISBETWEEN(E282,F282,G282,TRUE,TRUE),1,
ISBETWEEN(F282,D282,E282,TRUE,TRUE),1,
ISBETWEEN(G282,D282,E282,TRUE,TRUE),1,
1,0)"),1.0)</f>
        <v>1</v>
      </c>
    </row>
    <row r="283">
      <c r="A283" s="2" t="s">
        <v>283</v>
      </c>
      <c r="B283" s="1" t="str">
        <f>IFERROR(__xludf.DUMMYFUNCTION("SPLIT(A283,"","",)"),"38-57")</f>
        <v>38-57</v>
      </c>
      <c r="C283" s="1" t="str">
        <f>IFERROR(__xludf.DUMMYFUNCTION("""COMPUTED_VALUE"""),"15-38")</f>
        <v>15-38</v>
      </c>
      <c r="D283" s="4">
        <f>IFERROR(__xludf.DUMMYFUNCTION("split(B283,""-"")"),38.0)</f>
        <v>38</v>
      </c>
      <c r="E283" s="4">
        <f>IFERROR(__xludf.DUMMYFUNCTION("""COMPUTED_VALUE"""),57.0)</f>
        <v>57</v>
      </c>
      <c r="F283" s="4">
        <f>IFERROR(__xludf.DUMMYFUNCTION("split(C283,""-"")"),15.0)</f>
        <v>15</v>
      </c>
      <c r="G283" s="4">
        <f>IFERROR(__xludf.DUMMYFUNCTION("""COMPUTED_VALUE"""),38.0)</f>
        <v>38</v>
      </c>
      <c r="H283" s="4">
        <f t="shared" si="1"/>
        <v>0</v>
      </c>
      <c r="J283" s="4">
        <f>IFERROR(__xludf.DUMMYFUNCTION("IFS(
ISBETWEEN(D283,F283,G283,TRUE,TRUE),1,
ISBETWEEN(E283,F283,G283,TRUE,TRUE),1,
ISBETWEEN(F283,D283,E283,TRUE,TRUE),1,
ISBETWEEN(G283,D283,E283,TRUE,TRUE),1,
1,0)"),1.0)</f>
        <v>1</v>
      </c>
    </row>
    <row r="284">
      <c r="A284" s="2" t="s">
        <v>284</v>
      </c>
      <c r="B284" s="1" t="str">
        <f>IFERROR(__xludf.DUMMYFUNCTION("SPLIT(A284,"","",)"),"61-77")</f>
        <v>61-77</v>
      </c>
      <c r="C284" s="1" t="str">
        <f>IFERROR(__xludf.DUMMYFUNCTION("""COMPUTED_VALUE"""),"78-86")</f>
        <v>78-86</v>
      </c>
      <c r="D284" s="4">
        <f>IFERROR(__xludf.DUMMYFUNCTION("split(B284,""-"")"),61.0)</f>
        <v>61</v>
      </c>
      <c r="E284" s="4">
        <f>IFERROR(__xludf.DUMMYFUNCTION("""COMPUTED_VALUE"""),77.0)</f>
        <v>77</v>
      </c>
      <c r="F284" s="4">
        <f>IFERROR(__xludf.DUMMYFUNCTION("split(C284,""-"")"),78.0)</f>
        <v>78</v>
      </c>
      <c r="G284" s="4">
        <f>IFERROR(__xludf.DUMMYFUNCTION("""COMPUTED_VALUE"""),86.0)</f>
        <v>86</v>
      </c>
      <c r="H284" s="4">
        <f t="shared" si="1"/>
        <v>0</v>
      </c>
      <c r="J284" s="4">
        <f>IFERROR(__xludf.DUMMYFUNCTION("IFS(
ISBETWEEN(D284,F284,G284,TRUE,TRUE),1,
ISBETWEEN(E284,F284,G284,TRUE,TRUE),1,
ISBETWEEN(F284,D284,E284,TRUE,TRUE),1,
ISBETWEEN(G284,D284,E284,TRUE,TRUE),1,
1,0)"),0.0)</f>
        <v>0</v>
      </c>
    </row>
    <row r="285">
      <c r="A285" s="2" t="s">
        <v>285</v>
      </c>
      <c r="B285" s="1" t="str">
        <f>IFERROR(__xludf.DUMMYFUNCTION("SPLIT(A285,"","",)"),"25-28")</f>
        <v>25-28</v>
      </c>
      <c r="C285" s="1" t="str">
        <f>IFERROR(__xludf.DUMMYFUNCTION("""COMPUTED_VALUE"""),"26-28")</f>
        <v>26-28</v>
      </c>
      <c r="D285" s="4">
        <f>IFERROR(__xludf.DUMMYFUNCTION("split(B285,""-"")"),25.0)</f>
        <v>25</v>
      </c>
      <c r="E285" s="4">
        <f>IFERROR(__xludf.DUMMYFUNCTION("""COMPUTED_VALUE"""),28.0)</f>
        <v>28</v>
      </c>
      <c r="F285" s="4">
        <f>IFERROR(__xludf.DUMMYFUNCTION("split(C285,""-"")"),26.0)</f>
        <v>26</v>
      </c>
      <c r="G285" s="4">
        <f>IFERROR(__xludf.DUMMYFUNCTION("""COMPUTED_VALUE"""),28.0)</f>
        <v>28</v>
      </c>
      <c r="H285" s="4">
        <f t="shared" si="1"/>
        <v>1</v>
      </c>
      <c r="J285" s="4">
        <f>IFERROR(__xludf.DUMMYFUNCTION("IFS(
ISBETWEEN(D285,F285,G285,TRUE,TRUE),1,
ISBETWEEN(E285,F285,G285,TRUE,TRUE),1,
ISBETWEEN(F285,D285,E285,TRUE,TRUE),1,
ISBETWEEN(G285,D285,E285,TRUE,TRUE),1,
1,0)"),1.0)</f>
        <v>1</v>
      </c>
    </row>
    <row r="286">
      <c r="A286" s="2" t="s">
        <v>286</v>
      </c>
      <c r="B286" s="1" t="str">
        <f>IFERROR(__xludf.DUMMYFUNCTION("SPLIT(A286,"","",)"),"63-69")</f>
        <v>63-69</v>
      </c>
      <c r="C286" s="1" t="str">
        <f>IFERROR(__xludf.DUMMYFUNCTION("""COMPUTED_VALUE"""),"65-68")</f>
        <v>65-68</v>
      </c>
      <c r="D286" s="4">
        <f>IFERROR(__xludf.DUMMYFUNCTION("split(B286,""-"")"),63.0)</f>
        <v>63</v>
      </c>
      <c r="E286" s="4">
        <f>IFERROR(__xludf.DUMMYFUNCTION("""COMPUTED_VALUE"""),69.0)</f>
        <v>69</v>
      </c>
      <c r="F286" s="4">
        <f>IFERROR(__xludf.DUMMYFUNCTION("split(C286,""-"")"),65.0)</f>
        <v>65</v>
      </c>
      <c r="G286" s="4">
        <f>IFERROR(__xludf.DUMMYFUNCTION("""COMPUTED_VALUE"""),68.0)</f>
        <v>68</v>
      </c>
      <c r="H286" s="4">
        <f t="shared" si="1"/>
        <v>1</v>
      </c>
      <c r="J286" s="4">
        <f>IFERROR(__xludf.DUMMYFUNCTION("IFS(
ISBETWEEN(D286,F286,G286,TRUE,TRUE),1,
ISBETWEEN(E286,F286,G286,TRUE,TRUE),1,
ISBETWEEN(F286,D286,E286,TRUE,TRUE),1,
ISBETWEEN(G286,D286,E286,TRUE,TRUE),1,
1,0)"),1.0)</f>
        <v>1</v>
      </c>
    </row>
    <row r="287">
      <c r="A287" s="2" t="s">
        <v>287</v>
      </c>
      <c r="B287" s="1" t="str">
        <f>IFERROR(__xludf.DUMMYFUNCTION("SPLIT(A287,"","",)"),"9-46")</f>
        <v>9-46</v>
      </c>
      <c r="C287" s="1" t="str">
        <f>IFERROR(__xludf.DUMMYFUNCTION("""COMPUTED_VALUE"""),"9-45")</f>
        <v>9-45</v>
      </c>
      <c r="D287" s="4">
        <f>IFERROR(__xludf.DUMMYFUNCTION("split(B287,""-"")"),9.0)</f>
        <v>9</v>
      </c>
      <c r="E287" s="4">
        <f>IFERROR(__xludf.DUMMYFUNCTION("""COMPUTED_VALUE"""),46.0)</f>
        <v>46</v>
      </c>
      <c r="F287" s="4">
        <f>IFERROR(__xludf.DUMMYFUNCTION("split(C287,""-"")"),9.0)</f>
        <v>9</v>
      </c>
      <c r="G287" s="4">
        <f>IFERROR(__xludf.DUMMYFUNCTION("""COMPUTED_VALUE"""),45.0)</f>
        <v>45</v>
      </c>
      <c r="H287" s="4">
        <f t="shared" si="1"/>
        <v>1</v>
      </c>
      <c r="J287" s="4">
        <f>IFERROR(__xludf.DUMMYFUNCTION("IFS(
ISBETWEEN(D287,F287,G287,TRUE,TRUE),1,
ISBETWEEN(E287,F287,G287,TRUE,TRUE),1,
ISBETWEEN(F287,D287,E287,TRUE,TRUE),1,
ISBETWEEN(G287,D287,E287,TRUE,TRUE),1,
1,0)"),1.0)</f>
        <v>1</v>
      </c>
    </row>
    <row r="288">
      <c r="A288" s="2" t="s">
        <v>288</v>
      </c>
      <c r="B288" s="1" t="str">
        <f>IFERROR(__xludf.DUMMYFUNCTION("SPLIT(A288,"","",)"),"2-33")</f>
        <v>2-33</v>
      </c>
      <c r="C288" s="1" t="str">
        <f>IFERROR(__xludf.DUMMYFUNCTION("""COMPUTED_VALUE"""),"1-82")</f>
        <v>1-82</v>
      </c>
      <c r="D288" s="4">
        <f>IFERROR(__xludf.DUMMYFUNCTION("split(B288,""-"")"),2.0)</f>
        <v>2</v>
      </c>
      <c r="E288" s="4">
        <f>IFERROR(__xludf.DUMMYFUNCTION("""COMPUTED_VALUE"""),33.0)</f>
        <v>33</v>
      </c>
      <c r="F288" s="4">
        <f>IFERROR(__xludf.DUMMYFUNCTION("split(C288,""-"")"),1.0)</f>
        <v>1</v>
      </c>
      <c r="G288" s="4">
        <f>IFERROR(__xludf.DUMMYFUNCTION("""COMPUTED_VALUE"""),82.0)</f>
        <v>82</v>
      </c>
      <c r="H288" s="4">
        <f t="shared" si="1"/>
        <v>1</v>
      </c>
      <c r="J288" s="4">
        <f>IFERROR(__xludf.DUMMYFUNCTION("IFS(
ISBETWEEN(D288,F288,G288,TRUE,TRUE),1,
ISBETWEEN(E288,F288,G288,TRUE,TRUE),1,
ISBETWEEN(F288,D288,E288,TRUE,TRUE),1,
ISBETWEEN(G288,D288,E288,TRUE,TRUE),1,
1,0)"),1.0)</f>
        <v>1</v>
      </c>
    </row>
    <row r="289">
      <c r="A289" s="2" t="s">
        <v>289</v>
      </c>
      <c r="B289" s="1" t="str">
        <f>IFERROR(__xludf.DUMMYFUNCTION("SPLIT(A289,"","",)"),"15-38")</f>
        <v>15-38</v>
      </c>
      <c r="C289" s="1" t="str">
        <f>IFERROR(__xludf.DUMMYFUNCTION("""COMPUTED_VALUE"""),"4-16")</f>
        <v>4-16</v>
      </c>
      <c r="D289" s="4">
        <f>IFERROR(__xludf.DUMMYFUNCTION("split(B289,""-"")"),15.0)</f>
        <v>15</v>
      </c>
      <c r="E289" s="4">
        <f>IFERROR(__xludf.DUMMYFUNCTION("""COMPUTED_VALUE"""),38.0)</f>
        <v>38</v>
      </c>
      <c r="F289" s="4">
        <f>IFERROR(__xludf.DUMMYFUNCTION("split(C289,""-"")"),4.0)</f>
        <v>4</v>
      </c>
      <c r="G289" s="4">
        <f>IFERROR(__xludf.DUMMYFUNCTION("""COMPUTED_VALUE"""),16.0)</f>
        <v>16</v>
      </c>
      <c r="H289" s="4">
        <f t="shared" si="1"/>
        <v>0</v>
      </c>
      <c r="J289" s="4">
        <f>IFERROR(__xludf.DUMMYFUNCTION("IFS(
ISBETWEEN(D289,F289,G289,TRUE,TRUE),1,
ISBETWEEN(E289,F289,G289,TRUE,TRUE),1,
ISBETWEEN(F289,D289,E289,TRUE,TRUE),1,
ISBETWEEN(G289,D289,E289,TRUE,TRUE),1,
1,0)"),1.0)</f>
        <v>1</v>
      </c>
    </row>
    <row r="290">
      <c r="A290" s="2" t="s">
        <v>290</v>
      </c>
      <c r="B290" s="1" t="str">
        <f>IFERROR(__xludf.DUMMYFUNCTION("SPLIT(A290,"","",)"),"10-95")</f>
        <v>10-95</v>
      </c>
      <c r="C290" s="1" t="str">
        <f>IFERROR(__xludf.DUMMYFUNCTION("""COMPUTED_VALUE"""),"94-94")</f>
        <v>94-94</v>
      </c>
      <c r="D290" s="4">
        <f>IFERROR(__xludf.DUMMYFUNCTION("split(B290,""-"")"),10.0)</f>
        <v>10</v>
      </c>
      <c r="E290" s="4">
        <f>IFERROR(__xludf.DUMMYFUNCTION("""COMPUTED_VALUE"""),95.0)</f>
        <v>95</v>
      </c>
      <c r="F290" s="4">
        <f>IFERROR(__xludf.DUMMYFUNCTION("split(C290,""-"")"),94.0)</f>
        <v>94</v>
      </c>
      <c r="G290" s="4">
        <f>IFERROR(__xludf.DUMMYFUNCTION("""COMPUTED_VALUE"""),94.0)</f>
        <v>94</v>
      </c>
      <c r="H290" s="4">
        <f t="shared" si="1"/>
        <v>1</v>
      </c>
      <c r="J290" s="4">
        <f>IFERROR(__xludf.DUMMYFUNCTION("IFS(
ISBETWEEN(D290,F290,G290,TRUE,TRUE),1,
ISBETWEEN(E290,F290,G290,TRUE,TRUE),1,
ISBETWEEN(F290,D290,E290,TRUE,TRUE),1,
ISBETWEEN(G290,D290,E290,TRUE,TRUE),1,
1,0)"),1.0)</f>
        <v>1</v>
      </c>
    </row>
    <row r="291">
      <c r="A291" s="2" t="s">
        <v>291</v>
      </c>
      <c r="B291" s="1" t="str">
        <f>IFERROR(__xludf.DUMMYFUNCTION("SPLIT(A291,"","",)"),"2-85")</f>
        <v>2-85</v>
      </c>
      <c r="C291" s="1" t="str">
        <f>IFERROR(__xludf.DUMMYFUNCTION("""COMPUTED_VALUE"""),"1-86")</f>
        <v>1-86</v>
      </c>
      <c r="D291" s="4">
        <f>IFERROR(__xludf.DUMMYFUNCTION("split(B291,""-"")"),2.0)</f>
        <v>2</v>
      </c>
      <c r="E291" s="4">
        <f>IFERROR(__xludf.DUMMYFUNCTION("""COMPUTED_VALUE"""),85.0)</f>
        <v>85</v>
      </c>
      <c r="F291" s="4">
        <f>IFERROR(__xludf.DUMMYFUNCTION("split(C291,""-"")"),1.0)</f>
        <v>1</v>
      </c>
      <c r="G291" s="4">
        <f>IFERROR(__xludf.DUMMYFUNCTION("""COMPUTED_VALUE"""),86.0)</f>
        <v>86</v>
      </c>
      <c r="H291" s="4">
        <f t="shared" si="1"/>
        <v>1</v>
      </c>
      <c r="J291" s="4">
        <f>IFERROR(__xludf.DUMMYFUNCTION("IFS(
ISBETWEEN(D291,F291,G291,TRUE,TRUE),1,
ISBETWEEN(E291,F291,G291,TRUE,TRUE),1,
ISBETWEEN(F291,D291,E291,TRUE,TRUE),1,
ISBETWEEN(G291,D291,E291,TRUE,TRUE),1,
1,0)"),1.0)</f>
        <v>1</v>
      </c>
    </row>
    <row r="292">
      <c r="A292" s="2" t="s">
        <v>292</v>
      </c>
      <c r="B292" s="1" t="str">
        <f>IFERROR(__xludf.DUMMYFUNCTION("SPLIT(A292,"","",)"),"68-68")</f>
        <v>68-68</v>
      </c>
      <c r="C292" s="1" t="str">
        <f>IFERROR(__xludf.DUMMYFUNCTION("""COMPUTED_VALUE"""),"74-74")</f>
        <v>74-74</v>
      </c>
      <c r="D292" s="4">
        <f>IFERROR(__xludf.DUMMYFUNCTION("split(B292,""-"")"),68.0)</f>
        <v>68</v>
      </c>
      <c r="E292" s="4">
        <f>IFERROR(__xludf.DUMMYFUNCTION("""COMPUTED_VALUE"""),68.0)</f>
        <v>68</v>
      </c>
      <c r="F292" s="4">
        <f>IFERROR(__xludf.DUMMYFUNCTION("split(C292,""-"")"),74.0)</f>
        <v>74</v>
      </c>
      <c r="G292" s="4">
        <f>IFERROR(__xludf.DUMMYFUNCTION("""COMPUTED_VALUE"""),74.0)</f>
        <v>74</v>
      </c>
      <c r="H292" s="4">
        <f t="shared" si="1"/>
        <v>0</v>
      </c>
      <c r="J292" s="4">
        <f>IFERROR(__xludf.DUMMYFUNCTION("IFS(
ISBETWEEN(D292,F292,G292,TRUE,TRUE),1,
ISBETWEEN(E292,F292,G292,TRUE,TRUE),1,
ISBETWEEN(F292,D292,E292,TRUE,TRUE),1,
ISBETWEEN(G292,D292,E292,TRUE,TRUE),1,
1,0)"),0.0)</f>
        <v>0</v>
      </c>
    </row>
    <row r="293">
      <c r="A293" s="2" t="s">
        <v>293</v>
      </c>
      <c r="B293" s="1" t="str">
        <f>IFERROR(__xludf.DUMMYFUNCTION("SPLIT(A293,"","",)"),"79-86")</f>
        <v>79-86</v>
      </c>
      <c r="C293" s="1" t="str">
        <f>IFERROR(__xludf.DUMMYFUNCTION("""COMPUTED_VALUE"""),"78-87")</f>
        <v>78-87</v>
      </c>
      <c r="D293" s="4">
        <f>IFERROR(__xludf.DUMMYFUNCTION("split(B293,""-"")"),79.0)</f>
        <v>79</v>
      </c>
      <c r="E293" s="4">
        <f>IFERROR(__xludf.DUMMYFUNCTION("""COMPUTED_VALUE"""),86.0)</f>
        <v>86</v>
      </c>
      <c r="F293" s="4">
        <f>IFERROR(__xludf.DUMMYFUNCTION("split(C293,""-"")"),78.0)</f>
        <v>78</v>
      </c>
      <c r="G293" s="4">
        <f>IFERROR(__xludf.DUMMYFUNCTION("""COMPUTED_VALUE"""),87.0)</f>
        <v>87</v>
      </c>
      <c r="H293" s="4">
        <f t="shared" si="1"/>
        <v>1</v>
      </c>
      <c r="J293" s="4">
        <f>IFERROR(__xludf.DUMMYFUNCTION("IFS(
ISBETWEEN(D293,F293,G293,TRUE,TRUE),1,
ISBETWEEN(E293,F293,G293,TRUE,TRUE),1,
ISBETWEEN(F293,D293,E293,TRUE,TRUE),1,
ISBETWEEN(G293,D293,E293,TRUE,TRUE),1,
1,0)"),1.0)</f>
        <v>1</v>
      </c>
    </row>
    <row r="294">
      <c r="A294" s="2" t="s">
        <v>294</v>
      </c>
      <c r="B294" s="1" t="str">
        <f>IFERROR(__xludf.DUMMYFUNCTION("SPLIT(A294,"","",)"),"9-99")</f>
        <v>9-99</v>
      </c>
      <c r="C294" s="1" t="str">
        <f>IFERROR(__xludf.DUMMYFUNCTION("""COMPUTED_VALUE"""),"7-59")</f>
        <v>7-59</v>
      </c>
      <c r="D294" s="4">
        <f>IFERROR(__xludf.DUMMYFUNCTION("split(B294,""-"")"),9.0)</f>
        <v>9</v>
      </c>
      <c r="E294" s="4">
        <f>IFERROR(__xludf.DUMMYFUNCTION("""COMPUTED_VALUE"""),99.0)</f>
        <v>99</v>
      </c>
      <c r="F294" s="4">
        <f>IFERROR(__xludf.DUMMYFUNCTION("split(C294,""-"")"),7.0)</f>
        <v>7</v>
      </c>
      <c r="G294" s="4">
        <f>IFERROR(__xludf.DUMMYFUNCTION("""COMPUTED_VALUE"""),59.0)</f>
        <v>59</v>
      </c>
      <c r="H294" s="4">
        <f t="shared" si="1"/>
        <v>0</v>
      </c>
      <c r="J294" s="4">
        <f>IFERROR(__xludf.DUMMYFUNCTION("IFS(
ISBETWEEN(D294,F294,G294,TRUE,TRUE),1,
ISBETWEEN(E294,F294,G294,TRUE,TRUE),1,
ISBETWEEN(F294,D294,E294,TRUE,TRUE),1,
ISBETWEEN(G294,D294,E294,TRUE,TRUE),1,
1,0)"),1.0)</f>
        <v>1</v>
      </c>
    </row>
    <row r="295">
      <c r="A295" s="2" t="s">
        <v>224</v>
      </c>
      <c r="B295" s="1" t="str">
        <f>IFERROR(__xludf.DUMMYFUNCTION("SPLIT(A295,"","",)"),"16-50")</f>
        <v>16-50</v>
      </c>
      <c r="C295" s="1" t="str">
        <f>IFERROR(__xludf.DUMMYFUNCTION("""COMPUTED_VALUE"""),"15-17")</f>
        <v>15-17</v>
      </c>
      <c r="D295" s="4">
        <f>IFERROR(__xludf.DUMMYFUNCTION("split(B295,""-"")"),16.0)</f>
        <v>16</v>
      </c>
      <c r="E295" s="4">
        <f>IFERROR(__xludf.DUMMYFUNCTION("""COMPUTED_VALUE"""),50.0)</f>
        <v>50</v>
      </c>
      <c r="F295" s="4">
        <f>IFERROR(__xludf.DUMMYFUNCTION("split(C295,""-"")"),15.0)</f>
        <v>15</v>
      </c>
      <c r="G295" s="4">
        <f>IFERROR(__xludf.DUMMYFUNCTION("""COMPUTED_VALUE"""),17.0)</f>
        <v>17</v>
      </c>
      <c r="H295" s="4">
        <f t="shared" si="1"/>
        <v>0</v>
      </c>
      <c r="J295" s="4">
        <f>IFERROR(__xludf.DUMMYFUNCTION("IFS(
ISBETWEEN(D295,F295,G295,TRUE,TRUE),1,
ISBETWEEN(E295,F295,G295,TRUE,TRUE),1,
ISBETWEEN(F295,D295,E295,TRUE,TRUE),1,
ISBETWEEN(G295,D295,E295,TRUE,TRUE),1,
1,0)"),1.0)</f>
        <v>1</v>
      </c>
    </row>
    <row r="296">
      <c r="A296" s="2" t="s">
        <v>295</v>
      </c>
      <c r="B296" s="1" t="str">
        <f>IFERROR(__xludf.DUMMYFUNCTION("SPLIT(A296,"","",)"),"42-74")</f>
        <v>42-74</v>
      </c>
      <c r="C296" s="1" t="str">
        <f>IFERROR(__xludf.DUMMYFUNCTION("""COMPUTED_VALUE"""),"42-73")</f>
        <v>42-73</v>
      </c>
      <c r="D296" s="4">
        <f>IFERROR(__xludf.DUMMYFUNCTION("split(B296,""-"")"),42.0)</f>
        <v>42</v>
      </c>
      <c r="E296" s="4">
        <f>IFERROR(__xludf.DUMMYFUNCTION("""COMPUTED_VALUE"""),74.0)</f>
        <v>74</v>
      </c>
      <c r="F296" s="4">
        <f>IFERROR(__xludf.DUMMYFUNCTION("split(C296,""-"")"),42.0)</f>
        <v>42</v>
      </c>
      <c r="G296" s="4">
        <f>IFERROR(__xludf.DUMMYFUNCTION("""COMPUTED_VALUE"""),73.0)</f>
        <v>73</v>
      </c>
      <c r="H296" s="4">
        <f t="shared" si="1"/>
        <v>1</v>
      </c>
      <c r="J296" s="4">
        <f>IFERROR(__xludf.DUMMYFUNCTION("IFS(
ISBETWEEN(D296,F296,G296,TRUE,TRUE),1,
ISBETWEEN(E296,F296,G296,TRUE,TRUE),1,
ISBETWEEN(F296,D296,E296,TRUE,TRUE),1,
ISBETWEEN(G296,D296,E296,TRUE,TRUE),1,
1,0)"),1.0)</f>
        <v>1</v>
      </c>
    </row>
    <row r="297">
      <c r="A297" s="2" t="s">
        <v>296</v>
      </c>
      <c r="B297" s="1" t="str">
        <f>IFERROR(__xludf.DUMMYFUNCTION("SPLIT(A297,"","",)"),"29-47")</f>
        <v>29-47</v>
      </c>
      <c r="C297" s="1" t="str">
        <f>IFERROR(__xludf.DUMMYFUNCTION("""COMPUTED_VALUE"""),"28-29")</f>
        <v>28-29</v>
      </c>
      <c r="D297" s="4">
        <f>IFERROR(__xludf.DUMMYFUNCTION("split(B297,""-"")"),29.0)</f>
        <v>29</v>
      </c>
      <c r="E297" s="4">
        <f>IFERROR(__xludf.DUMMYFUNCTION("""COMPUTED_VALUE"""),47.0)</f>
        <v>47</v>
      </c>
      <c r="F297" s="4">
        <f>IFERROR(__xludf.DUMMYFUNCTION("split(C297,""-"")"),28.0)</f>
        <v>28</v>
      </c>
      <c r="G297" s="4">
        <f>IFERROR(__xludf.DUMMYFUNCTION("""COMPUTED_VALUE"""),29.0)</f>
        <v>29</v>
      </c>
      <c r="H297" s="4">
        <f t="shared" si="1"/>
        <v>0</v>
      </c>
      <c r="J297" s="4">
        <f>IFERROR(__xludf.DUMMYFUNCTION("IFS(
ISBETWEEN(D297,F297,G297,TRUE,TRUE),1,
ISBETWEEN(E297,F297,G297,TRUE,TRUE),1,
ISBETWEEN(F297,D297,E297,TRUE,TRUE),1,
ISBETWEEN(G297,D297,E297,TRUE,TRUE),1,
1,0)"),1.0)</f>
        <v>1</v>
      </c>
    </row>
    <row r="298">
      <c r="A298" s="2" t="s">
        <v>297</v>
      </c>
      <c r="B298" s="1" t="str">
        <f>IFERROR(__xludf.DUMMYFUNCTION("SPLIT(A298,"","",)"),"68-90")</f>
        <v>68-90</v>
      </c>
      <c r="C298" s="1" t="str">
        <f>IFERROR(__xludf.DUMMYFUNCTION("""COMPUTED_VALUE"""),"67-68")</f>
        <v>67-68</v>
      </c>
      <c r="D298" s="4">
        <f>IFERROR(__xludf.DUMMYFUNCTION("split(B298,""-"")"),68.0)</f>
        <v>68</v>
      </c>
      <c r="E298" s="4">
        <f>IFERROR(__xludf.DUMMYFUNCTION("""COMPUTED_VALUE"""),90.0)</f>
        <v>90</v>
      </c>
      <c r="F298" s="4">
        <f>IFERROR(__xludf.DUMMYFUNCTION("split(C298,""-"")"),67.0)</f>
        <v>67</v>
      </c>
      <c r="G298" s="4">
        <f>IFERROR(__xludf.DUMMYFUNCTION("""COMPUTED_VALUE"""),68.0)</f>
        <v>68</v>
      </c>
      <c r="H298" s="4">
        <f t="shared" si="1"/>
        <v>0</v>
      </c>
      <c r="J298" s="4">
        <f>IFERROR(__xludf.DUMMYFUNCTION("IFS(
ISBETWEEN(D298,F298,G298,TRUE,TRUE),1,
ISBETWEEN(E298,F298,G298,TRUE,TRUE),1,
ISBETWEEN(F298,D298,E298,TRUE,TRUE),1,
ISBETWEEN(G298,D298,E298,TRUE,TRUE),1,
1,0)"),1.0)</f>
        <v>1</v>
      </c>
    </row>
    <row r="299">
      <c r="A299" s="2" t="s">
        <v>298</v>
      </c>
      <c r="B299" s="1" t="str">
        <f>IFERROR(__xludf.DUMMYFUNCTION("SPLIT(A299,"","",)"),"82-97")</f>
        <v>82-97</v>
      </c>
      <c r="C299" s="1" t="str">
        <f>IFERROR(__xludf.DUMMYFUNCTION("""COMPUTED_VALUE"""),"83-99")</f>
        <v>83-99</v>
      </c>
      <c r="D299" s="4">
        <f>IFERROR(__xludf.DUMMYFUNCTION("split(B299,""-"")"),82.0)</f>
        <v>82</v>
      </c>
      <c r="E299" s="4">
        <f>IFERROR(__xludf.DUMMYFUNCTION("""COMPUTED_VALUE"""),97.0)</f>
        <v>97</v>
      </c>
      <c r="F299" s="4">
        <f>IFERROR(__xludf.DUMMYFUNCTION("split(C299,""-"")"),83.0)</f>
        <v>83</v>
      </c>
      <c r="G299" s="4">
        <f>IFERROR(__xludf.DUMMYFUNCTION("""COMPUTED_VALUE"""),99.0)</f>
        <v>99</v>
      </c>
      <c r="H299" s="4">
        <f t="shared" si="1"/>
        <v>0</v>
      </c>
      <c r="J299" s="4">
        <f>IFERROR(__xludf.DUMMYFUNCTION("IFS(
ISBETWEEN(D299,F299,G299,TRUE,TRUE),1,
ISBETWEEN(E299,F299,G299,TRUE,TRUE),1,
ISBETWEEN(F299,D299,E299,TRUE,TRUE),1,
ISBETWEEN(G299,D299,E299,TRUE,TRUE),1,
1,0)"),1.0)</f>
        <v>1</v>
      </c>
    </row>
    <row r="300">
      <c r="A300" s="2" t="s">
        <v>299</v>
      </c>
      <c r="B300" s="1" t="str">
        <f>IFERROR(__xludf.DUMMYFUNCTION("SPLIT(A300,"","",)"),"13-96")</f>
        <v>13-96</v>
      </c>
      <c r="C300" s="1" t="str">
        <f>IFERROR(__xludf.DUMMYFUNCTION("""COMPUTED_VALUE"""),"95-99")</f>
        <v>95-99</v>
      </c>
      <c r="D300" s="4">
        <f>IFERROR(__xludf.DUMMYFUNCTION("split(B300,""-"")"),13.0)</f>
        <v>13</v>
      </c>
      <c r="E300" s="4">
        <f>IFERROR(__xludf.DUMMYFUNCTION("""COMPUTED_VALUE"""),96.0)</f>
        <v>96</v>
      </c>
      <c r="F300" s="4">
        <f>IFERROR(__xludf.DUMMYFUNCTION("split(C300,""-"")"),95.0)</f>
        <v>95</v>
      </c>
      <c r="G300" s="4">
        <f>IFERROR(__xludf.DUMMYFUNCTION("""COMPUTED_VALUE"""),99.0)</f>
        <v>99</v>
      </c>
      <c r="H300" s="4">
        <f t="shared" si="1"/>
        <v>0</v>
      </c>
      <c r="J300" s="4">
        <f>IFERROR(__xludf.DUMMYFUNCTION("IFS(
ISBETWEEN(D300,F300,G300,TRUE,TRUE),1,
ISBETWEEN(E300,F300,G300,TRUE,TRUE),1,
ISBETWEEN(F300,D300,E300,TRUE,TRUE),1,
ISBETWEEN(G300,D300,E300,TRUE,TRUE),1,
1,0)"),1.0)</f>
        <v>1</v>
      </c>
    </row>
    <row r="301">
      <c r="A301" s="2" t="s">
        <v>300</v>
      </c>
      <c r="B301" s="1" t="str">
        <f>IFERROR(__xludf.DUMMYFUNCTION("SPLIT(A301,"","",)"),"29-91")</f>
        <v>29-91</v>
      </c>
      <c r="C301" s="1" t="str">
        <f>IFERROR(__xludf.DUMMYFUNCTION("""COMPUTED_VALUE"""),"30-92")</f>
        <v>30-92</v>
      </c>
      <c r="D301" s="4">
        <f>IFERROR(__xludf.DUMMYFUNCTION("split(B301,""-"")"),29.0)</f>
        <v>29</v>
      </c>
      <c r="E301" s="4">
        <f>IFERROR(__xludf.DUMMYFUNCTION("""COMPUTED_VALUE"""),91.0)</f>
        <v>91</v>
      </c>
      <c r="F301" s="4">
        <f>IFERROR(__xludf.DUMMYFUNCTION("split(C301,""-"")"),30.0)</f>
        <v>30</v>
      </c>
      <c r="G301" s="4">
        <f>IFERROR(__xludf.DUMMYFUNCTION("""COMPUTED_VALUE"""),92.0)</f>
        <v>92</v>
      </c>
      <c r="H301" s="4">
        <f t="shared" si="1"/>
        <v>0</v>
      </c>
      <c r="J301" s="4">
        <f>IFERROR(__xludf.DUMMYFUNCTION("IFS(
ISBETWEEN(D301,F301,G301,TRUE,TRUE),1,
ISBETWEEN(E301,F301,G301,TRUE,TRUE),1,
ISBETWEEN(F301,D301,E301,TRUE,TRUE),1,
ISBETWEEN(G301,D301,E301,TRUE,TRUE),1,
1,0)"),1.0)</f>
        <v>1</v>
      </c>
    </row>
    <row r="302">
      <c r="A302" s="2" t="s">
        <v>301</v>
      </c>
      <c r="B302" s="1" t="str">
        <f>IFERROR(__xludf.DUMMYFUNCTION("SPLIT(A302,"","",)"),"8-96")</f>
        <v>8-96</v>
      </c>
      <c r="C302" s="3">
        <f>IFERROR(__xludf.DUMMYFUNCTION("""COMPUTED_VALUE"""),44811.0)</f>
        <v>44811</v>
      </c>
      <c r="D302" s="4">
        <f>IFERROR(__xludf.DUMMYFUNCTION("split(B302,""-"")"),8.0)</f>
        <v>8</v>
      </c>
      <c r="E302" s="4">
        <f>IFERROR(__xludf.DUMMYFUNCTION("""COMPUTED_VALUE"""),96.0)</f>
        <v>96</v>
      </c>
      <c r="F302" s="4">
        <f>IFERROR(__xludf.DUMMYFUNCTION("split(C302,""-"")"),7.0)</f>
        <v>7</v>
      </c>
      <c r="G302" s="4">
        <f>IFERROR(__xludf.DUMMYFUNCTION("""COMPUTED_VALUE"""),9.0)</f>
        <v>9</v>
      </c>
      <c r="H302" s="4">
        <f t="shared" si="1"/>
        <v>0</v>
      </c>
      <c r="J302" s="4">
        <f>IFERROR(__xludf.DUMMYFUNCTION("IFS(
ISBETWEEN(D302,F302,G302,TRUE,TRUE),1,
ISBETWEEN(E302,F302,G302,TRUE,TRUE),1,
ISBETWEEN(F302,D302,E302,TRUE,TRUE),1,
ISBETWEEN(G302,D302,E302,TRUE,TRUE),1,
1,0)"),1.0)</f>
        <v>1</v>
      </c>
    </row>
    <row r="303">
      <c r="A303" s="2" t="s">
        <v>302</v>
      </c>
      <c r="B303" s="1" t="str">
        <f>IFERROR(__xludf.DUMMYFUNCTION("SPLIT(A303,"","",)"),"12-93")</f>
        <v>12-93</v>
      </c>
      <c r="C303" s="1" t="str">
        <f>IFERROR(__xludf.DUMMYFUNCTION("""COMPUTED_VALUE"""),"12-93")</f>
        <v>12-93</v>
      </c>
      <c r="D303" s="4">
        <f>IFERROR(__xludf.DUMMYFUNCTION("split(B303,""-"")"),12.0)</f>
        <v>12</v>
      </c>
      <c r="E303" s="4">
        <f>IFERROR(__xludf.DUMMYFUNCTION("""COMPUTED_VALUE"""),93.0)</f>
        <v>93</v>
      </c>
      <c r="F303" s="4">
        <f>IFERROR(__xludf.DUMMYFUNCTION("split(C303,""-"")"),12.0)</f>
        <v>12</v>
      </c>
      <c r="G303" s="4">
        <f>IFERROR(__xludf.DUMMYFUNCTION("""COMPUTED_VALUE"""),93.0)</f>
        <v>93</v>
      </c>
      <c r="H303" s="4">
        <f t="shared" si="1"/>
        <v>1</v>
      </c>
      <c r="J303" s="4">
        <f>IFERROR(__xludf.DUMMYFUNCTION("IFS(
ISBETWEEN(D303,F303,G303,TRUE,TRUE),1,
ISBETWEEN(E303,F303,G303,TRUE,TRUE),1,
ISBETWEEN(F303,D303,E303,TRUE,TRUE),1,
ISBETWEEN(G303,D303,E303,TRUE,TRUE),1,
1,0)"),1.0)</f>
        <v>1</v>
      </c>
    </row>
    <row r="304">
      <c r="A304" s="2" t="s">
        <v>303</v>
      </c>
      <c r="B304" s="1" t="str">
        <f>IFERROR(__xludf.DUMMYFUNCTION("SPLIT(A304,"","",)"),"86-99")</f>
        <v>86-99</v>
      </c>
      <c r="C304" s="1" t="str">
        <f>IFERROR(__xludf.DUMMYFUNCTION("""COMPUTED_VALUE"""),"97-97")</f>
        <v>97-97</v>
      </c>
      <c r="D304" s="4">
        <f>IFERROR(__xludf.DUMMYFUNCTION("split(B304,""-"")"),86.0)</f>
        <v>86</v>
      </c>
      <c r="E304" s="4">
        <f>IFERROR(__xludf.DUMMYFUNCTION("""COMPUTED_VALUE"""),99.0)</f>
        <v>99</v>
      </c>
      <c r="F304" s="4">
        <f>IFERROR(__xludf.DUMMYFUNCTION("split(C304,""-"")"),97.0)</f>
        <v>97</v>
      </c>
      <c r="G304" s="4">
        <f>IFERROR(__xludf.DUMMYFUNCTION("""COMPUTED_VALUE"""),97.0)</f>
        <v>97</v>
      </c>
      <c r="H304" s="4">
        <f t="shared" si="1"/>
        <v>1</v>
      </c>
      <c r="J304" s="4">
        <f>IFERROR(__xludf.DUMMYFUNCTION("IFS(
ISBETWEEN(D304,F304,G304,TRUE,TRUE),1,
ISBETWEEN(E304,F304,G304,TRUE,TRUE),1,
ISBETWEEN(F304,D304,E304,TRUE,TRUE),1,
ISBETWEEN(G304,D304,E304,TRUE,TRUE),1,
1,0)"),1.0)</f>
        <v>1</v>
      </c>
    </row>
    <row r="305">
      <c r="A305" s="2" t="s">
        <v>304</v>
      </c>
      <c r="B305" s="1" t="str">
        <f>IFERROR(__xludf.DUMMYFUNCTION("SPLIT(A305,"","",)"),"18-75")</f>
        <v>18-75</v>
      </c>
      <c r="C305" s="1" t="str">
        <f>IFERROR(__xludf.DUMMYFUNCTION("""COMPUTED_VALUE"""),"17-97")</f>
        <v>17-97</v>
      </c>
      <c r="D305" s="4">
        <f>IFERROR(__xludf.DUMMYFUNCTION("split(B305,""-"")"),18.0)</f>
        <v>18</v>
      </c>
      <c r="E305" s="4">
        <f>IFERROR(__xludf.DUMMYFUNCTION("""COMPUTED_VALUE"""),75.0)</f>
        <v>75</v>
      </c>
      <c r="F305" s="4">
        <f>IFERROR(__xludf.DUMMYFUNCTION("split(C305,""-"")"),17.0)</f>
        <v>17</v>
      </c>
      <c r="G305" s="4">
        <f>IFERROR(__xludf.DUMMYFUNCTION("""COMPUTED_VALUE"""),97.0)</f>
        <v>97</v>
      </c>
      <c r="H305" s="4">
        <f t="shared" si="1"/>
        <v>1</v>
      </c>
      <c r="J305" s="4">
        <f>IFERROR(__xludf.DUMMYFUNCTION("IFS(
ISBETWEEN(D305,F305,G305,TRUE,TRUE),1,
ISBETWEEN(E305,F305,G305,TRUE,TRUE),1,
ISBETWEEN(F305,D305,E305,TRUE,TRUE),1,
ISBETWEEN(G305,D305,E305,TRUE,TRUE),1,
1,0)"),1.0)</f>
        <v>1</v>
      </c>
    </row>
    <row r="306">
      <c r="A306" s="2" t="s">
        <v>305</v>
      </c>
      <c r="B306" s="1" t="str">
        <f>IFERROR(__xludf.DUMMYFUNCTION("SPLIT(A306,"","",)"),"48-90")</f>
        <v>48-90</v>
      </c>
      <c r="C306" s="1" t="str">
        <f>IFERROR(__xludf.DUMMYFUNCTION("""COMPUTED_VALUE"""),"47-90")</f>
        <v>47-90</v>
      </c>
      <c r="D306" s="4">
        <f>IFERROR(__xludf.DUMMYFUNCTION("split(B306,""-"")"),48.0)</f>
        <v>48</v>
      </c>
      <c r="E306" s="4">
        <f>IFERROR(__xludf.DUMMYFUNCTION("""COMPUTED_VALUE"""),90.0)</f>
        <v>90</v>
      </c>
      <c r="F306" s="4">
        <f>IFERROR(__xludf.DUMMYFUNCTION("split(C306,""-"")"),47.0)</f>
        <v>47</v>
      </c>
      <c r="G306" s="4">
        <f>IFERROR(__xludf.DUMMYFUNCTION("""COMPUTED_VALUE"""),90.0)</f>
        <v>90</v>
      </c>
      <c r="H306" s="4">
        <f t="shared" si="1"/>
        <v>1</v>
      </c>
      <c r="J306" s="4">
        <f>IFERROR(__xludf.DUMMYFUNCTION("IFS(
ISBETWEEN(D306,F306,G306,TRUE,TRUE),1,
ISBETWEEN(E306,F306,G306,TRUE,TRUE),1,
ISBETWEEN(F306,D306,E306,TRUE,TRUE),1,
ISBETWEEN(G306,D306,E306,TRUE,TRUE),1,
1,0)"),1.0)</f>
        <v>1</v>
      </c>
    </row>
    <row r="307">
      <c r="A307" s="2" t="s">
        <v>306</v>
      </c>
      <c r="B307" s="1" t="str">
        <f>IFERROR(__xludf.DUMMYFUNCTION("SPLIT(A307,"","",)"),"20-87")</f>
        <v>20-87</v>
      </c>
      <c r="C307" s="1" t="str">
        <f>IFERROR(__xludf.DUMMYFUNCTION("""COMPUTED_VALUE"""),"21-94")</f>
        <v>21-94</v>
      </c>
      <c r="D307" s="4">
        <f>IFERROR(__xludf.DUMMYFUNCTION("split(B307,""-"")"),20.0)</f>
        <v>20</v>
      </c>
      <c r="E307" s="4">
        <f>IFERROR(__xludf.DUMMYFUNCTION("""COMPUTED_VALUE"""),87.0)</f>
        <v>87</v>
      </c>
      <c r="F307" s="4">
        <f>IFERROR(__xludf.DUMMYFUNCTION("split(C307,""-"")"),21.0)</f>
        <v>21</v>
      </c>
      <c r="G307" s="4">
        <f>IFERROR(__xludf.DUMMYFUNCTION("""COMPUTED_VALUE"""),94.0)</f>
        <v>94</v>
      </c>
      <c r="H307" s="4">
        <f t="shared" si="1"/>
        <v>0</v>
      </c>
      <c r="J307" s="4">
        <f>IFERROR(__xludf.DUMMYFUNCTION("IFS(
ISBETWEEN(D307,F307,G307,TRUE,TRUE),1,
ISBETWEEN(E307,F307,G307,TRUE,TRUE),1,
ISBETWEEN(F307,D307,E307,TRUE,TRUE),1,
ISBETWEEN(G307,D307,E307,TRUE,TRUE),1,
1,0)"),1.0)</f>
        <v>1</v>
      </c>
    </row>
    <row r="308">
      <c r="A308" s="2" t="s">
        <v>307</v>
      </c>
      <c r="B308" s="1" t="str">
        <f>IFERROR(__xludf.DUMMYFUNCTION("SPLIT(A308,"","",)"),"54-71")</f>
        <v>54-71</v>
      </c>
      <c r="C308" s="1" t="str">
        <f>IFERROR(__xludf.DUMMYFUNCTION("""COMPUTED_VALUE"""),"55-70")</f>
        <v>55-70</v>
      </c>
      <c r="D308" s="4">
        <f>IFERROR(__xludf.DUMMYFUNCTION("split(B308,""-"")"),54.0)</f>
        <v>54</v>
      </c>
      <c r="E308" s="4">
        <f>IFERROR(__xludf.DUMMYFUNCTION("""COMPUTED_VALUE"""),71.0)</f>
        <v>71</v>
      </c>
      <c r="F308" s="4">
        <f>IFERROR(__xludf.DUMMYFUNCTION("split(C308,""-"")"),55.0)</f>
        <v>55</v>
      </c>
      <c r="G308" s="4">
        <f>IFERROR(__xludf.DUMMYFUNCTION("""COMPUTED_VALUE"""),70.0)</f>
        <v>70</v>
      </c>
      <c r="H308" s="4">
        <f t="shared" si="1"/>
        <v>1</v>
      </c>
      <c r="J308" s="4">
        <f>IFERROR(__xludf.DUMMYFUNCTION("IFS(
ISBETWEEN(D308,F308,G308,TRUE,TRUE),1,
ISBETWEEN(E308,F308,G308,TRUE,TRUE),1,
ISBETWEEN(F308,D308,E308,TRUE,TRUE),1,
ISBETWEEN(G308,D308,E308,TRUE,TRUE),1,
1,0)"),1.0)</f>
        <v>1</v>
      </c>
    </row>
    <row r="309">
      <c r="A309" s="2" t="s">
        <v>308</v>
      </c>
      <c r="B309" s="1" t="str">
        <f>IFERROR(__xludf.DUMMYFUNCTION("SPLIT(A309,"","",)"),"30-65")</f>
        <v>30-65</v>
      </c>
      <c r="C309" s="1" t="str">
        <f>IFERROR(__xludf.DUMMYFUNCTION("""COMPUTED_VALUE"""),"31-64")</f>
        <v>31-64</v>
      </c>
      <c r="D309" s="4">
        <f>IFERROR(__xludf.DUMMYFUNCTION("split(B309,""-"")"),30.0)</f>
        <v>30</v>
      </c>
      <c r="E309" s="4">
        <f>IFERROR(__xludf.DUMMYFUNCTION("""COMPUTED_VALUE"""),65.0)</f>
        <v>65</v>
      </c>
      <c r="F309" s="4">
        <f>IFERROR(__xludf.DUMMYFUNCTION("split(C309,""-"")"),31.0)</f>
        <v>31</v>
      </c>
      <c r="G309" s="4">
        <f>IFERROR(__xludf.DUMMYFUNCTION("""COMPUTED_VALUE"""),64.0)</f>
        <v>64</v>
      </c>
      <c r="H309" s="4">
        <f t="shared" si="1"/>
        <v>1</v>
      </c>
      <c r="J309" s="4">
        <f>IFERROR(__xludf.DUMMYFUNCTION("IFS(
ISBETWEEN(D309,F309,G309,TRUE,TRUE),1,
ISBETWEEN(E309,F309,G309,TRUE,TRUE),1,
ISBETWEEN(F309,D309,E309,TRUE,TRUE),1,
ISBETWEEN(G309,D309,E309,TRUE,TRUE),1,
1,0)"),1.0)</f>
        <v>1</v>
      </c>
    </row>
    <row r="310">
      <c r="A310" s="2" t="s">
        <v>309</v>
      </c>
      <c r="B310" s="1" t="str">
        <f>IFERROR(__xludf.DUMMYFUNCTION("SPLIT(A310,"","",)"),"97-97")</f>
        <v>97-97</v>
      </c>
      <c r="C310" s="1" t="str">
        <f>IFERROR(__xludf.DUMMYFUNCTION("""COMPUTED_VALUE"""),"1-87")</f>
        <v>1-87</v>
      </c>
      <c r="D310" s="4">
        <f>IFERROR(__xludf.DUMMYFUNCTION("split(B310,""-"")"),97.0)</f>
        <v>97</v>
      </c>
      <c r="E310" s="4">
        <f>IFERROR(__xludf.DUMMYFUNCTION("""COMPUTED_VALUE"""),97.0)</f>
        <v>97</v>
      </c>
      <c r="F310" s="4">
        <f>IFERROR(__xludf.DUMMYFUNCTION("split(C310,""-"")"),1.0)</f>
        <v>1</v>
      </c>
      <c r="G310" s="4">
        <f>IFERROR(__xludf.DUMMYFUNCTION("""COMPUTED_VALUE"""),87.0)</f>
        <v>87</v>
      </c>
      <c r="H310" s="4">
        <f t="shared" si="1"/>
        <v>0</v>
      </c>
      <c r="J310" s="4">
        <f>IFERROR(__xludf.DUMMYFUNCTION("IFS(
ISBETWEEN(D310,F310,G310,TRUE,TRUE),1,
ISBETWEEN(E310,F310,G310,TRUE,TRUE),1,
ISBETWEEN(F310,D310,E310,TRUE,TRUE),1,
ISBETWEEN(G310,D310,E310,TRUE,TRUE),1,
1,0)"),0.0)</f>
        <v>0</v>
      </c>
    </row>
    <row r="311">
      <c r="A311" s="2" t="s">
        <v>310</v>
      </c>
      <c r="B311" s="1" t="str">
        <f>IFERROR(__xludf.DUMMYFUNCTION("SPLIT(A311,"","",)"),"5-82")</f>
        <v>5-82</v>
      </c>
      <c r="C311" s="1" t="str">
        <f>IFERROR(__xludf.DUMMYFUNCTION("""COMPUTED_VALUE"""),"83-94")</f>
        <v>83-94</v>
      </c>
      <c r="D311" s="4">
        <f>IFERROR(__xludf.DUMMYFUNCTION("split(B311,""-"")"),5.0)</f>
        <v>5</v>
      </c>
      <c r="E311" s="4">
        <f>IFERROR(__xludf.DUMMYFUNCTION("""COMPUTED_VALUE"""),82.0)</f>
        <v>82</v>
      </c>
      <c r="F311" s="4">
        <f>IFERROR(__xludf.DUMMYFUNCTION("split(C311,""-"")"),83.0)</f>
        <v>83</v>
      </c>
      <c r="G311" s="4">
        <f>IFERROR(__xludf.DUMMYFUNCTION("""COMPUTED_VALUE"""),94.0)</f>
        <v>94</v>
      </c>
      <c r="H311" s="4">
        <f t="shared" si="1"/>
        <v>0</v>
      </c>
      <c r="J311" s="4">
        <f>IFERROR(__xludf.DUMMYFUNCTION("IFS(
ISBETWEEN(D311,F311,G311,TRUE,TRUE),1,
ISBETWEEN(E311,F311,G311,TRUE,TRUE),1,
ISBETWEEN(F311,D311,E311,TRUE,TRUE),1,
ISBETWEEN(G311,D311,E311,TRUE,TRUE),1,
1,0)"),0.0)</f>
        <v>0</v>
      </c>
    </row>
    <row r="312">
      <c r="A312" s="2" t="s">
        <v>311</v>
      </c>
      <c r="B312" s="1" t="str">
        <f>IFERROR(__xludf.DUMMYFUNCTION("SPLIT(A312,"","",)"),"29-70")</f>
        <v>29-70</v>
      </c>
      <c r="C312" s="1" t="str">
        <f>IFERROR(__xludf.DUMMYFUNCTION("""COMPUTED_VALUE"""),"23-72")</f>
        <v>23-72</v>
      </c>
      <c r="D312" s="4">
        <f>IFERROR(__xludf.DUMMYFUNCTION("split(B312,""-"")"),29.0)</f>
        <v>29</v>
      </c>
      <c r="E312" s="4">
        <f>IFERROR(__xludf.DUMMYFUNCTION("""COMPUTED_VALUE"""),70.0)</f>
        <v>70</v>
      </c>
      <c r="F312" s="4">
        <f>IFERROR(__xludf.DUMMYFUNCTION("split(C312,""-"")"),23.0)</f>
        <v>23</v>
      </c>
      <c r="G312" s="4">
        <f>IFERROR(__xludf.DUMMYFUNCTION("""COMPUTED_VALUE"""),72.0)</f>
        <v>72</v>
      </c>
      <c r="H312" s="4">
        <f t="shared" si="1"/>
        <v>1</v>
      </c>
      <c r="J312" s="4">
        <f>IFERROR(__xludf.DUMMYFUNCTION("IFS(
ISBETWEEN(D312,F312,G312,TRUE,TRUE),1,
ISBETWEEN(E312,F312,G312,TRUE,TRUE),1,
ISBETWEEN(F312,D312,E312,TRUE,TRUE),1,
ISBETWEEN(G312,D312,E312,TRUE,TRUE),1,
1,0)"),1.0)</f>
        <v>1</v>
      </c>
    </row>
    <row r="313">
      <c r="A313" s="2" t="s">
        <v>312</v>
      </c>
      <c r="B313" s="1" t="str">
        <f>IFERROR(__xludf.DUMMYFUNCTION("SPLIT(A313,"","",)"),"39-48")</f>
        <v>39-48</v>
      </c>
      <c r="C313" s="1" t="str">
        <f>IFERROR(__xludf.DUMMYFUNCTION("""COMPUTED_VALUE"""),"38-48")</f>
        <v>38-48</v>
      </c>
      <c r="D313" s="4">
        <f>IFERROR(__xludf.DUMMYFUNCTION("split(B313,""-"")"),39.0)</f>
        <v>39</v>
      </c>
      <c r="E313" s="4">
        <f>IFERROR(__xludf.DUMMYFUNCTION("""COMPUTED_VALUE"""),48.0)</f>
        <v>48</v>
      </c>
      <c r="F313" s="4">
        <f>IFERROR(__xludf.DUMMYFUNCTION("split(C313,""-"")"),38.0)</f>
        <v>38</v>
      </c>
      <c r="G313" s="4">
        <f>IFERROR(__xludf.DUMMYFUNCTION("""COMPUTED_VALUE"""),48.0)</f>
        <v>48</v>
      </c>
      <c r="H313" s="4">
        <f t="shared" si="1"/>
        <v>1</v>
      </c>
      <c r="J313" s="4">
        <f>IFERROR(__xludf.DUMMYFUNCTION("IFS(
ISBETWEEN(D313,F313,G313,TRUE,TRUE),1,
ISBETWEEN(E313,F313,G313,TRUE,TRUE),1,
ISBETWEEN(F313,D313,E313,TRUE,TRUE),1,
ISBETWEEN(G313,D313,E313,TRUE,TRUE),1,
1,0)"),1.0)</f>
        <v>1</v>
      </c>
    </row>
    <row r="314">
      <c r="A314" s="2" t="s">
        <v>313</v>
      </c>
      <c r="B314" s="1" t="str">
        <f>IFERROR(__xludf.DUMMYFUNCTION("SPLIT(A314,"","",)"),"15-95")</f>
        <v>15-95</v>
      </c>
      <c r="C314" s="1" t="str">
        <f>IFERROR(__xludf.DUMMYFUNCTION("""COMPUTED_VALUE"""),"98-99")</f>
        <v>98-99</v>
      </c>
      <c r="D314" s="4">
        <f>IFERROR(__xludf.DUMMYFUNCTION("split(B314,""-"")"),15.0)</f>
        <v>15</v>
      </c>
      <c r="E314" s="4">
        <f>IFERROR(__xludf.DUMMYFUNCTION("""COMPUTED_VALUE"""),95.0)</f>
        <v>95</v>
      </c>
      <c r="F314" s="4">
        <f>IFERROR(__xludf.DUMMYFUNCTION("split(C314,""-"")"),98.0)</f>
        <v>98</v>
      </c>
      <c r="G314" s="4">
        <f>IFERROR(__xludf.DUMMYFUNCTION("""COMPUTED_VALUE"""),99.0)</f>
        <v>99</v>
      </c>
      <c r="H314" s="4">
        <f t="shared" si="1"/>
        <v>0</v>
      </c>
      <c r="J314" s="4">
        <f>IFERROR(__xludf.DUMMYFUNCTION("IFS(
ISBETWEEN(D314,F314,G314,TRUE,TRUE),1,
ISBETWEEN(E314,F314,G314,TRUE,TRUE),1,
ISBETWEEN(F314,D314,E314,TRUE,TRUE),1,
ISBETWEEN(G314,D314,E314,TRUE,TRUE),1,
1,0)"),0.0)</f>
        <v>0</v>
      </c>
    </row>
    <row r="315">
      <c r="A315" s="2" t="s">
        <v>314</v>
      </c>
      <c r="B315" s="1" t="str">
        <f>IFERROR(__xludf.DUMMYFUNCTION("SPLIT(A315,"","",)"),"98-98")</f>
        <v>98-98</v>
      </c>
      <c r="C315" s="1" t="str">
        <f>IFERROR(__xludf.DUMMYFUNCTION("""COMPUTED_VALUE"""),"34-99")</f>
        <v>34-99</v>
      </c>
      <c r="D315" s="4">
        <f>IFERROR(__xludf.DUMMYFUNCTION("split(B315,""-"")"),98.0)</f>
        <v>98</v>
      </c>
      <c r="E315" s="4">
        <f>IFERROR(__xludf.DUMMYFUNCTION("""COMPUTED_VALUE"""),98.0)</f>
        <v>98</v>
      </c>
      <c r="F315" s="4">
        <f>IFERROR(__xludf.DUMMYFUNCTION("split(C315,""-"")"),34.0)</f>
        <v>34</v>
      </c>
      <c r="G315" s="4">
        <f>IFERROR(__xludf.DUMMYFUNCTION("""COMPUTED_VALUE"""),99.0)</f>
        <v>99</v>
      </c>
      <c r="H315" s="4">
        <f t="shared" si="1"/>
        <v>1</v>
      </c>
      <c r="J315" s="4">
        <f>IFERROR(__xludf.DUMMYFUNCTION("IFS(
ISBETWEEN(D315,F315,G315,TRUE,TRUE),1,
ISBETWEEN(E315,F315,G315,TRUE,TRUE),1,
ISBETWEEN(F315,D315,E315,TRUE,TRUE),1,
ISBETWEEN(G315,D315,E315,TRUE,TRUE),1,
1,0)"),1.0)</f>
        <v>1</v>
      </c>
    </row>
    <row r="316">
      <c r="A316" s="2" t="s">
        <v>315</v>
      </c>
      <c r="B316" s="1" t="str">
        <f>IFERROR(__xludf.DUMMYFUNCTION("SPLIT(A316,"","",)"),"44-95")</f>
        <v>44-95</v>
      </c>
      <c r="C316" s="1" t="str">
        <f>IFERROR(__xludf.DUMMYFUNCTION("""COMPUTED_VALUE"""),"45-94")</f>
        <v>45-94</v>
      </c>
      <c r="D316" s="4">
        <f>IFERROR(__xludf.DUMMYFUNCTION("split(B316,""-"")"),44.0)</f>
        <v>44</v>
      </c>
      <c r="E316" s="4">
        <f>IFERROR(__xludf.DUMMYFUNCTION("""COMPUTED_VALUE"""),95.0)</f>
        <v>95</v>
      </c>
      <c r="F316" s="4">
        <f>IFERROR(__xludf.DUMMYFUNCTION("split(C316,""-"")"),45.0)</f>
        <v>45</v>
      </c>
      <c r="G316" s="4">
        <f>IFERROR(__xludf.DUMMYFUNCTION("""COMPUTED_VALUE"""),94.0)</f>
        <v>94</v>
      </c>
      <c r="H316" s="4">
        <f t="shared" si="1"/>
        <v>1</v>
      </c>
      <c r="J316" s="4">
        <f>IFERROR(__xludf.DUMMYFUNCTION("IFS(
ISBETWEEN(D316,F316,G316,TRUE,TRUE),1,
ISBETWEEN(E316,F316,G316,TRUE,TRUE),1,
ISBETWEEN(F316,D316,E316,TRUE,TRUE),1,
ISBETWEEN(G316,D316,E316,TRUE,TRUE),1,
1,0)"),1.0)</f>
        <v>1</v>
      </c>
    </row>
    <row r="317">
      <c r="A317" s="2" t="s">
        <v>316</v>
      </c>
      <c r="B317" s="1" t="str">
        <f>IFERROR(__xludf.DUMMYFUNCTION("SPLIT(A317,"","",)"),"46-70")</f>
        <v>46-70</v>
      </c>
      <c r="C317" s="1" t="str">
        <f>IFERROR(__xludf.DUMMYFUNCTION("""COMPUTED_VALUE"""),"38-69")</f>
        <v>38-69</v>
      </c>
      <c r="D317" s="4">
        <f>IFERROR(__xludf.DUMMYFUNCTION("split(B317,""-"")"),46.0)</f>
        <v>46</v>
      </c>
      <c r="E317" s="4">
        <f>IFERROR(__xludf.DUMMYFUNCTION("""COMPUTED_VALUE"""),70.0)</f>
        <v>70</v>
      </c>
      <c r="F317" s="4">
        <f>IFERROR(__xludf.DUMMYFUNCTION("split(C317,""-"")"),38.0)</f>
        <v>38</v>
      </c>
      <c r="G317" s="4">
        <f>IFERROR(__xludf.DUMMYFUNCTION("""COMPUTED_VALUE"""),69.0)</f>
        <v>69</v>
      </c>
      <c r="H317" s="4">
        <f t="shared" si="1"/>
        <v>0</v>
      </c>
      <c r="J317" s="4">
        <f>IFERROR(__xludf.DUMMYFUNCTION("IFS(
ISBETWEEN(D317,F317,G317,TRUE,TRUE),1,
ISBETWEEN(E317,F317,G317,TRUE,TRUE),1,
ISBETWEEN(F317,D317,E317,TRUE,TRUE),1,
ISBETWEEN(G317,D317,E317,TRUE,TRUE),1,
1,0)"),1.0)</f>
        <v>1</v>
      </c>
    </row>
    <row r="318">
      <c r="A318" s="2" t="s">
        <v>317</v>
      </c>
      <c r="B318" s="1" t="str">
        <f>IFERROR(__xludf.DUMMYFUNCTION("SPLIT(A318,"","",)"),"99-99")</f>
        <v>99-99</v>
      </c>
      <c r="C318" s="1" t="str">
        <f>IFERROR(__xludf.DUMMYFUNCTION("""COMPUTED_VALUE"""),"2-97")</f>
        <v>2-97</v>
      </c>
      <c r="D318" s="4">
        <f>IFERROR(__xludf.DUMMYFUNCTION("split(B318,""-"")"),99.0)</f>
        <v>99</v>
      </c>
      <c r="E318" s="4">
        <f>IFERROR(__xludf.DUMMYFUNCTION("""COMPUTED_VALUE"""),99.0)</f>
        <v>99</v>
      </c>
      <c r="F318" s="4">
        <f>IFERROR(__xludf.DUMMYFUNCTION("split(C318,""-"")"),2.0)</f>
        <v>2</v>
      </c>
      <c r="G318" s="4">
        <f>IFERROR(__xludf.DUMMYFUNCTION("""COMPUTED_VALUE"""),97.0)</f>
        <v>97</v>
      </c>
      <c r="H318" s="4">
        <f t="shared" si="1"/>
        <v>0</v>
      </c>
      <c r="J318" s="4">
        <f>IFERROR(__xludf.DUMMYFUNCTION("IFS(
ISBETWEEN(D318,F318,G318,TRUE,TRUE),1,
ISBETWEEN(E318,F318,G318,TRUE,TRUE),1,
ISBETWEEN(F318,D318,E318,TRUE,TRUE),1,
ISBETWEEN(G318,D318,E318,TRUE,TRUE),1,
1,0)"),0.0)</f>
        <v>0</v>
      </c>
    </row>
    <row r="319">
      <c r="A319" s="2" t="s">
        <v>318</v>
      </c>
      <c r="B319" s="3">
        <f>IFERROR(__xludf.DUMMYFUNCTION("SPLIT(A319,"","",)"),44622.0)</f>
        <v>44622</v>
      </c>
      <c r="C319" s="1" t="str">
        <f>IFERROR(__xludf.DUMMYFUNCTION("""COMPUTED_VALUE"""),"2-86")</f>
        <v>2-86</v>
      </c>
      <c r="D319" s="4">
        <f>IFERROR(__xludf.DUMMYFUNCTION("split(B319,""-"")"),2.0)</f>
        <v>2</v>
      </c>
      <c r="E319" s="4">
        <f>IFERROR(__xludf.DUMMYFUNCTION("""COMPUTED_VALUE"""),3.0)</f>
        <v>3</v>
      </c>
      <c r="F319" s="4">
        <f>IFERROR(__xludf.DUMMYFUNCTION("split(C319,""-"")"),2.0)</f>
        <v>2</v>
      </c>
      <c r="G319" s="4">
        <f>IFERROR(__xludf.DUMMYFUNCTION("""COMPUTED_VALUE"""),86.0)</f>
        <v>86</v>
      </c>
      <c r="H319" s="4">
        <f t="shared" si="1"/>
        <v>1</v>
      </c>
      <c r="J319" s="4">
        <f>IFERROR(__xludf.DUMMYFUNCTION("IFS(
ISBETWEEN(D319,F319,G319,TRUE,TRUE),1,
ISBETWEEN(E319,F319,G319,TRUE,TRUE),1,
ISBETWEEN(F319,D319,E319,TRUE,TRUE),1,
ISBETWEEN(G319,D319,E319,TRUE,TRUE),1,
1,0)"),1.0)</f>
        <v>1</v>
      </c>
    </row>
    <row r="320">
      <c r="A320" s="2" t="s">
        <v>319</v>
      </c>
      <c r="B320" s="1" t="str">
        <f>IFERROR(__xludf.DUMMYFUNCTION("SPLIT(A320,"","",)"),"35-79")</f>
        <v>35-79</v>
      </c>
      <c r="C320" s="1" t="str">
        <f>IFERROR(__xludf.DUMMYFUNCTION("""COMPUTED_VALUE"""),"35-35")</f>
        <v>35-35</v>
      </c>
      <c r="D320" s="4">
        <f>IFERROR(__xludf.DUMMYFUNCTION("split(B320,""-"")"),35.0)</f>
        <v>35</v>
      </c>
      <c r="E320" s="4">
        <f>IFERROR(__xludf.DUMMYFUNCTION("""COMPUTED_VALUE"""),79.0)</f>
        <v>79</v>
      </c>
      <c r="F320" s="4">
        <f>IFERROR(__xludf.DUMMYFUNCTION("split(C320,""-"")"),35.0)</f>
        <v>35</v>
      </c>
      <c r="G320" s="4">
        <f>IFERROR(__xludf.DUMMYFUNCTION("""COMPUTED_VALUE"""),35.0)</f>
        <v>35</v>
      </c>
      <c r="H320" s="4">
        <f t="shared" si="1"/>
        <v>1</v>
      </c>
      <c r="J320" s="4">
        <f>IFERROR(__xludf.DUMMYFUNCTION("IFS(
ISBETWEEN(D320,F320,G320,TRUE,TRUE),1,
ISBETWEEN(E320,F320,G320,TRUE,TRUE),1,
ISBETWEEN(F320,D320,E320,TRUE,TRUE),1,
ISBETWEEN(G320,D320,E320,TRUE,TRUE),1,
1,0)"),1.0)</f>
        <v>1</v>
      </c>
    </row>
    <row r="321">
      <c r="A321" s="2" t="s">
        <v>320</v>
      </c>
      <c r="B321" s="1" t="str">
        <f>IFERROR(__xludf.DUMMYFUNCTION("SPLIT(A321,"","",)"),"14-92")</f>
        <v>14-92</v>
      </c>
      <c r="C321" s="1" t="str">
        <f>IFERROR(__xludf.DUMMYFUNCTION("""COMPUTED_VALUE"""),"15-93")</f>
        <v>15-93</v>
      </c>
      <c r="D321" s="4">
        <f>IFERROR(__xludf.DUMMYFUNCTION("split(B321,""-"")"),14.0)</f>
        <v>14</v>
      </c>
      <c r="E321" s="4">
        <f>IFERROR(__xludf.DUMMYFUNCTION("""COMPUTED_VALUE"""),92.0)</f>
        <v>92</v>
      </c>
      <c r="F321" s="4">
        <f>IFERROR(__xludf.DUMMYFUNCTION("split(C321,""-"")"),15.0)</f>
        <v>15</v>
      </c>
      <c r="G321" s="4">
        <f>IFERROR(__xludf.DUMMYFUNCTION("""COMPUTED_VALUE"""),93.0)</f>
        <v>93</v>
      </c>
      <c r="H321" s="4">
        <f t="shared" si="1"/>
        <v>0</v>
      </c>
      <c r="J321" s="4">
        <f>IFERROR(__xludf.DUMMYFUNCTION("IFS(
ISBETWEEN(D321,F321,G321,TRUE,TRUE),1,
ISBETWEEN(E321,F321,G321,TRUE,TRUE),1,
ISBETWEEN(F321,D321,E321,TRUE,TRUE),1,
ISBETWEEN(G321,D321,E321,TRUE,TRUE),1,
1,0)"),1.0)</f>
        <v>1</v>
      </c>
    </row>
    <row r="322">
      <c r="A322" s="2" t="s">
        <v>321</v>
      </c>
      <c r="B322" s="1" t="str">
        <f>IFERROR(__xludf.DUMMYFUNCTION("SPLIT(A322,"","",)"),"18-19")</f>
        <v>18-19</v>
      </c>
      <c r="C322" s="1" t="str">
        <f>IFERROR(__xludf.DUMMYFUNCTION("""COMPUTED_VALUE"""),"18-98")</f>
        <v>18-98</v>
      </c>
      <c r="D322" s="4">
        <f>IFERROR(__xludf.DUMMYFUNCTION("split(B322,""-"")"),18.0)</f>
        <v>18</v>
      </c>
      <c r="E322" s="4">
        <f>IFERROR(__xludf.DUMMYFUNCTION("""COMPUTED_VALUE"""),19.0)</f>
        <v>19</v>
      </c>
      <c r="F322" s="4">
        <f>IFERROR(__xludf.DUMMYFUNCTION("split(C322,""-"")"),18.0)</f>
        <v>18</v>
      </c>
      <c r="G322" s="4">
        <f>IFERROR(__xludf.DUMMYFUNCTION("""COMPUTED_VALUE"""),98.0)</f>
        <v>98</v>
      </c>
      <c r="H322" s="4">
        <f t="shared" si="1"/>
        <v>1</v>
      </c>
      <c r="J322" s="4">
        <f>IFERROR(__xludf.DUMMYFUNCTION("IFS(
ISBETWEEN(D322,F322,G322,TRUE,TRUE),1,
ISBETWEEN(E322,F322,G322,TRUE,TRUE),1,
ISBETWEEN(F322,D322,E322,TRUE,TRUE),1,
ISBETWEEN(G322,D322,E322,TRUE,TRUE),1,
1,0)"),1.0)</f>
        <v>1</v>
      </c>
    </row>
    <row r="323">
      <c r="A323" s="2" t="s">
        <v>322</v>
      </c>
      <c r="B323" s="1" t="str">
        <f>IFERROR(__xludf.DUMMYFUNCTION("SPLIT(A323,"","",)"),"6-15")</f>
        <v>6-15</v>
      </c>
      <c r="C323" s="1" t="str">
        <f>IFERROR(__xludf.DUMMYFUNCTION("""COMPUTED_VALUE"""),"8-98")</f>
        <v>8-98</v>
      </c>
      <c r="D323" s="4">
        <f>IFERROR(__xludf.DUMMYFUNCTION("split(B323,""-"")"),6.0)</f>
        <v>6</v>
      </c>
      <c r="E323" s="4">
        <f>IFERROR(__xludf.DUMMYFUNCTION("""COMPUTED_VALUE"""),15.0)</f>
        <v>15</v>
      </c>
      <c r="F323" s="4">
        <f>IFERROR(__xludf.DUMMYFUNCTION("split(C323,""-"")"),8.0)</f>
        <v>8</v>
      </c>
      <c r="G323" s="4">
        <f>IFERROR(__xludf.DUMMYFUNCTION("""COMPUTED_VALUE"""),98.0)</f>
        <v>98</v>
      </c>
      <c r="H323" s="4">
        <f t="shared" si="1"/>
        <v>0</v>
      </c>
      <c r="J323" s="4">
        <f>IFERROR(__xludf.DUMMYFUNCTION("IFS(
ISBETWEEN(D323,F323,G323,TRUE,TRUE),1,
ISBETWEEN(E323,F323,G323,TRUE,TRUE),1,
ISBETWEEN(F323,D323,E323,TRUE,TRUE),1,
ISBETWEEN(G323,D323,E323,TRUE,TRUE),1,
1,0)"),1.0)</f>
        <v>1</v>
      </c>
    </row>
    <row r="324">
      <c r="A324" s="2" t="s">
        <v>323</v>
      </c>
      <c r="B324" s="1" t="str">
        <f>IFERROR(__xludf.DUMMYFUNCTION("SPLIT(A324,"","",)"),"7-88")</f>
        <v>7-88</v>
      </c>
      <c r="C324" s="1" t="str">
        <f>IFERROR(__xludf.DUMMYFUNCTION("""COMPUTED_VALUE"""),"6-87")</f>
        <v>6-87</v>
      </c>
      <c r="D324" s="4">
        <f>IFERROR(__xludf.DUMMYFUNCTION("split(B324,""-"")"),7.0)</f>
        <v>7</v>
      </c>
      <c r="E324" s="4">
        <f>IFERROR(__xludf.DUMMYFUNCTION("""COMPUTED_VALUE"""),88.0)</f>
        <v>88</v>
      </c>
      <c r="F324" s="4">
        <f>IFERROR(__xludf.DUMMYFUNCTION("split(C324,""-"")"),6.0)</f>
        <v>6</v>
      </c>
      <c r="G324" s="4">
        <f>IFERROR(__xludf.DUMMYFUNCTION("""COMPUTED_VALUE"""),87.0)</f>
        <v>87</v>
      </c>
      <c r="H324" s="4">
        <f t="shared" si="1"/>
        <v>0</v>
      </c>
      <c r="J324" s="4">
        <f>IFERROR(__xludf.DUMMYFUNCTION("IFS(
ISBETWEEN(D324,F324,G324,TRUE,TRUE),1,
ISBETWEEN(E324,F324,G324,TRUE,TRUE),1,
ISBETWEEN(F324,D324,E324,TRUE,TRUE),1,
ISBETWEEN(G324,D324,E324,TRUE,TRUE),1,
1,0)"),1.0)</f>
        <v>1</v>
      </c>
    </row>
    <row r="325">
      <c r="A325" s="2" t="s">
        <v>324</v>
      </c>
      <c r="B325" s="1" t="str">
        <f>IFERROR(__xludf.DUMMYFUNCTION("SPLIT(A325,"","",)"),"60-95")</f>
        <v>60-95</v>
      </c>
      <c r="C325" s="1" t="str">
        <f>IFERROR(__xludf.DUMMYFUNCTION("""COMPUTED_VALUE"""),"61-61")</f>
        <v>61-61</v>
      </c>
      <c r="D325" s="4">
        <f>IFERROR(__xludf.DUMMYFUNCTION("split(B325,""-"")"),60.0)</f>
        <v>60</v>
      </c>
      <c r="E325" s="4">
        <f>IFERROR(__xludf.DUMMYFUNCTION("""COMPUTED_VALUE"""),95.0)</f>
        <v>95</v>
      </c>
      <c r="F325" s="4">
        <f>IFERROR(__xludf.DUMMYFUNCTION("split(C325,""-"")"),61.0)</f>
        <v>61</v>
      </c>
      <c r="G325" s="4">
        <f>IFERROR(__xludf.DUMMYFUNCTION("""COMPUTED_VALUE"""),61.0)</f>
        <v>61</v>
      </c>
      <c r="H325" s="4">
        <f t="shared" si="1"/>
        <v>1</v>
      </c>
      <c r="J325" s="4">
        <f>IFERROR(__xludf.DUMMYFUNCTION("IFS(
ISBETWEEN(D325,F325,G325,TRUE,TRUE),1,
ISBETWEEN(E325,F325,G325,TRUE,TRUE),1,
ISBETWEEN(F325,D325,E325,TRUE,TRUE),1,
ISBETWEEN(G325,D325,E325,TRUE,TRUE),1,
1,0)"),1.0)</f>
        <v>1</v>
      </c>
    </row>
    <row r="326">
      <c r="A326" s="2" t="s">
        <v>325</v>
      </c>
      <c r="B326" s="1" t="str">
        <f>IFERROR(__xludf.DUMMYFUNCTION("SPLIT(A326,"","",)"),"71-82")</f>
        <v>71-82</v>
      </c>
      <c r="C326" s="1" t="str">
        <f>IFERROR(__xludf.DUMMYFUNCTION("""COMPUTED_VALUE"""),"71-83")</f>
        <v>71-83</v>
      </c>
      <c r="D326" s="4">
        <f>IFERROR(__xludf.DUMMYFUNCTION("split(B326,""-"")"),71.0)</f>
        <v>71</v>
      </c>
      <c r="E326" s="4">
        <f>IFERROR(__xludf.DUMMYFUNCTION("""COMPUTED_VALUE"""),82.0)</f>
        <v>82</v>
      </c>
      <c r="F326" s="4">
        <f>IFERROR(__xludf.DUMMYFUNCTION("split(C326,""-"")"),71.0)</f>
        <v>71</v>
      </c>
      <c r="G326" s="4">
        <f>IFERROR(__xludf.DUMMYFUNCTION("""COMPUTED_VALUE"""),83.0)</f>
        <v>83</v>
      </c>
      <c r="H326" s="4">
        <f t="shared" si="1"/>
        <v>1</v>
      </c>
      <c r="J326" s="4">
        <f>IFERROR(__xludf.DUMMYFUNCTION("IFS(
ISBETWEEN(D326,F326,G326,TRUE,TRUE),1,
ISBETWEEN(E326,F326,G326,TRUE,TRUE),1,
ISBETWEEN(F326,D326,E326,TRUE,TRUE),1,
ISBETWEEN(G326,D326,E326,TRUE,TRUE),1,
1,0)"),1.0)</f>
        <v>1</v>
      </c>
    </row>
    <row r="327">
      <c r="A327" s="2" t="s">
        <v>326</v>
      </c>
      <c r="B327" s="1" t="str">
        <f>IFERROR(__xludf.DUMMYFUNCTION("SPLIT(A327,"","",)"),"33-43")</f>
        <v>33-43</v>
      </c>
      <c r="C327" s="1" t="str">
        <f>IFERROR(__xludf.DUMMYFUNCTION("""COMPUTED_VALUE"""),"32-43")</f>
        <v>32-43</v>
      </c>
      <c r="D327" s="4">
        <f>IFERROR(__xludf.DUMMYFUNCTION("split(B327,""-"")"),33.0)</f>
        <v>33</v>
      </c>
      <c r="E327" s="4">
        <f>IFERROR(__xludf.DUMMYFUNCTION("""COMPUTED_VALUE"""),43.0)</f>
        <v>43</v>
      </c>
      <c r="F327" s="4">
        <f>IFERROR(__xludf.DUMMYFUNCTION("split(C327,""-"")"),32.0)</f>
        <v>32</v>
      </c>
      <c r="G327" s="4">
        <f>IFERROR(__xludf.DUMMYFUNCTION("""COMPUTED_VALUE"""),43.0)</f>
        <v>43</v>
      </c>
      <c r="H327" s="4">
        <f t="shared" si="1"/>
        <v>1</v>
      </c>
      <c r="J327" s="4">
        <f>IFERROR(__xludf.DUMMYFUNCTION("IFS(
ISBETWEEN(D327,F327,G327,TRUE,TRUE),1,
ISBETWEEN(E327,F327,G327,TRUE,TRUE),1,
ISBETWEEN(F327,D327,E327,TRUE,TRUE),1,
ISBETWEEN(G327,D327,E327,TRUE,TRUE),1,
1,0)"),1.0)</f>
        <v>1</v>
      </c>
    </row>
    <row r="328">
      <c r="A328" s="2" t="s">
        <v>327</v>
      </c>
      <c r="B328" s="1" t="str">
        <f>IFERROR(__xludf.DUMMYFUNCTION("SPLIT(A328,"","",)"),"5-39")</f>
        <v>5-39</v>
      </c>
      <c r="C328" s="1" t="str">
        <f>IFERROR(__xludf.DUMMYFUNCTION("""COMPUTED_VALUE"""),"5-63")</f>
        <v>5-63</v>
      </c>
      <c r="D328" s="4">
        <f>IFERROR(__xludf.DUMMYFUNCTION("split(B328,""-"")"),5.0)</f>
        <v>5</v>
      </c>
      <c r="E328" s="4">
        <f>IFERROR(__xludf.DUMMYFUNCTION("""COMPUTED_VALUE"""),39.0)</f>
        <v>39</v>
      </c>
      <c r="F328" s="4">
        <f>IFERROR(__xludf.DUMMYFUNCTION("split(C328,""-"")"),5.0)</f>
        <v>5</v>
      </c>
      <c r="G328" s="4">
        <f>IFERROR(__xludf.DUMMYFUNCTION("""COMPUTED_VALUE"""),63.0)</f>
        <v>63</v>
      </c>
      <c r="H328" s="4">
        <f t="shared" si="1"/>
        <v>1</v>
      </c>
      <c r="J328" s="4">
        <f>IFERROR(__xludf.DUMMYFUNCTION("IFS(
ISBETWEEN(D328,F328,G328,TRUE,TRUE),1,
ISBETWEEN(E328,F328,G328,TRUE,TRUE),1,
ISBETWEEN(F328,D328,E328,TRUE,TRUE),1,
ISBETWEEN(G328,D328,E328,TRUE,TRUE),1,
1,0)"),1.0)</f>
        <v>1</v>
      </c>
    </row>
    <row r="329">
      <c r="A329" s="2" t="s">
        <v>328</v>
      </c>
      <c r="B329" s="1" t="str">
        <f>IFERROR(__xludf.DUMMYFUNCTION("SPLIT(A329,"","",)"),"7-92")</f>
        <v>7-92</v>
      </c>
      <c r="C329" s="1" t="str">
        <f>IFERROR(__xludf.DUMMYFUNCTION("""COMPUTED_VALUE"""),"9-92")</f>
        <v>9-92</v>
      </c>
      <c r="D329" s="4">
        <f>IFERROR(__xludf.DUMMYFUNCTION("split(B329,""-"")"),7.0)</f>
        <v>7</v>
      </c>
      <c r="E329" s="4">
        <f>IFERROR(__xludf.DUMMYFUNCTION("""COMPUTED_VALUE"""),92.0)</f>
        <v>92</v>
      </c>
      <c r="F329" s="4">
        <f>IFERROR(__xludf.DUMMYFUNCTION("split(C329,""-"")"),9.0)</f>
        <v>9</v>
      </c>
      <c r="G329" s="4">
        <f>IFERROR(__xludf.DUMMYFUNCTION("""COMPUTED_VALUE"""),92.0)</f>
        <v>92</v>
      </c>
      <c r="H329" s="4">
        <f t="shared" si="1"/>
        <v>1</v>
      </c>
      <c r="J329" s="4">
        <f>IFERROR(__xludf.DUMMYFUNCTION("IFS(
ISBETWEEN(D329,F329,G329,TRUE,TRUE),1,
ISBETWEEN(E329,F329,G329,TRUE,TRUE),1,
ISBETWEEN(F329,D329,E329,TRUE,TRUE),1,
ISBETWEEN(G329,D329,E329,TRUE,TRUE),1,
1,0)"),1.0)</f>
        <v>1</v>
      </c>
    </row>
    <row r="330">
      <c r="A330" s="2" t="s">
        <v>329</v>
      </c>
      <c r="B330" s="1" t="str">
        <f>IFERROR(__xludf.DUMMYFUNCTION("SPLIT(A330,"","",)"),"43-43")</f>
        <v>43-43</v>
      </c>
      <c r="C330" s="1" t="str">
        <f>IFERROR(__xludf.DUMMYFUNCTION("""COMPUTED_VALUE"""),"33-42")</f>
        <v>33-42</v>
      </c>
      <c r="D330" s="4">
        <f>IFERROR(__xludf.DUMMYFUNCTION("split(B330,""-"")"),43.0)</f>
        <v>43</v>
      </c>
      <c r="E330" s="4">
        <f>IFERROR(__xludf.DUMMYFUNCTION("""COMPUTED_VALUE"""),43.0)</f>
        <v>43</v>
      </c>
      <c r="F330" s="4">
        <f>IFERROR(__xludf.DUMMYFUNCTION("split(C330,""-"")"),33.0)</f>
        <v>33</v>
      </c>
      <c r="G330" s="4">
        <f>IFERROR(__xludf.DUMMYFUNCTION("""COMPUTED_VALUE"""),42.0)</f>
        <v>42</v>
      </c>
      <c r="H330" s="4">
        <f t="shared" si="1"/>
        <v>0</v>
      </c>
      <c r="J330" s="4">
        <f>IFERROR(__xludf.DUMMYFUNCTION("IFS(
ISBETWEEN(D330,F330,G330,TRUE,TRUE),1,
ISBETWEEN(E330,F330,G330,TRUE,TRUE),1,
ISBETWEEN(F330,D330,E330,TRUE,TRUE),1,
ISBETWEEN(G330,D330,E330,TRUE,TRUE),1,
1,0)"),0.0)</f>
        <v>0</v>
      </c>
    </row>
    <row r="331">
      <c r="A331" s="2" t="s">
        <v>330</v>
      </c>
      <c r="B331" s="1" t="str">
        <f>IFERROR(__xludf.DUMMYFUNCTION("SPLIT(A331,"","",)"),"17-88")</f>
        <v>17-88</v>
      </c>
      <c r="C331" s="1" t="str">
        <f>IFERROR(__xludf.DUMMYFUNCTION("""COMPUTED_VALUE"""),"16-94")</f>
        <v>16-94</v>
      </c>
      <c r="D331" s="4">
        <f>IFERROR(__xludf.DUMMYFUNCTION("split(B331,""-"")"),17.0)</f>
        <v>17</v>
      </c>
      <c r="E331" s="4">
        <f>IFERROR(__xludf.DUMMYFUNCTION("""COMPUTED_VALUE"""),88.0)</f>
        <v>88</v>
      </c>
      <c r="F331" s="4">
        <f>IFERROR(__xludf.DUMMYFUNCTION("split(C331,""-"")"),16.0)</f>
        <v>16</v>
      </c>
      <c r="G331" s="4">
        <f>IFERROR(__xludf.DUMMYFUNCTION("""COMPUTED_VALUE"""),94.0)</f>
        <v>94</v>
      </c>
      <c r="H331" s="4">
        <f t="shared" si="1"/>
        <v>1</v>
      </c>
      <c r="J331" s="4">
        <f>IFERROR(__xludf.DUMMYFUNCTION("IFS(
ISBETWEEN(D331,F331,G331,TRUE,TRUE),1,
ISBETWEEN(E331,F331,G331,TRUE,TRUE),1,
ISBETWEEN(F331,D331,E331,TRUE,TRUE),1,
ISBETWEEN(G331,D331,E331,TRUE,TRUE),1,
1,0)"),1.0)</f>
        <v>1</v>
      </c>
    </row>
    <row r="332">
      <c r="A332" s="2" t="s">
        <v>331</v>
      </c>
      <c r="B332" s="1" t="str">
        <f>IFERROR(__xludf.DUMMYFUNCTION("SPLIT(A332,"","",)"),"13-53")</f>
        <v>13-53</v>
      </c>
      <c r="C332" s="1" t="str">
        <f>IFERROR(__xludf.DUMMYFUNCTION("""COMPUTED_VALUE"""),"52-53")</f>
        <v>52-53</v>
      </c>
      <c r="D332" s="4">
        <f>IFERROR(__xludf.DUMMYFUNCTION("split(B332,""-"")"),13.0)</f>
        <v>13</v>
      </c>
      <c r="E332" s="4">
        <f>IFERROR(__xludf.DUMMYFUNCTION("""COMPUTED_VALUE"""),53.0)</f>
        <v>53</v>
      </c>
      <c r="F332" s="4">
        <f>IFERROR(__xludf.DUMMYFUNCTION("split(C332,""-"")"),52.0)</f>
        <v>52</v>
      </c>
      <c r="G332" s="4">
        <f>IFERROR(__xludf.DUMMYFUNCTION("""COMPUTED_VALUE"""),53.0)</f>
        <v>53</v>
      </c>
      <c r="H332" s="4">
        <f t="shared" si="1"/>
        <v>1</v>
      </c>
      <c r="J332" s="4">
        <f>IFERROR(__xludf.DUMMYFUNCTION("IFS(
ISBETWEEN(D332,F332,G332,TRUE,TRUE),1,
ISBETWEEN(E332,F332,G332,TRUE,TRUE),1,
ISBETWEEN(F332,D332,E332,TRUE,TRUE),1,
ISBETWEEN(G332,D332,E332,TRUE,TRUE),1,
1,0)"),1.0)</f>
        <v>1</v>
      </c>
    </row>
    <row r="333">
      <c r="A333" s="2" t="s">
        <v>332</v>
      </c>
      <c r="B333" s="1" t="str">
        <f>IFERROR(__xludf.DUMMYFUNCTION("SPLIT(A333,"","",)"),"5-26")</f>
        <v>5-26</v>
      </c>
      <c r="C333" s="1" t="str">
        <f>IFERROR(__xludf.DUMMYFUNCTION("""COMPUTED_VALUE"""),"25-87")</f>
        <v>25-87</v>
      </c>
      <c r="D333" s="4">
        <f>IFERROR(__xludf.DUMMYFUNCTION("split(B333,""-"")"),5.0)</f>
        <v>5</v>
      </c>
      <c r="E333" s="4">
        <f>IFERROR(__xludf.DUMMYFUNCTION("""COMPUTED_VALUE"""),26.0)</f>
        <v>26</v>
      </c>
      <c r="F333" s="4">
        <f>IFERROR(__xludf.DUMMYFUNCTION("split(C333,""-"")"),25.0)</f>
        <v>25</v>
      </c>
      <c r="G333" s="4">
        <f>IFERROR(__xludf.DUMMYFUNCTION("""COMPUTED_VALUE"""),87.0)</f>
        <v>87</v>
      </c>
      <c r="H333" s="4">
        <f t="shared" si="1"/>
        <v>0</v>
      </c>
      <c r="J333" s="4">
        <f>IFERROR(__xludf.DUMMYFUNCTION("IFS(
ISBETWEEN(D333,F333,G333,TRUE,TRUE),1,
ISBETWEEN(E333,F333,G333,TRUE,TRUE),1,
ISBETWEEN(F333,D333,E333,TRUE,TRUE),1,
ISBETWEEN(G333,D333,E333,TRUE,TRUE),1,
1,0)"),1.0)</f>
        <v>1</v>
      </c>
    </row>
    <row r="334">
      <c r="A334" s="2" t="s">
        <v>333</v>
      </c>
      <c r="B334" s="1" t="str">
        <f>IFERROR(__xludf.DUMMYFUNCTION("SPLIT(A334,"","",)"),"8-74")</f>
        <v>8-74</v>
      </c>
      <c r="C334" s="1" t="str">
        <f>IFERROR(__xludf.DUMMYFUNCTION("""COMPUTED_VALUE"""),"73-74")</f>
        <v>73-74</v>
      </c>
      <c r="D334" s="4">
        <f>IFERROR(__xludf.DUMMYFUNCTION("split(B334,""-"")"),8.0)</f>
        <v>8</v>
      </c>
      <c r="E334" s="4">
        <f>IFERROR(__xludf.DUMMYFUNCTION("""COMPUTED_VALUE"""),74.0)</f>
        <v>74</v>
      </c>
      <c r="F334" s="4">
        <f>IFERROR(__xludf.DUMMYFUNCTION("split(C334,""-"")"),73.0)</f>
        <v>73</v>
      </c>
      <c r="G334" s="4">
        <f>IFERROR(__xludf.DUMMYFUNCTION("""COMPUTED_VALUE"""),74.0)</f>
        <v>74</v>
      </c>
      <c r="H334" s="4">
        <f t="shared" si="1"/>
        <v>1</v>
      </c>
      <c r="J334" s="4">
        <f>IFERROR(__xludf.DUMMYFUNCTION("IFS(
ISBETWEEN(D334,F334,G334,TRUE,TRUE),1,
ISBETWEEN(E334,F334,G334,TRUE,TRUE),1,
ISBETWEEN(F334,D334,E334,TRUE,TRUE),1,
ISBETWEEN(G334,D334,E334,TRUE,TRUE),1,
1,0)"),1.0)</f>
        <v>1</v>
      </c>
    </row>
    <row r="335">
      <c r="A335" s="2" t="s">
        <v>334</v>
      </c>
      <c r="B335" s="1" t="str">
        <f>IFERROR(__xludf.DUMMYFUNCTION("SPLIT(A335,"","",)"),"47-53")</f>
        <v>47-53</v>
      </c>
      <c r="C335" s="1" t="str">
        <f>IFERROR(__xludf.DUMMYFUNCTION("""COMPUTED_VALUE"""),"48-53")</f>
        <v>48-53</v>
      </c>
      <c r="D335" s="4">
        <f>IFERROR(__xludf.DUMMYFUNCTION("split(B335,""-"")"),47.0)</f>
        <v>47</v>
      </c>
      <c r="E335" s="4">
        <f>IFERROR(__xludf.DUMMYFUNCTION("""COMPUTED_VALUE"""),53.0)</f>
        <v>53</v>
      </c>
      <c r="F335" s="4">
        <f>IFERROR(__xludf.DUMMYFUNCTION("split(C335,""-"")"),48.0)</f>
        <v>48</v>
      </c>
      <c r="G335" s="4">
        <f>IFERROR(__xludf.DUMMYFUNCTION("""COMPUTED_VALUE"""),53.0)</f>
        <v>53</v>
      </c>
      <c r="H335" s="4">
        <f t="shared" si="1"/>
        <v>1</v>
      </c>
      <c r="J335" s="4">
        <f>IFERROR(__xludf.DUMMYFUNCTION("IFS(
ISBETWEEN(D335,F335,G335,TRUE,TRUE),1,
ISBETWEEN(E335,F335,G335,TRUE,TRUE),1,
ISBETWEEN(F335,D335,E335,TRUE,TRUE),1,
ISBETWEEN(G335,D335,E335,TRUE,TRUE),1,
1,0)"),1.0)</f>
        <v>1</v>
      </c>
    </row>
    <row r="336">
      <c r="A336" s="2" t="s">
        <v>335</v>
      </c>
      <c r="B336" s="1" t="str">
        <f>IFERROR(__xludf.DUMMYFUNCTION("SPLIT(A336,"","",)"),"24-26")</f>
        <v>24-26</v>
      </c>
      <c r="C336" s="1" t="str">
        <f>IFERROR(__xludf.DUMMYFUNCTION("""COMPUTED_VALUE"""),"24-26")</f>
        <v>24-26</v>
      </c>
      <c r="D336" s="4">
        <f>IFERROR(__xludf.DUMMYFUNCTION("split(B336,""-"")"),24.0)</f>
        <v>24</v>
      </c>
      <c r="E336" s="4">
        <f>IFERROR(__xludf.DUMMYFUNCTION("""COMPUTED_VALUE"""),26.0)</f>
        <v>26</v>
      </c>
      <c r="F336" s="4">
        <f>IFERROR(__xludf.DUMMYFUNCTION("split(C336,""-"")"),24.0)</f>
        <v>24</v>
      </c>
      <c r="G336" s="4">
        <f>IFERROR(__xludf.DUMMYFUNCTION("""COMPUTED_VALUE"""),26.0)</f>
        <v>26</v>
      </c>
      <c r="H336" s="4">
        <f t="shared" si="1"/>
        <v>1</v>
      </c>
      <c r="J336" s="4">
        <f>IFERROR(__xludf.DUMMYFUNCTION("IFS(
ISBETWEEN(D336,F336,G336,TRUE,TRUE),1,
ISBETWEEN(E336,F336,G336,TRUE,TRUE),1,
ISBETWEEN(F336,D336,E336,TRUE,TRUE),1,
ISBETWEEN(G336,D336,E336,TRUE,TRUE),1,
1,0)"),1.0)</f>
        <v>1</v>
      </c>
    </row>
    <row r="337">
      <c r="A337" s="2" t="s">
        <v>336</v>
      </c>
      <c r="B337" s="1" t="str">
        <f>IFERROR(__xludf.DUMMYFUNCTION("SPLIT(A337,"","",)"),"9-57")</f>
        <v>9-57</v>
      </c>
      <c r="C337" s="1" t="str">
        <f>IFERROR(__xludf.DUMMYFUNCTION("""COMPUTED_VALUE"""),"56-56")</f>
        <v>56-56</v>
      </c>
      <c r="D337" s="4">
        <f>IFERROR(__xludf.DUMMYFUNCTION("split(B337,""-"")"),9.0)</f>
        <v>9</v>
      </c>
      <c r="E337" s="4">
        <f>IFERROR(__xludf.DUMMYFUNCTION("""COMPUTED_VALUE"""),57.0)</f>
        <v>57</v>
      </c>
      <c r="F337" s="4">
        <f>IFERROR(__xludf.DUMMYFUNCTION("split(C337,""-"")"),56.0)</f>
        <v>56</v>
      </c>
      <c r="G337" s="4">
        <f>IFERROR(__xludf.DUMMYFUNCTION("""COMPUTED_VALUE"""),56.0)</f>
        <v>56</v>
      </c>
      <c r="H337" s="4">
        <f t="shared" si="1"/>
        <v>1</v>
      </c>
      <c r="J337" s="4">
        <f>IFERROR(__xludf.DUMMYFUNCTION("IFS(
ISBETWEEN(D337,F337,G337,TRUE,TRUE),1,
ISBETWEEN(E337,F337,G337,TRUE,TRUE),1,
ISBETWEEN(F337,D337,E337,TRUE,TRUE),1,
ISBETWEEN(G337,D337,E337,TRUE,TRUE),1,
1,0)"),1.0)</f>
        <v>1</v>
      </c>
    </row>
    <row r="338">
      <c r="A338" s="2" t="s">
        <v>337</v>
      </c>
      <c r="B338" s="1" t="str">
        <f>IFERROR(__xludf.DUMMYFUNCTION("SPLIT(A338,"","",)"),"44-63")</f>
        <v>44-63</v>
      </c>
      <c r="C338" s="1" t="str">
        <f>IFERROR(__xludf.DUMMYFUNCTION("""COMPUTED_VALUE"""),"44-89")</f>
        <v>44-89</v>
      </c>
      <c r="D338" s="4">
        <f>IFERROR(__xludf.DUMMYFUNCTION("split(B338,""-"")"),44.0)</f>
        <v>44</v>
      </c>
      <c r="E338" s="4">
        <f>IFERROR(__xludf.DUMMYFUNCTION("""COMPUTED_VALUE"""),63.0)</f>
        <v>63</v>
      </c>
      <c r="F338" s="4">
        <f>IFERROR(__xludf.DUMMYFUNCTION("split(C338,""-"")"),44.0)</f>
        <v>44</v>
      </c>
      <c r="G338" s="4">
        <f>IFERROR(__xludf.DUMMYFUNCTION("""COMPUTED_VALUE"""),89.0)</f>
        <v>89</v>
      </c>
      <c r="H338" s="4">
        <f t="shared" si="1"/>
        <v>1</v>
      </c>
      <c r="J338" s="4">
        <f>IFERROR(__xludf.DUMMYFUNCTION("IFS(
ISBETWEEN(D338,F338,G338,TRUE,TRUE),1,
ISBETWEEN(E338,F338,G338,TRUE,TRUE),1,
ISBETWEEN(F338,D338,E338,TRUE,TRUE),1,
ISBETWEEN(G338,D338,E338,TRUE,TRUE),1,
1,0)"),1.0)</f>
        <v>1</v>
      </c>
    </row>
    <row r="339">
      <c r="A339" s="2" t="s">
        <v>338</v>
      </c>
      <c r="B339" s="1" t="str">
        <f>IFERROR(__xludf.DUMMYFUNCTION("SPLIT(A339,"","",)"),"2-89")</f>
        <v>2-89</v>
      </c>
      <c r="C339" s="1" t="str">
        <f>IFERROR(__xludf.DUMMYFUNCTION("""COMPUTED_VALUE"""),"11-42")</f>
        <v>11-42</v>
      </c>
      <c r="D339" s="4">
        <f>IFERROR(__xludf.DUMMYFUNCTION("split(B339,""-"")"),2.0)</f>
        <v>2</v>
      </c>
      <c r="E339" s="4">
        <f>IFERROR(__xludf.DUMMYFUNCTION("""COMPUTED_VALUE"""),89.0)</f>
        <v>89</v>
      </c>
      <c r="F339" s="4">
        <f>IFERROR(__xludf.DUMMYFUNCTION("split(C339,""-"")"),11.0)</f>
        <v>11</v>
      </c>
      <c r="G339" s="4">
        <f>IFERROR(__xludf.DUMMYFUNCTION("""COMPUTED_VALUE"""),42.0)</f>
        <v>42</v>
      </c>
      <c r="H339" s="4">
        <f t="shared" si="1"/>
        <v>1</v>
      </c>
      <c r="J339" s="4">
        <f>IFERROR(__xludf.DUMMYFUNCTION("IFS(
ISBETWEEN(D339,F339,G339,TRUE,TRUE),1,
ISBETWEEN(E339,F339,G339,TRUE,TRUE),1,
ISBETWEEN(F339,D339,E339,TRUE,TRUE),1,
ISBETWEEN(G339,D339,E339,TRUE,TRUE),1,
1,0)"),1.0)</f>
        <v>1</v>
      </c>
    </row>
    <row r="340">
      <c r="A340" s="2" t="s">
        <v>339</v>
      </c>
      <c r="B340" s="1" t="str">
        <f>IFERROR(__xludf.DUMMYFUNCTION("SPLIT(A340,"","",)"),"82-82")</f>
        <v>82-82</v>
      </c>
      <c r="C340" s="1" t="str">
        <f>IFERROR(__xludf.DUMMYFUNCTION("""COMPUTED_VALUE"""),"1-82")</f>
        <v>1-82</v>
      </c>
      <c r="D340" s="4">
        <f>IFERROR(__xludf.DUMMYFUNCTION("split(B340,""-"")"),82.0)</f>
        <v>82</v>
      </c>
      <c r="E340" s="4">
        <f>IFERROR(__xludf.DUMMYFUNCTION("""COMPUTED_VALUE"""),82.0)</f>
        <v>82</v>
      </c>
      <c r="F340" s="4">
        <f>IFERROR(__xludf.DUMMYFUNCTION("split(C340,""-"")"),1.0)</f>
        <v>1</v>
      </c>
      <c r="G340" s="4">
        <f>IFERROR(__xludf.DUMMYFUNCTION("""COMPUTED_VALUE"""),82.0)</f>
        <v>82</v>
      </c>
      <c r="H340" s="4">
        <f t="shared" si="1"/>
        <v>1</v>
      </c>
      <c r="J340" s="4">
        <f>IFERROR(__xludf.DUMMYFUNCTION("IFS(
ISBETWEEN(D340,F340,G340,TRUE,TRUE),1,
ISBETWEEN(E340,F340,G340,TRUE,TRUE),1,
ISBETWEEN(F340,D340,E340,TRUE,TRUE),1,
ISBETWEEN(G340,D340,E340,TRUE,TRUE),1,
1,0)"),1.0)</f>
        <v>1</v>
      </c>
    </row>
    <row r="341">
      <c r="A341" s="2" t="s">
        <v>340</v>
      </c>
      <c r="B341" s="1" t="str">
        <f>IFERROR(__xludf.DUMMYFUNCTION("SPLIT(A341,"","",)"),"15-88")</f>
        <v>15-88</v>
      </c>
      <c r="C341" s="1" t="str">
        <f>IFERROR(__xludf.DUMMYFUNCTION("""COMPUTED_VALUE"""),"7-60")</f>
        <v>7-60</v>
      </c>
      <c r="D341" s="4">
        <f>IFERROR(__xludf.DUMMYFUNCTION("split(B341,""-"")"),15.0)</f>
        <v>15</v>
      </c>
      <c r="E341" s="4">
        <f>IFERROR(__xludf.DUMMYFUNCTION("""COMPUTED_VALUE"""),88.0)</f>
        <v>88</v>
      </c>
      <c r="F341" s="4">
        <f>IFERROR(__xludf.DUMMYFUNCTION("split(C341,""-"")"),7.0)</f>
        <v>7</v>
      </c>
      <c r="G341" s="4">
        <f>IFERROR(__xludf.DUMMYFUNCTION("""COMPUTED_VALUE"""),60.0)</f>
        <v>60</v>
      </c>
      <c r="H341" s="4">
        <f t="shared" si="1"/>
        <v>0</v>
      </c>
      <c r="J341" s="4">
        <f>IFERROR(__xludf.DUMMYFUNCTION("IFS(
ISBETWEEN(D341,F341,G341,TRUE,TRUE),1,
ISBETWEEN(E341,F341,G341,TRUE,TRUE),1,
ISBETWEEN(F341,D341,E341,TRUE,TRUE),1,
ISBETWEEN(G341,D341,E341,TRUE,TRUE),1,
1,0)"),1.0)</f>
        <v>1</v>
      </c>
    </row>
    <row r="342">
      <c r="A342" s="2" t="s">
        <v>341</v>
      </c>
      <c r="B342" s="1" t="str">
        <f>IFERROR(__xludf.DUMMYFUNCTION("SPLIT(A342,"","",)"),"11-94")</f>
        <v>11-94</v>
      </c>
      <c r="C342" s="1" t="str">
        <f>IFERROR(__xludf.DUMMYFUNCTION("""COMPUTED_VALUE"""),"12-93")</f>
        <v>12-93</v>
      </c>
      <c r="D342" s="4">
        <f>IFERROR(__xludf.DUMMYFUNCTION("split(B342,""-"")"),11.0)</f>
        <v>11</v>
      </c>
      <c r="E342" s="4">
        <f>IFERROR(__xludf.DUMMYFUNCTION("""COMPUTED_VALUE"""),94.0)</f>
        <v>94</v>
      </c>
      <c r="F342" s="4">
        <f>IFERROR(__xludf.DUMMYFUNCTION("split(C342,""-"")"),12.0)</f>
        <v>12</v>
      </c>
      <c r="G342" s="4">
        <f>IFERROR(__xludf.DUMMYFUNCTION("""COMPUTED_VALUE"""),93.0)</f>
        <v>93</v>
      </c>
      <c r="H342" s="4">
        <f t="shared" si="1"/>
        <v>1</v>
      </c>
      <c r="J342" s="4">
        <f>IFERROR(__xludf.DUMMYFUNCTION("IFS(
ISBETWEEN(D342,F342,G342,TRUE,TRUE),1,
ISBETWEEN(E342,F342,G342,TRUE,TRUE),1,
ISBETWEEN(F342,D342,E342,TRUE,TRUE),1,
ISBETWEEN(G342,D342,E342,TRUE,TRUE),1,
1,0)"),1.0)</f>
        <v>1</v>
      </c>
    </row>
    <row r="343">
      <c r="A343" s="2" t="s">
        <v>342</v>
      </c>
      <c r="B343" s="1" t="str">
        <f>IFERROR(__xludf.DUMMYFUNCTION("SPLIT(A343,"","",)"),"78-88")</f>
        <v>78-88</v>
      </c>
      <c r="C343" s="1" t="str">
        <f>IFERROR(__xludf.DUMMYFUNCTION("""COMPUTED_VALUE"""),"77-89")</f>
        <v>77-89</v>
      </c>
      <c r="D343" s="4">
        <f>IFERROR(__xludf.DUMMYFUNCTION("split(B343,""-"")"),78.0)</f>
        <v>78</v>
      </c>
      <c r="E343" s="4">
        <f>IFERROR(__xludf.DUMMYFUNCTION("""COMPUTED_VALUE"""),88.0)</f>
        <v>88</v>
      </c>
      <c r="F343" s="4">
        <f>IFERROR(__xludf.DUMMYFUNCTION("split(C343,""-"")"),77.0)</f>
        <v>77</v>
      </c>
      <c r="G343" s="4">
        <f>IFERROR(__xludf.DUMMYFUNCTION("""COMPUTED_VALUE"""),89.0)</f>
        <v>89</v>
      </c>
      <c r="H343" s="4">
        <f t="shared" si="1"/>
        <v>1</v>
      </c>
      <c r="J343" s="4">
        <f>IFERROR(__xludf.DUMMYFUNCTION("IFS(
ISBETWEEN(D343,F343,G343,TRUE,TRUE),1,
ISBETWEEN(E343,F343,G343,TRUE,TRUE),1,
ISBETWEEN(F343,D343,E343,TRUE,TRUE),1,
ISBETWEEN(G343,D343,E343,TRUE,TRUE),1,
1,0)"),1.0)</f>
        <v>1</v>
      </c>
    </row>
    <row r="344">
      <c r="A344" s="2" t="s">
        <v>343</v>
      </c>
      <c r="B344" s="1" t="str">
        <f>IFERROR(__xludf.DUMMYFUNCTION("SPLIT(A344,"","",)"),"67-78")</f>
        <v>67-78</v>
      </c>
      <c r="C344" s="1" t="str">
        <f>IFERROR(__xludf.DUMMYFUNCTION("""COMPUTED_VALUE"""),"54-68")</f>
        <v>54-68</v>
      </c>
      <c r="D344" s="4">
        <f>IFERROR(__xludf.DUMMYFUNCTION("split(B344,""-"")"),67.0)</f>
        <v>67</v>
      </c>
      <c r="E344" s="4">
        <f>IFERROR(__xludf.DUMMYFUNCTION("""COMPUTED_VALUE"""),78.0)</f>
        <v>78</v>
      </c>
      <c r="F344" s="4">
        <f>IFERROR(__xludf.DUMMYFUNCTION("split(C344,""-"")"),54.0)</f>
        <v>54</v>
      </c>
      <c r="G344" s="4">
        <f>IFERROR(__xludf.DUMMYFUNCTION("""COMPUTED_VALUE"""),68.0)</f>
        <v>68</v>
      </c>
      <c r="H344" s="4">
        <f t="shared" si="1"/>
        <v>0</v>
      </c>
      <c r="J344" s="4">
        <f>IFERROR(__xludf.DUMMYFUNCTION("IFS(
ISBETWEEN(D344,F344,G344,TRUE,TRUE),1,
ISBETWEEN(E344,F344,G344,TRUE,TRUE),1,
ISBETWEEN(F344,D344,E344,TRUE,TRUE),1,
ISBETWEEN(G344,D344,E344,TRUE,TRUE),1,
1,0)"),1.0)</f>
        <v>1</v>
      </c>
    </row>
    <row r="345">
      <c r="A345" s="2" t="s">
        <v>344</v>
      </c>
      <c r="B345" s="1" t="str">
        <f>IFERROR(__xludf.DUMMYFUNCTION("SPLIT(A345,"","",)"),"69-91")</f>
        <v>69-91</v>
      </c>
      <c r="C345" s="1" t="str">
        <f>IFERROR(__xludf.DUMMYFUNCTION("""COMPUTED_VALUE"""),"69-89")</f>
        <v>69-89</v>
      </c>
      <c r="D345" s="4">
        <f>IFERROR(__xludf.DUMMYFUNCTION("split(B345,""-"")"),69.0)</f>
        <v>69</v>
      </c>
      <c r="E345" s="4">
        <f>IFERROR(__xludf.DUMMYFUNCTION("""COMPUTED_VALUE"""),91.0)</f>
        <v>91</v>
      </c>
      <c r="F345" s="4">
        <f>IFERROR(__xludf.DUMMYFUNCTION("split(C345,""-"")"),69.0)</f>
        <v>69</v>
      </c>
      <c r="G345" s="4">
        <f>IFERROR(__xludf.DUMMYFUNCTION("""COMPUTED_VALUE"""),89.0)</f>
        <v>89</v>
      </c>
      <c r="H345" s="4">
        <f t="shared" si="1"/>
        <v>1</v>
      </c>
      <c r="J345" s="4">
        <f>IFERROR(__xludf.DUMMYFUNCTION("IFS(
ISBETWEEN(D345,F345,G345,TRUE,TRUE),1,
ISBETWEEN(E345,F345,G345,TRUE,TRUE),1,
ISBETWEEN(F345,D345,E345,TRUE,TRUE),1,
ISBETWEEN(G345,D345,E345,TRUE,TRUE),1,
1,0)"),1.0)</f>
        <v>1</v>
      </c>
    </row>
    <row r="346">
      <c r="A346" s="2" t="s">
        <v>345</v>
      </c>
      <c r="B346" s="1" t="str">
        <f>IFERROR(__xludf.DUMMYFUNCTION("SPLIT(A346,"","",)"),"17-33")</f>
        <v>17-33</v>
      </c>
      <c r="C346" s="1" t="str">
        <f>IFERROR(__xludf.DUMMYFUNCTION("""COMPUTED_VALUE"""),"12-13")</f>
        <v>12-13</v>
      </c>
      <c r="D346" s="4">
        <f>IFERROR(__xludf.DUMMYFUNCTION("split(B346,""-"")"),17.0)</f>
        <v>17</v>
      </c>
      <c r="E346" s="4">
        <f>IFERROR(__xludf.DUMMYFUNCTION("""COMPUTED_VALUE"""),33.0)</f>
        <v>33</v>
      </c>
      <c r="F346" s="4">
        <f>IFERROR(__xludf.DUMMYFUNCTION("split(C346,""-"")"),12.0)</f>
        <v>12</v>
      </c>
      <c r="G346" s="4">
        <f>IFERROR(__xludf.DUMMYFUNCTION("""COMPUTED_VALUE"""),13.0)</f>
        <v>13</v>
      </c>
      <c r="H346" s="4">
        <f t="shared" si="1"/>
        <v>0</v>
      </c>
      <c r="J346" s="4">
        <f>IFERROR(__xludf.DUMMYFUNCTION("IFS(
ISBETWEEN(D346,F346,G346,TRUE,TRUE),1,
ISBETWEEN(E346,F346,G346,TRUE,TRUE),1,
ISBETWEEN(F346,D346,E346,TRUE,TRUE),1,
ISBETWEEN(G346,D346,E346,TRUE,TRUE),1,
1,0)"),0.0)</f>
        <v>0</v>
      </c>
    </row>
    <row r="347">
      <c r="A347" s="2" t="s">
        <v>346</v>
      </c>
      <c r="B347" s="1" t="str">
        <f>IFERROR(__xludf.DUMMYFUNCTION("SPLIT(A347,"","",)"),"37-37")</f>
        <v>37-37</v>
      </c>
      <c r="C347" s="1" t="str">
        <f>IFERROR(__xludf.DUMMYFUNCTION("""COMPUTED_VALUE"""),"28-38")</f>
        <v>28-38</v>
      </c>
      <c r="D347" s="4">
        <f>IFERROR(__xludf.DUMMYFUNCTION("split(B347,""-"")"),37.0)</f>
        <v>37</v>
      </c>
      <c r="E347" s="4">
        <f>IFERROR(__xludf.DUMMYFUNCTION("""COMPUTED_VALUE"""),37.0)</f>
        <v>37</v>
      </c>
      <c r="F347" s="4">
        <f>IFERROR(__xludf.DUMMYFUNCTION("split(C347,""-"")"),28.0)</f>
        <v>28</v>
      </c>
      <c r="G347" s="4">
        <f>IFERROR(__xludf.DUMMYFUNCTION("""COMPUTED_VALUE"""),38.0)</f>
        <v>38</v>
      </c>
      <c r="H347" s="4">
        <f t="shared" si="1"/>
        <v>1</v>
      </c>
      <c r="J347" s="4">
        <f>IFERROR(__xludf.DUMMYFUNCTION("IFS(
ISBETWEEN(D347,F347,G347,TRUE,TRUE),1,
ISBETWEEN(E347,F347,G347,TRUE,TRUE),1,
ISBETWEEN(F347,D347,E347,TRUE,TRUE),1,
ISBETWEEN(G347,D347,E347,TRUE,TRUE),1,
1,0)"),1.0)</f>
        <v>1</v>
      </c>
    </row>
    <row r="348">
      <c r="A348" s="2" t="s">
        <v>347</v>
      </c>
      <c r="B348" s="1" t="str">
        <f>IFERROR(__xludf.DUMMYFUNCTION("SPLIT(A348,"","",)"),"28-96")</f>
        <v>28-96</v>
      </c>
      <c r="C348" s="1" t="str">
        <f>IFERROR(__xludf.DUMMYFUNCTION("""COMPUTED_VALUE"""),"12-91")</f>
        <v>12-91</v>
      </c>
      <c r="D348" s="4">
        <f>IFERROR(__xludf.DUMMYFUNCTION("split(B348,""-"")"),28.0)</f>
        <v>28</v>
      </c>
      <c r="E348" s="4">
        <f>IFERROR(__xludf.DUMMYFUNCTION("""COMPUTED_VALUE"""),96.0)</f>
        <v>96</v>
      </c>
      <c r="F348" s="4">
        <f>IFERROR(__xludf.DUMMYFUNCTION("split(C348,""-"")"),12.0)</f>
        <v>12</v>
      </c>
      <c r="G348" s="4">
        <f>IFERROR(__xludf.DUMMYFUNCTION("""COMPUTED_VALUE"""),91.0)</f>
        <v>91</v>
      </c>
      <c r="H348" s="4">
        <f t="shared" si="1"/>
        <v>0</v>
      </c>
      <c r="J348" s="4">
        <f>IFERROR(__xludf.DUMMYFUNCTION("IFS(
ISBETWEEN(D348,F348,G348,TRUE,TRUE),1,
ISBETWEEN(E348,F348,G348,TRUE,TRUE),1,
ISBETWEEN(F348,D348,E348,TRUE,TRUE),1,
ISBETWEEN(G348,D348,E348,TRUE,TRUE),1,
1,0)"),1.0)</f>
        <v>1</v>
      </c>
    </row>
    <row r="349">
      <c r="A349" s="2" t="s">
        <v>348</v>
      </c>
      <c r="B349" s="1" t="str">
        <f>IFERROR(__xludf.DUMMYFUNCTION("SPLIT(A349,"","",)"),"99-99")</f>
        <v>99-99</v>
      </c>
      <c r="C349" s="1" t="str">
        <f>IFERROR(__xludf.DUMMYFUNCTION("""COMPUTED_VALUE"""),"1-98")</f>
        <v>1-98</v>
      </c>
      <c r="D349" s="4">
        <f>IFERROR(__xludf.DUMMYFUNCTION("split(B349,""-"")"),99.0)</f>
        <v>99</v>
      </c>
      <c r="E349" s="4">
        <f>IFERROR(__xludf.DUMMYFUNCTION("""COMPUTED_VALUE"""),99.0)</f>
        <v>99</v>
      </c>
      <c r="F349" s="4">
        <f>IFERROR(__xludf.DUMMYFUNCTION("split(C349,""-"")"),1.0)</f>
        <v>1</v>
      </c>
      <c r="G349" s="4">
        <f>IFERROR(__xludf.DUMMYFUNCTION("""COMPUTED_VALUE"""),98.0)</f>
        <v>98</v>
      </c>
      <c r="H349" s="4">
        <f t="shared" si="1"/>
        <v>0</v>
      </c>
      <c r="J349" s="4">
        <f>IFERROR(__xludf.DUMMYFUNCTION("IFS(
ISBETWEEN(D349,F349,G349,TRUE,TRUE),1,
ISBETWEEN(E349,F349,G349,TRUE,TRUE),1,
ISBETWEEN(F349,D349,E349,TRUE,TRUE),1,
ISBETWEEN(G349,D349,E349,TRUE,TRUE),1,
1,0)"),0.0)</f>
        <v>0</v>
      </c>
    </row>
    <row r="350">
      <c r="A350" s="2" t="s">
        <v>349</v>
      </c>
      <c r="B350" s="1" t="str">
        <f>IFERROR(__xludf.DUMMYFUNCTION("SPLIT(A350,"","",)"),"25-60")</f>
        <v>25-60</v>
      </c>
      <c r="C350" s="1" t="str">
        <f>IFERROR(__xludf.DUMMYFUNCTION("""COMPUTED_VALUE"""),"15-26")</f>
        <v>15-26</v>
      </c>
      <c r="D350" s="4">
        <f>IFERROR(__xludf.DUMMYFUNCTION("split(B350,""-"")"),25.0)</f>
        <v>25</v>
      </c>
      <c r="E350" s="4">
        <f>IFERROR(__xludf.DUMMYFUNCTION("""COMPUTED_VALUE"""),60.0)</f>
        <v>60</v>
      </c>
      <c r="F350" s="4">
        <f>IFERROR(__xludf.DUMMYFUNCTION("split(C350,""-"")"),15.0)</f>
        <v>15</v>
      </c>
      <c r="G350" s="4">
        <f>IFERROR(__xludf.DUMMYFUNCTION("""COMPUTED_VALUE"""),26.0)</f>
        <v>26</v>
      </c>
      <c r="H350" s="4">
        <f t="shared" si="1"/>
        <v>0</v>
      </c>
      <c r="J350" s="4">
        <f>IFERROR(__xludf.DUMMYFUNCTION("IFS(
ISBETWEEN(D350,F350,G350,TRUE,TRUE),1,
ISBETWEEN(E350,F350,G350,TRUE,TRUE),1,
ISBETWEEN(F350,D350,E350,TRUE,TRUE),1,
ISBETWEEN(G350,D350,E350,TRUE,TRUE),1,
1,0)"),1.0)</f>
        <v>1</v>
      </c>
    </row>
    <row r="351">
      <c r="A351" s="2" t="s">
        <v>350</v>
      </c>
      <c r="B351" s="1" t="str">
        <f>IFERROR(__xludf.DUMMYFUNCTION("SPLIT(A351,"","",)"),"96-96")</f>
        <v>96-96</v>
      </c>
      <c r="C351" s="1" t="str">
        <f>IFERROR(__xludf.DUMMYFUNCTION("""COMPUTED_VALUE"""),"57-96")</f>
        <v>57-96</v>
      </c>
      <c r="D351" s="4">
        <f>IFERROR(__xludf.DUMMYFUNCTION("split(B351,""-"")"),96.0)</f>
        <v>96</v>
      </c>
      <c r="E351" s="4">
        <f>IFERROR(__xludf.DUMMYFUNCTION("""COMPUTED_VALUE"""),96.0)</f>
        <v>96</v>
      </c>
      <c r="F351" s="4">
        <f>IFERROR(__xludf.DUMMYFUNCTION("split(C351,""-"")"),57.0)</f>
        <v>57</v>
      </c>
      <c r="G351" s="4">
        <f>IFERROR(__xludf.DUMMYFUNCTION("""COMPUTED_VALUE"""),96.0)</f>
        <v>96</v>
      </c>
      <c r="H351" s="4">
        <f t="shared" si="1"/>
        <v>1</v>
      </c>
      <c r="J351" s="4">
        <f>IFERROR(__xludf.DUMMYFUNCTION("IFS(
ISBETWEEN(D351,F351,G351,TRUE,TRUE),1,
ISBETWEEN(E351,F351,G351,TRUE,TRUE),1,
ISBETWEEN(F351,D351,E351,TRUE,TRUE),1,
ISBETWEEN(G351,D351,E351,TRUE,TRUE),1,
1,0)"),1.0)</f>
        <v>1</v>
      </c>
    </row>
    <row r="352">
      <c r="A352" s="2" t="s">
        <v>351</v>
      </c>
      <c r="B352" s="1" t="str">
        <f>IFERROR(__xludf.DUMMYFUNCTION("SPLIT(A352,"","",)"),"25-28")</f>
        <v>25-28</v>
      </c>
      <c r="C352" s="1" t="str">
        <f>IFERROR(__xludf.DUMMYFUNCTION("""COMPUTED_VALUE"""),"55-95")</f>
        <v>55-95</v>
      </c>
      <c r="D352" s="4">
        <f>IFERROR(__xludf.DUMMYFUNCTION("split(B352,""-"")"),25.0)</f>
        <v>25</v>
      </c>
      <c r="E352" s="4">
        <f>IFERROR(__xludf.DUMMYFUNCTION("""COMPUTED_VALUE"""),28.0)</f>
        <v>28</v>
      </c>
      <c r="F352" s="4">
        <f>IFERROR(__xludf.DUMMYFUNCTION("split(C352,""-"")"),55.0)</f>
        <v>55</v>
      </c>
      <c r="G352" s="4">
        <f>IFERROR(__xludf.DUMMYFUNCTION("""COMPUTED_VALUE"""),95.0)</f>
        <v>95</v>
      </c>
      <c r="H352" s="4">
        <f t="shared" si="1"/>
        <v>0</v>
      </c>
      <c r="J352" s="4">
        <f>IFERROR(__xludf.DUMMYFUNCTION("IFS(
ISBETWEEN(D352,F352,G352,TRUE,TRUE),1,
ISBETWEEN(E352,F352,G352,TRUE,TRUE),1,
ISBETWEEN(F352,D352,E352,TRUE,TRUE),1,
ISBETWEEN(G352,D352,E352,TRUE,TRUE),1,
1,0)"),0.0)</f>
        <v>0</v>
      </c>
    </row>
    <row r="353">
      <c r="A353" s="2" t="s">
        <v>352</v>
      </c>
      <c r="B353" s="1" t="str">
        <f>IFERROR(__xludf.DUMMYFUNCTION("SPLIT(A353,"","",)"),"9-52")</f>
        <v>9-52</v>
      </c>
      <c r="C353" s="1" t="str">
        <f>IFERROR(__xludf.DUMMYFUNCTION("""COMPUTED_VALUE"""),"47-50")</f>
        <v>47-50</v>
      </c>
      <c r="D353" s="4">
        <f>IFERROR(__xludf.DUMMYFUNCTION("split(B353,""-"")"),9.0)</f>
        <v>9</v>
      </c>
      <c r="E353" s="4">
        <f>IFERROR(__xludf.DUMMYFUNCTION("""COMPUTED_VALUE"""),52.0)</f>
        <v>52</v>
      </c>
      <c r="F353" s="4">
        <f>IFERROR(__xludf.DUMMYFUNCTION("split(C353,""-"")"),47.0)</f>
        <v>47</v>
      </c>
      <c r="G353" s="4">
        <f>IFERROR(__xludf.DUMMYFUNCTION("""COMPUTED_VALUE"""),50.0)</f>
        <v>50</v>
      </c>
      <c r="H353" s="4">
        <f t="shared" si="1"/>
        <v>1</v>
      </c>
      <c r="J353" s="4">
        <f>IFERROR(__xludf.DUMMYFUNCTION("IFS(
ISBETWEEN(D353,F353,G353,TRUE,TRUE),1,
ISBETWEEN(E353,F353,G353,TRUE,TRUE),1,
ISBETWEEN(F353,D353,E353,TRUE,TRUE),1,
ISBETWEEN(G353,D353,E353,TRUE,TRUE),1,
1,0)"),1.0)</f>
        <v>1</v>
      </c>
    </row>
    <row r="354">
      <c r="A354" s="2" t="s">
        <v>353</v>
      </c>
      <c r="B354" s="1" t="str">
        <f>IFERROR(__xludf.DUMMYFUNCTION("SPLIT(A354,"","",)"),"59-93")</f>
        <v>59-93</v>
      </c>
      <c r="C354" s="1" t="str">
        <f>IFERROR(__xludf.DUMMYFUNCTION("""COMPUTED_VALUE"""),"17-94")</f>
        <v>17-94</v>
      </c>
      <c r="D354" s="4">
        <f>IFERROR(__xludf.DUMMYFUNCTION("split(B354,""-"")"),59.0)</f>
        <v>59</v>
      </c>
      <c r="E354" s="4">
        <f>IFERROR(__xludf.DUMMYFUNCTION("""COMPUTED_VALUE"""),93.0)</f>
        <v>93</v>
      </c>
      <c r="F354" s="4">
        <f>IFERROR(__xludf.DUMMYFUNCTION("split(C354,""-"")"),17.0)</f>
        <v>17</v>
      </c>
      <c r="G354" s="4">
        <f>IFERROR(__xludf.DUMMYFUNCTION("""COMPUTED_VALUE"""),94.0)</f>
        <v>94</v>
      </c>
      <c r="H354" s="4">
        <f t="shared" si="1"/>
        <v>1</v>
      </c>
      <c r="J354" s="4">
        <f>IFERROR(__xludf.DUMMYFUNCTION("IFS(
ISBETWEEN(D354,F354,G354,TRUE,TRUE),1,
ISBETWEEN(E354,F354,G354,TRUE,TRUE),1,
ISBETWEEN(F354,D354,E354,TRUE,TRUE),1,
ISBETWEEN(G354,D354,E354,TRUE,TRUE),1,
1,0)"),1.0)</f>
        <v>1</v>
      </c>
    </row>
    <row r="355">
      <c r="A355" s="2" t="s">
        <v>354</v>
      </c>
      <c r="B355" s="1" t="str">
        <f>IFERROR(__xludf.DUMMYFUNCTION("SPLIT(A355,"","",)"),"20-80")</f>
        <v>20-80</v>
      </c>
      <c r="C355" s="1" t="str">
        <f>IFERROR(__xludf.DUMMYFUNCTION("""COMPUTED_VALUE"""),"21-21")</f>
        <v>21-21</v>
      </c>
      <c r="D355" s="4">
        <f>IFERROR(__xludf.DUMMYFUNCTION("split(B355,""-"")"),20.0)</f>
        <v>20</v>
      </c>
      <c r="E355" s="4">
        <f>IFERROR(__xludf.DUMMYFUNCTION("""COMPUTED_VALUE"""),80.0)</f>
        <v>80</v>
      </c>
      <c r="F355" s="4">
        <f>IFERROR(__xludf.DUMMYFUNCTION("split(C355,""-"")"),21.0)</f>
        <v>21</v>
      </c>
      <c r="G355" s="4">
        <f>IFERROR(__xludf.DUMMYFUNCTION("""COMPUTED_VALUE"""),21.0)</f>
        <v>21</v>
      </c>
      <c r="H355" s="4">
        <f t="shared" si="1"/>
        <v>1</v>
      </c>
      <c r="J355" s="4">
        <f>IFERROR(__xludf.DUMMYFUNCTION("IFS(
ISBETWEEN(D355,F355,G355,TRUE,TRUE),1,
ISBETWEEN(E355,F355,G355,TRUE,TRUE),1,
ISBETWEEN(F355,D355,E355,TRUE,TRUE),1,
ISBETWEEN(G355,D355,E355,TRUE,TRUE),1,
1,0)"),1.0)</f>
        <v>1</v>
      </c>
    </row>
    <row r="356">
      <c r="A356" s="2" t="s">
        <v>355</v>
      </c>
      <c r="B356" s="1" t="str">
        <f>IFERROR(__xludf.DUMMYFUNCTION("SPLIT(A356,"","",)"),"49-73")</f>
        <v>49-73</v>
      </c>
      <c r="C356" s="1" t="str">
        <f>IFERROR(__xludf.DUMMYFUNCTION("""COMPUTED_VALUE"""),"48-73")</f>
        <v>48-73</v>
      </c>
      <c r="D356" s="4">
        <f>IFERROR(__xludf.DUMMYFUNCTION("split(B356,""-"")"),49.0)</f>
        <v>49</v>
      </c>
      <c r="E356" s="4">
        <f>IFERROR(__xludf.DUMMYFUNCTION("""COMPUTED_VALUE"""),73.0)</f>
        <v>73</v>
      </c>
      <c r="F356" s="4">
        <f>IFERROR(__xludf.DUMMYFUNCTION("split(C356,""-"")"),48.0)</f>
        <v>48</v>
      </c>
      <c r="G356" s="4">
        <f>IFERROR(__xludf.DUMMYFUNCTION("""COMPUTED_VALUE"""),73.0)</f>
        <v>73</v>
      </c>
      <c r="H356" s="4">
        <f t="shared" si="1"/>
        <v>1</v>
      </c>
      <c r="J356" s="4">
        <f>IFERROR(__xludf.DUMMYFUNCTION("IFS(
ISBETWEEN(D356,F356,G356,TRUE,TRUE),1,
ISBETWEEN(E356,F356,G356,TRUE,TRUE),1,
ISBETWEEN(F356,D356,E356,TRUE,TRUE),1,
ISBETWEEN(G356,D356,E356,TRUE,TRUE),1,
1,0)"),1.0)</f>
        <v>1</v>
      </c>
    </row>
    <row r="357">
      <c r="A357" s="2" t="s">
        <v>356</v>
      </c>
      <c r="B357" s="1" t="str">
        <f>IFERROR(__xludf.DUMMYFUNCTION("SPLIT(A357,"","",)"),"34-77")</f>
        <v>34-77</v>
      </c>
      <c r="C357" s="1" t="str">
        <f>IFERROR(__xludf.DUMMYFUNCTION("""COMPUTED_VALUE"""),"33-76")</f>
        <v>33-76</v>
      </c>
      <c r="D357" s="4">
        <f>IFERROR(__xludf.DUMMYFUNCTION("split(B357,""-"")"),34.0)</f>
        <v>34</v>
      </c>
      <c r="E357" s="4">
        <f>IFERROR(__xludf.DUMMYFUNCTION("""COMPUTED_VALUE"""),77.0)</f>
        <v>77</v>
      </c>
      <c r="F357" s="4">
        <f>IFERROR(__xludf.DUMMYFUNCTION("split(C357,""-"")"),33.0)</f>
        <v>33</v>
      </c>
      <c r="G357" s="4">
        <f>IFERROR(__xludf.DUMMYFUNCTION("""COMPUTED_VALUE"""),76.0)</f>
        <v>76</v>
      </c>
      <c r="H357" s="4">
        <f t="shared" si="1"/>
        <v>0</v>
      </c>
      <c r="J357" s="4">
        <f>IFERROR(__xludf.DUMMYFUNCTION("IFS(
ISBETWEEN(D357,F357,G357,TRUE,TRUE),1,
ISBETWEEN(E357,F357,G357,TRUE,TRUE),1,
ISBETWEEN(F357,D357,E357,TRUE,TRUE),1,
ISBETWEEN(G357,D357,E357,TRUE,TRUE),1,
1,0)"),1.0)</f>
        <v>1</v>
      </c>
    </row>
    <row r="358">
      <c r="A358" s="2" t="s">
        <v>357</v>
      </c>
      <c r="B358" s="1" t="str">
        <f>IFERROR(__xludf.DUMMYFUNCTION("SPLIT(A358,"","",)"),"55-55")</f>
        <v>55-55</v>
      </c>
      <c r="C358" s="1" t="str">
        <f>IFERROR(__xludf.DUMMYFUNCTION("""COMPUTED_VALUE"""),"4-56")</f>
        <v>4-56</v>
      </c>
      <c r="D358" s="4">
        <f>IFERROR(__xludf.DUMMYFUNCTION("split(B358,""-"")"),55.0)</f>
        <v>55</v>
      </c>
      <c r="E358" s="4">
        <f>IFERROR(__xludf.DUMMYFUNCTION("""COMPUTED_VALUE"""),55.0)</f>
        <v>55</v>
      </c>
      <c r="F358" s="4">
        <f>IFERROR(__xludf.DUMMYFUNCTION("split(C358,""-"")"),4.0)</f>
        <v>4</v>
      </c>
      <c r="G358" s="4">
        <f>IFERROR(__xludf.DUMMYFUNCTION("""COMPUTED_VALUE"""),56.0)</f>
        <v>56</v>
      </c>
      <c r="H358" s="4">
        <f t="shared" si="1"/>
        <v>1</v>
      </c>
      <c r="J358" s="4">
        <f>IFERROR(__xludf.DUMMYFUNCTION("IFS(
ISBETWEEN(D358,F358,G358,TRUE,TRUE),1,
ISBETWEEN(E358,F358,G358,TRUE,TRUE),1,
ISBETWEEN(F358,D358,E358,TRUE,TRUE),1,
ISBETWEEN(G358,D358,E358,TRUE,TRUE),1,
1,0)"),1.0)</f>
        <v>1</v>
      </c>
    </row>
    <row r="359">
      <c r="A359" s="2" t="s">
        <v>358</v>
      </c>
      <c r="B359" s="1" t="str">
        <f>IFERROR(__xludf.DUMMYFUNCTION("SPLIT(A359,"","",)"),"8-56")</f>
        <v>8-56</v>
      </c>
      <c r="C359" s="1" t="str">
        <f>IFERROR(__xludf.DUMMYFUNCTION("""COMPUTED_VALUE"""),"7-55")</f>
        <v>7-55</v>
      </c>
      <c r="D359" s="4">
        <f>IFERROR(__xludf.DUMMYFUNCTION("split(B359,""-"")"),8.0)</f>
        <v>8</v>
      </c>
      <c r="E359" s="4">
        <f>IFERROR(__xludf.DUMMYFUNCTION("""COMPUTED_VALUE"""),56.0)</f>
        <v>56</v>
      </c>
      <c r="F359" s="4">
        <f>IFERROR(__xludf.DUMMYFUNCTION("split(C359,""-"")"),7.0)</f>
        <v>7</v>
      </c>
      <c r="G359" s="4">
        <f>IFERROR(__xludf.DUMMYFUNCTION("""COMPUTED_VALUE"""),55.0)</f>
        <v>55</v>
      </c>
      <c r="H359" s="4">
        <f t="shared" si="1"/>
        <v>0</v>
      </c>
      <c r="J359" s="4">
        <f>IFERROR(__xludf.DUMMYFUNCTION("IFS(
ISBETWEEN(D359,F359,G359,TRUE,TRUE),1,
ISBETWEEN(E359,F359,G359,TRUE,TRUE),1,
ISBETWEEN(F359,D359,E359,TRUE,TRUE),1,
ISBETWEEN(G359,D359,E359,TRUE,TRUE),1,
1,0)"),1.0)</f>
        <v>1</v>
      </c>
    </row>
    <row r="360">
      <c r="A360" s="2" t="s">
        <v>359</v>
      </c>
      <c r="B360" s="1" t="str">
        <f>IFERROR(__xludf.DUMMYFUNCTION("SPLIT(A360,"","",)"),"2-99")</f>
        <v>2-99</v>
      </c>
      <c r="C360" s="1" t="str">
        <f>IFERROR(__xludf.DUMMYFUNCTION("""COMPUTED_VALUE"""),"2-97")</f>
        <v>2-97</v>
      </c>
      <c r="D360" s="4">
        <f>IFERROR(__xludf.DUMMYFUNCTION("split(B360,""-"")"),2.0)</f>
        <v>2</v>
      </c>
      <c r="E360" s="4">
        <f>IFERROR(__xludf.DUMMYFUNCTION("""COMPUTED_VALUE"""),99.0)</f>
        <v>99</v>
      </c>
      <c r="F360" s="4">
        <f>IFERROR(__xludf.DUMMYFUNCTION("split(C360,""-"")"),2.0)</f>
        <v>2</v>
      </c>
      <c r="G360" s="4">
        <f>IFERROR(__xludf.DUMMYFUNCTION("""COMPUTED_VALUE"""),97.0)</f>
        <v>97</v>
      </c>
      <c r="H360" s="4">
        <f t="shared" si="1"/>
        <v>1</v>
      </c>
      <c r="J360" s="4">
        <f>IFERROR(__xludf.DUMMYFUNCTION("IFS(
ISBETWEEN(D360,F360,G360,TRUE,TRUE),1,
ISBETWEEN(E360,F360,G360,TRUE,TRUE),1,
ISBETWEEN(F360,D360,E360,TRUE,TRUE),1,
ISBETWEEN(G360,D360,E360,TRUE,TRUE),1,
1,0)"),1.0)</f>
        <v>1</v>
      </c>
    </row>
    <row r="361">
      <c r="A361" s="2" t="s">
        <v>360</v>
      </c>
      <c r="B361" s="1" t="str">
        <f>IFERROR(__xludf.DUMMYFUNCTION("SPLIT(A361,"","",)"),"8-70")</f>
        <v>8-70</v>
      </c>
      <c r="C361" s="1" t="str">
        <f>IFERROR(__xludf.DUMMYFUNCTION("""COMPUTED_VALUE"""),"8-69")</f>
        <v>8-69</v>
      </c>
      <c r="D361" s="4">
        <f>IFERROR(__xludf.DUMMYFUNCTION("split(B361,""-"")"),8.0)</f>
        <v>8</v>
      </c>
      <c r="E361" s="4">
        <f>IFERROR(__xludf.DUMMYFUNCTION("""COMPUTED_VALUE"""),70.0)</f>
        <v>70</v>
      </c>
      <c r="F361" s="4">
        <f>IFERROR(__xludf.DUMMYFUNCTION("split(C361,""-"")"),8.0)</f>
        <v>8</v>
      </c>
      <c r="G361" s="4">
        <f>IFERROR(__xludf.DUMMYFUNCTION("""COMPUTED_VALUE"""),69.0)</f>
        <v>69</v>
      </c>
      <c r="H361" s="4">
        <f t="shared" si="1"/>
        <v>1</v>
      </c>
      <c r="J361" s="4">
        <f>IFERROR(__xludf.DUMMYFUNCTION("IFS(
ISBETWEEN(D361,F361,G361,TRUE,TRUE),1,
ISBETWEEN(E361,F361,G361,TRUE,TRUE),1,
ISBETWEEN(F361,D361,E361,TRUE,TRUE),1,
ISBETWEEN(G361,D361,E361,TRUE,TRUE),1,
1,0)"),1.0)</f>
        <v>1</v>
      </c>
    </row>
    <row r="362">
      <c r="A362" s="2" t="s">
        <v>361</v>
      </c>
      <c r="B362" s="1" t="str">
        <f>IFERROR(__xludf.DUMMYFUNCTION("SPLIT(A362,"","",)"),"90-99")</f>
        <v>90-99</v>
      </c>
      <c r="C362" s="1" t="str">
        <f>IFERROR(__xludf.DUMMYFUNCTION("""COMPUTED_VALUE"""),"92-98")</f>
        <v>92-98</v>
      </c>
      <c r="D362" s="4">
        <f>IFERROR(__xludf.DUMMYFUNCTION("split(B362,""-"")"),90.0)</f>
        <v>90</v>
      </c>
      <c r="E362" s="4">
        <f>IFERROR(__xludf.DUMMYFUNCTION("""COMPUTED_VALUE"""),99.0)</f>
        <v>99</v>
      </c>
      <c r="F362" s="4">
        <f>IFERROR(__xludf.DUMMYFUNCTION("split(C362,""-"")"),92.0)</f>
        <v>92</v>
      </c>
      <c r="G362" s="4">
        <f>IFERROR(__xludf.DUMMYFUNCTION("""COMPUTED_VALUE"""),98.0)</f>
        <v>98</v>
      </c>
      <c r="H362" s="4">
        <f t="shared" si="1"/>
        <v>1</v>
      </c>
      <c r="J362" s="4">
        <f>IFERROR(__xludf.DUMMYFUNCTION("IFS(
ISBETWEEN(D362,F362,G362,TRUE,TRUE),1,
ISBETWEEN(E362,F362,G362,TRUE,TRUE),1,
ISBETWEEN(F362,D362,E362,TRUE,TRUE),1,
ISBETWEEN(G362,D362,E362,TRUE,TRUE),1,
1,0)"),1.0)</f>
        <v>1</v>
      </c>
    </row>
    <row r="363">
      <c r="A363" s="2" t="s">
        <v>362</v>
      </c>
      <c r="B363" s="1" t="str">
        <f>IFERROR(__xludf.DUMMYFUNCTION("SPLIT(A363,"","",)"),"28-72")</f>
        <v>28-72</v>
      </c>
      <c r="C363" s="1" t="str">
        <f>IFERROR(__xludf.DUMMYFUNCTION("""COMPUTED_VALUE"""),"27-73")</f>
        <v>27-73</v>
      </c>
      <c r="D363" s="4">
        <f>IFERROR(__xludf.DUMMYFUNCTION("split(B363,""-"")"),28.0)</f>
        <v>28</v>
      </c>
      <c r="E363" s="4">
        <f>IFERROR(__xludf.DUMMYFUNCTION("""COMPUTED_VALUE"""),72.0)</f>
        <v>72</v>
      </c>
      <c r="F363" s="4">
        <f>IFERROR(__xludf.DUMMYFUNCTION("split(C363,""-"")"),27.0)</f>
        <v>27</v>
      </c>
      <c r="G363" s="4">
        <f>IFERROR(__xludf.DUMMYFUNCTION("""COMPUTED_VALUE"""),73.0)</f>
        <v>73</v>
      </c>
      <c r="H363" s="4">
        <f t="shared" si="1"/>
        <v>1</v>
      </c>
      <c r="J363" s="4">
        <f>IFERROR(__xludf.DUMMYFUNCTION("IFS(
ISBETWEEN(D363,F363,G363,TRUE,TRUE),1,
ISBETWEEN(E363,F363,G363,TRUE,TRUE),1,
ISBETWEEN(F363,D363,E363,TRUE,TRUE),1,
ISBETWEEN(G363,D363,E363,TRUE,TRUE),1,
1,0)"),1.0)</f>
        <v>1</v>
      </c>
    </row>
    <row r="364">
      <c r="A364" s="2" t="s">
        <v>363</v>
      </c>
      <c r="B364" s="1" t="str">
        <f>IFERROR(__xludf.DUMMYFUNCTION("SPLIT(A364,"","",)"),"28-84")</f>
        <v>28-84</v>
      </c>
      <c r="C364" s="1" t="str">
        <f>IFERROR(__xludf.DUMMYFUNCTION("""COMPUTED_VALUE"""),"17-75")</f>
        <v>17-75</v>
      </c>
      <c r="D364" s="4">
        <f>IFERROR(__xludf.DUMMYFUNCTION("split(B364,""-"")"),28.0)</f>
        <v>28</v>
      </c>
      <c r="E364" s="4">
        <f>IFERROR(__xludf.DUMMYFUNCTION("""COMPUTED_VALUE"""),84.0)</f>
        <v>84</v>
      </c>
      <c r="F364" s="4">
        <f>IFERROR(__xludf.DUMMYFUNCTION("split(C364,""-"")"),17.0)</f>
        <v>17</v>
      </c>
      <c r="G364" s="4">
        <f>IFERROR(__xludf.DUMMYFUNCTION("""COMPUTED_VALUE"""),75.0)</f>
        <v>75</v>
      </c>
      <c r="H364" s="4">
        <f t="shared" si="1"/>
        <v>0</v>
      </c>
      <c r="J364" s="4">
        <f>IFERROR(__xludf.DUMMYFUNCTION("IFS(
ISBETWEEN(D364,F364,G364,TRUE,TRUE),1,
ISBETWEEN(E364,F364,G364,TRUE,TRUE),1,
ISBETWEEN(F364,D364,E364,TRUE,TRUE),1,
ISBETWEEN(G364,D364,E364,TRUE,TRUE),1,
1,0)"),1.0)</f>
        <v>1</v>
      </c>
    </row>
    <row r="365">
      <c r="A365" s="2" t="s">
        <v>364</v>
      </c>
      <c r="B365" s="1" t="str">
        <f>IFERROR(__xludf.DUMMYFUNCTION("SPLIT(A365,"","",)"),"22-32")</f>
        <v>22-32</v>
      </c>
      <c r="C365" s="1" t="str">
        <f>IFERROR(__xludf.DUMMYFUNCTION("""COMPUTED_VALUE"""),"33-33")</f>
        <v>33-33</v>
      </c>
      <c r="D365" s="4">
        <f>IFERROR(__xludf.DUMMYFUNCTION("split(B365,""-"")"),22.0)</f>
        <v>22</v>
      </c>
      <c r="E365" s="4">
        <f>IFERROR(__xludf.DUMMYFUNCTION("""COMPUTED_VALUE"""),32.0)</f>
        <v>32</v>
      </c>
      <c r="F365" s="4">
        <f>IFERROR(__xludf.DUMMYFUNCTION("split(C365,""-"")"),33.0)</f>
        <v>33</v>
      </c>
      <c r="G365" s="4">
        <f>IFERROR(__xludf.DUMMYFUNCTION("""COMPUTED_VALUE"""),33.0)</f>
        <v>33</v>
      </c>
      <c r="H365" s="4">
        <f t="shared" si="1"/>
        <v>0</v>
      </c>
      <c r="J365" s="4">
        <f>IFERROR(__xludf.DUMMYFUNCTION("IFS(
ISBETWEEN(D365,F365,G365,TRUE,TRUE),1,
ISBETWEEN(E365,F365,G365,TRUE,TRUE),1,
ISBETWEEN(F365,D365,E365,TRUE,TRUE),1,
ISBETWEEN(G365,D365,E365,TRUE,TRUE),1,
1,0)"),0.0)</f>
        <v>0</v>
      </c>
    </row>
    <row r="366">
      <c r="A366" s="2" t="s">
        <v>365</v>
      </c>
      <c r="B366" s="1" t="str">
        <f>IFERROR(__xludf.DUMMYFUNCTION("SPLIT(A366,"","",)"),"20-94")</f>
        <v>20-94</v>
      </c>
      <c r="C366" s="1" t="str">
        <f>IFERROR(__xludf.DUMMYFUNCTION("""COMPUTED_VALUE"""),"20-93")</f>
        <v>20-93</v>
      </c>
      <c r="D366" s="4">
        <f>IFERROR(__xludf.DUMMYFUNCTION("split(B366,""-"")"),20.0)</f>
        <v>20</v>
      </c>
      <c r="E366" s="4">
        <f>IFERROR(__xludf.DUMMYFUNCTION("""COMPUTED_VALUE"""),94.0)</f>
        <v>94</v>
      </c>
      <c r="F366" s="4">
        <f>IFERROR(__xludf.DUMMYFUNCTION("split(C366,""-"")"),20.0)</f>
        <v>20</v>
      </c>
      <c r="G366" s="4">
        <f>IFERROR(__xludf.DUMMYFUNCTION("""COMPUTED_VALUE"""),93.0)</f>
        <v>93</v>
      </c>
      <c r="H366" s="4">
        <f t="shared" si="1"/>
        <v>1</v>
      </c>
      <c r="J366" s="4">
        <f>IFERROR(__xludf.DUMMYFUNCTION("IFS(
ISBETWEEN(D366,F366,G366,TRUE,TRUE),1,
ISBETWEEN(E366,F366,G366,TRUE,TRUE),1,
ISBETWEEN(F366,D366,E366,TRUE,TRUE),1,
ISBETWEEN(G366,D366,E366,TRUE,TRUE),1,
1,0)"),1.0)</f>
        <v>1</v>
      </c>
    </row>
    <row r="367">
      <c r="A367" s="2" t="s">
        <v>366</v>
      </c>
      <c r="B367" s="1" t="str">
        <f>IFERROR(__xludf.DUMMYFUNCTION("SPLIT(A367,"","",)"),"62-77")</f>
        <v>62-77</v>
      </c>
      <c r="C367" s="1" t="str">
        <f>IFERROR(__xludf.DUMMYFUNCTION("""COMPUTED_VALUE"""),"63-97")</f>
        <v>63-97</v>
      </c>
      <c r="D367" s="4">
        <f>IFERROR(__xludf.DUMMYFUNCTION("split(B367,""-"")"),62.0)</f>
        <v>62</v>
      </c>
      <c r="E367" s="4">
        <f>IFERROR(__xludf.DUMMYFUNCTION("""COMPUTED_VALUE"""),77.0)</f>
        <v>77</v>
      </c>
      <c r="F367" s="4">
        <f>IFERROR(__xludf.DUMMYFUNCTION("split(C367,""-"")"),63.0)</f>
        <v>63</v>
      </c>
      <c r="G367" s="4">
        <f>IFERROR(__xludf.DUMMYFUNCTION("""COMPUTED_VALUE"""),97.0)</f>
        <v>97</v>
      </c>
      <c r="H367" s="4">
        <f t="shared" si="1"/>
        <v>0</v>
      </c>
      <c r="J367" s="4">
        <f>IFERROR(__xludf.DUMMYFUNCTION("IFS(
ISBETWEEN(D367,F367,G367,TRUE,TRUE),1,
ISBETWEEN(E367,F367,G367,TRUE,TRUE),1,
ISBETWEEN(F367,D367,E367,TRUE,TRUE),1,
ISBETWEEN(G367,D367,E367,TRUE,TRUE),1,
1,0)"),1.0)</f>
        <v>1</v>
      </c>
    </row>
    <row r="368">
      <c r="A368" s="2" t="s">
        <v>367</v>
      </c>
      <c r="B368" s="1" t="str">
        <f>IFERROR(__xludf.DUMMYFUNCTION("SPLIT(A368,"","",)"),"7-27")</f>
        <v>7-27</v>
      </c>
      <c r="C368" s="1" t="str">
        <f>IFERROR(__xludf.DUMMYFUNCTION("""COMPUTED_VALUE"""),"7-26")</f>
        <v>7-26</v>
      </c>
      <c r="D368" s="4">
        <f>IFERROR(__xludf.DUMMYFUNCTION("split(B368,""-"")"),7.0)</f>
        <v>7</v>
      </c>
      <c r="E368" s="4">
        <f>IFERROR(__xludf.DUMMYFUNCTION("""COMPUTED_VALUE"""),27.0)</f>
        <v>27</v>
      </c>
      <c r="F368" s="4">
        <f>IFERROR(__xludf.DUMMYFUNCTION("split(C368,""-"")"),7.0)</f>
        <v>7</v>
      </c>
      <c r="G368" s="4">
        <f>IFERROR(__xludf.DUMMYFUNCTION("""COMPUTED_VALUE"""),26.0)</f>
        <v>26</v>
      </c>
      <c r="H368" s="4">
        <f t="shared" si="1"/>
        <v>1</v>
      </c>
      <c r="J368" s="4">
        <f>IFERROR(__xludf.DUMMYFUNCTION("IFS(
ISBETWEEN(D368,F368,G368,TRUE,TRUE),1,
ISBETWEEN(E368,F368,G368,TRUE,TRUE),1,
ISBETWEEN(F368,D368,E368,TRUE,TRUE),1,
ISBETWEEN(G368,D368,E368,TRUE,TRUE),1,
1,0)"),1.0)</f>
        <v>1</v>
      </c>
    </row>
    <row r="369">
      <c r="A369" s="2" t="s">
        <v>368</v>
      </c>
      <c r="B369" s="1" t="str">
        <f>IFERROR(__xludf.DUMMYFUNCTION("SPLIT(A369,"","",)"),"4-83")</f>
        <v>4-83</v>
      </c>
      <c r="C369" s="1" t="str">
        <f>IFERROR(__xludf.DUMMYFUNCTION("""COMPUTED_VALUE"""),"3-98")</f>
        <v>3-98</v>
      </c>
      <c r="D369" s="4">
        <f>IFERROR(__xludf.DUMMYFUNCTION("split(B369,""-"")"),4.0)</f>
        <v>4</v>
      </c>
      <c r="E369" s="4">
        <f>IFERROR(__xludf.DUMMYFUNCTION("""COMPUTED_VALUE"""),83.0)</f>
        <v>83</v>
      </c>
      <c r="F369" s="4">
        <f>IFERROR(__xludf.DUMMYFUNCTION("split(C369,""-"")"),3.0)</f>
        <v>3</v>
      </c>
      <c r="G369" s="4">
        <f>IFERROR(__xludf.DUMMYFUNCTION("""COMPUTED_VALUE"""),98.0)</f>
        <v>98</v>
      </c>
      <c r="H369" s="4">
        <f t="shared" si="1"/>
        <v>1</v>
      </c>
      <c r="J369" s="4">
        <f>IFERROR(__xludf.DUMMYFUNCTION("IFS(
ISBETWEEN(D369,F369,G369,TRUE,TRUE),1,
ISBETWEEN(E369,F369,G369,TRUE,TRUE),1,
ISBETWEEN(F369,D369,E369,TRUE,TRUE),1,
ISBETWEEN(G369,D369,E369,TRUE,TRUE),1,
1,0)"),1.0)</f>
        <v>1</v>
      </c>
    </row>
    <row r="370">
      <c r="A370" s="2" t="s">
        <v>369</v>
      </c>
      <c r="B370" s="1" t="str">
        <f>IFERROR(__xludf.DUMMYFUNCTION("SPLIT(A370,"","",)"),"11-56")</f>
        <v>11-56</v>
      </c>
      <c r="C370" s="1" t="str">
        <f>IFERROR(__xludf.DUMMYFUNCTION("""COMPUTED_VALUE"""),"12-97")</f>
        <v>12-97</v>
      </c>
      <c r="D370" s="4">
        <f>IFERROR(__xludf.DUMMYFUNCTION("split(B370,""-"")"),11.0)</f>
        <v>11</v>
      </c>
      <c r="E370" s="4">
        <f>IFERROR(__xludf.DUMMYFUNCTION("""COMPUTED_VALUE"""),56.0)</f>
        <v>56</v>
      </c>
      <c r="F370" s="4">
        <f>IFERROR(__xludf.DUMMYFUNCTION("split(C370,""-"")"),12.0)</f>
        <v>12</v>
      </c>
      <c r="G370" s="4">
        <f>IFERROR(__xludf.DUMMYFUNCTION("""COMPUTED_VALUE"""),97.0)</f>
        <v>97</v>
      </c>
      <c r="H370" s="4">
        <f t="shared" si="1"/>
        <v>0</v>
      </c>
      <c r="J370" s="4">
        <f>IFERROR(__xludf.DUMMYFUNCTION("IFS(
ISBETWEEN(D370,F370,G370,TRUE,TRUE),1,
ISBETWEEN(E370,F370,G370,TRUE,TRUE),1,
ISBETWEEN(F370,D370,E370,TRUE,TRUE),1,
ISBETWEEN(G370,D370,E370,TRUE,TRUE),1,
1,0)"),1.0)</f>
        <v>1</v>
      </c>
    </row>
    <row r="371">
      <c r="A371" s="2" t="s">
        <v>370</v>
      </c>
      <c r="B371" s="1" t="str">
        <f>IFERROR(__xludf.DUMMYFUNCTION("SPLIT(A371,"","",)"),"21-73")</f>
        <v>21-73</v>
      </c>
      <c r="C371" s="1" t="str">
        <f>IFERROR(__xludf.DUMMYFUNCTION("""COMPUTED_VALUE"""),"6-21")</f>
        <v>6-21</v>
      </c>
      <c r="D371" s="4">
        <f>IFERROR(__xludf.DUMMYFUNCTION("split(B371,""-"")"),21.0)</f>
        <v>21</v>
      </c>
      <c r="E371" s="4">
        <f>IFERROR(__xludf.DUMMYFUNCTION("""COMPUTED_VALUE"""),73.0)</f>
        <v>73</v>
      </c>
      <c r="F371" s="4">
        <f>IFERROR(__xludf.DUMMYFUNCTION("split(C371,""-"")"),6.0)</f>
        <v>6</v>
      </c>
      <c r="G371" s="4">
        <f>IFERROR(__xludf.DUMMYFUNCTION("""COMPUTED_VALUE"""),21.0)</f>
        <v>21</v>
      </c>
      <c r="H371" s="4">
        <f t="shared" si="1"/>
        <v>0</v>
      </c>
      <c r="J371" s="4">
        <f>IFERROR(__xludf.DUMMYFUNCTION("IFS(
ISBETWEEN(D371,F371,G371,TRUE,TRUE),1,
ISBETWEEN(E371,F371,G371,TRUE,TRUE),1,
ISBETWEEN(F371,D371,E371,TRUE,TRUE),1,
ISBETWEEN(G371,D371,E371,TRUE,TRUE),1,
1,0)"),1.0)</f>
        <v>1</v>
      </c>
    </row>
    <row r="372">
      <c r="A372" s="2" t="s">
        <v>371</v>
      </c>
      <c r="B372" s="1" t="str">
        <f>IFERROR(__xludf.DUMMYFUNCTION("SPLIT(A372,"","",)"),"3-99")</f>
        <v>3-99</v>
      </c>
      <c r="C372" s="1" t="str">
        <f>IFERROR(__xludf.DUMMYFUNCTION("""COMPUTED_VALUE"""),"2-99")</f>
        <v>2-99</v>
      </c>
      <c r="D372" s="4">
        <f>IFERROR(__xludf.DUMMYFUNCTION("split(B372,""-"")"),3.0)</f>
        <v>3</v>
      </c>
      <c r="E372" s="4">
        <f>IFERROR(__xludf.DUMMYFUNCTION("""COMPUTED_VALUE"""),99.0)</f>
        <v>99</v>
      </c>
      <c r="F372" s="4">
        <f>IFERROR(__xludf.DUMMYFUNCTION("split(C372,""-"")"),2.0)</f>
        <v>2</v>
      </c>
      <c r="G372" s="4">
        <f>IFERROR(__xludf.DUMMYFUNCTION("""COMPUTED_VALUE"""),99.0)</f>
        <v>99</v>
      </c>
      <c r="H372" s="4">
        <f t="shared" si="1"/>
        <v>1</v>
      </c>
      <c r="J372" s="4">
        <f>IFERROR(__xludf.DUMMYFUNCTION("IFS(
ISBETWEEN(D372,F372,G372,TRUE,TRUE),1,
ISBETWEEN(E372,F372,G372,TRUE,TRUE),1,
ISBETWEEN(F372,D372,E372,TRUE,TRUE),1,
ISBETWEEN(G372,D372,E372,TRUE,TRUE),1,
1,0)"),1.0)</f>
        <v>1</v>
      </c>
    </row>
    <row r="373">
      <c r="A373" s="2" t="s">
        <v>372</v>
      </c>
      <c r="B373" s="1" t="str">
        <f>IFERROR(__xludf.DUMMYFUNCTION("SPLIT(A373,"","",)"),"93-97")</f>
        <v>93-97</v>
      </c>
      <c r="C373" s="1" t="str">
        <f>IFERROR(__xludf.DUMMYFUNCTION("""COMPUTED_VALUE"""),"35-76")</f>
        <v>35-76</v>
      </c>
      <c r="D373" s="4">
        <f>IFERROR(__xludf.DUMMYFUNCTION("split(B373,""-"")"),93.0)</f>
        <v>93</v>
      </c>
      <c r="E373" s="4">
        <f>IFERROR(__xludf.DUMMYFUNCTION("""COMPUTED_VALUE"""),97.0)</f>
        <v>97</v>
      </c>
      <c r="F373" s="4">
        <f>IFERROR(__xludf.DUMMYFUNCTION("split(C373,""-"")"),35.0)</f>
        <v>35</v>
      </c>
      <c r="G373" s="4">
        <f>IFERROR(__xludf.DUMMYFUNCTION("""COMPUTED_VALUE"""),76.0)</f>
        <v>76</v>
      </c>
      <c r="H373" s="4">
        <f t="shared" si="1"/>
        <v>0</v>
      </c>
      <c r="J373" s="4">
        <f>IFERROR(__xludf.DUMMYFUNCTION("IFS(
ISBETWEEN(D373,F373,G373,TRUE,TRUE),1,
ISBETWEEN(E373,F373,G373,TRUE,TRUE),1,
ISBETWEEN(F373,D373,E373,TRUE,TRUE),1,
ISBETWEEN(G373,D373,E373,TRUE,TRUE),1,
1,0)"),0.0)</f>
        <v>0</v>
      </c>
    </row>
    <row r="374">
      <c r="A374" s="2" t="s">
        <v>373</v>
      </c>
      <c r="B374" s="1" t="str">
        <f>IFERROR(__xludf.DUMMYFUNCTION("SPLIT(A374,"","",)"),"87-99")</f>
        <v>87-99</v>
      </c>
      <c r="C374" s="1" t="str">
        <f>IFERROR(__xludf.DUMMYFUNCTION("""COMPUTED_VALUE"""),"61-86")</f>
        <v>61-86</v>
      </c>
      <c r="D374" s="4">
        <f>IFERROR(__xludf.DUMMYFUNCTION("split(B374,""-"")"),87.0)</f>
        <v>87</v>
      </c>
      <c r="E374" s="4">
        <f>IFERROR(__xludf.DUMMYFUNCTION("""COMPUTED_VALUE"""),99.0)</f>
        <v>99</v>
      </c>
      <c r="F374" s="4">
        <f>IFERROR(__xludf.DUMMYFUNCTION("split(C374,""-"")"),61.0)</f>
        <v>61</v>
      </c>
      <c r="G374" s="4">
        <f>IFERROR(__xludf.DUMMYFUNCTION("""COMPUTED_VALUE"""),86.0)</f>
        <v>86</v>
      </c>
      <c r="H374" s="4">
        <f t="shared" si="1"/>
        <v>0</v>
      </c>
      <c r="J374" s="4">
        <f>IFERROR(__xludf.DUMMYFUNCTION("IFS(
ISBETWEEN(D374,F374,G374,TRUE,TRUE),1,
ISBETWEEN(E374,F374,G374,TRUE,TRUE),1,
ISBETWEEN(F374,D374,E374,TRUE,TRUE),1,
ISBETWEEN(G374,D374,E374,TRUE,TRUE),1,
1,0)"),0.0)</f>
        <v>0</v>
      </c>
    </row>
    <row r="375">
      <c r="A375" s="2" t="s">
        <v>374</v>
      </c>
      <c r="B375" s="1" t="str">
        <f>IFERROR(__xludf.DUMMYFUNCTION("SPLIT(A375,"","",)"),"4-99")</f>
        <v>4-99</v>
      </c>
      <c r="C375" s="1" t="str">
        <f>IFERROR(__xludf.DUMMYFUNCTION("""COMPUTED_VALUE"""),"3-98")</f>
        <v>3-98</v>
      </c>
      <c r="D375" s="4">
        <f>IFERROR(__xludf.DUMMYFUNCTION("split(B375,""-"")"),4.0)</f>
        <v>4</v>
      </c>
      <c r="E375" s="4">
        <f>IFERROR(__xludf.DUMMYFUNCTION("""COMPUTED_VALUE"""),99.0)</f>
        <v>99</v>
      </c>
      <c r="F375" s="4">
        <f>IFERROR(__xludf.DUMMYFUNCTION("split(C375,""-"")"),3.0)</f>
        <v>3</v>
      </c>
      <c r="G375" s="4">
        <f>IFERROR(__xludf.DUMMYFUNCTION("""COMPUTED_VALUE"""),98.0)</f>
        <v>98</v>
      </c>
      <c r="H375" s="4">
        <f t="shared" si="1"/>
        <v>0</v>
      </c>
      <c r="J375" s="4">
        <f>IFERROR(__xludf.DUMMYFUNCTION("IFS(
ISBETWEEN(D375,F375,G375,TRUE,TRUE),1,
ISBETWEEN(E375,F375,G375,TRUE,TRUE),1,
ISBETWEEN(F375,D375,E375,TRUE,TRUE),1,
ISBETWEEN(G375,D375,E375,TRUE,TRUE),1,
1,0)"),1.0)</f>
        <v>1</v>
      </c>
    </row>
    <row r="376">
      <c r="A376" s="2" t="s">
        <v>375</v>
      </c>
      <c r="B376" s="1" t="str">
        <f>IFERROR(__xludf.DUMMYFUNCTION("SPLIT(A376,"","",)"),"52-93")</f>
        <v>52-93</v>
      </c>
      <c r="C376" s="1" t="str">
        <f>IFERROR(__xludf.DUMMYFUNCTION("""COMPUTED_VALUE"""),"51-93")</f>
        <v>51-93</v>
      </c>
      <c r="D376" s="4">
        <f>IFERROR(__xludf.DUMMYFUNCTION("split(B376,""-"")"),52.0)</f>
        <v>52</v>
      </c>
      <c r="E376" s="4">
        <f>IFERROR(__xludf.DUMMYFUNCTION("""COMPUTED_VALUE"""),93.0)</f>
        <v>93</v>
      </c>
      <c r="F376" s="4">
        <f>IFERROR(__xludf.DUMMYFUNCTION("split(C376,""-"")"),51.0)</f>
        <v>51</v>
      </c>
      <c r="G376" s="4">
        <f>IFERROR(__xludf.DUMMYFUNCTION("""COMPUTED_VALUE"""),93.0)</f>
        <v>93</v>
      </c>
      <c r="H376" s="4">
        <f t="shared" si="1"/>
        <v>1</v>
      </c>
      <c r="J376" s="4">
        <f>IFERROR(__xludf.DUMMYFUNCTION("IFS(
ISBETWEEN(D376,F376,G376,TRUE,TRUE),1,
ISBETWEEN(E376,F376,G376,TRUE,TRUE),1,
ISBETWEEN(F376,D376,E376,TRUE,TRUE),1,
ISBETWEEN(G376,D376,E376,TRUE,TRUE),1,
1,0)"),1.0)</f>
        <v>1</v>
      </c>
    </row>
    <row r="377">
      <c r="A377" s="2" t="s">
        <v>376</v>
      </c>
      <c r="B377" s="1" t="str">
        <f>IFERROR(__xludf.DUMMYFUNCTION("SPLIT(A377,"","",)"),"2-80")</f>
        <v>2-80</v>
      </c>
      <c r="C377" s="1" t="str">
        <f>IFERROR(__xludf.DUMMYFUNCTION("""COMPUTED_VALUE"""),"2-79")</f>
        <v>2-79</v>
      </c>
      <c r="D377" s="4">
        <f>IFERROR(__xludf.DUMMYFUNCTION("split(B377,""-"")"),2.0)</f>
        <v>2</v>
      </c>
      <c r="E377" s="4">
        <f>IFERROR(__xludf.DUMMYFUNCTION("""COMPUTED_VALUE"""),80.0)</f>
        <v>80</v>
      </c>
      <c r="F377" s="4">
        <f>IFERROR(__xludf.DUMMYFUNCTION("split(C377,""-"")"),2.0)</f>
        <v>2</v>
      </c>
      <c r="G377" s="4">
        <f>IFERROR(__xludf.DUMMYFUNCTION("""COMPUTED_VALUE"""),79.0)</f>
        <v>79</v>
      </c>
      <c r="H377" s="4">
        <f t="shared" si="1"/>
        <v>1</v>
      </c>
      <c r="J377" s="4">
        <f>IFERROR(__xludf.DUMMYFUNCTION("IFS(
ISBETWEEN(D377,F377,G377,TRUE,TRUE),1,
ISBETWEEN(E377,F377,G377,TRUE,TRUE),1,
ISBETWEEN(F377,D377,E377,TRUE,TRUE),1,
ISBETWEEN(G377,D377,E377,TRUE,TRUE),1,
1,0)"),1.0)</f>
        <v>1</v>
      </c>
    </row>
    <row r="378">
      <c r="A378" s="2" t="s">
        <v>377</v>
      </c>
      <c r="B378" s="1" t="str">
        <f>IFERROR(__xludf.DUMMYFUNCTION("SPLIT(A378,"","",)"),"38-88")</f>
        <v>38-88</v>
      </c>
      <c r="C378" s="1" t="str">
        <f>IFERROR(__xludf.DUMMYFUNCTION("""COMPUTED_VALUE"""),"39-73")</f>
        <v>39-73</v>
      </c>
      <c r="D378" s="4">
        <f>IFERROR(__xludf.DUMMYFUNCTION("split(B378,""-"")"),38.0)</f>
        <v>38</v>
      </c>
      <c r="E378" s="4">
        <f>IFERROR(__xludf.DUMMYFUNCTION("""COMPUTED_VALUE"""),88.0)</f>
        <v>88</v>
      </c>
      <c r="F378" s="4">
        <f>IFERROR(__xludf.DUMMYFUNCTION("split(C378,""-"")"),39.0)</f>
        <v>39</v>
      </c>
      <c r="G378" s="4">
        <f>IFERROR(__xludf.DUMMYFUNCTION("""COMPUTED_VALUE"""),73.0)</f>
        <v>73</v>
      </c>
      <c r="H378" s="4">
        <f t="shared" si="1"/>
        <v>1</v>
      </c>
      <c r="J378" s="4">
        <f>IFERROR(__xludf.DUMMYFUNCTION("IFS(
ISBETWEEN(D378,F378,G378,TRUE,TRUE),1,
ISBETWEEN(E378,F378,G378,TRUE,TRUE),1,
ISBETWEEN(F378,D378,E378,TRUE,TRUE),1,
ISBETWEEN(G378,D378,E378,TRUE,TRUE),1,
1,0)"),1.0)</f>
        <v>1</v>
      </c>
    </row>
    <row r="379">
      <c r="A379" s="2" t="s">
        <v>378</v>
      </c>
      <c r="B379" s="1" t="str">
        <f>IFERROR(__xludf.DUMMYFUNCTION("SPLIT(A379,"","",)"),"7-86")</f>
        <v>7-86</v>
      </c>
      <c r="C379" s="1" t="str">
        <f>IFERROR(__xludf.DUMMYFUNCTION("""COMPUTED_VALUE"""),"7-85")</f>
        <v>7-85</v>
      </c>
      <c r="D379" s="4">
        <f>IFERROR(__xludf.DUMMYFUNCTION("split(B379,""-"")"),7.0)</f>
        <v>7</v>
      </c>
      <c r="E379" s="4">
        <f>IFERROR(__xludf.DUMMYFUNCTION("""COMPUTED_VALUE"""),86.0)</f>
        <v>86</v>
      </c>
      <c r="F379" s="4">
        <f>IFERROR(__xludf.DUMMYFUNCTION("split(C379,""-"")"),7.0)</f>
        <v>7</v>
      </c>
      <c r="G379" s="4">
        <f>IFERROR(__xludf.DUMMYFUNCTION("""COMPUTED_VALUE"""),85.0)</f>
        <v>85</v>
      </c>
      <c r="H379" s="4">
        <f t="shared" si="1"/>
        <v>1</v>
      </c>
      <c r="J379" s="4">
        <f>IFERROR(__xludf.DUMMYFUNCTION("IFS(
ISBETWEEN(D379,F379,G379,TRUE,TRUE),1,
ISBETWEEN(E379,F379,G379,TRUE,TRUE),1,
ISBETWEEN(F379,D379,E379,TRUE,TRUE),1,
ISBETWEEN(G379,D379,E379,TRUE,TRUE),1,
1,0)"),1.0)</f>
        <v>1</v>
      </c>
    </row>
    <row r="380">
      <c r="A380" s="2" t="s">
        <v>379</v>
      </c>
      <c r="B380" s="1" t="str">
        <f>IFERROR(__xludf.DUMMYFUNCTION("SPLIT(A380,"","",)"),"82-95")</f>
        <v>82-95</v>
      </c>
      <c r="C380" s="1" t="str">
        <f>IFERROR(__xludf.DUMMYFUNCTION("""COMPUTED_VALUE"""),"17-83")</f>
        <v>17-83</v>
      </c>
      <c r="D380" s="4">
        <f>IFERROR(__xludf.DUMMYFUNCTION("split(B380,""-"")"),82.0)</f>
        <v>82</v>
      </c>
      <c r="E380" s="4">
        <f>IFERROR(__xludf.DUMMYFUNCTION("""COMPUTED_VALUE"""),95.0)</f>
        <v>95</v>
      </c>
      <c r="F380" s="4">
        <f>IFERROR(__xludf.DUMMYFUNCTION("split(C380,""-"")"),17.0)</f>
        <v>17</v>
      </c>
      <c r="G380" s="4">
        <f>IFERROR(__xludf.DUMMYFUNCTION("""COMPUTED_VALUE"""),83.0)</f>
        <v>83</v>
      </c>
      <c r="H380" s="4">
        <f t="shared" si="1"/>
        <v>0</v>
      </c>
      <c r="J380" s="4">
        <f>IFERROR(__xludf.DUMMYFUNCTION("IFS(
ISBETWEEN(D380,F380,G380,TRUE,TRUE),1,
ISBETWEEN(E380,F380,G380,TRUE,TRUE),1,
ISBETWEEN(F380,D380,E380,TRUE,TRUE),1,
ISBETWEEN(G380,D380,E380,TRUE,TRUE),1,
1,0)"),1.0)</f>
        <v>1</v>
      </c>
    </row>
    <row r="381">
      <c r="A381" s="2" t="s">
        <v>380</v>
      </c>
      <c r="B381" s="1" t="str">
        <f>IFERROR(__xludf.DUMMYFUNCTION("SPLIT(A381,"","",)"),"35-67")</f>
        <v>35-67</v>
      </c>
      <c r="C381" s="1" t="str">
        <f>IFERROR(__xludf.DUMMYFUNCTION("""COMPUTED_VALUE"""),"66-66")</f>
        <v>66-66</v>
      </c>
      <c r="D381" s="4">
        <f>IFERROR(__xludf.DUMMYFUNCTION("split(B381,""-"")"),35.0)</f>
        <v>35</v>
      </c>
      <c r="E381" s="4">
        <f>IFERROR(__xludf.DUMMYFUNCTION("""COMPUTED_VALUE"""),67.0)</f>
        <v>67</v>
      </c>
      <c r="F381" s="4">
        <f>IFERROR(__xludf.DUMMYFUNCTION("split(C381,""-"")"),66.0)</f>
        <v>66</v>
      </c>
      <c r="G381" s="4">
        <f>IFERROR(__xludf.DUMMYFUNCTION("""COMPUTED_VALUE"""),66.0)</f>
        <v>66</v>
      </c>
      <c r="H381" s="4">
        <f t="shared" si="1"/>
        <v>1</v>
      </c>
      <c r="J381" s="4">
        <f>IFERROR(__xludf.DUMMYFUNCTION("IFS(
ISBETWEEN(D381,F381,G381,TRUE,TRUE),1,
ISBETWEEN(E381,F381,G381,TRUE,TRUE),1,
ISBETWEEN(F381,D381,E381,TRUE,TRUE),1,
ISBETWEEN(G381,D381,E381,TRUE,TRUE),1,
1,0)"),1.0)</f>
        <v>1</v>
      </c>
    </row>
    <row r="382">
      <c r="A382" s="2" t="s">
        <v>381</v>
      </c>
      <c r="B382" s="1" t="str">
        <f>IFERROR(__xludf.DUMMYFUNCTION("SPLIT(A382,"","",)"),"42-42")</f>
        <v>42-42</v>
      </c>
      <c r="C382" s="1" t="str">
        <f>IFERROR(__xludf.DUMMYFUNCTION("""COMPUTED_VALUE"""),"40-43")</f>
        <v>40-43</v>
      </c>
      <c r="D382" s="4">
        <f>IFERROR(__xludf.DUMMYFUNCTION("split(B382,""-"")"),42.0)</f>
        <v>42</v>
      </c>
      <c r="E382" s="4">
        <f>IFERROR(__xludf.DUMMYFUNCTION("""COMPUTED_VALUE"""),42.0)</f>
        <v>42</v>
      </c>
      <c r="F382" s="4">
        <f>IFERROR(__xludf.DUMMYFUNCTION("split(C382,""-"")"),40.0)</f>
        <v>40</v>
      </c>
      <c r="G382" s="4">
        <f>IFERROR(__xludf.DUMMYFUNCTION("""COMPUTED_VALUE"""),43.0)</f>
        <v>43</v>
      </c>
      <c r="H382" s="4">
        <f t="shared" si="1"/>
        <v>1</v>
      </c>
      <c r="J382" s="4">
        <f>IFERROR(__xludf.DUMMYFUNCTION("IFS(
ISBETWEEN(D382,F382,G382,TRUE,TRUE),1,
ISBETWEEN(E382,F382,G382,TRUE,TRUE),1,
ISBETWEEN(F382,D382,E382,TRUE,TRUE),1,
ISBETWEEN(G382,D382,E382,TRUE,TRUE),1,
1,0)"),1.0)</f>
        <v>1</v>
      </c>
    </row>
    <row r="383">
      <c r="A383" s="2" t="s">
        <v>382</v>
      </c>
      <c r="B383" s="1" t="str">
        <f>IFERROR(__xludf.DUMMYFUNCTION("SPLIT(A383,"","",)"),"21-93")</f>
        <v>21-93</v>
      </c>
      <c r="C383" s="1" t="str">
        <f>IFERROR(__xludf.DUMMYFUNCTION("""COMPUTED_VALUE"""),"20-88")</f>
        <v>20-88</v>
      </c>
      <c r="D383" s="4">
        <f>IFERROR(__xludf.DUMMYFUNCTION("split(B383,""-"")"),21.0)</f>
        <v>21</v>
      </c>
      <c r="E383" s="4">
        <f>IFERROR(__xludf.DUMMYFUNCTION("""COMPUTED_VALUE"""),93.0)</f>
        <v>93</v>
      </c>
      <c r="F383" s="4">
        <f>IFERROR(__xludf.DUMMYFUNCTION("split(C383,""-"")"),20.0)</f>
        <v>20</v>
      </c>
      <c r="G383" s="4">
        <f>IFERROR(__xludf.DUMMYFUNCTION("""COMPUTED_VALUE"""),88.0)</f>
        <v>88</v>
      </c>
      <c r="H383" s="4">
        <f t="shared" si="1"/>
        <v>0</v>
      </c>
      <c r="J383" s="4">
        <f>IFERROR(__xludf.DUMMYFUNCTION("IFS(
ISBETWEEN(D383,F383,G383,TRUE,TRUE),1,
ISBETWEEN(E383,F383,G383,TRUE,TRUE),1,
ISBETWEEN(F383,D383,E383,TRUE,TRUE),1,
ISBETWEEN(G383,D383,E383,TRUE,TRUE),1,
1,0)"),1.0)</f>
        <v>1</v>
      </c>
    </row>
    <row r="384">
      <c r="A384" s="2" t="s">
        <v>383</v>
      </c>
      <c r="B384" s="1" t="str">
        <f>IFERROR(__xludf.DUMMYFUNCTION("SPLIT(A384,"","",)"),"38-74")</f>
        <v>38-74</v>
      </c>
      <c r="C384" s="1" t="str">
        <f>IFERROR(__xludf.DUMMYFUNCTION("""COMPUTED_VALUE"""),"39-88")</f>
        <v>39-88</v>
      </c>
      <c r="D384" s="4">
        <f>IFERROR(__xludf.DUMMYFUNCTION("split(B384,""-"")"),38.0)</f>
        <v>38</v>
      </c>
      <c r="E384" s="4">
        <f>IFERROR(__xludf.DUMMYFUNCTION("""COMPUTED_VALUE"""),74.0)</f>
        <v>74</v>
      </c>
      <c r="F384" s="4">
        <f>IFERROR(__xludf.DUMMYFUNCTION("split(C384,""-"")"),39.0)</f>
        <v>39</v>
      </c>
      <c r="G384" s="4">
        <f>IFERROR(__xludf.DUMMYFUNCTION("""COMPUTED_VALUE"""),88.0)</f>
        <v>88</v>
      </c>
      <c r="H384" s="4">
        <f t="shared" si="1"/>
        <v>0</v>
      </c>
      <c r="J384" s="4">
        <f>IFERROR(__xludf.DUMMYFUNCTION("IFS(
ISBETWEEN(D384,F384,G384,TRUE,TRUE),1,
ISBETWEEN(E384,F384,G384,TRUE,TRUE),1,
ISBETWEEN(F384,D384,E384,TRUE,TRUE),1,
ISBETWEEN(G384,D384,E384,TRUE,TRUE),1,
1,0)"),1.0)</f>
        <v>1</v>
      </c>
    </row>
    <row r="385">
      <c r="A385" s="2" t="s">
        <v>384</v>
      </c>
      <c r="B385" s="1" t="str">
        <f>IFERROR(__xludf.DUMMYFUNCTION("SPLIT(A385,"","",)"),"44-93")</f>
        <v>44-93</v>
      </c>
      <c r="C385" s="1" t="str">
        <f>IFERROR(__xludf.DUMMYFUNCTION("""COMPUTED_VALUE"""),"3-97")</f>
        <v>3-97</v>
      </c>
      <c r="D385" s="4">
        <f>IFERROR(__xludf.DUMMYFUNCTION("split(B385,""-"")"),44.0)</f>
        <v>44</v>
      </c>
      <c r="E385" s="4">
        <f>IFERROR(__xludf.DUMMYFUNCTION("""COMPUTED_VALUE"""),93.0)</f>
        <v>93</v>
      </c>
      <c r="F385" s="4">
        <f>IFERROR(__xludf.DUMMYFUNCTION("split(C385,""-"")"),3.0)</f>
        <v>3</v>
      </c>
      <c r="G385" s="4">
        <f>IFERROR(__xludf.DUMMYFUNCTION("""COMPUTED_VALUE"""),97.0)</f>
        <v>97</v>
      </c>
      <c r="H385" s="4">
        <f t="shared" si="1"/>
        <v>1</v>
      </c>
      <c r="J385" s="4">
        <f>IFERROR(__xludf.DUMMYFUNCTION("IFS(
ISBETWEEN(D385,F385,G385,TRUE,TRUE),1,
ISBETWEEN(E385,F385,G385,TRUE,TRUE),1,
ISBETWEEN(F385,D385,E385,TRUE,TRUE),1,
ISBETWEEN(G385,D385,E385,TRUE,TRUE),1,
1,0)"),1.0)</f>
        <v>1</v>
      </c>
    </row>
    <row r="386">
      <c r="A386" s="2" t="s">
        <v>385</v>
      </c>
      <c r="B386" s="1" t="str">
        <f>IFERROR(__xludf.DUMMYFUNCTION("SPLIT(A386,"","",)"),"23-58")</f>
        <v>23-58</v>
      </c>
      <c r="C386" s="1" t="str">
        <f>IFERROR(__xludf.DUMMYFUNCTION("""COMPUTED_VALUE"""),"22-58")</f>
        <v>22-58</v>
      </c>
      <c r="D386" s="4">
        <f>IFERROR(__xludf.DUMMYFUNCTION("split(B386,""-"")"),23.0)</f>
        <v>23</v>
      </c>
      <c r="E386" s="4">
        <f>IFERROR(__xludf.DUMMYFUNCTION("""COMPUTED_VALUE"""),58.0)</f>
        <v>58</v>
      </c>
      <c r="F386" s="4">
        <f>IFERROR(__xludf.DUMMYFUNCTION("split(C386,""-"")"),22.0)</f>
        <v>22</v>
      </c>
      <c r="G386" s="4">
        <f>IFERROR(__xludf.DUMMYFUNCTION("""COMPUTED_VALUE"""),58.0)</f>
        <v>58</v>
      </c>
      <c r="H386" s="4">
        <f t="shared" si="1"/>
        <v>1</v>
      </c>
      <c r="J386" s="4">
        <f>IFERROR(__xludf.DUMMYFUNCTION("IFS(
ISBETWEEN(D386,F386,G386,TRUE,TRUE),1,
ISBETWEEN(E386,F386,G386,TRUE,TRUE),1,
ISBETWEEN(F386,D386,E386,TRUE,TRUE),1,
ISBETWEEN(G386,D386,E386,TRUE,TRUE),1,
1,0)"),1.0)</f>
        <v>1</v>
      </c>
    </row>
    <row r="387">
      <c r="A387" s="2" t="s">
        <v>386</v>
      </c>
      <c r="B387" s="1" t="str">
        <f>IFERROR(__xludf.DUMMYFUNCTION("SPLIT(A387,"","",)"),"8-27")</f>
        <v>8-27</v>
      </c>
      <c r="C387" s="1" t="str">
        <f>IFERROR(__xludf.DUMMYFUNCTION("""COMPUTED_VALUE"""),"2-26")</f>
        <v>2-26</v>
      </c>
      <c r="D387" s="4">
        <f>IFERROR(__xludf.DUMMYFUNCTION("split(B387,""-"")"),8.0)</f>
        <v>8</v>
      </c>
      <c r="E387" s="4">
        <f>IFERROR(__xludf.DUMMYFUNCTION("""COMPUTED_VALUE"""),27.0)</f>
        <v>27</v>
      </c>
      <c r="F387" s="4">
        <f>IFERROR(__xludf.DUMMYFUNCTION("split(C387,""-"")"),2.0)</f>
        <v>2</v>
      </c>
      <c r="G387" s="4">
        <f>IFERROR(__xludf.DUMMYFUNCTION("""COMPUTED_VALUE"""),26.0)</f>
        <v>26</v>
      </c>
      <c r="H387" s="4">
        <f t="shared" si="1"/>
        <v>0</v>
      </c>
      <c r="J387" s="4">
        <f>IFERROR(__xludf.DUMMYFUNCTION("IFS(
ISBETWEEN(D387,F387,G387,TRUE,TRUE),1,
ISBETWEEN(E387,F387,G387,TRUE,TRUE),1,
ISBETWEEN(F387,D387,E387,TRUE,TRUE),1,
ISBETWEEN(G387,D387,E387,TRUE,TRUE),1,
1,0)"),1.0)</f>
        <v>1</v>
      </c>
    </row>
    <row r="388">
      <c r="A388" s="2" t="s">
        <v>387</v>
      </c>
      <c r="B388" s="1" t="str">
        <f>IFERROR(__xludf.DUMMYFUNCTION("SPLIT(A388,"","",)"),"1-87")</f>
        <v>1-87</v>
      </c>
      <c r="C388" s="1" t="str">
        <f>IFERROR(__xludf.DUMMYFUNCTION("""COMPUTED_VALUE"""),"1-88")</f>
        <v>1-88</v>
      </c>
      <c r="D388" s="4">
        <f>IFERROR(__xludf.DUMMYFUNCTION("split(B388,""-"")"),1.0)</f>
        <v>1</v>
      </c>
      <c r="E388" s="4">
        <f>IFERROR(__xludf.DUMMYFUNCTION("""COMPUTED_VALUE"""),87.0)</f>
        <v>87</v>
      </c>
      <c r="F388" s="4">
        <f>IFERROR(__xludf.DUMMYFUNCTION("split(C388,""-"")"),1.0)</f>
        <v>1</v>
      </c>
      <c r="G388" s="4">
        <f>IFERROR(__xludf.DUMMYFUNCTION("""COMPUTED_VALUE"""),88.0)</f>
        <v>88</v>
      </c>
      <c r="H388" s="4">
        <f t="shared" si="1"/>
        <v>1</v>
      </c>
      <c r="J388" s="4">
        <f>IFERROR(__xludf.DUMMYFUNCTION("IFS(
ISBETWEEN(D388,F388,G388,TRUE,TRUE),1,
ISBETWEEN(E388,F388,G388,TRUE,TRUE),1,
ISBETWEEN(F388,D388,E388,TRUE,TRUE),1,
ISBETWEEN(G388,D388,E388,TRUE,TRUE),1,
1,0)"),1.0)</f>
        <v>1</v>
      </c>
    </row>
    <row r="389">
      <c r="A389" s="2" t="s">
        <v>388</v>
      </c>
      <c r="B389" s="1" t="str">
        <f>IFERROR(__xludf.DUMMYFUNCTION("SPLIT(A389,"","",)"),"65-66")</f>
        <v>65-66</v>
      </c>
      <c r="C389" s="1" t="str">
        <f>IFERROR(__xludf.DUMMYFUNCTION("""COMPUTED_VALUE"""),"65-92")</f>
        <v>65-92</v>
      </c>
      <c r="D389" s="4">
        <f>IFERROR(__xludf.DUMMYFUNCTION("split(B389,""-"")"),65.0)</f>
        <v>65</v>
      </c>
      <c r="E389" s="4">
        <f>IFERROR(__xludf.DUMMYFUNCTION("""COMPUTED_VALUE"""),66.0)</f>
        <v>66</v>
      </c>
      <c r="F389" s="4">
        <f>IFERROR(__xludf.DUMMYFUNCTION("split(C389,""-"")"),65.0)</f>
        <v>65</v>
      </c>
      <c r="G389" s="4">
        <f>IFERROR(__xludf.DUMMYFUNCTION("""COMPUTED_VALUE"""),92.0)</f>
        <v>92</v>
      </c>
      <c r="H389" s="4">
        <f t="shared" si="1"/>
        <v>1</v>
      </c>
      <c r="J389" s="4">
        <f>IFERROR(__xludf.DUMMYFUNCTION("IFS(
ISBETWEEN(D389,F389,G389,TRUE,TRUE),1,
ISBETWEEN(E389,F389,G389,TRUE,TRUE),1,
ISBETWEEN(F389,D389,E389,TRUE,TRUE),1,
ISBETWEEN(G389,D389,E389,TRUE,TRUE),1,
1,0)"),1.0)</f>
        <v>1</v>
      </c>
    </row>
    <row r="390">
      <c r="A390" s="2" t="s">
        <v>389</v>
      </c>
      <c r="B390" s="1" t="str">
        <f>IFERROR(__xludf.DUMMYFUNCTION("SPLIT(A390,"","",)"),"69-69")</f>
        <v>69-69</v>
      </c>
      <c r="C390" s="1" t="str">
        <f>IFERROR(__xludf.DUMMYFUNCTION("""COMPUTED_VALUE"""),"12-69")</f>
        <v>12-69</v>
      </c>
      <c r="D390" s="4">
        <f>IFERROR(__xludf.DUMMYFUNCTION("split(B390,""-"")"),69.0)</f>
        <v>69</v>
      </c>
      <c r="E390" s="4">
        <f>IFERROR(__xludf.DUMMYFUNCTION("""COMPUTED_VALUE"""),69.0)</f>
        <v>69</v>
      </c>
      <c r="F390" s="4">
        <f>IFERROR(__xludf.DUMMYFUNCTION("split(C390,""-"")"),12.0)</f>
        <v>12</v>
      </c>
      <c r="G390" s="4">
        <f>IFERROR(__xludf.DUMMYFUNCTION("""COMPUTED_VALUE"""),69.0)</f>
        <v>69</v>
      </c>
      <c r="H390" s="4">
        <f t="shared" si="1"/>
        <v>1</v>
      </c>
      <c r="J390" s="4">
        <f>IFERROR(__xludf.DUMMYFUNCTION("IFS(
ISBETWEEN(D390,F390,G390,TRUE,TRUE),1,
ISBETWEEN(E390,F390,G390,TRUE,TRUE),1,
ISBETWEEN(F390,D390,E390,TRUE,TRUE),1,
ISBETWEEN(G390,D390,E390,TRUE,TRUE),1,
1,0)"),1.0)</f>
        <v>1</v>
      </c>
    </row>
    <row r="391">
      <c r="A391" s="2" t="s">
        <v>390</v>
      </c>
      <c r="B391" s="1" t="str">
        <f>IFERROR(__xludf.DUMMYFUNCTION("SPLIT(A391,"","",)"),"4-76")</f>
        <v>4-76</v>
      </c>
      <c r="C391" s="1" t="str">
        <f>IFERROR(__xludf.DUMMYFUNCTION("""COMPUTED_VALUE"""),"2-77")</f>
        <v>2-77</v>
      </c>
      <c r="D391" s="4">
        <f>IFERROR(__xludf.DUMMYFUNCTION("split(B391,""-"")"),4.0)</f>
        <v>4</v>
      </c>
      <c r="E391" s="4">
        <f>IFERROR(__xludf.DUMMYFUNCTION("""COMPUTED_VALUE"""),76.0)</f>
        <v>76</v>
      </c>
      <c r="F391" s="4">
        <f>IFERROR(__xludf.DUMMYFUNCTION("split(C391,""-"")"),2.0)</f>
        <v>2</v>
      </c>
      <c r="G391" s="4">
        <f>IFERROR(__xludf.DUMMYFUNCTION("""COMPUTED_VALUE"""),77.0)</f>
        <v>77</v>
      </c>
      <c r="H391" s="4">
        <f t="shared" si="1"/>
        <v>1</v>
      </c>
      <c r="J391" s="4">
        <f>IFERROR(__xludf.DUMMYFUNCTION("IFS(
ISBETWEEN(D391,F391,G391,TRUE,TRUE),1,
ISBETWEEN(E391,F391,G391,TRUE,TRUE),1,
ISBETWEEN(F391,D391,E391,TRUE,TRUE),1,
ISBETWEEN(G391,D391,E391,TRUE,TRUE),1,
1,0)"),1.0)</f>
        <v>1</v>
      </c>
    </row>
    <row r="392">
      <c r="A392" s="2" t="s">
        <v>391</v>
      </c>
      <c r="B392" s="1" t="str">
        <f>IFERROR(__xludf.DUMMYFUNCTION("SPLIT(A392,"","",)"),"33-52")</f>
        <v>33-52</v>
      </c>
      <c r="C392" s="1" t="str">
        <f>IFERROR(__xludf.DUMMYFUNCTION("""COMPUTED_VALUE"""),"32-33")</f>
        <v>32-33</v>
      </c>
      <c r="D392" s="4">
        <f>IFERROR(__xludf.DUMMYFUNCTION("split(B392,""-"")"),33.0)</f>
        <v>33</v>
      </c>
      <c r="E392" s="4">
        <f>IFERROR(__xludf.DUMMYFUNCTION("""COMPUTED_VALUE"""),52.0)</f>
        <v>52</v>
      </c>
      <c r="F392" s="4">
        <f>IFERROR(__xludf.DUMMYFUNCTION("split(C392,""-"")"),32.0)</f>
        <v>32</v>
      </c>
      <c r="G392" s="4">
        <f>IFERROR(__xludf.DUMMYFUNCTION("""COMPUTED_VALUE"""),33.0)</f>
        <v>33</v>
      </c>
      <c r="H392" s="4">
        <f t="shared" si="1"/>
        <v>0</v>
      </c>
      <c r="J392" s="4">
        <f>IFERROR(__xludf.DUMMYFUNCTION("IFS(
ISBETWEEN(D392,F392,G392,TRUE,TRUE),1,
ISBETWEEN(E392,F392,G392,TRUE,TRUE),1,
ISBETWEEN(F392,D392,E392,TRUE,TRUE),1,
ISBETWEEN(G392,D392,E392,TRUE,TRUE),1,
1,0)"),1.0)</f>
        <v>1</v>
      </c>
    </row>
    <row r="393">
      <c r="A393" s="2" t="s">
        <v>392</v>
      </c>
      <c r="B393" s="1" t="str">
        <f>IFERROR(__xludf.DUMMYFUNCTION("SPLIT(A393,"","",)"),"40-88")</f>
        <v>40-88</v>
      </c>
      <c r="C393" s="1" t="str">
        <f>IFERROR(__xludf.DUMMYFUNCTION("""COMPUTED_VALUE"""),"78-89")</f>
        <v>78-89</v>
      </c>
      <c r="D393" s="4">
        <f>IFERROR(__xludf.DUMMYFUNCTION("split(B393,""-"")"),40.0)</f>
        <v>40</v>
      </c>
      <c r="E393" s="4">
        <f>IFERROR(__xludf.DUMMYFUNCTION("""COMPUTED_VALUE"""),88.0)</f>
        <v>88</v>
      </c>
      <c r="F393" s="4">
        <f>IFERROR(__xludf.DUMMYFUNCTION("split(C393,""-"")"),78.0)</f>
        <v>78</v>
      </c>
      <c r="G393" s="4">
        <f>IFERROR(__xludf.DUMMYFUNCTION("""COMPUTED_VALUE"""),89.0)</f>
        <v>89</v>
      </c>
      <c r="H393" s="4">
        <f t="shared" si="1"/>
        <v>0</v>
      </c>
      <c r="J393" s="4">
        <f>IFERROR(__xludf.DUMMYFUNCTION("IFS(
ISBETWEEN(D393,F393,G393,TRUE,TRUE),1,
ISBETWEEN(E393,F393,G393,TRUE,TRUE),1,
ISBETWEEN(F393,D393,E393,TRUE,TRUE),1,
ISBETWEEN(G393,D393,E393,TRUE,TRUE),1,
1,0)"),1.0)</f>
        <v>1</v>
      </c>
    </row>
    <row r="394">
      <c r="A394" s="2" t="s">
        <v>393</v>
      </c>
      <c r="B394" s="1" t="str">
        <f>IFERROR(__xludf.DUMMYFUNCTION("SPLIT(A394,"","",)"),"2-95")</f>
        <v>2-95</v>
      </c>
      <c r="C394" s="1" t="str">
        <f>IFERROR(__xludf.DUMMYFUNCTION("""COMPUTED_VALUE"""),"1-96")</f>
        <v>1-96</v>
      </c>
      <c r="D394" s="4">
        <f>IFERROR(__xludf.DUMMYFUNCTION("split(B394,""-"")"),2.0)</f>
        <v>2</v>
      </c>
      <c r="E394" s="4">
        <f>IFERROR(__xludf.DUMMYFUNCTION("""COMPUTED_VALUE"""),95.0)</f>
        <v>95</v>
      </c>
      <c r="F394" s="4">
        <f>IFERROR(__xludf.DUMMYFUNCTION("split(C394,""-"")"),1.0)</f>
        <v>1</v>
      </c>
      <c r="G394" s="4">
        <f>IFERROR(__xludf.DUMMYFUNCTION("""COMPUTED_VALUE"""),96.0)</f>
        <v>96</v>
      </c>
      <c r="H394" s="4">
        <f t="shared" si="1"/>
        <v>1</v>
      </c>
      <c r="J394" s="4">
        <f>IFERROR(__xludf.DUMMYFUNCTION("IFS(
ISBETWEEN(D394,F394,G394,TRUE,TRUE),1,
ISBETWEEN(E394,F394,G394,TRUE,TRUE),1,
ISBETWEEN(F394,D394,E394,TRUE,TRUE),1,
ISBETWEEN(G394,D394,E394,TRUE,TRUE),1,
1,0)"),1.0)</f>
        <v>1</v>
      </c>
    </row>
    <row r="395">
      <c r="A395" s="2" t="s">
        <v>394</v>
      </c>
      <c r="B395" s="1" t="str">
        <f>IFERROR(__xludf.DUMMYFUNCTION("SPLIT(A395,"","",)"),"7-87")</f>
        <v>7-87</v>
      </c>
      <c r="C395" s="1" t="str">
        <f>IFERROR(__xludf.DUMMYFUNCTION("""COMPUTED_VALUE"""),"28-55")</f>
        <v>28-55</v>
      </c>
      <c r="D395" s="4">
        <f>IFERROR(__xludf.DUMMYFUNCTION("split(B395,""-"")"),7.0)</f>
        <v>7</v>
      </c>
      <c r="E395" s="4">
        <f>IFERROR(__xludf.DUMMYFUNCTION("""COMPUTED_VALUE"""),87.0)</f>
        <v>87</v>
      </c>
      <c r="F395" s="4">
        <f>IFERROR(__xludf.DUMMYFUNCTION("split(C395,""-"")"),28.0)</f>
        <v>28</v>
      </c>
      <c r="G395" s="4">
        <f>IFERROR(__xludf.DUMMYFUNCTION("""COMPUTED_VALUE"""),55.0)</f>
        <v>55</v>
      </c>
      <c r="H395" s="4">
        <f t="shared" si="1"/>
        <v>1</v>
      </c>
      <c r="J395" s="4">
        <f>IFERROR(__xludf.DUMMYFUNCTION("IFS(
ISBETWEEN(D395,F395,G395,TRUE,TRUE),1,
ISBETWEEN(E395,F395,G395,TRUE,TRUE),1,
ISBETWEEN(F395,D395,E395,TRUE,TRUE),1,
ISBETWEEN(G395,D395,E395,TRUE,TRUE),1,
1,0)"),1.0)</f>
        <v>1</v>
      </c>
    </row>
    <row r="396">
      <c r="A396" s="2" t="s">
        <v>395</v>
      </c>
      <c r="B396" s="1" t="str">
        <f>IFERROR(__xludf.DUMMYFUNCTION("SPLIT(A396,"","",)"),"13-93")</f>
        <v>13-93</v>
      </c>
      <c r="C396" s="1" t="str">
        <f>IFERROR(__xludf.DUMMYFUNCTION("""COMPUTED_VALUE"""),"10-92")</f>
        <v>10-92</v>
      </c>
      <c r="D396" s="4">
        <f>IFERROR(__xludf.DUMMYFUNCTION("split(B396,""-"")"),13.0)</f>
        <v>13</v>
      </c>
      <c r="E396" s="4">
        <f>IFERROR(__xludf.DUMMYFUNCTION("""COMPUTED_VALUE"""),93.0)</f>
        <v>93</v>
      </c>
      <c r="F396" s="4">
        <f>IFERROR(__xludf.DUMMYFUNCTION("split(C396,""-"")"),10.0)</f>
        <v>10</v>
      </c>
      <c r="G396" s="4">
        <f>IFERROR(__xludf.DUMMYFUNCTION("""COMPUTED_VALUE"""),92.0)</f>
        <v>92</v>
      </c>
      <c r="H396" s="4">
        <f t="shared" si="1"/>
        <v>0</v>
      </c>
      <c r="J396" s="4">
        <f>IFERROR(__xludf.DUMMYFUNCTION("IFS(
ISBETWEEN(D396,F396,G396,TRUE,TRUE),1,
ISBETWEEN(E396,F396,G396,TRUE,TRUE),1,
ISBETWEEN(F396,D396,E396,TRUE,TRUE),1,
ISBETWEEN(G396,D396,E396,TRUE,TRUE),1,
1,0)"),1.0)</f>
        <v>1</v>
      </c>
    </row>
    <row r="397">
      <c r="A397" s="2" t="s">
        <v>396</v>
      </c>
      <c r="B397" s="1" t="str">
        <f>IFERROR(__xludf.DUMMYFUNCTION("SPLIT(A397,"","",)"),"24-38")</f>
        <v>24-38</v>
      </c>
      <c r="C397" s="1" t="str">
        <f>IFERROR(__xludf.DUMMYFUNCTION("""COMPUTED_VALUE"""),"15-60")</f>
        <v>15-60</v>
      </c>
      <c r="D397" s="4">
        <f>IFERROR(__xludf.DUMMYFUNCTION("split(B397,""-"")"),24.0)</f>
        <v>24</v>
      </c>
      <c r="E397" s="4">
        <f>IFERROR(__xludf.DUMMYFUNCTION("""COMPUTED_VALUE"""),38.0)</f>
        <v>38</v>
      </c>
      <c r="F397" s="4">
        <f>IFERROR(__xludf.DUMMYFUNCTION("split(C397,""-"")"),15.0)</f>
        <v>15</v>
      </c>
      <c r="G397" s="4">
        <f>IFERROR(__xludf.DUMMYFUNCTION("""COMPUTED_VALUE"""),60.0)</f>
        <v>60</v>
      </c>
      <c r="H397" s="4">
        <f t="shared" si="1"/>
        <v>1</v>
      </c>
      <c r="J397" s="4">
        <f>IFERROR(__xludf.DUMMYFUNCTION("IFS(
ISBETWEEN(D397,F397,G397,TRUE,TRUE),1,
ISBETWEEN(E397,F397,G397,TRUE,TRUE),1,
ISBETWEEN(F397,D397,E397,TRUE,TRUE),1,
ISBETWEEN(G397,D397,E397,TRUE,TRUE),1,
1,0)"),1.0)</f>
        <v>1</v>
      </c>
    </row>
    <row r="398">
      <c r="A398" s="2" t="s">
        <v>397</v>
      </c>
      <c r="B398" s="1" t="str">
        <f>IFERROR(__xludf.DUMMYFUNCTION("SPLIT(A398,"","",)"),"45-59")</f>
        <v>45-59</v>
      </c>
      <c r="C398" s="1" t="str">
        <f>IFERROR(__xludf.DUMMYFUNCTION("""COMPUTED_VALUE"""),"44-59")</f>
        <v>44-59</v>
      </c>
      <c r="D398" s="4">
        <f>IFERROR(__xludf.DUMMYFUNCTION("split(B398,""-"")"),45.0)</f>
        <v>45</v>
      </c>
      <c r="E398" s="4">
        <f>IFERROR(__xludf.DUMMYFUNCTION("""COMPUTED_VALUE"""),59.0)</f>
        <v>59</v>
      </c>
      <c r="F398" s="4">
        <f>IFERROR(__xludf.DUMMYFUNCTION("split(C398,""-"")"),44.0)</f>
        <v>44</v>
      </c>
      <c r="G398" s="4">
        <f>IFERROR(__xludf.DUMMYFUNCTION("""COMPUTED_VALUE"""),59.0)</f>
        <v>59</v>
      </c>
      <c r="H398" s="4">
        <f t="shared" si="1"/>
        <v>1</v>
      </c>
      <c r="J398" s="4">
        <f>IFERROR(__xludf.DUMMYFUNCTION("IFS(
ISBETWEEN(D398,F398,G398,TRUE,TRUE),1,
ISBETWEEN(E398,F398,G398,TRUE,TRUE),1,
ISBETWEEN(F398,D398,E398,TRUE,TRUE),1,
ISBETWEEN(G398,D398,E398,TRUE,TRUE),1,
1,0)"),1.0)</f>
        <v>1</v>
      </c>
    </row>
    <row r="399">
      <c r="A399" s="2" t="s">
        <v>398</v>
      </c>
      <c r="B399" s="1" t="str">
        <f>IFERROR(__xludf.DUMMYFUNCTION("SPLIT(A399,"","",)"),"18-93")</f>
        <v>18-93</v>
      </c>
      <c r="C399" s="1" t="str">
        <f>IFERROR(__xludf.DUMMYFUNCTION("""COMPUTED_VALUE"""),"17-93")</f>
        <v>17-93</v>
      </c>
      <c r="D399" s="4">
        <f>IFERROR(__xludf.DUMMYFUNCTION("split(B399,""-"")"),18.0)</f>
        <v>18</v>
      </c>
      <c r="E399" s="4">
        <f>IFERROR(__xludf.DUMMYFUNCTION("""COMPUTED_VALUE"""),93.0)</f>
        <v>93</v>
      </c>
      <c r="F399" s="4">
        <f>IFERROR(__xludf.DUMMYFUNCTION("split(C399,""-"")"),17.0)</f>
        <v>17</v>
      </c>
      <c r="G399" s="4">
        <f>IFERROR(__xludf.DUMMYFUNCTION("""COMPUTED_VALUE"""),93.0)</f>
        <v>93</v>
      </c>
      <c r="H399" s="4">
        <f t="shared" si="1"/>
        <v>1</v>
      </c>
      <c r="J399" s="4">
        <f>IFERROR(__xludf.DUMMYFUNCTION("IFS(
ISBETWEEN(D399,F399,G399,TRUE,TRUE),1,
ISBETWEEN(E399,F399,G399,TRUE,TRUE),1,
ISBETWEEN(F399,D399,E399,TRUE,TRUE),1,
ISBETWEEN(G399,D399,E399,TRUE,TRUE),1,
1,0)"),1.0)</f>
        <v>1</v>
      </c>
    </row>
    <row r="400">
      <c r="A400" s="2" t="s">
        <v>399</v>
      </c>
      <c r="B400" s="1" t="str">
        <f>IFERROR(__xludf.DUMMYFUNCTION("SPLIT(A400,"","",)"),"69-90")</f>
        <v>69-90</v>
      </c>
      <c r="C400" s="1" t="str">
        <f>IFERROR(__xludf.DUMMYFUNCTION("""COMPUTED_VALUE"""),"74-91")</f>
        <v>74-91</v>
      </c>
      <c r="D400" s="4">
        <f>IFERROR(__xludf.DUMMYFUNCTION("split(B400,""-"")"),69.0)</f>
        <v>69</v>
      </c>
      <c r="E400" s="4">
        <f>IFERROR(__xludf.DUMMYFUNCTION("""COMPUTED_VALUE"""),90.0)</f>
        <v>90</v>
      </c>
      <c r="F400" s="4">
        <f>IFERROR(__xludf.DUMMYFUNCTION("split(C400,""-"")"),74.0)</f>
        <v>74</v>
      </c>
      <c r="G400" s="4">
        <f>IFERROR(__xludf.DUMMYFUNCTION("""COMPUTED_VALUE"""),91.0)</f>
        <v>91</v>
      </c>
      <c r="H400" s="4">
        <f t="shared" si="1"/>
        <v>0</v>
      </c>
      <c r="J400" s="4">
        <f>IFERROR(__xludf.DUMMYFUNCTION("IFS(
ISBETWEEN(D400,F400,G400,TRUE,TRUE),1,
ISBETWEEN(E400,F400,G400,TRUE,TRUE),1,
ISBETWEEN(F400,D400,E400,TRUE,TRUE),1,
ISBETWEEN(G400,D400,E400,TRUE,TRUE),1,
1,0)"),1.0)</f>
        <v>1</v>
      </c>
    </row>
    <row r="401">
      <c r="A401" s="2" t="s">
        <v>400</v>
      </c>
      <c r="B401" s="1" t="str">
        <f>IFERROR(__xludf.DUMMYFUNCTION("SPLIT(A401,"","",)"),"73-73")</f>
        <v>73-73</v>
      </c>
      <c r="C401" s="1" t="str">
        <f>IFERROR(__xludf.DUMMYFUNCTION("""COMPUTED_VALUE"""),"73-73")</f>
        <v>73-73</v>
      </c>
      <c r="D401" s="4">
        <f>IFERROR(__xludf.DUMMYFUNCTION("split(B401,""-"")"),73.0)</f>
        <v>73</v>
      </c>
      <c r="E401" s="4">
        <f>IFERROR(__xludf.DUMMYFUNCTION("""COMPUTED_VALUE"""),73.0)</f>
        <v>73</v>
      </c>
      <c r="F401" s="4">
        <f>IFERROR(__xludf.DUMMYFUNCTION("split(C401,""-"")"),73.0)</f>
        <v>73</v>
      </c>
      <c r="G401" s="4">
        <f>IFERROR(__xludf.DUMMYFUNCTION("""COMPUTED_VALUE"""),73.0)</f>
        <v>73</v>
      </c>
      <c r="H401" s="4">
        <f t="shared" si="1"/>
        <v>1</v>
      </c>
      <c r="J401" s="4">
        <f>IFERROR(__xludf.DUMMYFUNCTION("IFS(
ISBETWEEN(D401,F401,G401,TRUE,TRUE),1,
ISBETWEEN(E401,F401,G401,TRUE,TRUE),1,
ISBETWEEN(F401,D401,E401,TRUE,TRUE),1,
ISBETWEEN(G401,D401,E401,TRUE,TRUE),1,
1,0)"),1.0)</f>
        <v>1</v>
      </c>
    </row>
    <row r="402">
      <c r="A402" s="2" t="s">
        <v>401</v>
      </c>
      <c r="B402" s="1" t="str">
        <f>IFERROR(__xludf.DUMMYFUNCTION("SPLIT(A402,"","",)"),"17-90")</f>
        <v>17-90</v>
      </c>
      <c r="C402" s="1" t="str">
        <f>IFERROR(__xludf.DUMMYFUNCTION("""COMPUTED_VALUE"""),"6-91")</f>
        <v>6-91</v>
      </c>
      <c r="D402" s="4">
        <f>IFERROR(__xludf.DUMMYFUNCTION("split(B402,""-"")"),17.0)</f>
        <v>17</v>
      </c>
      <c r="E402" s="4">
        <f>IFERROR(__xludf.DUMMYFUNCTION("""COMPUTED_VALUE"""),90.0)</f>
        <v>90</v>
      </c>
      <c r="F402" s="4">
        <f>IFERROR(__xludf.DUMMYFUNCTION("split(C402,""-"")"),6.0)</f>
        <v>6</v>
      </c>
      <c r="G402" s="4">
        <f>IFERROR(__xludf.DUMMYFUNCTION("""COMPUTED_VALUE"""),91.0)</f>
        <v>91</v>
      </c>
      <c r="H402" s="4">
        <f t="shared" si="1"/>
        <v>1</v>
      </c>
      <c r="J402" s="4">
        <f>IFERROR(__xludf.DUMMYFUNCTION("IFS(
ISBETWEEN(D402,F402,G402,TRUE,TRUE),1,
ISBETWEEN(E402,F402,G402,TRUE,TRUE),1,
ISBETWEEN(F402,D402,E402,TRUE,TRUE),1,
ISBETWEEN(G402,D402,E402,TRUE,TRUE),1,
1,0)"),1.0)</f>
        <v>1</v>
      </c>
    </row>
    <row r="403">
      <c r="A403" s="2" t="s">
        <v>402</v>
      </c>
      <c r="B403" s="1" t="str">
        <f>IFERROR(__xludf.DUMMYFUNCTION("SPLIT(A403,"","",)"),"26-75")</f>
        <v>26-75</v>
      </c>
      <c r="C403" s="1" t="str">
        <f>IFERROR(__xludf.DUMMYFUNCTION("""COMPUTED_VALUE"""),"27-71")</f>
        <v>27-71</v>
      </c>
      <c r="D403" s="4">
        <f>IFERROR(__xludf.DUMMYFUNCTION("split(B403,""-"")"),26.0)</f>
        <v>26</v>
      </c>
      <c r="E403" s="4">
        <f>IFERROR(__xludf.DUMMYFUNCTION("""COMPUTED_VALUE"""),75.0)</f>
        <v>75</v>
      </c>
      <c r="F403" s="4">
        <f>IFERROR(__xludf.DUMMYFUNCTION("split(C403,""-"")"),27.0)</f>
        <v>27</v>
      </c>
      <c r="G403" s="4">
        <f>IFERROR(__xludf.DUMMYFUNCTION("""COMPUTED_VALUE"""),71.0)</f>
        <v>71</v>
      </c>
      <c r="H403" s="4">
        <f t="shared" si="1"/>
        <v>1</v>
      </c>
      <c r="J403" s="4">
        <f>IFERROR(__xludf.DUMMYFUNCTION("IFS(
ISBETWEEN(D403,F403,G403,TRUE,TRUE),1,
ISBETWEEN(E403,F403,G403,TRUE,TRUE),1,
ISBETWEEN(F403,D403,E403,TRUE,TRUE),1,
ISBETWEEN(G403,D403,E403,TRUE,TRUE),1,
1,0)"),1.0)</f>
        <v>1</v>
      </c>
    </row>
    <row r="404">
      <c r="A404" s="2" t="s">
        <v>403</v>
      </c>
      <c r="B404" s="1" t="str">
        <f>IFERROR(__xludf.DUMMYFUNCTION("SPLIT(A404,"","",)"),"4-80")</f>
        <v>4-80</v>
      </c>
      <c r="C404" s="1" t="str">
        <f>IFERROR(__xludf.DUMMYFUNCTION("""COMPUTED_VALUE"""),"5-80")</f>
        <v>5-80</v>
      </c>
      <c r="D404" s="4">
        <f>IFERROR(__xludf.DUMMYFUNCTION("split(B404,""-"")"),4.0)</f>
        <v>4</v>
      </c>
      <c r="E404" s="4">
        <f>IFERROR(__xludf.DUMMYFUNCTION("""COMPUTED_VALUE"""),80.0)</f>
        <v>80</v>
      </c>
      <c r="F404" s="4">
        <f>IFERROR(__xludf.DUMMYFUNCTION("split(C404,""-"")"),5.0)</f>
        <v>5</v>
      </c>
      <c r="G404" s="4">
        <f>IFERROR(__xludf.DUMMYFUNCTION("""COMPUTED_VALUE"""),80.0)</f>
        <v>80</v>
      </c>
      <c r="H404" s="4">
        <f t="shared" si="1"/>
        <v>1</v>
      </c>
      <c r="J404" s="4">
        <f>IFERROR(__xludf.DUMMYFUNCTION("IFS(
ISBETWEEN(D404,F404,G404,TRUE,TRUE),1,
ISBETWEEN(E404,F404,G404,TRUE,TRUE),1,
ISBETWEEN(F404,D404,E404,TRUE,TRUE),1,
ISBETWEEN(G404,D404,E404,TRUE,TRUE),1,
1,0)"),1.0)</f>
        <v>1</v>
      </c>
    </row>
    <row r="405">
      <c r="A405" s="2" t="s">
        <v>404</v>
      </c>
      <c r="B405" s="1" t="str">
        <f>IFERROR(__xludf.DUMMYFUNCTION("SPLIT(A405,"","",)"),"52-92")</f>
        <v>52-92</v>
      </c>
      <c r="C405" s="1" t="str">
        <f>IFERROR(__xludf.DUMMYFUNCTION("""COMPUTED_VALUE"""),"91-94")</f>
        <v>91-94</v>
      </c>
      <c r="D405" s="4">
        <f>IFERROR(__xludf.DUMMYFUNCTION("split(B405,""-"")"),52.0)</f>
        <v>52</v>
      </c>
      <c r="E405" s="4">
        <f>IFERROR(__xludf.DUMMYFUNCTION("""COMPUTED_VALUE"""),92.0)</f>
        <v>92</v>
      </c>
      <c r="F405" s="4">
        <f>IFERROR(__xludf.DUMMYFUNCTION("split(C405,""-"")"),91.0)</f>
        <v>91</v>
      </c>
      <c r="G405" s="4">
        <f>IFERROR(__xludf.DUMMYFUNCTION("""COMPUTED_VALUE"""),94.0)</f>
        <v>94</v>
      </c>
      <c r="H405" s="4">
        <f t="shared" si="1"/>
        <v>0</v>
      </c>
      <c r="J405" s="4">
        <f>IFERROR(__xludf.DUMMYFUNCTION("IFS(
ISBETWEEN(D405,F405,G405,TRUE,TRUE),1,
ISBETWEEN(E405,F405,G405,TRUE,TRUE),1,
ISBETWEEN(F405,D405,E405,TRUE,TRUE),1,
ISBETWEEN(G405,D405,E405,TRUE,TRUE),1,
1,0)"),1.0)</f>
        <v>1</v>
      </c>
    </row>
    <row r="406">
      <c r="A406" s="2" t="s">
        <v>405</v>
      </c>
      <c r="B406" s="1" t="str">
        <f>IFERROR(__xludf.DUMMYFUNCTION("SPLIT(A406,"","",)"),"32-53")</f>
        <v>32-53</v>
      </c>
      <c r="C406" s="1" t="str">
        <f>IFERROR(__xludf.DUMMYFUNCTION("""COMPUTED_VALUE"""),"31-53")</f>
        <v>31-53</v>
      </c>
      <c r="D406" s="4">
        <f>IFERROR(__xludf.DUMMYFUNCTION("split(B406,""-"")"),32.0)</f>
        <v>32</v>
      </c>
      <c r="E406" s="4">
        <f>IFERROR(__xludf.DUMMYFUNCTION("""COMPUTED_VALUE"""),53.0)</f>
        <v>53</v>
      </c>
      <c r="F406" s="4">
        <f>IFERROR(__xludf.DUMMYFUNCTION("split(C406,""-"")"),31.0)</f>
        <v>31</v>
      </c>
      <c r="G406" s="4">
        <f>IFERROR(__xludf.DUMMYFUNCTION("""COMPUTED_VALUE"""),53.0)</f>
        <v>53</v>
      </c>
      <c r="H406" s="4">
        <f t="shared" si="1"/>
        <v>1</v>
      </c>
      <c r="J406" s="4">
        <f>IFERROR(__xludf.DUMMYFUNCTION("IFS(
ISBETWEEN(D406,F406,G406,TRUE,TRUE),1,
ISBETWEEN(E406,F406,G406,TRUE,TRUE),1,
ISBETWEEN(F406,D406,E406,TRUE,TRUE),1,
ISBETWEEN(G406,D406,E406,TRUE,TRUE),1,
1,0)"),1.0)</f>
        <v>1</v>
      </c>
    </row>
    <row r="407">
      <c r="A407" s="2" t="s">
        <v>406</v>
      </c>
      <c r="B407" s="1" t="str">
        <f>IFERROR(__xludf.DUMMYFUNCTION("SPLIT(A407,"","",)"),"73-89")</f>
        <v>73-89</v>
      </c>
      <c r="C407" s="1" t="str">
        <f>IFERROR(__xludf.DUMMYFUNCTION("""COMPUTED_VALUE"""),"38-84")</f>
        <v>38-84</v>
      </c>
      <c r="D407" s="4">
        <f>IFERROR(__xludf.DUMMYFUNCTION("split(B407,""-"")"),73.0)</f>
        <v>73</v>
      </c>
      <c r="E407" s="4">
        <f>IFERROR(__xludf.DUMMYFUNCTION("""COMPUTED_VALUE"""),89.0)</f>
        <v>89</v>
      </c>
      <c r="F407" s="4">
        <f>IFERROR(__xludf.DUMMYFUNCTION("split(C407,""-"")"),38.0)</f>
        <v>38</v>
      </c>
      <c r="G407" s="4">
        <f>IFERROR(__xludf.DUMMYFUNCTION("""COMPUTED_VALUE"""),84.0)</f>
        <v>84</v>
      </c>
      <c r="H407" s="4">
        <f t="shared" si="1"/>
        <v>0</v>
      </c>
      <c r="J407" s="4">
        <f>IFERROR(__xludf.DUMMYFUNCTION("IFS(
ISBETWEEN(D407,F407,G407,TRUE,TRUE),1,
ISBETWEEN(E407,F407,G407,TRUE,TRUE),1,
ISBETWEEN(F407,D407,E407,TRUE,TRUE),1,
ISBETWEEN(G407,D407,E407,TRUE,TRUE),1,
1,0)"),1.0)</f>
        <v>1</v>
      </c>
    </row>
    <row r="408">
      <c r="A408" s="2" t="s">
        <v>407</v>
      </c>
      <c r="B408" s="1" t="str">
        <f>IFERROR(__xludf.DUMMYFUNCTION("SPLIT(A408,"","",)"),"70-90")</f>
        <v>70-90</v>
      </c>
      <c r="C408" s="1" t="str">
        <f>IFERROR(__xludf.DUMMYFUNCTION("""COMPUTED_VALUE"""),"71-89")</f>
        <v>71-89</v>
      </c>
      <c r="D408" s="4">
        <f>IFERROR(__xludf.DUMMYFUNCTION("split(B408,""-"")"),70.0)</f>
        <v>70</v>
      </c>
      <c r="E408" s="4">
        <f>IFERROR(__xludf.DUMMYFUNCTION("""COMPUTED_VALUE"""),90.0)</f>
        <v>90</v>
      </c>
      <c r="F408" s="4">
        <f>IFERROR(__xludf.DUMMYFUNCTION("split(C408,""-"")"),71.0)</f>
        <v>71</v>
      </c>
      <c r="G408" s="4">
        <f>IFERROR(__xludf.DUMMYFUNCTION("""COMPUTED_VALUE"""),89.0)</f>
        <v>89</v>
      </c>
      <c r="H408" s="4">
        <f t="shared" si="1"/>
        <v>1</v>
      </c>
      <c r="J408" s="4">
        <f>IFERROR(__xludf.DUMMYFUNCTION("IFS(
ISBETWEEN(D408,F408,G408,TRUE,TRUE),1,
ISBETWEEN(E408,F408,G408,TRUE,TRUE),1,
ISBETWEEN(F408,D408,E408,TRUE,TRUE),1,
ISBETWEEN(G408,D408,E408,TRUE,TRUE),1,
1,0)"),1.0)</f>
        <v>1</v>
      </c>
    </row>
    <row r="409">
      <c r="A409" s="2" t="s">
        <v>408</v>
      </c>
      <c r="B409" s="1" t="str">
        <f>IFERROR(__xludf.DUMMYFUNCTION("SPLIT(A409,"","",)"),"72-93")</f>
        <v>72-93</v>
      </c>
      <c r="C409" s="1" t="str">
        <f>IFERROR(__xludf.DUMMYFUNCTION("""COMPUTED_VALUE"""),"72-93")</f>
        <v>72-93</v>
      </c>
      <c r="D409" s="4">
        <f>IFERROR(__xludf.DUMMYFUNCTION("split(B409,""-"")"),72.0)</f>
        <v>72</v>
      </c>
      <c r="E409" s="4">
        <f>IFERROR(__xludf.DUMMYFUNCTION("""COMPUTED_VALUE"""),93.0)</f>
        <v>93</v>
      </c>
      <c r="F409" s="4">
        <f>IFERROR(__xludf.DUMMYFUNCTION("split(C409,""-"")"),72.0)</f>
        <v>72</v>
      </c>
      <c r="G409" s="4">
        <f>IFERROR(__xludf.DUMMYFUNCTION("""COMPUTED_VALUE"""),93.0)</f>
        <v>93</v>
      </c>
      <c r="H409" s="4">
        <f t="shared" si="1"/>
        <v>1</v>
      </c>
      <c r="J409" s="4">
        <f>IFERROR(__xludf.DUMMYFUNCTION("IFS(
ISBETWEEN(D409,F409,G409,TRUE,TRUE),1,
ISBETWEEN(E409,F409,G409,TRUE,TRUE),1,
ISBETWEEN(F409,D409,E409,TRUE,TRUE),1,
ISBETWEEN(G409,D409,E409,TRUE,TRUE),1,
1,0)"),1.0)</f>
        <v>1</v>
      </c>
    </row>
    <row r="410">
      <c r="A410" s="2" t="s">
        <v>409</v>
      </c>
      <c r="B410" s="1" t="str">
        <f>IFERROR(__xludf.DUMMYFUNCTION("SPLIT(A410,"","",)"),"12-79")</f>
        <v>12-79</v>
      </c>
      <c r="C410" s="1" t="str">
        <f>IFERROR(__xludf.DUMMYFUNCTION("""COMPUTED_VALUE"""),"13-68")</f>
        <v>13-68</v>
      </c>
      <c r="D410" s="4">
        <f>IFERROR(__xludf.DUMMYFUNCTION("split(B410,""-"")"),12.0)</f>
        <v>12</v>
      </c>
      <c r="E410" s="4">
        <f>IFERROR(__xludf.DUMMYFUNCTION("""COMPUTED_VALUE"""),79.0)</f>
        <v>79</v>
      </c>
      <c r="F410" s="4">
        <f>IFERROR(__xludf.DUMMYFUNCTION("split(C410,""-"")"),13.0)</f>
        <v>13</v>
      </c>
      <c r="G410" s="4">
        <f>IFERROR(__xludf.DUMMYFUNCTION("""COMPUTED_VALUE"""),68.0)</f>
        <v>68</v>
      </c>
      <c r="H410" s="4">
        <f t="shared" si="1"/>
        <v>1</v>
      </c>
      <c r="J410" s="4">
        <f>IFERROR(__xludf.DUMMYFUNCTION("IFS(
ISBETWEEN(D410,F410,G410,TRUE,TRUE),1,
ISBETWEEN(E410,F410,G410,TRUE,TRUE),1,
ISBETWEEN(F410,D410,E410,TRUE,TRUE),1,
ISBETWEEN(G410,D410,E410,TRUE,TRUE),1,
1,0)"),1.0)</f>
        <v>1</v>
      </c>
    </row>
    <row r="411">
      <c r="A411" s="2" t="s">
        <v>410</v>
      </c>
      <c r="B411" s="1" t="str">
        <f>IFERROR(__xludf.DUMMYFUNCTION("SPLIT(A411,"","",)"),"29-76")</f>
        <v>29-76</v>
      </c>
      <c r="C411" s="1" t="str">
        <f>IFERROR(__xludf.DUMMYFUNCTION("""COMPUTED_VALUE"""),"54-77")</f>
        <v>54-77</v>
      </c>
      <c r="D411" s="4">
        <f>IFERROR(__xludf.DUMMYFUNCTION("split(B411,""-"")"),29.0)</f>
        <v>29</v>
      </c>
      <c r="E411" s="4">
        <f>IFERROR(__xludf.DUMMYFUNCTION("""COMPUTED_VALUE"""),76.0)</f>
        <v>76</v>
      </c>
      <c r="F411" s="4">
        <f>IFERROR(__xludf.DUMMYFUNCTION("split(C411,""-"")"),54.0)</f>
        <v>54</v>
      </c>
      <c r="G411" s="4">
        <f>IFERROR(__xludf.DUMMYFUNCTION("""COMPUTED_VALUE"""),77.0)</f>
        <v>77</v>
      </c>
      <c r="H411" s="4">
        <f t="shared" si="1"/>
        <v>0</v>
      </c>
      <c r="J411" s="4">
        <f>IFERROR(__xludf.DUMMYFUNCTION("IFS(
ISBETWEEN(D411,F411,G411,TRUE,TRUE),1,
ISBETWEEN(E411,F411,G411,TRUE,TRUE),1,
ISBETWEEN(F411,D411,E411,TRUE,TRUE),1,
ISBETWEEN(G411,D411,E411,TRUE,TRUE),1,
1,0)"),1.0)</f>
        <v>1</v>
      </c>
    </row>
    <row r="412">
      <c r="A412" s="2" t="s">
        <v>411</v>
      </c>
      <c r="B412" s="1" t="str">
        <f>IFERROR(__xludf.DUMMYFUNCTION("SPLIT(A412,"","",)"),"26-66")</f>
        <v>26-66</v>
      </c>
      <c r="C412" s="1" t="str">
        <f>IFERROR(__xludf.DUMMYFUNCTION("""COMPUTED_VALUE"""),"65-67")</f>
        <v>65-67</v>
      </c>
      <c r="D412" s="4">
        <f>IFERROR(__xludf.DUMMYFUNCTION("split(B412,""-"")"),26.0)</f>
        <v>26</v>
      </c>
      <c r="E412" s="4">
        <f>IFERROR(__xludf.DUMMYFUNCTION("""COMPUTED_VALUE"""),66.0)</f>
        <v>66</v>
      </c>
      <c r="F412" s="4">
        <f>IFERROR(__xludf.DUMMYFUNCTION("split(C412,""-"")"),65.0)</f>
        <v>65</v>
      </c>
      <c r="G412" s="4">
        <f>IFERROR(__xludf.DUMMYFUNCTION("""COMPUTED_VALUE"""),67.0)</f>
        <v>67</v>
      </c>
      <c r="H412" s="4">
        <f t="shared" si="1"/>
        <v>0</v>
      </c>
      <c r="J412" s="4">
        <f>IFERROR(__xludf.DUMMYFUNCTION("IFS(
ISBETWEEN(D412,F412,G412,TRUE,TRUE),1,
ISBETWEEN(E412,F412,G412,TRUE,TRUE),1,
ISBETWEEN(F412,D412,E412,TRUE,TRUE),1,
ISBETWEEN(G412,D412,E412,TRUE,TRUE),1,
1,0)"),1.0)</f>
        <v>1</v>
      </c>
    </row>
    <row r="413">
      <c r="A413" s="2" t="s">
        <v>412</v>
      </c>
      <c r="B413" s="3">
        <f>IFERROR(__xludf.DUMMYFUNCTION("SPLIT(A413,"","",)"),44844.0)</f>
        <v>44844</v>
      </c>
      <c r="C413" s="1" t="str">
        <f>IFERROR(__xludf.DUMMYFUNCTION("""COMPUTED_VALUE"""),"9-78")</f>
        <v>9-78</v>
      </c>
      <c r="D413" s="4">
        <f>IFERROR(__xludf.DUMMYFUNCTION("split(B413,""-"")"),10.0)</f>
        <v>10</v>
      </c>
      <c r="E413" s="4">
        <f>IFERROR(__xludf.DUMMYFUNCTION("""COMPUTED_VALUE"""),10.0)</f>
        <v>10</v>
      </c>
      <c r="F413" s="4">
        <f>IFERROR(__xludf.DUMMYFUNCTION("split(C413,""-"")"),9.0)</f>
        <v>9</v>
      </c>
      <c r="G413" s="4">
        <f>IFERROR(__xludf.DUMMYFUNCTION("""COMPUTED_VALUE"""),78.0)</f>
        <v>78</v>
      </c>
      <c r="H413" s="4">
        <f t="shared" si="1"/>
        <v>1</v>
      </c>
      <c r="J413" s="4">
        <f>IFERROR(__xludf.DUMMYFUNCTION("IFS(
ISBETWEEN(D413,F413,G413,TRUE,TRUE),1,
ISBETWEEN(E413,F413,G413,TRUE,TRUE),1,
ISBETWEEN(F413,D413,E413,TRUE,TRUE),1,
ISBETWEEN(G413,D413,E413,TRUE,TRUE),1,
1,0)"),1.0)</f>
        <v>1</v>
      </c>
    </row>
    <row r="414">
      <c r="A414" s="2" t="s">
        <v>413</v>
      </c>
      <c r="B414" s="1" t="str">
        <f>IFERROR(__xludf.DUMMYFUNCTION("SPLIT(A414,"","",)"),"43-94")</f>
        <v>43-94</v>
      </c>
      <c r="C414" s="1" t="str">
        <f>IFERROR(__xludf.DUMMYFUNCTION("""COMPUTED_VALUE"""),"44-99")</f>
        <v>44-99</v>
      </c>
      <c r="D414" s="4">
        <f>IFERROR(__xludf.DUMMYFUNCTION("split(B414,""-"")"),43.0)</f>
        <v>43</v>
      </c>
      <c r="E414" s="4">
        <f>IFERROR(__xludf.DUMMYFUNCTION("""COMPUTED_VALUE"""),94.0)</f>
        <v>94</v>
      </c>
      <c r="F414" s="4">
        <f>IFERROR(__xludf.DUMMYFUNCTION("split(C414,""-"")"),44.0)</f>
        <v>44</v>
      </c>
      <c r="G414" s="4">
        <f>IFERROR(__xludf.DUMMYFUNCTION("""COMPUTED_VALUE"""),99.0)</f>
        <v>99</v>
      </c>
      <c r="H414" s="4">
        <f t="shared" si="1"/>
        <v>0</v>
      </c>
      <c r="J414" s="4">
        <f>IFERROR(__xludf.DUMMYFUNCTION("IFS(
ISBETWEEN(D414,F414,G414,TRUE,TRUE),1,
ISBETWEEN(E414,F414,G414,TRUE,TRUE),1,
ISBETWEEN(F414,D414,E414,TRUE,TRUE),1,
ISBETWEEN(G414,D414,E414,TRUE,TRUE),1,
1,0)"),1.0)</f>
        <v>1</v>
      </c>
    </row>
    <row r="415">
      <c r="A415" s="2" t="s">
        <v>414</v>
      </c>
      <c r="B415" s="1" t="str">
        <f>IFERROR(__xludf.DUMMYFUNCTION("SPLIT(A415,"","",)"),"13-48")</f>
        <v>13-48</v>
      </c>
      <c r="C415" s="1" t="str">
        <f>IFERROR(__xludf.DUMMYFUNCTION("""COMPUTED_VALUE"""),"13-14")</f>
        <v>13-14</v>
      </c>
      <c r="D415" s="4">
        <f>IFERROR(__xludf.DUMMYFUNCTION("split(B415,""-"")"),13.0)</f>
        <v>13</v>
      </c>
      <c r="E415" s="4">
        <f>IFERROR(__xludf.DUMMYFUNCTION("""COMPUTED_VALUE"""),48.0)</f>
        <v>48</v>
      </c>
      <c r="F415" s="4">
        <f>IFERROR(__xludf.DUMMYFUNCTION("split(C415,""-"")"),13.0)</f>
        <v>13</v>
      </c>
      <c r="G415" s="4">
        <f>IFERROR(__xludf.DUMMYFUNCTION("""COMPUTED_VALUE"""),14.0)</f>
        <v>14</v>
      </c>
      <c r="H415" s="4">
        <f t="shared" si="1"/>
        <v>1</v>
      </c>
      <c r="J415" s="4">
        <f>IFERROR(__xludf.DUMMYFUNCTION("IFS(
ISBETWEEN(D415,F415,G415,TRUE,TRUE),1,
ISBETWEEN(E415,F415,G415,TRUE,TRUE),1,
ISBETWEEN(F415,D415,E415,TRUE,TRUE),1,
ISBETWEEN(G415,D415,E415,TRUE,TRUE),1,
1,0)"),1.0)</f>
        <v>1</v>
      </c>
    </row>
    <row r="416">
      <c r="A416" s="2" t="s">
        <v>415</v>
      </c>
      <c r="B416" s="1" t="str">
        <f>IFERROR(__xludf.DUMMYFUNCTION("SPLIT(A416,"","",)"),"24-25")</f>
        <v>24-25</v>
      </c>
      <c r="C416" s="1" t="str">
        <f>IFERROR(__xludf.DUMMYFUNCTION("""COMPUTED_VALUE"""),"24-64")</f>
        <v>24-64</v>
      </c>
      <c r="D416" s="4">
        <f>IFERROR(__xludf.DUMMYFUNCTION("split(B416,""-"")"),24.0)</f>
        <v>24</v>
      </c>
      <c r="E416" s="4">
        <f>IFERROR(__xludf.DUMMYFUNCTION("""COMPUTED_VALUE"""),25.0)</f>
        <v>25</v>
      </c>
      <c r="F416" s="4">
        <f>IFERROR(__xludf.DUMMYFUNCTION("split(C416,""-"")"),24.0)</f>
        <v>24</v>
      </c>
      <c r="G416" s="4">
        <f>IFERROR(__xludf.DUMMYFUNCTION("""COMPUTED_VALUE"""),64.0)</f>
        <v>64</v>
      </c>
      <c r="H416" s="4">
        <f t="shared" si="1"/>
        <v>1</v>
      </c>
      <c r="J416" s="4">
        <f>IFERROR(__xludf.DUMMYFUNCTION("IFS(
ISBETWEEN(D416,F416,G416,TRUE,TRUE),1,
ISBETWEEN(E416,F416,G416,TRUE,TRUE),1,
ISBETWEEN(F416,D416,E416,TRUE,TRUE),1,
ISBETWEEN(G416,D416,E416,TRUE,TRUE),1,
1,0)"),1.0)</f>
        <v>1</v>
      </c>
    </row>
    <row r="417">
      <c r="A417" s="2" t="s">
        <v>416</v>
      </c>
      <c r="B417" s="1" t="str">
        <f>IFERROR(__xludf.DUMMYFUNCTION("SPLIT(A417,"","",)"),"26-84")</f>
        <v>26-84</v>
      </c>
      <c r="C417" s="1" t="str">
        <f>IFERROR(__xludf.DUMMYFUNCTION("""COMPUTED_VALUE"""),"84-85")</f>
        <v>84-85</v>
      </c>
      <c r="D417" s="4">
        <f>IFERROR(__xludf.DUMMYFUNCTION("split(B417,""-"")"),26.0)</f>
        <v>26</v>
      </c>
      <c r="E417" s="4">
        <f>IFERROR(__xludf.DUMMYFUNCTION("""COMPUTED_VALUE"""),84.0)</f>
        <v>84</v>
      </c>
      <c r="F417" s="4">
        <f>IFERROR(__xludf.DUMMYFUNCTION("split(C417,""-"")"),84.0)</f>
        <v>84</v>
      </c>
      <c r="G417" s="4">
        <f>IFERROR(__xludf.DUMMYFUNCTION("""COMPUTED_VALUE"""),85.0)</f>
        <v>85</v>
      </c>
      <c r="H417" s="4">
        <f t="shared" si="1"/>
        <v>0</v>
      </c>
      <c r="J417" s="4">
        <f>IFERROR(__xludf.DUMMYFUNCTION("IFS(
ISBETWEEN(D417,F417,G417,TRUE,TRUE),1,
ISBETWEEN(E417,F417,G417,TRUE,TRUE),1,
ISBETWEEN(F417,D417,E417,TRUE,TRUE),1,
ISBETWEEN(G417,D417,E417,TRUE,TRUE),1,
1,0)"),1.0)</f>
        <v>1</v>
      </c>
    </row>
    <row r="418">
      <c r="A418" s="2" t="s">
        <v>417</v>
      </c>
      <c r="B418" s="1" t="str">
        <f>IFERROR(__xludf.DUMMYFUNCTION("SPLIT(A418,"","",)"),"96-98")</f>
        <v>96-98</v>
      </c>
      <c r="C418" s="1" t="str">
        <f>IFERROR(__xludf.DUMMYFUNCTION("""COMPUTED_VALUE"""),"32-93")</f>
        <v>32-93</v>
      </c>
      <c r="D418" s="4">
        <f>IFERROR(__xludf.DUMMYFUNCTION("split(B418,""-"")"),96.0)</f>
        <v>96</v>
      </c>
      <c r="E418" s="4">
        <f>IFERROR(__xludf.DUMMYFUNCTION("""COMPUTED_VALUE"""),98.0)</f>
        <v>98</v>
      </c>
      <c r="F418" s="4">
        <f>IFERROR(__xludf.DUMMYFUNCTION("split(C418,""-"")"),32.0)</f>
        <v>32</v>
      </c>
      <c r="G418" s="4">
        <f>IFERROR(__xludf.DUMMYFUNCTION("""COMPUTED_VALUE"""),93.0)</f>
        <v>93</v>
      </c>
      <c r="H418" s="4">
        <f t="shared" si="1"/>
        <v>0</v>
      </c>
      <c r="J418" s="4">
        <f>IFERROR(__xludf.DUMMYFUNCTION("IFS(
ISBETWEEN(D418,F418,G418,TRUE,TRUE),1,
ISBETWEEN(E418,F418,G418,TRUE,TRUE),1,
ISBETWEEN(F418,D418,E418,TRUE,TRUE),1,
ISBETWEEN(G418,D418,E418,TRUE,TRUE),1,
1,0)"),0.0)</f>
        <v>0</v>
      </c>
    </row>
    <row r="419">
      <c r="A419" s="2" t="s">
        <v>418</v>
      </c>
      <c r="B419" s="1" t="str">
        <f>IFERROR(__xludf.DUMMYFUNCTION("SPLIT(A419,"","",)"),"2-90")</f>
        <v>2-90</v>
      </c>
      <c r="C419" s="3">
        <f>IFERROR(__xludf.DUMMYFUNCTION("""COMPUTED_VALUE"""),44623.0)</f>
        <v>44623</v>
      </c>
      <c r="D419" s="4">
        <f>IFERROR(__xludf.DUMMYFUNCTION("split(B419,""-"")"),2.0)</f>
        <v>2</v>
      </c>
      <c r="E419" s="4">
        <f>IFERROR(__xludf.DUMMYFUNCTION("""COMPUTED_VALUE"""),90.0)</f>
        <v>90</v>
      </c>
      <c r="F419" s="4">
        <f>IFERROR(__xludf.DUMMYFUNCTION("split(C419,""-"")"),3.0)</f>
        <v>3</v>
      </c>
      <c r="G419" s="4">
        <f>IFERROR(__xludf.DUMMYFUNCTION("""COMPUTED_VALUE"""),3.0)</f>
        <v>3</v>
      </c>
      <c r="H419" s="4">
        <f t="shared" si="1"/>
        <v>1</v>
      </c>
      <c r="J419" s="4">
        <f>IFERROR(__xludf.DUMMYFUNCTION("IFS(
ISBETWEEN(D419,F419,G419,TRUE,TRUE),1,
ISBETWEEN(E419,F419,G419,TRUE,TRUE),1,
ISBETWEEN(F419,D419,E419,TRUE,TRUE),1,
ISBETWEEN(G419,D419,E419,TRUE,TRUE),1,
1,0)"),1.0)</f>
        <v>1</v>
      </c>
    </row>
    <row r="420">
      <c r="A420" s="2" t="s">
        <v>419</v>
      </c>
      <c r="B420" s="1" t="str">
        <f>IFERROR(__xludf.DUMMYFUNCTION("SPLIT(A420,"","",)"),"18-69")</f>
        <v>18-69</v>
      </c>
      <c r="C420" s="1" t="str">
        <f>IFERROR(__xludf.DUMMYFUNCTION("""COMPUTED_VALUE"""),"8-76")</f>
        <v>8-76</v>
      </c>
      <c r="D420" s="4">
        <f>IFERROR(__xludf.DUMMYFUNCTION("split(B420,""-"")"),18.0)</f>
        <v>18</v>
      </c>
      <c r="E420" s="4">
        <f>IFERROR(__xludf.DUMMYFUNCTION("""COMPUTED_VALUE"""),69.0)</f>
        <v>69</v>
      </c>
      <c r="F420" s="4">
        <f>IFERROR(__xludf.DUMMYFUNCTION("split(C420,""-"")"),8.0)</f>
        <v>8</v>
      </c>
      <c r="G420" s="4">
        <f>IFERROR(__xludf.DUMMYFUNCTION("""COMPUTED_VALUE"""),76.0)</f>
        <v>76</v>
      </c>
      <c r="H420" s="4">
        <f t="shared" si="1"/>
        <v>1</v>
      </c>
      <c r="J420" s="4">
        <f>IFERROR(__xludf.DUMMYFUNCTION("IFS(
ISBETWEEN(D420,F420,G420,TRUE,TRUE),1,
ISBETWEEN(E420,F420,G420,TRUE,TRUE),1,
ISBETWEEN(F420,D420,E420,TRUE,TRUE),1,
ISBETWEEN(G420,D420,E420,TRUE,TRUE),1,
1,0)"),1.0)</f>
        <v>1</v>
      </c>
    </row>
    <row r="421">
      <c r="A421" s="2" t="s">
        <v>420</v>
      </c>
      <c r="B421" s="1" t="str">
        <f>IFERROR(__xludf.DUMMYFUNCTION("SPLIT(A421,"","",)"),"6-99")</f>
        <v>6-99</v>
      </c>
      <c r="C421" s="1" t="str">
        <f>IFERROR(__xludf.DUMMYFUNCTION("""COMPUTED_VALUE"""),"98-99")</f>
        <v>98-99</v>
      </c>
      <c r="D421" s="4">
        <f>IFERROR(__xludf.DUMMYFUNCTION("split(B421,""-"")"),6.0)</f>
        <v>6</v>
      </c>
      <c r="E421" s="4">
        <f>IFERROR(__xludf.DUMMYFUNCTION("""COMPUTED_VALUE"""),99.0)</f>
        <v>99</v>
      </c>
      <c r="F421" s="4">
        <f>IFERROR(__xludf.DUMMYFUNCTION("split(C421,""-"")"),98.0)</f>
        <v>98</v>
      </c>
      <c r="G421" s="4">
        <f>IFERROR(__xludf.DUMMYFUNCTION("""COMPUTED_VALUE"""),99.0)</f>
        <v>99</v>
      </c>
      <c r="H421" s="4">
        <f t="shared" si="1"/>
        <v>1</v>
      </c>
      <c r="J421" s="4">
        <f>IFERROR(__xludf.DUMMYFUNCTION("IFS(
ISBETWEEN(D421,F421,G421,TRUE,TRUE),1,
ISBETWEEN(E421,F421,G421,TRUE,TRUE),1,
ISBETWEEN(F421,D421,E421,TRUE,TRUE),1,
ISBETWEEN(G421,D421,E421,TRUE,TRUE),1,
1,0)"),1.0)</f>
        <v>1</v>
      </c>
    </row>
    <row r="422">
      <c r="A422" s="2" t="s">
        <v>421</v>
      </c>
      <c r="B422" s="1" t="str">
        <f>IFERROR(__xludf.DUMMYFUNCTION("SPLIT(A422,"","",)"),"69-88")</f>
        <v>69-88</v>
      </c>
      <c r="C422" s="1" t="str">
        <f>IFERROR(__xludf.DUMMYFUNCTION("""COMPUTED_VALUE"""),"66-97")</f>
        <v>66-97</v>
      </c>
      <c r="D422" s="4">
        <f>IFERROR(__xludf.DUMMYFUNCTION("split(B422,""-"")"),69.0)</f>
        <v>69</v>
      </c>
      <c r="E422" s="4">
        <f>IFERROR(__xludf.DUMMYFUNCTION("""COMPUTED_VALUE"""),88.0)</f>
        <v>88</v>
      </c>
      <c r="F422" s="4">
        <f>IFERROR(__xludf.DUMMYFUNCTION("split(C422,""-"")"),66.0)</f>
        <v>66</v>
      </c>
      <c r="G422" s="4">
        <f>IFERROR(__xludf.DUMMYFUNCTION("""COMPUTED_VALUE"""),97.0)</f>
        <v>97</v>
      </c>
      <c r="H422" s="4">
        <f t="shared" si="1"/>
        <v>1</v>
      </c>
      <c r="J422" s="4">
        <f>IFERROR(__xludf.DUMMYFUNCTION("IFS(
ISBETWEEN(D422,F422,G422,TRUE,TRUE),1,
ISBETWEEN(E422,F422,G422,TRUE,TRUE),1,
ISBETWEEN(F422,D422,E422,TRUE,TRUE),1,
ISBETWEEN(G422,D422,E422,TRUE,TRUE),1,
1,0)"),1.0)</f>
        <v>1</v>
      </c>
    </row>
    <row r="423">
      <c r="A423" s="2" t="s">
        <v>422</v>
      </c>
      <c r="B423" s="1" t="str">
        <f>IFERROR(__xludf.DUMMYFUNCTION("SPLIT(A423,"","",)"),"17-96")</f>
        <v>17-96</v>
      </c>
      <c r="C423" s="1" t="str">
        <f>IFERROR(__xludf.DUMMYFUNCTION("""COMPUTED_VALUE"""),"9-18")</f>
        <v>9-18</v>
      </c>
      <c r="D423" s="4">
        <f>IFERROR(__xludf.DUMMYFUNCTION("split(B423,""-"")"),17.0)</f>
        <v>17</v>
      </c>
      <c r="E423" s="4">
        <f>IFERROR(__xludf.DUMMYFUNCTION("""COMPUTED_VALUE"""),96.0)</f>
        <v>96</v>
      </c>
      <c r="F423" s="4">
        <f>IFERROR(__xludf.DUMMYFUNCTION("split(C423,""-"")"),9.0)</f>
        <v>9</v>
      </c>
      <c r="G423" s="4">
        <f>IFERROR(__xludf.DUMMYFUNCTION("""COMPUTED_VALUE"""),18.0)</f>
        <v>18</v>
      </c>
      <c r="H423" s="4">
        <f t="shared" si="1"/>
        <v>0</v>
      </c>
      <c r="J423" s="4">
        <f>IFERROR(__xludf.DUMMYFUNCTION("IFS(
ISBETWEEN(D423,F423,G423,TRUE,TRUE),1,
ISBETWEEN(E423,F423,G423,TRUE,TRUE),1,
ISBETWEEN(F423,D423,E423,TRUE,TRUE),1,
ISBETWEEN(G423,D423,E423,TRUE,TRUE),1,
1,0)"),1.0)</f>
        <v>1</v>
      </c>
    </row>
    <row r="424">
      <c r="A424" s="2" t="s">
        <v>423</v>
      </c>
      <c r="B424" s="1" t="str">
        <f>IFERROR(__xludf.DUMMYFUNCTION("SPLIT(A424,"","",)"),"42-75")</f>
        <v>42-75</v>
      </c>
      <c r="C424" s="1" t="str">
        <f>IFERROR(__xludf.DUMMYFUNCTION("""COMPUTED_VALUE"""),"74-74")</f>
        <v>74-74</v>
      </c>
      <c r="D424" s="4">
        <f>IFERROR(__xludf.DUMMYFUNCTION("split(B424,""-"")"),42.0)</f>
        <v>42</v>
      </c>
      <c r="E424" s="4">
        <f>IFERROR(__xludf.DUMMYFUNCTION("""COMPUTED_VALUE"""),75.0)</f>
        <v>75</v>
      </c>
      <c r="F424" s="4">
        <f>IFERROR(__xludf.DUMMYFUNCTION("split(C424,""-"")"),74.0)</f>
        <v>74</v>
      </c>
      <c r="G424" s="4">
        <f>IFERROR(__xludf.DUMMYFUNCTION("""COMPUTED_VALUE"""),74.0)</f>
        <v>74</v>
      </c>
      <c r="H424" s="4">
        <f t="shared" si="1"/>
        <v>1</v>
      </c>
      <c r="J424" s="4">
        <f>IFERROR(__xludf.DUMMYFUNCTION("IFS(
ISBETWEEN(D424,F424,G424,TRUE,TRUE),1,
ISBETWEEN(E424,F424,G424,TRUE,TRUE),1,
ISBETWEEN(F424,D424,E424,TRUE,TRUE),1,
ISBETWEEN(G424,D424,E424,TRUE,TRUE),1,
1,0)"),1.0)</f>
        <v>1</v>
      </c>
    </row>
    <row r="425">
      <c r="A425" s="2" t="s">
        <v>424</v>
      </c>
      <c r="B425" s="3">
        <f>IFERROR(__xludf.DUMMYFUNCTION("SPLIT(A425,"","",)"),44685.0)</f>
        <v>44685</v>
      </c>
      <c r="C425" s="1" t="str">
        <f>IFERROR(__xludf.DUMMYFUNCTION("""COMPUTED_VALUE"""),"4-54")</f>
        <v>4-54</v>
      </c>
      <c r="D425" s="4">
        <f>IFERROR(__xludf.DUMMYFUNCTION("split(B425,""-"")"),4.0)</f>
        <v>4</v>
      </c>
      <c r="E425" s="4">
        <f>IFERROR(__xludf.DUMMYFUNCTION("""COMPUTED_VALUE"""),5.0)</f>
        <v>5</v>
      </c>
      <c r="F425" s="4">
        <f>IFERROR(__xludf.DUMMYFUNCTION("split(C425,""-"")"),4.0)</f>
        <v>4</v>
      </c>
      <c r="G425" s="4">
        <f>IFERROR(__xludf.DUMMYFUNCTION("""COMPUTED_VALUE"""),54.0)</f>
        <v>54</v>
      </c>
      <c r="H425" s="4">
        <f t="shared" si="1"/>
        <v>1</v>
      </c>
      <c r="J425" s="4">
        <f>IFERROR(__xludf.DUMMYFUNCTION("IFS(
ISBETWEEN(D425,F425,G425,TRUE,TRUE),1,
ISBETWEEN(E425,F425,G425,TRUE,TRUE),1,
ISBETWEEN(F425,D425,E425,TRUE,TRUE),1,
ISBETWEEN(G425,D425,E425,TRUE,TRUE),1,
1,0)"),1.0)</f>
        <v>1</v>
      </c>
    </row>
    <row r="426">
      <c r="A426" s="2" t="s">
        <v>425</v>
      </c>
      <c r="B426" s="1" t="str">
        <f>IFERROR(__xludf.DUMMYFUNCTION("SPLIT(A426,"","",)"),"87-97")</f>
        <v>87-97</v>
      </c>
      <c r="C426" s="1" t="str">
        <f>IFERROR(__xludf.DUMMYFUNCTION("""COMPUTED_VALUE"""),"69-87")</f>
        <v>69-87</v>
      </c>
      <c r="D426" s="4">
        <f>IFERROR(__xludf.DUMMYFUNCTION("split(B426,""-"")"),87.0)</f>
        <v>87</v>
      </c>
      <c r="E426" s="4">
        <f>IFERROR(__xludf.DUMMYFUNCTION("""COMPUTED_VALUE"""),97.0)</f>
        <v>97</v>
      </c>
      <c r="F426" s="4">
        <f>IFERROR(__xludf.DUMMYFUNCTION("split(C426,""-"")"),69.0)</f>
        <v>69</v>
      </c>
      <c r="G426" s="4">
        <f>IFERROR(__xludf.DUMMYFUNCTION("""COMPUTED_VALUE"""),87.0)</f>
        <v>87</v>
      </c>
      <c r="H426" s="4">
        <f t="shared" si="1"/>
        <v>0</v>
      </c>
      <c r="J426" s="4">
        <f>IFERROR(__xludf.DUMMYFUNCTION("IFS(
ISBETWEEN(D426,F426,G426,TRUE,TRUE),1,
ISBETWEEN(E426,F426,G426,TRUE,TRUE),1,
ISBETWEEN(F426,D426,E426,TRUE,TRUE),1,
ISBETWEEN(G426,D426,E426,TRUE,TRUE),1,
1,0)"),1.0)</f>
        <v>1</v>
      </c>
    </row>
    <row r="427">
      <c r="A427" s="2" t="s">
        <v>426</v>
      </c>
      <c r="B427" s="3">
        <f>IFERROR(__xludf.DUMMYFUNCTION("SPLIT(A427,"","",)"),44622.0)</f>
        <v>44622</v>
      </c>
      <c r="C427" s="1" t="str">
        <f>IFERROR(__xludf.DUMMYFUNCTION("""COMPUTED_VALUE"""),"2-99")</f>
        <v>2-99</v>
      </c>
      <c r="D427" s="4">
        <f>IFERROR(__xludf.DUMMYFUNCTION("split(B427,""-"")"),2.0)</f>
        <v>2</v>
      </c>
      <c r="E427" s="4">
        <f>IFERROR(__xludf.DUMMYFUNCTION("""COMPUTED_VALUE"""),3.0)</f>
        <v>3</v>
      </c>
      <c r="F427" s="4">
        <f>IFERROR(__xludf.DUMMYFUNCTION("split(C427,""-"")"),2.0)</f>
        <v>2</v>
      </c>
      <c r="G427" s="4">
        <f>IFERROR(__xludf.DUMMYFUNCTION("""COMPUTED_VALUE"""),99.0)</f>
        <v>99</v>
      </c>
      <c r="H427" s="4">
        <f t="shared" si="1"/>
        <v>1</v>
      </c>
      <c r="J427" s="4">
        <f>IFERROR(__xludf.DUMMYFUNCTION("IFS(
ISBETWEEN(D427,F427,G427,TRUE,TRUE),1,
ISBETWEEN(E427,F427,G427,TRUE,TRUE),1,
ISBETWEEN(F427,D427,E427,TRUE,TRUE),1,
ISBETWEEN(G427,D427,E427,TRUE,TRUE),1,
1,0)"),1.0)</f>
        <v>1</v>
      </c>
    </row>
    <row r="428">
      <c r="A428" s="2" t="s">
        <v>427</v>
      </c>
      <c r="B428" s="1" t="str">
        <f>IFERROR(__xludf.DUMMYFUNCTION("SPLIT(A428,"","",)"),"15-86")</f>
        <v>15-86</v>
      </c>
      <c r="C428" s="1" t="str">
        <f>IFERROR(__xludf.DUMMYFUNCTION("""COMPUTED_VALUE"""),"14-16")</f>
        <v>14-16</v>
      </c>
      <c r="D428" s="4">
        <f>IFERROR(__xludf.DUMMYFUNCTION("split(B428,""-"")"),15.0)</f>
        <v>15</v>
      </c>
      <c r="E428" s="4">
        <f>IFERROR(__xludf.DUMMYFUNCTION("""COMPUTED_VALUE"""),86.0)</f>
        <v>86</v>
      </c>
      <c r="F428" s="4">
        <f>IFERROR(__xludf.DUMMYFUNCTION("split(C428,""-"")"),14.0)</f>
        <v>14</v>
      </c>
      <c r="G428" s="4">
        <f>IFERROR(__xludf.DUMMYFUNCTION("""COMPUTED_VALUE"""),16.0)</f>
        <v>16</v>
      </c>
      <c r="H428" s="4">
        <f t="shared" si="1"/>
        <v>0</v>
      </c>
      <c r="J428" s="4">
        <f>IFERROR(__xludf.DUMMYFUNCTION("IFS(
ISBETWEEN(D428,F428,G428,TRUE,TRUE),1,
ISBETWEEN(E428,F428,G428,TRUE,TRUE),1,
ISBETWEEN(F428,D428,E428,TRUE,TRUE),1,
ISBETWEEN(G428,D428,E428,TRUE,TRUE),1,
1,0)"),1.0)</f>
        <v>1</v>
      </c>
    </row>
    <row r="429">
      <c r="A429" s="2" t="s">
        <v>428</v>
      </c>
      <c r="B429" s="1" t="str">
        <f>IFERROR(__xludf.DUMMYFUNCTION("SPLIT(A429,"","",)"),"4-97")</f>
        <v>4-97</v>
      </c>
      <c r="C429" s="1" t="str">
        <f>IFERROR(__xludf.DUMMYFUNCTION("""COMPUTED_VALUE"""),"4-98")</f>
        <v>4-98</v>
      </c>
      <c r="D429" s="4">
        <f>IFERROR(__xludf.DUMMYFUNCTION("split(B429,""-"")"),4.0)</f>
        <v>4</v>
      </c>
      <c r="E429" s="4">
        <f>IFERROR(__xludf.DUMMYFUNCTION("""COMPUTED_VALUE"""),97.0)</f>
        <v>97</v>
      </c>
      <c r="F429" s="4">
        <f>IFERROR(__xludf.DUMMYFUNCTION("split(C429,""-"")"),4.0)</f>
        <v>4</v>
      </c>
      <c r="G429" s="4">
        <f>IFERROR(__xludf.DUMMYFUNCTION("""COMPUTED_VALUE"""),98.0)</f>
        <v>98</v>
      </c>
      <c r="H429" s="4">
        <f t="shared" si="1"/>
        <v>1</v>
      </c>
      <c r="J429" s="4">
        <f>IFERROR(__xludf.DUMMYFUNCTION("IFS(
ISBETWEEN(D429,F429,G429,TRUE,TRUE),1,
ISBETWEEN(E429,F429,G429,TRUE,TRUE),1,
ISBETWEEN(F429,D429,E429,TRUE,TRUE),1,
ISBETWEEN(G429,D429,E429,TRUE,TRUE),1,
1,0)"),1.0)</f>
        <v>1</v>
      </c>
    </row>
    <row r="430">
      <c r="A430" s="2" t="s">
        <v>429</v>
      </c>
      <c r="B430" s="1" t="str">
        <f>IFERROR(__xludf.DUMMYFUNCTION("SPLIT(A430,"","",)"),"6-63")</f>
        <v>6-63</v>
      </c>
      <c r="C430" s="3">
        <f>IFERROR(__xludf.DUMMYFUNCTION("""COMPUTED_VALUE"""),44747.0)</f>
        <v>44747</v>
      </c>
      <c r="D430" s="4">
        <f>IFERROR(__xludf.DUMMYFUNCTION("split(B430,""-"")"),6.0)</f>
        <v>6</v>
      </c>
      <c r="E430" s="4">
        <f>IFERROR(__xludf.DUMMYFUNCTION("""COMPUTED_VALUE"""),63.0)</f>
        <v>63</v>
      </c>
      <c r="F430" s="4">
        <f>IFERROR(__xludf.DUMMYFUNCTION("split(C430,""-"")"),5.0)</f>
        <v>5</v>
      </c>
      <c r="G430" s="4">
        <f>IFERROR(__xludf.DUMMYFUNCTION("""COMPUTED_VALUE"""),7.0)</f>
        <v>7</v>
      </c>
      <c r="H430" s="4">
        <f t="shared" si="1"/>
        <v>0</v>
      </c>
      <c r="J430" s="4">
        <f>IFERROR(__xludf.DUMMYFUNCTION("IFS(
ISBETWEEN(D430,F430,G430,TRUE,TRUE),1,
ISBETWEEN(E430,F430,G430,TRUE,TRUE),1,
ISBETWEEN(F430,D430,E430,TRUE,TRUE),1,
ISBETWEEN(G430,D430,E430,TRUE,TRUE),1,
1,0)"),1.0)</f>
        <v>1</v>
      </c>
    </row>
    <row r="431">
      <c r="A431" s="2" t="s">
        <v>430</v>
      </c>
      <c r="B431" s="1" t="str">
        <f>IFERROR(__xludf.DUMMYFUNCTION("SPLIT(A431,"","",)"),"4-97")</f>
        <v>4-97</v>
      </c>
      <c r="C431" s="1" t="str">
        <f>IFERROR(__xludf.DUMMYFUNCTION("""COMPUTED_VALUE"""),"12-94")</f>
        <v>12-94</v>
      </c>
      <c r="D431" s="4">
        <f>IFERROR(__xludf.DUMMYFUNCTION("split(B431,""-"")"),4.0)</f>
        <v>4</v>
      </c>
      <c r="E431" s="4">
        <f>IFERROR(__xludf.DUMMYFUNCTION("""COMPUTED_VALUE"""),97.0)</f>
        <v>97</v>
      </c>
      <c r="F431" s="4">
        <f>IFERROR(__xludf.DUMMYFUNCTION("split(C431,""-"")"),12.0)</f>
        <v>12</v>
      </c>
      <c r="G431" s="4">
        <f>IFERROR(__xludf.DUMMYFUNCTION("""COMPUTED_VALUE"""),94.0)</f>
        <v>94</v>
      </c>
      <c r="H431" s="4">
        <f t="shared" si="1"/>
        <v>1</v>
      </c>
      <c r="J431" s="4">
        <f>IFERROR(__xludf.DUMMYFUNCTION("IFS(
ISBETWEEN(D431,F431,G431,TRUE,TRUE),1,
ISBETWEEN(E431,F431,G431,TRUE,TRUE),1,
ISBETWEEN(F431,D431,E431,TRUE,TRUE),1,
ISBETWEEN(G431,D431,E431,TRUE,TRUE),1,
1,0)"),1.0)</f>
        <v>1</v>
      </c>
    </row>
    <row r="432">
      <c r="A432" s="2" t="s">
        <v>431</v>
      </c>
      <c r="B432" s="1" t="str">
        <f>IFERROR(__xludf.DUMMYFUNCTION("SPLIT(A432,"","",)"),"63-70")</f>
        <v>63-70</v>
      </c>
      <c r="C432" s="1" t="str">
        <f>IFERROR(__xludf.DUMMYFUNCTION("""COMPUTED_VALUE"""),"44-69")</f>
        <v>44-69</v>
      </c>
      <c r="D432" s="4">
        <f>IFERROR(__xludf.DUMMYFUNCTION("split(B432,""-"")"),63.0)</f>
        <v>63</v>
      </c>
      <c r="E432" s="4">
        <f>IFERROR(__xludf.DUMMYFUNCTION("""COMPUTED_VALUE"""),70.0)</f>
        <v>70</v>
      </c>
      <c r="F432" s="4">
        <f>IFERROR(__xludf.DUMMYFUNCTION("split(C432,""-"")"),44.0)</f>
        <v>44</v>
      </c>
      <c r="G432" s="4">
        <f>IFERROR(__xludf.DUMMYFUNCTION("""COMPUTED_VALUE"""),69.0)</f>
        <v>69</v>
      </c>
      <c r="H432" s="4">
        <f t="shared" si="1"/>
        <v>0</v>
      </c>
      <c r="J432" s="4">
        <f>IFERROR(__xludf.DUMMYFUNCTION("IFS(
ISBETWEEN(D432,F432,G432,TRUE,TRUE),1,
ISBETWEEN(E432,F432,G432,TRUE,TRUE),1,
ISBETWEEN(F432,D432,E432,TRUE,TRUE),1,
ISBETWEEN(G432,D432,E432,TRUE,TRUE),1,
1,0)"),1.0)</f>
        <v>1</v>
      </c>
    </row>
    <row r="433">
      <c r="A433" s="2" t="s">
        <v>432</v>
      </c>
      <c r="B433" s="1" t="str">
        <f>IFERROR(__xludf.DUMMYFUNCTION("SPLIT(A433,"","",)"),"28-93")</f>
        <v>28-93</v>
      </c>
      <c r="C433" s="1" t="str">
        <f>IFERROR(__xludf.DUMMYFUNCTION("""COMPUTED_VALUE"""),"27-93")</f>
        <v>27-93</v>
      </c>
      <c r="D433" s="4">
        <f>IFERROR(__xludf.DUMMYFUNCTION("split(B433,""-"")"),28.0)</f>
        <v>28</v>
      </c>
      <c r="E433" s="4">
        <f>IFERROR(__xludf.DUMMYFUNCTION("""COMPUTED_VALUE"""),93.0)</f>
        <v>93</v>
      </c>
      <c r="F433" s="4">
        <f>IFERROR(__xludf.DUMMYFUNCTION("split(C433,""-"")"),27.0)</f>
        <v>27</v>
      </c>
      <c r="G433" s="4">
        <f>IFERROR(__xludf.DUMMYFUNCTION("""COMPUTED_VALUE"""),93.0)</f>
        <v>93</v>
      </c>
      <c r="H433" s="4">
        <f t="shared" si="1"/>
        <v>1</v>
      </c>
      <c r="J433" s="4">
        <f>IFERROR(__xludf.DUMMYFUNCTION("IFS(
ISBETWEEN(D433,F433,G433,TRUE,TRUE),1,
ISBETWEEN(E433,F433,G433,TRUE,TRUE),1,
ISBETWEEN(F433,D433,E433,TRUE,TRUE),1,
ISBETWEEN(G433,D433,E433,TRUE,TRUE),1,
1,0)"),1.0)</f>
        <v>1</v>
      </c>
    </row>
    <row r="434">
      <c r="A434" s="2" t="s">
        <v>433</v>
      </c>
      <c r="B434" s="1" t="str">
        <f>IFERROR(__xludf.DUMMYFUNCTION("SPLIT(A434,"","",)"),"50-54")</f>
        <v>50-54</v>
      </c>
      <c r="C434" s="1" t="str">
        <f>IFERROR(__xludf.DUMMYFUNCTION("""COMPUTED_VALUE"""),"46-54")</f>
        <v>46-54</v>
      </c>
      <c r="D434" s="4">
        <f>IFERROR(__xludf.DUMMYFUNCTION("split(B434,""-"")"),50.0)</f>
        <v>50</v>
      </c>
      <c r="E434" s="4">
        <f>IFERROR(__xludf.DUMMYFUNCTION("""COMPUTED_VALUE"""),54.0)</f>
        <v>54</v>
      </c>
      <c r="F434" s="4">
        <f>IFERROR(__xludf.DUMMYFUNCTION("split(C434,""-"")"),46.0)</f>
        <v>46</v>
      </c>
      <c r="G434" s="4">
        <f>IFERROR(__xludf.DUMMYFUNCTION("""COMPUTED_VALUE"""),54.0)</f>
        <v>54</v>
      </c>
      <c r="H434" s="4">
        <f t="shared" si="1"/>
        <v>1</v>
      </c>
      <c r="J434" s="4">
        <f>IFERROR(__xludf.DUMMYFUNCTION("IFS(
ISBETWEEN(D434,F434,G434,TRUE,TRUE),1,
ISBETWEEN(E434,F434,G434,TRUE,TRUE),1,
ISBETWEEN(F434,D434,E434,TRUE,TRUE),1,
ISBETWEEN(G434,D434,E434,TRUE,TRUE),1,
1,0)"),1.0)</f>
        <v>1</v>
      </c>
    </row>
    <row r="435">
      <c r="A435" s="2" t="s">
        <v>434</v>
      </c>
      <c r="B435" s="1" t="str">
        <f>IFERROR(__xludf.DUMMYFUNCTION("SPLIT(A435,"","",)"),"66-68")</f>
        <v>66-68</v>
      </c>
      <c r="C435" s="1" t="str">
        <f>IFERROR(__xludf.DUMMYFUNCTION("""COMPUTED_VALUE"""),"67-76")</f>
        <v>67-76</v>
      </c>
      <c r="D435" s="4">
        <f>IFERROR(__xludf.DUMMYFUNCTION("split(B435,""-"")"),66.0)</f>
        <v>66</v>
      </c>
      <c r="E435" s="4">
        <f>IFERROR(__xludf.DUMMYFUNCTION("""COMPUTED_VALUE"""),68.0)</f>
        <v>68</v>
      </c>
      <c r="F435" s="4">
        <f>IFERROR(__xludf.DUMMYFUNCTION("split(C435,""-"")"),67.0)</f>
        <v>67</v>
      </c>
      <c r="G435" s="4">
        <f>IFERROR(__xludf.DUMMYFUNCTION("""COMPUTED_VALUE"""),76.0)</f>
        <v>76</v>
      </c>
      <c r="H435" s="4">
        <f t="shared" si="1"/>
        <v>0</v>
      </c>
      <c r="J435" s="4">
        <f>IFERROR(__xludf.DUMMYFUNCTION("IFS(
ISBETWEEN(D435,F435,G435,TRUE,TRUE),1,
ISBETWEEN(E435,F435,G435,TRUE,TRUE),1,
ISBETWEEN(F435,D435,E435,TRUE,TRUE),1,
ISBETWEEN(G435,D435,E435,TRUE,TRUE),1,
1,0)"),1.0)</f>
        <v>1</v>
      </c>
    </row>
    <row r="436">
      <c r="A436" s="2" t="s">
        <v>435</v>
      </c>
      <c r="B436" s="1" t="str">
        <f>IFERROR(__xludf.DUMMYFUNCTION("SPLIT(A436,"","",)"),"52-65")</f>
        <v>52-65</v>
      </c>
      <c r="C436" s="1" t="str">
        <f>IFERROR(__xludf.DUMMYFUNCTION("""COMPUTED_VALUE"""),"52-68")</f>
        <v>52-68</v>
      </c>
      <c r="D436" s="4">
        <f>IFERROR(__xludf.DUMMYFUNCTION("split(B436,""-"")"),52.0)</f>
        <v>52</v>
      </c>
      <c r="E436" s="4">
        <f>IFERROR(__xludf.DUMMYFUNCTION("""COMPUTED_VALUE"""),65.0)</f>
        <v>65</v>
      </c>
      <c r="F436" s="4">
        <f>IFERROR(__xludf.DUMMYFUNCTION("split(C436,""-"")"),52.0)</f>
        <v>52</v>
      </c>
      <c r="G436" s="4">
        <f>IFERROR(__xludf.DUMMYFUNCTION("""COMPUTED_VALUE"""),68.0)</f>
        <v>68</v>
      </c>
      <c r="H436" s="4">
        <f t="shared" si="1"/>
        <v>1</v>
      </c>
      <c r="J436" s="4">
        <f>IFERROR(__xludf.DUMMYFUNCTION("IFS(
ISBETWEEN(D436,F436,G436,TRUE,TRUE),1,
ISBETWEEN(E436,F436,G436,TRUE,TRUE),1,
ISBETWEEN(F436,D436,E436,TRUE,TRUE),1,
ISBETWEEN(G436,D436,E436,TRUE,TRUE),1,
1,0)"),1.0)</f>
        <v>1</v>
      </c>
    </row>
    <row r="437">
      <c r="A437" s="2" t="s">
        <v>436</v>
      </c>
      <c r="B437" s="1" t="str">
        <f>IFERROR(__xludf.DUMMYFUNCTION("SPLIT(A437,"","",)"),"51-77")</f>
        <v>51-77</v>
      </c>
      <c r="C437" s="1" t="str">
        <f>IFERROR(__xludf.DUMMYFUNCTION("""COMPUTED_VALUE"""),"50-91")</f>
        <v>50-91</v>
      </c>
      <c r="D437" s="4">
        <f>IFERROR(__xludf.DUMMYFUNCTION("split(B437,""-"")"),51.0)</f>
        <v>51</v>
      </c>
      <c r="E437" s="4">
        <f>IFERROR(__xludf.DUMMYFUNCTION("""COMPUTED_VALUE"""),77.0)</f>
        <v>77</v>
      </c>
      <c r="F437" s="4">
        <f>IFERROR(__xludf.DUMMYFUNCTION("split(C437,""-"")"),50.0)</f>
        <v>50</v>
      </c>
      <c r="G437" s="4">
        <f>IFERROR(__xludf.DUMMYFUNCTION("""COMPUTED_VALUE"""),91.0)</f>
        <v>91</v>
      </c>
      <c r="H437" s="4">
        <f t="shared" si="1"/>
        <v>1</v>
      </c>
      <c r="J437" s="4">
        <f>IFERROR(__xludf.DUMMYFUNCTION("IFS(
ISBETWEEN(D437,F437,G437,TRUE,TRUE),1,
ISBETWEEN(E437,F437,G437,TRUE,TRUE),1,
ISBETWEEN(F437,D437,E437,TRUE,TRUE),1,
ISBETWEEN(G437,D437,E437,TRUE,TRUE),1,
1,0)"),1.0)</f>
        <v>1</v>
      </c>
    </row>
    <row r="438">
      <c r="A438" s="2" t="s">
        <v>437</v>
      </c>
      <c r="B438" s="1" t="str">
        <f>IFERROR(__xludf.DUMMYFUNCTION("SPLIT(A438,"","",)"),"2-49")</f>
        <v>2-49</v>
      </c>
      <c r="C438" s="1" t="str">
        <f>IFERROR(__xludf.DUMMYFUNCTION("""COMPUTED_VALUE"""),"4-95")</f>
        <v>4-95</v>
      </c>
      <c r="D438" s="4">
        <f>IFERROR(__xludf.DUMMYFUNCTION("split(B438,""-"")"),2.0)</f>
        <v>2</v>
      </c>
      <c r="E438" s="4">
        <f>IFERROR(__xludf.DUMMYFUNCTION("""COMPUTED_VALUE"""),49.0)</f>
        <v>49</v>
      </c>
      <c r="F438" s="4">
        <f>IFERROR(__xludf.DUMMYFUNCTION("split(C438,""-"")"),4.0)</f>
        <v>4</v>
      </c>
      <c r="G438" s="4">
        <f>IFERROR(__xludf.DUMMYFUNCTION("""COMPUTED_VALUE"""),95.0)</f>
        <v>95</v>
      </c>
      <c r="H438" s="4">
        <f t="shared" si="1"/>
        <v>0</v>
      </c>
      <c r="J438" s="4">
        <f>IFERROR(__xludf.DUMMYFUNCTION("IFS(
ISBETWEEN(D438,F438,G438,TRUE,TRUE),1,
ISBETWEEN(E438,F438,G438,TRUE,TRUE),1,
ISBETWEEN(F438,D438,E438,TRUE,TRUE),1,
ISBETWEEN(G438,D438,E438,TRUE,TRUE),1,
1,0)"),1.0)</f>
        <v>1</v>
      </c>
    </row>
    <row r="439">
      <c r="A439" s="2" t="s">
        <v>438</v>
      </c>
      <c r="B439" s="1" t="str">
        <f>IFERROR(__xludf.DUMMYFUNCTION("SPLIT(A439,"","",)"),"25-86")</f>
        <v>25-86</v>
      </c>
      <c r="C439" s="1" t="str">
        <f>IFERROR(__xludf.DUMMYFUNCTION("""COMPUTED_VALUE"""),"15-25")</f>
        <v>15-25</v>
      </c>
      <c r="D439" s="4">
        <f>IFERROR(__xludf.DUMMYFUNCTION("split(B439,""-"")"),25.0)</f>
        <v>25</v>
      </c>
      <c r="E439" s="4">
        <f>IFERROR(__xludf.DUMMYFUNCTION("""COMPUTED_VALUE"""),86.0)</f>
        <v>86</v>
      </c>
      <c r="F439" s="4">
        <f>IFERROR(__xludf.DUMMYFUNCTION("split(C439,""-"")"),15.0)</f>
        <v>15</v>
      </c>
      <c r="G439" s="4">
        <f>IFERROR(__xludf.DUMMYFUNCTION("""COMPUTED_VALUE"""),25.0)</f>
        <v>25</v>
      </c>
      <c r="H439" s="4">
        <f t="shared" si="1"/>
        <v>0</v>
      </c>
      <c r="J439" s="4">
        <f>IFERROR(__xludf.DUMMYFUNCTION("IFS(
ISBETWEEN(D439,F439,G439,TRUE,TRUE),1,
ISBETWEEN(E439,F439,G439,TRUE,TRUE),1,
ISBETWEEN(F439,D439,E439,TRUE,TRUE),1,
ISBETWEEN(G439,D439,E439,TRUE,TRUE),1,
1,0)"),1.0)</f>
        <v>1</v>
      </c>
    </row>
    <row r="440">
      <c r="A440" s="2" t="s">
        <v>439</v>
      </c>
      <c r="B440" s="1" t="str">
        <f>IFERROR(__xludf.DUMMYFUNCTION("SPLIT(A440,"","",)"),"19-20")</f>
        <v>19-20</v>
      </c>
      <c r="C440" s="1" t="str">
        <f>IFERROR(__xludf.DUMMYFUNCTION("""COMPUTED_VALUE"""),"15-84")</f>
        <v>15-84</v>
      </c>
      <c r="D440" s="4">
        <f>IFERROR(__xludf.DUMMYFUNCTION("split(B440,""-"")"),19.0)</f>
        <v>19</v>
      </c>
      <c r="E440" s="4">
        <f>IFERROR(__xludf.DUMMYFUNCTION("""COMPUTED_VALUE"""),20.0)</f>
        <v>20</v>
      </c>
      <c r="F440" s="4">
        <f>IFERROR(__xludf.DUMMYFUNCTION("split(C440,""-"")"),15.0)</f>
        <v>15</v>
      </c>
      <c r="G440" s="4">
        <f>IFERROR(__xludf.DUMMYFUNCTION("""COMPUTED_VALUE"""),84.0)</f>
        <v>84</v>
      </c>
      <c r="H440" s="4">
        <f t="shared" si="1"/>
        <v>1</v>
      </c>
      <c r="J440" s="4">
        <f>IFERROR(__xludf.DUMMYFUNCTION("IFS(
ISBETWEEN(D440,F440,G440,TRUE,TRUE),1,
ISBETWEEN(E440,F440,G440,TRUE,TRUE),1,
ISBETWEEN(F440,D440,E440,TRUE,TRUE),1,
ISBETWEEN(G440,D440,E440,TRUE,TRUE),1,
1,0)"),1.0)</f>
        <v>1</v>
      </c>
    </row>
    <row r="441">
      <c r="A441" s="2" t="s">
        <v>440</v>
      </c>
      <c r="B441" s="1" t="str">
        <f>IFERROR(__xludf.DUMMYFUNCTION("SPLIT(A441,"","",)"),"74-85")</f>
        <v>74-85</v>
      </c>
      <c r="C441" s="1" t="str">
        <f>IFERROR(__xludf.DUMMYFUNCTION("""COMPUTED_VALUE"""),"73-85")</f>
        <v>73-85</v>
      </c>
      <c r="D441" s="4">
        <f>IFERROR(__xludf.DUMMYFUNCTION("split(B441,""-"")"),74.0)</f>
        <v>74</v>
      </c>
      <c r="E441" s="4">
        <f>IFERROR(__xludf.DUMMYFUNCTION("""COMPUTED_VALUE"""),85.0)</f>
        <v>85</v>
      </c>
      <c r="F441" s="4">
        <f>IFERROR(__xludf.DUMMYFUNCTION("split(C441,""-"")"),73.0)</f>
        <v>73</v>
      </c>
      <c r="G441" s="4">
        <f>IFERROR(__xludf.DUMMYFUNCTION("""COMPUTED_VALUE"""),85.0)</f>
        <v>85</v>
      </c>
      <c r="H441" s="4">
        <f t="shared" si="1"/>
        <v>1</v>
      </c>
      <c r="J441" s="4">
        <f>IFERROR(__xludf.DUMMYFUNCTION("IFS(
ISBETWEEN(D441,F441,G441,TRUE,TRUE),1,
ISBETWEEN(E441,F441,G441,TRUE,TRUE),1,
ISBETWEEN(F441,D441,E441,TRUE,TRUE),1,
ISBETWEEN(G441,D441,E441,TRUE,TRUE),1,
1,0)"),1.0)</f>
        <v>1</v>
      </c>
    </row>
    <row r="442">
      <c r="A442" s="2" t="s">
        <v>441</v>
      </c>
      <c r="B442" s="3">
        <f>IFERROR(__xludf.DUMMYFUNCTION("SPLIT(A442,"","",)"),44835.0)</f>
        <v>44835</v>
      </c>
      <c r="C442" s="3">
        <f>IFERROR(__xludf.DUMMYFUNCTION("""COMPUTED_VALUE"""),44775.0)</f>
        <v>44775</v>
      </c>
      <c r="D442" s="4">
        <f>IFERROR(__xludf.DUMMYFUNCTION("split(B442,""-"")"),1.0)</f>
        <v>1</v>
      </c>
      <c r="E442" s="4">
        <f>IFERROR(__xludf.DUMMYFUNCTION("""COMPUTED_VALUE"""),10.0)</f>
        <v>10</v>
      </c>
      <c r="F442" s="4">
        <f>IFERROR(__xludf.DUMMYFUNCTION("split(C442,""-"")"),2.0)</f>
        <v>2</v>
      </c>
      <c r="G442" s="4">
        <f>IFERROR(__xludf.DUMMYFUNCTION("""COMPUTED_VALUE"""),8.0)</f>
        <v>8</v>
      </c>
      <c r="H442" s="4">
        <f t="shared" si="1"/>
        <v>1</v>
      </c>
      <c r="J442" s="4">
        <f>IFERROR(__xludf.DUMMYFUNCTION("IFS(
ISBETWEEN(D442,F442,G442,TRUE,TRUE),1,
ISBETWEEN(E442,F442,G442,TRUE,TRUE),1,
ISBETWEEN(F442,D442,E442,TRUE,TRUE),1,
ISBETWEEN(G442,D442,E442,TRUE,TRUE),1,
1,0)"),1.0)</f>
        <v>1</v>
      </c>
    </row>
    <row r="443">
      <c r="A443" s="2" t="s">
        <v>442</v>
      </c>
      <c r="B443" s="1" t="str">
        <f>IFERROR(__xludf.DUMMYFUNCTION("SPLIT(A443,"","",)"),"37-79")</f>
        <v>37-79</v>
      </c>
      <c r="C443" s="1" t="str">
        <f>IFERROR(__xludf.DUMMYFUNCTION("""COMPUTED_VALUE"""),"36-55")</f>
        <v>36-55</v>
      </c>
      <c r="D443" s="4">
        <f>IFERROR(__xludf.DUMMYFUNCTION("split(B443,""-"")"),37.0)</f>
        <v>37</v>
      </c>
      <c r="E443" s="4">
        <f>IFERROR(__xludf.DUMMYFUNCTION("""COMPUTED_VALUE"""),79.0)</f>
        <v>79</v>
      </c>
      <c r="F443" s="4">
        <f>IFERROR(__xludf.DUMMYFUNCTION("split(C443,""-"")"),36.0)</f>
        <v>36</v>
      </c>
      <c r="G443" s="4">
        <f>IFERROR(__xludf.DUMMYFUNCTION("""COMPUTED_VALUE"""),55.0)</f>
        <v>55</v>
      </c>
      <c r="H443" s="4">
        <f t="shared" si="1"/>
        <v>0</v>
      </c>
      <c r="J443" s="4">
        <f>IFERROR(__xludf.DUMMYFUNCTION("IFS(
ISBETWEEN(D443,F443,G443,TRUE,TRUE),1,
ISBETWEEN(E443,F443,G443,TRUE,TRUE),1,
ISBETWEEN(F443,D443,E443,TRUE,TRUE),1,
ISBETWEEN(G443,D443,E443,TRUE,TRUE),1,
1,0)"),1.0)</f>
        <v>1</v>
      </c>
    </row>
    <row r="444">
      <c r="A444" s="2" t="s">
        <v>443</v>
      </c>
      <c r="B444" s="1" t="str">
        <f>IFERROR(__xludf.DUMMYFUNCTION("SPLIT(A444,"","",)"),"5-76")</f>
        <v>5-76</v>
      </c>
      <c r="C444" s="1" t="str">
        <f>IFERROR(__xludf.DUMMYFUNCTION("""COMPUTED_VALUE"""),"5-75")</f>
        <v>5-75</v>
      </c>
      <c r="D444" s="4">
        <f>IFERROR(__xludf.DUMMYFUNCTION("split(B444,""-"")"),5.0)</f>
        <v>5</v>
      </c>
      <c r="E444" s="4">
        <f>IFERROR(__xludf.DUMMYFUNCTION("""COMPUTED_VALUE"""),76.0)</f>
        <v>76</v>
      </c>
      <c r="F444" s="4">
        <f>IFERROR(__xludf.DUMMYFUNCTION("split(C444,""-"")"),5.0)</f>
        <v>5</v>
      </c>
      <c r="G444" s="4">
        <f>IFERROR(__xludf.DUMMYFUNCTION("""COMPUTED_VALUE"""),75.0)</f>
        <v>75</v>
      </c>
      <c r="H444" s="4">
        <f t="shared" si="1"/>
        <v>1</v>
      </c>
      <c r="J444" s="4">
        <f>IFERROR(__xludf.DUMMYFUNCTION("IFS(
ISBETWEEN(D444,F444,G444,TRUE,TRUE),1,
ISBETWEEN(E444,F444,G444,TRUE,TRUE),1,
ISBETWEEN(F444,D444,E444,TRUE,TRUE),1,
ISBETWEEN(G444,D444,E444,TRUE,TRUE),1,
1,0)"),1.0)</f>
        <v>1</v>
      </c>
    </row>
    <row r="445">
      <c r="A445" s="2" t="s">
        <v>444</v>
      </c>
      <c r="B445" s="1" t="str">
        <f>IFERROR(__xludf.DUMMYFUNCTION("SPLIT(A445,"","",)"),"5-79")</f>
        <v>5-79</v>
      </c>
      <c r="C445" s="1" t="str">
        <f>IFERROR(__xludf.DUMMYFUNCTION("""COMPUTED_VALUE"""),"5-80")</f>
        <v>5-80</v>
      </c>
      <c r="D445" s="4">
        <f>IFERROR(__xludf.DUMMYFUNCTION("split(B445,""-"")"),5.0)</f>
        <v>5</v>
      </c>
      <c r="E445" s="4">
        <f>IFERROR(__xludf.DUMMYFUNCTION("""COMPUTED_VALUE"""),79.0)</f>
        <v>79</v>
      </c>
      <c r="F445" s="4">
        <f>IFERROR(__xludf.DUMMYFUNCTION("split(C445,""-"")"),5.0)</f>
        <v>5</v>
      </c>
      <c r="G445" s="4">
        <f>IFERROR(__xludf.DUMMYFUNCTION("""COMPUTED_VALUE"""),80.0)</f>
        <v>80</v>
      </c>
      <c r="H445" s="4">
        <f t="shared" si="1"/>
        <v>1</v>
      </c>
      <c r="J445" s="4">
        <f>IFERROR(__xludf.DUMMYFUNCTION("IFS(
ISBETWEEN(D445,F445,G445,TRUE,TRUE),1,
ISBETWEEN(E445,F445,G445,TRUE,TRUE),1,
ISBETWEEN(F445,D445,E445,TRUE,TRUE),1,
ISBETWEEN(G445,D445,E445,TRUE,TRUE),1,
1,0)"),1.0)</f>
        <v>1</v>
      </c>
    </row>
    <row r="446">
      <c r="A446" s="2" t="s">
        <v>445</v>
      </c>
      <c r="B446" s="1" t="str">
        <f>IFERROR(__xludf.DUMMYFUNCTION("SPLIT(A446,"","",)"),"12-45")</f>
        <v>12-45</v>
      </c>
      <c r="C446" s="3">
        <f>IFERROR(__xludf.DUMMYFUNCTION("""COMPUTED_VALUE"""),44899.0)</f>
        <v>44899</v>
      </c>
      <c r="D446" s="4">
        <f>IFERROR(__xludf.DUMMYFUNCTION("split(B446,""-"")"),12.0)</f>
        <v>12</v>
      </c>
      <c r="E446" s="4">
        <f>IFERROR(__xludf.DUMMYFUNCTION("""COMPUTED_VALUE"""),45.0)</f>
        <v>45</v>
      </c>
      <c r="F446" s="4">
        <f>IFERROR(__xludf.DUMMYFUNCTION("split(C446,""-"")"),4.0)</f>
        <v>4</v>
      </c>
      <c r="G446" s="4">
        <f>IFERROR(__xludf.DUMMYFUNCTION("""COMPUTED_VALUE"""),12.0)</f>
        <v>12</v>
      </c>
      <c r="H446" s="4">
        <f t="shared" si="1"/>
        <v>0</v>
      </c>
      <c r="J446" s="4">
        <f>IFERROR(__xludf.DUMMYFUNCTION("IFS(
ISBETWEEN(D446,F446,G446,TRUE,TRUE),1,
ISBETWEEN(E446,F446,G446,TRUE,TRUE),1,
ISBETWEEN(F446,D446,E446,TRUE,TRUE),1,
ISBETWEEN(G446,D446,E446,TRUE,TRUE),1,
1,0)"),1.0)</f>
        <v>1</v>
      </c>
    </row>
    <row r="447">
      <c r="A447" s="2" t="s">
        <v>446</v>
      </c>
      <c r="B447" s="3">
        <f>IFERROR(__xludf.DUMMYFUNCTION("SPLIT(A447,"","",)"),44594.0)</f>
        <v>44594</v>
      </c>
      <c r="C447" s="1" t="str">
        <f>IFERROR(__xludf.DUMMYFUNCTION("""COMPUTED_VALUE"""),"2-99")</f>
        <v>2-99</v>
      </c>
      <c r="D447" s="4">
        <f>IFERROR(__xludf.DUMMYFUNCTION("split(B447,""-"")"),2.0)</f>
        <v>2</v>
      </c>
      <c r="E447" s="4">
        <f>IFERROR(__xludf.DUMMYFUNCTION("""COMPUTED_VALUE"""),2.0)</f>
        <v>2</v>
      </c>
      <c r="F447" s="4">
        <f>IFERROR(__xludf.DUMMYFUNCTION("split(C447,""-"")"),2.0)</f>
        <v>2</v>
      </c>
      <c r="G447" s="4">
        <f>IFERROR(__xludf.DUMMYFUNCTION("""COMPUTED_VALUE"""),99.0)</f>
        <v>99</v>
      </c>
      <c r="H447" s="4">
        <f t="shared" si="1"/>
        <v>1</v>
      </c>
      <c r="J447" s="4">
        <f>IFERROR(__xludf.DUMMYFUNCTION("IFS(
ISBETWEEN(D447,F447,G447,TRUE,TRUE),1,
ISBETWEEN(E447,F447,G447,TRUE,TRUE),1,
ISBETWEEN(F447,D447,E447,TRUE,TRUE),1,
ISBETWEEN(G447,D447,E447,TRUE,TRUE),1,
1,0)"),1.0)</f>
        <v>1</v>
      </c>
    </row>
    <row r="448">
      <c r="A448" s="2" t="s">
        <v>447</v>
      </c>
      <c r="B448" s="1" t="str">
        <f>IFERROR(__xludf.DUMMYFUNCTION("SPLIT(A448,"","",)"),"13-76")</f>
        <v>13-76</v>
      </c>
      <c r="C448" s="1" t="str">
        <f>IFERROR(__xludf.DUMMYFUNCTION("""COMPUTED_VALUE"""),"14-76")</f>
        <v>14-76</v>
      </c>
      <c r="D448" s="4">
        <f>IFERROR(__xludf.DUMMYFUNCTION("split(B448,""-"")"),13.0)</f>
        <v>13</v>
      </c>
      <c r="E448" s="4">
        <f>IFERROR(__xludf.DUMMYFUNCTION("""COMPUTED_VALUE"""),76.0)</f>
        <v>76</v>
      </c>
      <c r="F448" s="4">
        <f>IFERROR(__xludf.DUMMYFUNCTION("split(C448,""-"")"),14.0)</f>
        <v>14</v>
      </c>
      <c r="G448" s="4">
        <f>IFERROR(__xludf.DUMMYFUNCTION("""COMPUTED_VALUE"""),76.0)</f>
        <v>76</v>
      </c>
      <c r="H448" s="4">
        <f t="shared" si="1"/>
        <v>1</v>
      </c>
      <c r="J448" s="4">
        <f>IFERROR(__xludf.DUMMYFUNCTION("IFS(
ISBETWEEN(D448,F448,G448,TRUE,TRUE),1,
ISBETWEEN(E448,F448,G448,TRUE,TRUE),1,
ISBETWEEN(F448,D448,E448,TRUE,TRUE),1,
ISBETWEEN(G448,D448,E448,TRUE,TRUE),1,
1,0)"),1.0)</f>
        <v>1</v>
      </c>
    </row>
    <row r="449">
      <c r="A449" s="2" t="s">
        <v>448</v>
      </c>
      <c r="B449" s="1" t="str">
        <f>IFERROR(__xludf.DUMMYFUNCTION("SPLIT(A449,"","",)"),"17-17")</f>
        <v>17-17</v>
      </c>
      <c r="C449" s="1" t="str">
        <f>IFERROR(__xludf.DUMMYFUNCTION("""COMPUTED_VALUE"""),"16-54")</f>
        <v>16-54</v>
      </c>
      <c r="D449" s="4">
        <f>IFERROR(__xludf.DUMMYFUNCTION("split(B449,""-"")"),17.0)</f>
        <v>17</v>
      </c>
      <c r="E449" s="4">
        <f>IFERROR(__xludf.DUMMYFUNCTION("""COMPUTED_VALUE"""),17.0)</f>
        <v>17</v>
      </c>
      <c r="F449" s="4">
        <f>IFERROR(__xludf.DUMMYFUNCTION("split(C449,""-"")"),16.0)</f>
        <v>16</v>
      </c>
      <c r="G449" s="4">
        <f>IFERROR(__xludf.DUMMYFUNCTION("""COMPUTED_VALUE"""),54.0)</f>
        <v>54</v>
      </c>
      <c r="H449" s="4">
        <f t="shared" si="1"/>
        <v>1</v>
      </c>
      <c r="J449" s="4">
        <f>IFERROR(__xludf.DUMMYFUNCTION("IFS(
ISBETWEEN(D449,F449,G449,TRUE,TRUE),1,
ISBETWEEN(E449,F449,G449,TRUE,TRUE),1,
ISBETWEEN(F449,D449,E449,TRUE,TRUE),1,
ISBETWEEN(G449,D449,E449,TRUE,TRUE),1,
1,0)"),1.0)</f>
        <v>1</v>
      </c>
    </row>
    <row r="450">
      <c r="A450" s="2" t="s">
        <v>449</v>
      </c>
      <c r="B450" s="1" t="str">
        <f>IFERROR(__xludf.DUMMYFUNCTION("SPLIT(A450,"","",)"),"39-59")</f>
        <v>39-59</v>
      </c>
      <c r="C450" s="1" t="str">
        <f>IFERROR(__xludf.DUMMYFUNCTION("""COMPUTED_VALUE"""),"39-39")</f>
        <v>39-39</v>
      </c>
      <c r="D450" s="4">
        <f>IFERROR(__xludf.DUMMYFUNCTION("split(B450,""-"")"),39.0)</f>
        <v>39</v>
      </c>
      <c r="E450" s="4">
        <f>IFERROR(__xludf.DUMMYFUNCTION("""COMPUTED_VALUE"""),59.0)</f>
        <v>59</v>
      </c>
      <c r="F450" s="4">
        <f>IFERROR(__xludf.DUMMYFUNCTION("split(C450,""-"")"),39.0)</f>
        <v>39</v>
      </c>
      <c r="G450" s="4">
        <f>IFERROR(__xludf.DUMMYFUNCTION("""COMPUTED_VALUE"""),39.0)</f>
        <v>39</v>
      </c>
      <c r="H450" s="4">
        <f t="shared" si="1"/>
        <v>1</v>
      </c>
      <c r="J450" s="4">
        <f>IFERROR(__xludf.DUMMYFUNCTION("IFS(
ISBETWEEN(D450,F450,G450,TRUE,TRUE),1,
ISBETWEEN(E450,F450,G450,TRUE,TRUE),1,
ISBETWEEN(F450,D450,E450,TRUE,TRUE),1,
ISBETWEEN(G450,D450,E450,TRUE,TRUE),1,
1,0)"),1.0)</f>
        <v>1</v>
      </c>
    </row>
    <row r="451">
      <c r="A451" s="2" t="s">
        <v>450</v>
      </c>
      <c r="B451" s="1" t="str">
        <f>IFERROR(__xludf.DUMMYFUNCTION("SPLIT(A451,"","",)"),"52-52")</f>
        <v>52-52</v>
      </c>
      <c r="C451" s="1" t="str">
        <f>IFERROR(__xludf.DUMMYFUNCTION("""COMPUTED_VALUE"""),"48-52")</f>
        <v>48-52</v>
      </c>
      <c r="D451" s="4">
        <f>IFERROR(__xludf.DUMMYFUNCTION("split(B451,""-"")"),52.0)</f>
        <v>52</v>
      </c>
      <c r="E451" s="4">
        <f>IFERROR(__xludf.DUMMYFUNCTION("""COMPUTED_VALUE"""),52.0)</f>
        <v>52</v>
      </c>
      <c r="F451" s="4">
        <f>IFERROR(__xludf.DUMMYFUNCTION("split(C451,""-"")"),48.0)</f>
        <v>48</v>
      </c>
      <c r="G451" s="4">
        <f>IFERROR(__xludf.DUMMYFUNCTION("""COMPUTED_VALUE"""),52.0)</f>
        <v>52</v>
      </c>
      <c r="H451" s="4">
        <f t="shared" si="1"/>
        <v>1</v>
      </c>
      <c r="J451" s="4">
        <f>IFERROR(__xludf.DUMMYFUNCTION("IFS(
ISBETWEEN(D451,F451,G451,TRUE,TRUE),1,
ISBETWEEN(E451,F451,G451,TRUE,TRUE),1,
ISBETWEEN(F451,D451,E451,TRUE,TRUE),1,
ISBETWEEN(G451,D451,E451,TRUE,TRUE),1,
1,0)"),1.0)</f>
        <v>1</v>
      </c>
    </row>
    <row r="452">
      <c r="A452" s="2" t="s">
        <v>451</v>
      </c>
      <c r="B452" s="1" t="str">
        <f>IFERROR(__xludf.DUMMYFUNCTION("SPLIT(A452,"","",)"),"3-91")</f>
        <v>3-91</v>
      </c>
      <c r="C452" s="1" t="str">
        <f>IFERROR(__xludf.DUMMYFUNCTION("""COMPUTED_VALUE"""),"2-48")</f>
        <v>2-48</v>
      </c>
      <c r="D452" s="4">
        <f>IFERROR(__xludf.DUMMYFUNCTION("split(B452,""-"")"),3.0)</f>
        <v>3</v>
      </c>
      <c r="E452" s="4">
        <f>IFERROR(__xludf.DUMMYFUNCTION("""COMPUTED_VALUE"""),91.0)</f>
        <v>91</v>
      </c>
      <c r="F452" s="4">
        <f>IFERROR(__xludf.DUMMYFUNCTION("split(C452,""-"")"),2.0)</f>
        <v>2</v>
      </c>
      <c r="G452" s="4">
        <f>IFERROR(__xludf.DUMMYFUNCTION("""COMPUTED_VALUE"""),48.0)</f>
        <v>48</v>
      </c>
      <c r="H452" s="4">
        <f t="shared" si="1"/>
        <v>0</v>
      </c>
      <c r="J452" s="4">
        <f>IFERROR(__xludf.DUMMYFUNCTION("IFS(
ISBETWEEN(D452,F452,G452,TRUE,TRUE),1,
ISBETWEEN(E452,F452,G452,TRUE,TRUE),1,
ISBETWEEN(F452,D452,E452,TRUE,TRUE),1,
ISBETWEEN(G452,D452,E452,TRUE,TRUE),1,
1,0)"),1.0)</f>
        <v>1</v>
      </c>
    </row>
    <row r="453">
      <c r="A453" s="2" t="s">
        <v>452</v>
      </c>
      <c r="B453" s="1" t="str">
        <f>IFERROR(__xludf.DUMMYFUNCTION("SPLIT(A453,"","",)"),"29-72")</f>
        <v>29-72</v>
      </c>
      <c r="C453" s="1" t="str">
        <f>IFERROR(__xludf.DUMMYFUNCTION("""COMPUTED_VALUE"""),"72-72")</f>
        <v>72-72</v>
      </c>
      <c r="D453" s="4">
        <f>IFERROR(__xludf.DUMMYFUNCTION("split(B453,""-"")"),29.0)</f>
        <v>29</v>
      </c>
      <c r="E453" s="4">
        <f>IFERROR(__xludf.DUMMYFUNCTION("""COMPUTED_VALUE"""),72.0)</f>
        <v>72</v>
      </c>
      <c r="F453" s="4">
        <f>IFERROR(__xludf.DUMMYFUNCTION("split(C453,""-"")"),72.0)</f>
        <v>72</v>
      </c>
      <c r="G453" s="4">
        <f>IFERROR(__xludf.DUMMYFUNCTION("""COMPUTED_VALUE"""),72.0)</f>
        <v>72</v>
      </c>
      <c r="H453" s="4">
        <f t="shared" si="1"/>
        <v>1</v>
      </c>
      <c r="J453" s="4">
        <f>IFERROR(__xludf.DUMMYFUNCTION("IFS(
ISBETWEEN(D453,F453,G453,TRUE,TRUE),1,
ISBETWEEN(E453,F453,G453,TRUE,TRUE),1,
ISBETWEEN(F453,D453,E453,TRUE,TRUE),1,
ISBETWEEN(G453,D453,E453,TRUE,TRUE),1,
1,0)"),1.0)</f>
        <v>1</v>
      </c>
    </row>
    <row r="454">
      <c r="A454" s="2" t="s">
        <v>453</v>
      </c>
      <c r="B454" s="1" t="str">
        <f>IFERROR(__xludf.DUMMYFUNCTION("SPLIT(A454,"","",)"),"6-46")</f>
        <v>6-46</v>
      </c>
      <c r="C454" s="1" t="str">
        <f>IFERROR(__xludf.DUMMYFUNCTION("""COMPUTED_VALUE"""),"5-46")</f>
        <v>5-46</v>
      </c>
      <c r="D454" s="4">
        <f>IFERROR(__xludf.DUMMYFUNCTION("split(B454,""-"")"),6.0)</f>
        <v>6</v>
      </c>
      <c r="E454" s="4">
        <f>IFERROR(__xludf.DUMMYFUNCTION("""COMPUTED_VALUE"""),46.0)</f>
        <v>46</v>
      </c>
      <c r="F454" s="4">
        <f>IFERROR(__xludf.DUMMYFUNCTION("split(C454,""-"")"),5.0)</f>
        <v>5</v>
      </c>
      <c r="G454" s="4">
        <f>IFERROR(__xludf.DUMMYFUNCTION("""COMPUTED_VALUE"""),46.0)</f>
        <v>46</v>
      </c>
      <c r="H454" s="4">
        <f t="shared" si="1"/>
        <v>1</v>
      </c>
      <c r="J454" s="4">
        <f>IFERROR(__xludf.DUMMYFUNCTION("IFS(
ISBETWEEN(D454,F454,G454,TRUE,TRUE),1,
ISBETWEEN(E454,F454,G454,TRUE,TRUE),1,
ISBETWEEN(F454,D454,E454,TRUE,TRUE),1,
ISBETWEEN(G454,D454,E454,TRUE,TRUE),1,
1,0)"),1.0)</f>
        <v>1</v>
      </c>
    </row>
    <row r="455">
      <c r="A455" s="2" t="s">
        <v>454</v>
      </c>
      <c r="B455" s="1" t="str">
        <f>IFERROR(__xludf.DUMMYFUNCTION("SPLIT(A455,"","",)"),"26-38")</f>
        <v>26-38</v>
      </c>
      <c r="C455" s="1" t="str">
        <f>IFERROR(__xludf.DUMMYFUNCTION("""COMPUTED_VALUE"""),"38-38")</f>
        <v>38-38</v>
      </c>
      <c r="D455" s="4">
        <f>IFERROR(__xludf.DUMMYFUNCTION("split(B455,""-"")"),26.0)</f>
        <v>26</v>
      </c>
      <c r="E455" s="4">
        <f>IFERROR(__xludf.DUMMYFUNCTION("""COMPUTED_VALUE"""),38.0)</f>
        <v>38</v>
      </c>
      <c r="F455" s="4">
        <f>IFERROR(__xludf.DUMMYFUNCTION("split(C455,""-"")"),38.0)</f>
        <v>38</v>
      </c>
      <c r="G455" s="4">
        <f>IFERROR(__xludf.DUMMYFUNCTION("""COMPUTED_VALUE"""),38.0)</f>
        <v>38</v>
      </c>
      <c r="H455" s="4">
        <f t="shared" si="1"/>
        <v>1</v>
      </c>
      <c r="J455" s="4">
        <f>IFERROR(__xludf.DUMMYFUNCTION("IFS(
ISBETWEEN(D455,F455,G455,TRUE,TRUE),1,
ISBETWEEN(E455,F455,G455,TRUE,TRUE),1,
ISBETWEEN(F455,D455,E455,TRUE,TRUE),1,
ISBETWEEN(G455,D455,E455,TRUE,TRUE),1,
1,0)"),1.0)</f>
        <v>1</v>
      </c>
    </row>
    <row r="456">
      <c r="A456" s="2" t="s">
        <v>455</v>
      </c>
      <c r="B456" s="1" t="str">
        <f>IFERROR(__xludf.DUMMYFUNCTION("SPLIT(A456,"","",)"),"5-97")</f>
        <v>5-97</v>
      </c>
      <c r="C456" s="1" t="str">
        <f>IFERROR(__xludf.DUMMYFUNCTION("""COMPUTED_VALUE"""),"1-99")</f>
        <v>1-99</v>
      </c>
      <c r="D456" s="4">
        <f>IFERROR(__xludf.DUMMYFUNCTION("split(B456,""-"")"),5.0)</f>
        <v>5</v>
      </c>
      <c r="E456" s="4">
        <f>IFERROR(__xludf.DUMMYFUNCTION("""COMPUTED_VALUE"""),97.0)</f>
        <v>97</v>
      </c>
      <c r="F456" s="4">
        <f>IFERROR(__xludf.DUMMYFUNCTION("split(C456,""-"")"),1.0)</f>
        <v>1</v>
      </c>
      <c r="G456" s="4">
        <f>IFERROR(__xludf.DUMMYFUNCTION("""COMPUTED_VALUE"""),99.0)</f>
        <v>99</v>
      </c>
      <c r="H456" s="4">
        <f t="shared" si="1"/>
        <v>1</v>
      </c>
      <c r="J456" s="4">
        <f>IFERROR(__xludf.DUMMYFUNCTION("IFS(
ISBETWEEN(D456,F456,G456,TRUE,TRUE),1,
ISBETWEEN(E456,F456,G456,TRUE,TRUE),1,
ISBETWEEN(F456,D456,E456,TRUE,TRUE),1,
ISBETWEEN(G456,D456,E456,TRUE,TRUE),1,
1,0)"),1.0)</f>
        <v>1</v>
      </c>
    </row>
    <row r="457">
      <c r="A457" s="2" t="s">
        <v>456</v>
      </c>
      <c r="B457" s="1" t="str">
        <f>IFERROR(__xludf.DUMMYFUNCTION("SPLIT(A457,"","",)"),"15-29")</f>
        <v>15-29</v>
      </c>
      <c r="C457" s="1" t="str">
        <f>IFERROR(__xludf.DUMMYFUNCTION("""COMPUTED_VALUE"""),"20-28")</f>
        <v>20-28</v>
      </c>
      <c r="D457" s="4">
        <f>IFERROR(__xludf.DUMMYFUNCTION("split(B457,""-"")"),15.0)</f>
        <v>15</v>
      </c>
      <c r="E457" s="4">
        <f>IFERROR(__xludf.DUMMYFUNCTION("""COMPUTED_VALUE"""),29.0)</f>
        <v>29</v>
      </c>
      <c r="F457" s="4">
        <f>IFERROR(__xludf.DUMMYFUNCTION("split(C457,""-"")"),20.0)</f>
        <v>20</v>
      </c>
      <c r="G457" s="4">
        <f>IFERROR(__xludf.DUMMYFUNCTION("""COMPUTED_VALUE"""),28.0)</f>
        <v>28</v>
      </c>
      <c r="H457" s="4">
        <f t="shared" si="1"/>
        <v>1</v>
      </c>
      <c r="J457" s="4">
        <f>IFERROR(__xludf.DUMMYFUNCTION("IFS(
ISBETWEEN(D457,F457,G457,TRUE,TRUE),1,
ISBETWEEN(E457,F457,G457,TRUE,TRUE),1,
ISBETWEEN(F457,D457,E457,TRUE,TRUE),1,
ISBETWEEN(G457,D457,E457,TRUE,TRUE),1,
1,0)"),1.0)</f>
        <v>1</v>
      </c>
    </row>
    <row r="458">
      <c r="A458" s="2" t="s">
        <v>457</v>
      </c>
      <c r="B458" s="1" t="str">
        <f>IFERROR(__xludf.DUMMYFUNCTION("SPLIT(A458,"","",)"),"23-29")</f>
        <v>23-29</v>
      </c>
      <c r="C458" s="1" t="str">
        <f>IFERROR(__xludf.DUMMYFUNCTION("""COMPUTED_VALUE"""),"18-33")</f>
        <v>18-33</v>
      </c>
      <c r="D458" s="4">
        <f>IFERROR(__xludf.DUMMYFUNCTION("split(B458,""-"")"),23.0)</f>
        <v>23</v>
      </c>
      <c r="E458" s="4">
        <f>IFERROR(__xludf.DUMMYFUNCTION("""COMPUTED_VALUE"""),29.0)</f>
        <v>29</v>
      </c>
      <c r="F458" s="4">
        <f>IFERROR(__xludf.DUMMYFUNCTION("split(C458,""-"")"),18.0)</f>
        <v>18</v>
      </c>
      <c r="G458" s="4">
        <f>IFERROR(__xludf.DUMMYFUNCTION("""COMPUTED_VALUE"""),33.0)</f>
        <v>33</v>
      </c>
      <c r="H458" s="4">
        <f t="shared" si="1"/>
        <v>1</v>
      </c>
      <c r="J458" s="4">
        <f>IFERROR(__xludf.DUMMYFUNCTION("IFS(
ISBETWEEN(D458,F458,G458,TRUE,TRUE),1,
ISBETWEEN(E458,F458,G458,TRUE,TRUE),1,
ISBETWEEN(F458,D458,E458,TRUE,TRUE),1,
ISBETWEEN(G458,D458,E458,TRUE,TRUE),1,
1,0)"),1.0)</f>
        <v>1</v>
      </c>
    </row>
    <row r="459">
      <c r="A459" s="2" t="s">
        <v>458</v>
      </c>
      <c r="B459" s="1" t="str">
        <f>IFERROR(__xludf.DUMMYFUNCTION("SPLIT(A459,"","",)"),"93-93")</f>
        <v>93-93</v>
      </c>
      <c r="C459" s="1" t="str">
        <f>IFERROR(__xludf.DUMMYFUNCTION("""COMPUTED_VALUE"""),"1-94")</f>
        <v>1-94</v>
      </c>
      <c r="D459" s="4">
        <f>IFERROR(__xludf.DUMMYFUNCTION("split(B459,""-"")"),93.0)</f>
        <v>93</v>
      </c>
      <c r="E459" s="4">
        <f>IFERROR(__xludf.DUMMYFUNCTION("""COMPUTED_VALUE"""),93.0)</f>
        <v>93</v>
      </c>
      <c r="F459" s="4">
        <f>IFERROR(__xludf.DUMMYFUNCTION("split(C459,""-"")"),1.0)</f>
        <v>1</v>
      </c>
      <c r="G459" s="4">
        <f>IFERROR(__xludf.DUMMYFUNCTION("""COMPUTED_VALUE"""),94.0)</f>
        <v>94</v>
      </c>
      <c r="H459" s="4">
        <f t="shared" si="1"/>
        <v>1</v>
      </c>
      <c r="J459" s="4">
        <f>IFERROR(__xludf.DUMMYFUNCTION("IFS(
ISBETWEEN(D459,F459,G459,TRUE,TRUE),1,
ISBETWEEN(E459,F459,G459,TRUE,TRUE),1,
ISBETWEEN(F459,D459,E459,TRUE,TRUE),1,
ISBETWEEN(G459,D459,E459,TRUE,TRUE),1,
1,0)"),1.0)</f>
        <v>1</v>
      </c>
    </row>
    <row r="460">
      <c r="A460" s="2" t="s">
        <v>459</v>
      </c>
      <c r="B460" s="1" t="str">
        <f>IFERROR(__xludf.DUMMYFUNCTION("SPLIT(A460,"","",)"),"46-90")</f>
        <v>46-90</v>
      </c>
      <c r="C460" s="1" t="str">
        <f>IFERROR(__xludf.DUMMYFUNCTION("""COMPUTED_VALUE"""),"46-55")</f>
        <v>46-55</v>
      </c>
      <c r="D460" s="4">
        <f>IFERROR(__xludf.DUMMYFUNCTION("split(B460,""-"")"),46.0)</f>
        <v>46</v>
      </c>
      <c r="E460" s="4">
        <f>IFERROR(__xludf.DUMMYFUNCTION("""COMPUTED_VALUE"""),90.0)</f>
        <v>90</v>
      </c>
      <c r="F460" s="4">
        <f>IFERROR(__xludf.DUMMYFUNCTION("split(C460,""-"")"),46.0)</f>
        <v>46</v>
      </c>
      <c r="G460" s="4">
        <f>IFERROR(__xludf.DUMMYFUNCTION("""COMPUTED_VALUE"""),55.0)</f>
        <v>55</v>
      </c>
      <c r="H460" s="4">
        <f t="shared" si="1"/>
        <v>1</v>
      </c>
      <c r="J460" s="4">
        <f>IFERROR(__xludf.DUMMYFUNCTION("IFS(
ISBETWEEN(D460,F460,G460,TRUE,TRUE),1,
ISBETWEEN(E460,F460,G460,TRUE,TRUE),1,
ISBETWEEN(F460,D460,E460,TRUE,TRUE),1,
ISBETWEEN(G460,D460,E460,TRUE,TRUE),1,
1,0)"),1.0)</f>
        <v>1</v>
      </c>
    </row>
    <row r="461">
      <c r="A461" s="2" t="s">
        <v>460</v>
      </c>
      <c r="B461" s="1" t="str">
        <f>IFERROR(__xludf.DUMMYFUNCTION("SPLIT(A461,"","",)"),"7-48")</f>
        <v>7-48</v>
      </c>
      <c r="C461" s="1" t="str">
        <f>IFERROR(__xludf.DUMMYFUNCTION("""COMPUTED_VALUE"""),"6-39")</f>
        <v>6-39</v>
      </c>
      <c r="D461" s="4">
        <f>IFERROR(__xludf.DUMMYFUNCTION("split(B461,""-"")"),7.0)</f>
        <v>7</v>
      </c>
      <c r="E461" s="4">
        <f>IFERROR(__xludf.DUMMYFUNCTION("""COMPUTED_VALUE"""),48.0)</f>
        <v>48</v>
      </c>
      <c r="F461" s="4">
        <f>IFERROR(__xludf.DUMMYFUNCTION("split(C461,""-"")"),6.0)</f>
        <v>6</v>
      </c>
      <c r="G461" s="4">
        <f>IFERROR(__xludf.DUMMYFUNCTION("""COMPUTED_VALUE"""),39.0)</f>
        <v>39</v>
      </c>
      <c r="H461" s="4">
        <f t="shared" si="1"/>
        <v>0</v>
      </c>
      <c r="J461" s="4">
        <f>IFERROR(__xludf.DUMMYFUNCTION("IFS(
ISBETWEEN(D461,F461,G461,TRUE,TRUE),1,
ISBETWEEN(E461,F461,G461,TRUE,TRUE),1,
ISBETWEEN(F461,D461,E461,TRUE,TRUE),1,
ISBETWEEN(G461,D461,E461,TRUE,TRUE),1,
1,0)"),1.0)</f>
        <v>1</v>
      </c>
    </row>
    <row r="462">
      <c r="A462" s="2" t="s">
        <v>461</v>
      </c>
      <c r="B462" s="1" t="str">
        <f>IFERROR(__xludf.DUMMYFUNCTION("SPLIT(A462,"","",)"),"25-86")</f>
        <v>25-86</v>
      </c>
      <c r="C462" s="1" t="str">
        <f>IFERROR(__xludf.DUMMYFUNCTION("""COMPUTED_VALUE"""),"24-26")</f>
        <v>24-26</v>
      </c>
      <c r="D462" s="4">
        <f>IFERROR(__xludf.DUMMYFUNCTION("split(B462,""-"")"),25.0)</f>
        <v>25</v>
      </c>
      <c r="E462" s="4">
        <f>IFERROR(__xludf.DUMMYFUNCTION("""COMPUTED_VALUE"""),86.0)</f>
        <v>86</v>
      </c>
      <c r="F462" s="4">
        <f>IFERROR(__xludf.DUMMYFUNCTION("split(C462,""-"")"),24.0)</f>
        <v>24</v>
      </c>
      <c r="G462" s="4">
        <f>IFERROR(__xludf.DUMMYFUNCTION("""COMPUTED_VALUE"""),26.0)</f>
        <v>26</v>
      </c>
      <c r="H462" s="4">
        <f t="shared" si="1"/>
        <v>0</v>
      </c>
      <c r="J462" s="4">
        <f>IFERROR(__xludf.DUMMYFUNCTION("IFS(
ISBETWEEN(D462,F462,G462,TRUE,TRUE),1,
ISBETWEEN(E462,F462,G462,TRUE,TRUE),1,
ISBETWEEN(F462,D462,E462,TRUE,TRUE),1,
ISBETWEEN(G462,D462,E462,TRUE,TRUE),1,
1,0)"),1.0)</f>
        <v>1</v>
      </c>
    </row>
    <row r="463">
      <c r="A463" s="2" t="s">
        <v>462</v>
      </c>
      <c r="B463" s="1" t="str">
        <f>IFERROR(__xludf.DUMMYFUNCTION("SPLIT(A463,"","",)"),"16-83")</f>
        <v>16-83</v>
      </c>
      <c r="C463" s="1" t="str">
        <f>IFERROR(__xludf.DUMMYFUNCTION("""COMPUTED_VALUE"""),"83-83")</f>
        <v>83-83</v>
      </c>
      <c r="D463" s="4">
        <f>IFERROR(__xludf.DUMMYFUNCTION("split(B463,""-"")"),16.0)</f>
        <v>16</v>
      </c>
      <c r="E463" s="4">
        <f>IFERROR(__xludf.DUMMYFUNCTION("""COMPUTED_VALUE"""),83.0)</f>
        <v>83</v>
      </c>
      <c r="F463" s="4">
        <f>IFERROR(__xludf.DUMMYFUNCTION("split(C463,""-"")"),83.0)</f>
        <v>83</v>
      </c>
      <c r="G463" s="4">
        <f>IFERROR(__xludf.DUMMYFUNCTION("""COMPUTED_VALUE"""),83.0)</f>
        <v>83</v>
      </c>
      <c r="H463" s="4">
        <f t="shared" si="1"/>
        <v>1</v>
      </c>
      <c r="J463" s="4">
        <f>IFERROR(__xludf.DUMMYFUNCTION("IFS(
ISBETWEEN(D463,F463,G463,TRUE,TRUE),1,
ISBETWEEN(E463,F463,G463,TRUE,TRUE),1,
ISBETWEEN(F463,D463,E463,TRUE,TRUE),1,
ISBETWEEN(G463,D463,E463,TRUE,TRUE),1,
1,0)"),1.0)</f>
        <v>1</v>
      </c>
    </row>
    <row r="464">
      <c r="A464" s="2" t="s">
        <v>463</v>
      </c>
      <c r="B464" s="1" t="str">
        <f>IFERROR(__xludf.DUMMYFUNCTION("SPLIT(A464,"","",)"),"38-69")</f>
        <v>38-69</v>
      </c>
      <c r="C464" s="1" t="str">
        <f>IFERROR(__xludf.DUMMYFUNCTION("""COMPUTED_VALUE"""),"68-94")</f>
        <v>68-94</v>
      </c>
      <c r="D464" s="4">
        <f>IFERROR(__xludf.DUMMYFUNCTION("split(B464,""-"")"),38.0)</f>
        <v>38</v>
      </c>
      <c r="E464" s="4">
        <f>IFERROR(__xludf.DUMMYFUNCTION("""COMPUTED_VALUE"""),69.0)</f>
        <v>69</v>
      </c>
      <c r="F464" s="4">
        <f>IFERROR(__xludf.DUMMYFUNCTION("split(C464,""-"")"),68.0)</f>
        <v>68</v>
      </c>
      <c r="G464" s="4">
        <f>IFERROR(__xludf.DUMMYFUNCTION("""COMPUTED_VALUE"""),94.0)</f>
        <v>94</v>
      </c>
      <c r="H464" s="4">
        <f t="shared" si="1"/>
        <v>0</v>
      </c>
      <c r="J464" s="4">
        <f>IFERROR(__xludf.DUMMYFUNCTION("IFS(
ISBETWEEN(D464,F464,G464,TRUE,TRUE),1,
ISBETWEEN(E464,F464,G464,TRUE,TRUE),1,
ISBETWEEN(F464,D464,E464,TRUE,TRUE),1,
ISBETWEEN(G464,D464,E464,TRUE,TRUE),1,
1,0)"),1.0)</f>
        <v>1</v>
      </c>
    </row>
    <row r="465">
      <c r="A465" s="2" t="s">
        <v>464</v>
      </c>
      <c r="B465" s="1" t="str">
        <f>IFERROR(__xludf.DUMMYFUNCTION("SPLIT(A465,"","",)"),"76-79")</f>
        <v>76-79</v>
      </c>
      <c r="C465" s="1" t="str">
        <f>IFERROR(__xludf.DUMMYFUNCTION("""COMPUTED_VALUE"""),"47-86")</f>
        <v>47-86</v>
      </c>
      <c r="D465" s="4">
        <f>IFERROR(__xludf.DUMMYFUNCTION("split(B465,""-"")"),76.0)</f>
        <v>76</v>
      </c>
      <c r="E465" s="4">
        <f>IFERROR(__xludf.DUMMYFUNCTION("""COMPUTED_VALUE"""),79.0)</f>
        <v>79</v>
      </c>
      <c r="F465" s="4">
        <f>IFERROR(__xludf.DUMMYFUNCTION("split(C465,""-"")"),47.0)</f>
        <v>47</v>
      </c>
      <c r="G465" s="4">
        <f>IFERROR(__xludf.DUMMYFUNCTION("""COMPUTED_VALUE"""),86.0)</f>
        <v>86</v>
      </c>
      <c r="H465" s="4">
        <f t="shared" si="1"/>
        <v>1</v>
      </c>
      <c r="J465" s="4">
        <f>IFERROR(__xludf.DUMMYFUNCTION("IFS(
ISBETWEEN(D465,F465,G465,TRUE,TRUE),1,
ISBETWEEN(E465,F465,G465,TRUE,TRUE),1,
ISBETWEEN(F465,D465,E465,TRUE,TRUE),1,
ISBETWEEN(G465,D465,E465,TRUE,TRUE),1,
1,0)"),1.0)</f>
        <v>1</v>
      </c>
    </row>
    <row r="466">
      <c r="A466" s="2" t="s">
        <v>465</v>
      </c>
      <c r="B466" s="1" t="str">
        <f>IFERROR(__xludf.DUMMYFUNCTION("SPLIT(A466,"","",)"),"90-96")</f>
        <v>90-96</v>
      </c>
      <c r="C466" s="1" t="str">
        <f>IFERROR(__xludf.DUMMYFUNCTION("""COMPUTED_VALUE"""),"91-98")</f>
        <v>91-98</v>
      </c>
      <c r="D466" s="4">
        <f>IFERROR(__xludf.DUMMYFUNCTION("split(B466,""-"")"),90.0)</f>
        <v>90</v>
      </c>
      <c r="E466" s="4">
        <f>IFERROR(__xludf.DUMMYFUNCTION("""COMPUTED_VALUE"""),96.0)</f>
        <v>96</v>
      </c>
      <c r="F466" s="4">
        <f>IFERROR(__xludf.DUMMYFUNCTION("split(C466,""-"")"),91.0)</f>
        <v>91</v>
      </c>
      <c r="G466" s="4">
        <f>IFERROR(__xludf.DUMMYFUNCTION("""COMPUTED_VALUE"""),98.0)</f>
        <v>98</v>
      </c>
      <c r="H466" s="4">
        <f t="shared" si="1"/>
        <v>0</v>
      </c>
      <c r="J466" s="4">
        <f>IFERROR(__xludf.DUMMYFUNCTION("IFS(
ISBETWEEN(D466,F466,G466,TRUE,TRUE),1,
ISBETWEEN(E466,F466,G466,TRUE,TRUE),1,
ISBETWEEN(F466,D466,E466,TRUE,TRUE),1,
ISBETWEEN(G466,D466,E466,TRUE,TRUE),1,
1,0)"),1.0)</f>
        <v>1</v>
      </c>
    </row>
    <row r="467">
      <c r="A467" s="2" t="s">
        <v>466</v>
      </c>
      <c r="B467" s="1" t="str">
        <f>IFERROR(__xludf.DUMMYFUNCTION("SPLIT(A467,"","",)"),"31-81")</f>
        <v>31-81</v>
      </c>
      <c r="C467" s="1" t="str">
        <f>IFERROR(__xludf.DUMMYFUNCTION("""COMPUTED_VALUE"""),"80-81")</f>
        <v>80-81</v>
      </c>
      <c r="D467" s="4">
        <f>IFERROR(__xludf.DUMMYFUNCTION("split(B467,""-"")"),31.0)</f>
        <v>31</v>
      </c>
      <c r="E467" s="4">
        <f>IFERROR(__xludf.DUMMYFUNCTION("""COMPUTED_VALUE"""),81.0)</f>
        <v>81</v>
      </c>
      <c r="F467" s="4">
        <f>IFERROR(__xludf.DUMMYFUNCTION("split(C467,""-"")"),80.0)</f>
        <v>80</v>
      </c>
      <c r="G467" s="4">
        <f>IFERROR(__xludf.DUMMYFUNCTION("""COMPUTED_VALUE"""),81.0)</f>
        <v>81</v>
      </c>
      <c r="H467" s="4">
        <f t="shared" si="1"/>
        <v>1</v>
      </c>
      <c r="J467" s="4">
        <f>IFERROR(__xludf.DUMMYFUNCTION("IFS(
ISBETWEEN(D467,F467,G467,TRUE,TRUE),1,
ISBETWEEN(E467,F467,G467,TRUE,TRUE),1,
ISBETWEEN(F467,D467,E467,TRUE,TRUE),1,
ISBETWEEN(G467,D467,E467,TRUE,TRUE),1,
1,0)"),1.0)</f>
        <v>1</v>
      </c>
    </row>
    <row r="468">
      <c r="A468" s="2" t="s">
        <v>467</v>
      </c>
      <c r="B468" s="1" t="str">
        <f>IFERROR(__xludf.DUMMYFUNCTION("SPLIT(A468,"","",)"),"85-86")</f>
        <v>85-86</v>
      </c>
      <c r="C468" s="1" t="str">
        <f>IFERROR(__xludf.DUMMYFUNCTION("""COMPUTED_VALUE"""),"85-87")</f>
        <v>85-87</v>
      </c>
      <c r="D468" s="4">
        <f>IFERROR(__xludf.DUMMYFUNCTION("split(B468,""-"")"),85.0)</f>
        <v>85</v>
      </c>
      <c r="E468" s="4">
        <f>IFERROR(__xludf.DUMMYFUNCTION("""COMPUTED_VALUE"""),86.0)</f>
        <v>86</v>
      </c>
      <c r="F468" s="4">
        <f>IFERROR(__xludf.DUMMYFUNCTION("split(C468,""-"")"),85.0)</f>
        <v>85</v>
      </c>
      <c r="G468" s="4">
        <f>IFERROR(__xludf.DUMMYFUNCTION("""COMPUTED_VALUE"""),87.0)</f>
        <v>87</v>
      </c>
      <c r="H468" s="4">
        <f t="shared" si="1"/>
        <v>1</v>
      </c>
      <c r="J468" s="4">
        <f>IFERROR(__xludf.DUMMYFUNCTION("IFS(
ISBETWEEN(D468,F468,G468,TRUE,TRUE),1,
ISBETWEEN(E468,F468,G468,TRUE,TRUE),1,
ISBETWEEN(F468,D468,E468,TRUE,TRUE),1,
ISBETWEEN(G468,D468,E468,TRUE,TRUE),1,
1,0)"),1.0)</f>
        <v>1</v>
      </c>
    </row>
    <row r="469">
      <c r="A469" s="2" t="s">
        <v>468</v>
      </c>
      <c r="B469" s="1" t="str">
        <f>IFERROR(__xludf.DUMMYFUNCTION("SPLIT(A469,"","",)"),"22-89")</f>
        <v>22-89</v>
      </c>
      <c r="C469" s="1" t="str">
        <f>IFERROR(__xludf.DUMMYFUNCTION("""COMPUTED_VALUE"""),"21-90")</f>
        <v>21-90</v>
      </c>
      <c r="D469" s="4">
        <f>IFERROR(__xludf.DUMMYFUNCTION("split(B469,""-"")"),22.0)</f>
        <v>22</v>
      </c>
      <c r="E469" s="4">
        <f>IFERROR(__xludf.DUMMYFUNCTION("""COMPUTED_VALUE"""),89.0)</f>
        <v>89</v>
      </c>
      <c r="F469" s="4">
        <f>IFERROR(__xludf.DUMMYFUNCTION("split(C469,""-"")"),21.0)</f>
        <v>21</v>
      </c>
      <c r="G469" s="4">
        <f>IFERROR(__xludf.DUMMYFUNCTION("""COMPUTED_VALUE"""),90.0)</f>
        <v>90</v>
      </c>
      <c r="H469" s="4">
        <f t="shared" si="1"/>
        <v>1</v>
      </c>
      <c r="J469" s="4">
        <f>IFERROR(__xludf.DUMMYFUNCTION("IFS(
ISBETWEEN(D469,F469,G469,TRUE,TRUE),1,
ISBETWEEN(E469,F469,G469,TRUE,TRUE),1,
ISBETWEEN(F469,D469,E469,TRUE,TRUE),1,
ISBETWEEN(G469,D469,E469,TRUE,TRUE),1,
1,0)"),1.0)</f>
        <v>1</v>
      </c>
    </row>
    <row r="470">
      <c r="A470" s="2" t="s">
        <v>469</v>
      </c>
      <c r="B470" s="1" t="str">
        <f>IFERROR(__xludf.DUMMYFUNCTION("SPLIT(A470,"","",)"),"73-98")</f>
        <v>73-98</v>
      </c>
      <c r="C470" s="1" t="str">
        <f>IFERROR(__xludf.DUMMYFUNCTION("""COMPUTED_VALUE"""),"88-99")</f>
        <v>88-99</v>
      </c>
      <c r="D470" s="4">
        <f>IFERROR(__xludf.DUMMYFUNCTION("split(B470,""-"")"),73.0)</f>
        <v>73</v>
      </c>
      <c r="E470" s="4">
        <f>IFERROR(__xludf.DUMMYFUNCTION("""COMPUTED_VALUE"""),98.0)</f>
        <v>98</v>
      </c>
      <c r="F470" s="4">
        <f>IFERROR(__xludf.DUMMYFUNCTION("split(C470,""-"")"),88.0)</f>
        <v>88</v>
      </c>
      <c r="G470" s="4">
        <f>IFERROR(__xludf.DUMMYFUNCTION("""COMPUTED_VALUE"""),99.0)</f>
        <v>99</v>
      </c>
      <c r="H470" s="4">
        <f t="shared" si="1"/>
        <v>0</v>
      </c>
      <c r="J470" s="4">
        <f>IFERROR(__xludf.DUMMYFUNCTION("IFS(
ISBETWEEN(D470,F470,G470,TRUE,TRUE),1,
ISBETWEEN(E470,F470,G470,TRUE,TRUE),1,
ISBETWEEN(F470,D470,E470,TRUE,TRUE),1,
ISBETWEEN(G470,D470,E470,TRUE,TRUE),1,
1,0)"),1.0)</f>
        <v>1</v>
      </c>
    </row>
    <row r="471">
      <c r="A471" s="2" t="s">
        <v>470</v>
      </c>
      <c r="B471" s="1" t="str">
        <f>IFERROR(__xludf.DUMMYFUNCTION("SPLIT(A471,"","",)"),"66-67")</f>
        <v>66-67</v>
      </c>
      <c r="C471" s="1" t="str">
        <f>IFERROR(__xludf.DUMMYFUNCTION("""COMPUTED_VALUE"""),"2-67")</f>
        <v>2-67</v>
      </c>
      <c r="D471" s="4">
        <f>IFERROR(__xludf.DUMMYFUNCTION("split(B471,""-"")"),66.0)</f>
        <v>66</v>
      </c>
      <c r="E471" s="4">
        <f>IFERROR(__xludf.DUMMYFUNCTION("""COMPUTED_VALUE"""),67.0)</f>
        <v>67</v>
      </c>
      <c r="F471" s="4">
        <f>IFERROR(__xludf.DUMMYFUNCTION("split(C471,""-"")"),2.0)</f>
        <v>2</v>
      </c>
      <c r="G471" s="4">
        <f>IFERROR(__xludf.DUMMYFUNCTION("""COMPUTED_VALUE"""),67.0)</f>
        <v>67</v>
      </c>
      <c r="H471" s="4">
        <f t="shared" si="1"/>
        <v>1</v>
      </c>
      <c r="J471" s="4">
        <f>IFERROR(__xludf.DUMMYFUNCTION("IFS(
ISBETWEEN(D471,F471,G471,TRUE,TRUE),1,
ISBETWEEN(E471,F471,G471,TRUE,TRUE),1,
ISBETWEEN(F471,D471,E471,TRUE,TRUE),1,
ISBETWEEN(G471,D471,E471,TRUE,TRUE),1,
1,0)"),1.0)</f>
        <v>1</v>
      </c>
    </row>
    <row r="472">
      <c r="A472" s="2" t="s">
        <v>471</v>
      </c>
      <c r="B472" s="1" t="str">
        <f>IFERROR(__xludf.DUMMYFUNCTION("SPLIT(A472,"","",)"),"22-91")</f>
        <v>22-91</v>
      </c>
      <c r="C472" s="1" t="str">
        <f>IFERROR(__xludf.DUMMYFUNCTION("""COMPUTED_VALUE"""),"21-87")</f>
        <v>21-87</v>
      </c>
      <c r="D472" s="4">
        <f>IFERROR(__xludf.DUMMYFUNCTION("split(B472,""-"")"),22.0)</f>
        <v>22</v>
      </c>
      <c r="E472" s="4">
        <f>IFERROR(__xludf.DUMMYFUNCTION("""COMPUTED_VALUE"""),91.0)</f>
        <v>91</v>
      </c>
      <c r="F472" s="4">
        <f>IFERROR(__xludf.DUMMYFUNCTION("split(C472,""-"")"),21.0)</f>
        <v>21</v>
      </c>
      <c r="G472" s="4">
        <f>IFERROR(__xludf.DUMMYFUNCTION("""COMPUTED_VALUE"""),87.0)</f>
        <v>87</v>
      </c>
      <c r="H472" s="4">
        <f t="shared" si="1"/>
        <v>0</v>
      </c>
      <c r="J472" s="4">
        <f>IFERROR(__xludf.DUMMYFUNCTION("IFS(
ISBETWEEN(D472,F472,G472,TRUE,TRUE),1,
ISBETWEEN(E472,F472,G472,TRUE,TRUE),1,
ISBETWEEN(F472,D472,E472,TRUE,TRUE),1,
ISBETWEEN(G472,D472,E472,TRUE,TRUE),1,
1,0)"),1.0)</f>
        <v>1</v>
      </c>
    </row>
    <row r="473">
      <c r="A473" s="2" t="s">
        <v>472</v>
      </c>
      <c r="B473" s="1" t="str">
        <f>IFERROR(__xludf.DUMMYFUNCTION("SPLIT(A473,"","",)"),"53-89")</f>
        <v>53-89</v>
      </c>
      <c r="C473" s="1" t="str">
        <f>IFERROR(__xludf.DUMMYFUNCTION("""COMPUTED_VALUE"""),"53-90")</f>
        <v>53-90</v>
      </c>
      <c r="D473" s="4">
        <f>IFERROR(__xludf.DUMMYFUNCTION("split(B473,""-"")"),53.0)</f>
        <v>53</v>
      </c>
      <c r="E473" s="4">
        <f>IFERROR(__xludf.DUMMYFUNCTION("""COMPUTED_VALUE"""),89.0)</f>
        <v>89</v>
      </c>
      <c r="F473" s="4">
        <f>IFERROR(__xludf.DUMMYFUNCTION("split(C473,""-"")"),53.0)</f>
        <v>53</v>
      </c>
      <c r="G473" s="4">
        <f>IFERROR(__xludf.DUMMYFUNCTION("""COMPUTED_VALUE"""),90.0)</f>
        <v>90</v>
      </c>
      <c r="H473" s="4">
        <f t="shared" si="1"/>
        <v>1</v>
      </c>
      <c r="J473" s="4">
        <f>IFERROR(__xludf.DUMMYFUNCTION("IFS(
ISBETWEEN(D473,F473,G473,TRUE,TRUE),1,
ISBETWEEN(E473,F473,G473,TRUE,TRUE),1,
ISBETWEEN(F473,D473,E473,TRUE,TRUE),1,
ISBETWEEN(G473,D473,E473,TRUE,TRUE),1,
1,0)"),1.0)</f>
        <v>1</v>
      </c>
    </row>
    <row r="474">
      <c r="A474" s="2" t="s">
        <v>473</v>
      </c>
      <c r="B474" s="1" t="str">
        <f>IFERROR(__xludf.DUMMYFUNCTION("SPLIT(A474,"","",)"),"32-32")</f>
        <v>32-32</v>
      </c>
      <c r="C474" s="1" t="str">
        <f>IFERROR(__xludf.DUMMYFUNCTION("""COMPUTED_VALUE"""),"31-47")</f>
        <v>31-47</v>
      </c>
      <c r="D474" s="4">
        <f>IFERROR(__xludf.DUMMYFUNCTION("split(B474,""-"")"),32.0)</f>
        <v>32</v>
      </c>
      <c r="E474" s="4">
        <f>IFERROR(__xludf.DUMMYFUNCTION("""COMPUTED_VALUE"""),32.0)</f>
        <v>32</v>
      </c>
      <c r="F474" s="4">
        <f>IFERROR(__xludf.DUMMYFUNCTION("split(C474,""-"")"),31.0)</f>
        <v>31</v>
      </c>
      <c r="G474" s="4">
        <f>IFERROR(__xludf.DUMMYFUNCTION("""COMPUTED_VALUE"""),47.0)</f>
        <v>47</v>
      </c>
      <c r="H474" s="4">
        <f t="shared" si="1"/>
        <v>1</v>
      </c>
      <c r="J474" s="4">
        <f>IFERROR(__xludf.DUMMYFUNCTION("IFS(
ISBETWEEN(D474,F474,G474,TRUE,TRUE),1,
ISBETWEEN(E474,F474,G474,TRUE,TRUE),1,
ISBETWEEN(F474,D474,E474,TRUE,TRUE),1,
ISBETWEEN(G474,D474,E474,TRUE,TRUE),1,
1,0)"),1.0)</f>
        <v>1</v>
      </c>
    </row>
    <row r="475">
      <c r="A475" s="2" t="s">
        <v>474</v>
      </c>
      <c r="B475" s="1" t="str">
        <f>IFERROR(__xludf.DUMMYFUNCTION("SPLIT(A475,"","",)"),"57-88")</f>
        <v>57-88</v>
      </c>
      <c r="C475" s="1" t="str">
        <f>IFERROR(__xludf.DUMMYFUNCTION("""COMPUTED_VALUE"""),"87-98")</f>
        <v>87-98</v>
      </c>
      <c r="D475" s="4">
        <f>IFERROR(__xludf.DUMMYFUNCTION("split(B475,""-"")"),57.0)</f>
        <v>57</v>
      </c>
      <c r="E475" s="4">
        <f>IFERROR(__xludf.DUMMYFUNCTION("""COMPUTED_VALUE"""),88.0)</f>
        <v>88</v>
      </c>
      <c r="F475" s="4">
        <f>IFERROR(__xludf.DUMMYFUNCTION("split(C475,""-"")"),87.0)</f>
        <v>87</v>
      </c>
      <c r="G475" s="4">
        <f>IFERROR(__xludf.DUMMYFUNCTION("""COMPUTED_VALUE"""),98.0)</f>
        <v>98</v>
      </c>
      <c r="H475" s="4">
        <f t="shared" si="1"/>
        <v>0</v>
      </c>
      <c r="J475" s="4">
        <f>IFERROR(__xludf.DUMMYFUNCTION("IFS(
ISBETWEEN(D475,F475,G475,TRUE,TRUE),1,
ISBETWEEN(E475,F475,G475,TRUE,TRUE),1,
ISBETWEEN(F475,D475,E475,TRUE,TRUE),1,
ISBETWEEN(G475,D475,E475,TRUE,TRUE),1,
1,0)"),1.0)</f>
        <v>1</v>
      </c>
    </row>
    <row r="476">
      <c r="A476" s="2" t="s">
        <v>475</v>
      </c>
      <c r="B476" s="1" t="str">
        <f>IFERROR(__xludf.DUMMYFUNCTION("SPLIT(A476,"","",)"),"6-91")</f>
        <v>6-91</v>
      </c>
      <c r="C476" s="1" t="str">
        <f>IFERROR(__xludf.DUMMYFUNCTION("""COMPUTED_VALUE"""),"13-83")</f>
        <v>13-83</v>
      </c>
      <c r="D476" s="4">
        <f>IFERROR(__xludf.DUMMYFUNCTION("split(B476,""-"")"),6.0)</f>
        <v>6</v>
      </c>
      <c r="E476" s="4">
        <f>IFERROR(__xludf.DUMMYFUNCTION("""COMPUTED_VALUE"""),91.0)</f>
        <v>91</v>
      </c>
      <c r="F476" s="4">
        <f>IFERROR(__xludf.DUMMYFUNCTION("split(C476,""-"")"),13.0)</f>
        <v>13</v>
      </c>
      <c r="G476" s="4">
        <f>IFERROR(__xludf.DUMMYFUNCTION("""COMPUTED_VALUE"""),83.0)</f>
        <v>83</v>
      </c>
      <c r="H476" s="4">
        <f t="shared" si="1"/>
        <v>1</v>
      </c>
      <c r="J476" s="4">
        <f>IFERROR(__xludf.DUMMYFUNCTION("IFS(
ISBETWEEN(D476,F476,G476,TRUE,TRUE),1,
ISBETWEEN(E476,F476,G476,TRUE,TRUE),1,
ISBETWEEN(F476,D476,E476,TRUE,TRUE),1,
ISBETWEEN(G476,D476,E476,TRUE,TRUE),1,
1,0)"),1.0)</f>
        <v>1</v>
      </c>
    </row>
    <row r="477">
      <c r="A477" s="2" t="s">
        <v>476</v>
      </c>
      <c r="B477" s="1" t="str">
        <f>IFERROR(__xludf.DUMMYFUNCTION("SPLIT(A477,"","",)"),"7-95")</f>
        <v>7-95</v>
      </c>
      <c r="C477" s="3">
        <f>IFERROR(__xludf.DUMMYFUNCTION("""COMPUTED_VALUE"""),44745.0)</f>
        <v>44745</v>
      </c>
      <c r="D477" s="4">
        <f>IFERROR(__xludf.DUMMYFUNCTION("split(B477,""-"")"),7.0)</f>
        <v>7</v>
      </c>
      <c r="E477" s="4">
        <f>IFERROR(__xludf.DUMMYFUNCTION("""COMPUTED_VALUE"""),95.0)</f>
        <v>95</v>
      </c>
      <c r="F477" s="4">
        <f>IFERROR(__xludf.DUMMYFUNCTION("split(C477,""-"")"),3.0)</f>
        <v>3</v>
      </c>
      <c r="G477" s="4">
        <f>IFERROR(__xludf.DUMMYFUNCTION("""COMPUTED_VALUE"""),7.0)</f>
        <v>7</v>
      </c>
      <c r="H477" s="4">
        <f t="shared" si="1"/>
        <v>0</v>
      </c>
      <c r="J477" s="4">
        <f>IFERROR(__xludf.DUMMYFUNCTION("IFS(
ISBETWEEN(D477,F477,G477,TRUE,TRUE),1,
ISBETWEEN(E477,F477,G477,TRUE,TRUE),1,
ISBETWEEN(F477,D477,E477,TRUE,TRUE),1,
ISBETWEEN(G477,D477,E477,TRUE,TRUE),1,
1,0)"),1.0)</f>
        <v>1</v>
      </c>
    </row>
    <row r="478">
      <c r="A478" s="2" t="s">
        <v>477</v>
      </c>
      <c r="B478" s="1" t="str">
        <f>IFERROR(__xludf.DUMMYFUNCTION("SPLIT(A478,"","",)"),"40-48")</f>
        <v>40-48</v>
      </c>
      <c r="C478" s="1" t="str">
        <f>IFERROR(__xludf.DUMMYFUNCTION("""COMPUTED_VALUE"""),"48-49")</f>
        <v>48-49</v>
      </c>
      <c r="D478" s="4">
        <f>IFERROR(__xludf.DUMMYFUNCTION("split(B478,""-"")"),40.0)</f>
        <v>40</v>
      </c>
      <c r="E478" s="4">
        <f>IFERROR(__xludf.DUMMYFUNCTION("""COMPUTED_VALUE"""),48.0)</f>
        <v>48</v>
      </c>
      <c r="F478" s="4">
        <f>IFERROR(__xludf.DUMMYFUNCTION("split(C478,""-"")"),48.0)</f>
        <v>48</v>
      </c>
      <c r="G478" s="4">
        <f>IFERROR(__xludf.DUMMYFUNCTION("""COMPUTED_VALUE"""),49.0)</f>
        <v>49</v>
      </c>
      <c r="H478" s="4">
        <f t="shared" si="1"/>
        <v>0</v>
      </c>
      <c r="J478" s="4">
        <f>IFERROR(__xludf.DUMMYFUNCTION("IFS(
ISBETWEEN(D478,F478,G478,TRUE,TRUE),1,
ISBETWEEN(E478,F478,G478,TRUE,TRUE),1,
ISBETWEEN(F478,D478,E478,TRUE,TRUE),1,
ISBETWEEN(G478,D478,E478,TRUE,TRUE),1,
1,0)"),1.0)</f>
        <v>1</v>
      </c>
    </row>
    <row r="479">
      <c r="A479" s="2" t="s">
        <v>478</v>
      </c>
      <c r="B479" s="1" t="str">
        <f>IFERROR(__xludf.DUMMYFUNCTION("SPLIT(A479,"","",)"),"34-74")</f>
        <v>34-74</v>
      </c>
      <c r="C479" s="1" t="str">
        <f>IFERROR(__xludf.DUMMYFUNCTION("""COMPUTED_VALUE"""),"33-73")</f>
        <v>33-73</v>
      </c>
      <c r="D479" s="4">
        <f>IFERROR(__xludf.DUMMYFUNCTION("split(B479,""-"")"),34.0)</f>
        <v>34</v>
      </c>
      <c r="E479" s="4">
        <f>IFERROR(__xludf.DUMMYFUNCTION("""COMPUTED_VALUE"""),74.0)</f>
        <v>74</v>
      </c>
      <c r="F479" s="4">
        <f>IFERROR(__xludf.DUMMYFUNCTION("split(C479,""-"")"),33.0)</f>
        <v>33</v>
      </c>
      <c r="G479" s="4">
        <f>IFERROR(__xludf.DUMMYFUNCTION("""COMPUTED_VALUE"""),73.0)</f>
        <v>73</v>
      </c>
      <c r="H479" s="4">
        <f t="shared" si="1"/>
        <v>0</v>
      </c>
      <c r="J479" s="4">
        <f>IFERROR(__xludf.DUMMYFUNCTION("IFS(
ISBETWEEN(D479,F479,G479,TRUE,TRUE),1,
ISBETWEEN(E479,F479,G479,TRUE,TRUE),1,
ISBETWEEN(F479,D479,E479,TRUE,TRUE),1,
ISBETWEEN(G479,D479,E479,TRUE,TRUE),1,
1,0)"),1.0)</f>
        <v>1</v>
      </c>
    </row>
    <row r="480">
      <c r="A480" s="2" t="s">
        <v>479</v>
      </c>
      <c r="B480" s="1" t="str">
        <f>IFERROR(__xludf.DUMMYFUNCTION("SPLIT(A480,"","",)"),"13-63")</f>
        <v>13-63</v>
      </c>
      <c r="C480" s="1" t="str">
        <f>IFERROR(__xludf.DUMMYFUNCTION("""COMPUTED_VALUE"""),"14-64")</f>
        <v>14-64</v>
      </c>
      <c r="D480" s="4">
        <f>IFERROR(__xludf.DUMMYFUNCTION("split(B480,""-"")"),13.0)</f>
        <v>13</v>
      </c>
      <c r="E480" s="4">
        <f>IFERROR(__xludf.DUMMYFUNCTION("""COMPUTED_VALUE"""),63.0)</f>
        <v>63</v>
      </c>
      <c r="F480" s="4">
        <f>IFERROR(__xludf.DUMMYFUNCTION("split(C480,""-"")"),14.0)</f>
        <v>14</v>
      </c>
      <c r="G480" s="4">
        <f>IFERROR(__xludf.DUMMYFUNCTION("""COMPUTED_VALUE"""),64.0)</f>
        <v>64</v>
      </c>
      <c r="H480" s="4">
        <f t="shared" si="1"/>
        <v>0</v>
      </c>
      <c r="J480" s="4">
        <f>IFERROR(__xludf.DUMMYFUNCTION("IFS(
ISBETWEEN(D480,F480,G480,TRUE,TRUE),1,
ISBETWEEN(E480,F480,G480,TRUE,TRUE),1,
ISBETWEEN(F480,D480,E480,TRUE,TRUE),1,
ISBETWEEN(G480,D480,E480,TRUE,TRUE),1,
1,0)"),1.0)</f>
        <v>1</v>
      </c>
    </row>
    <row r="481">
      <c r="A481" s="2" t="s">
        <v>480</v>
      </c>
      <c r="B481" s="1" t="str">
        <f>IFERROR(__xludf.DUMMYFUNCTION("SPLIT(A481,"","",)"),"39-85")</f>
        <v>39-85</v>
      </c>
      <c r="C481" s="1" t="str">
        <f>IFERROR(__xludf.DUMMYFUNCTION("""COMPUTED_VALUE"""),"40-85")</f>
        <v>40-85</v>
      </c>
      <c r="D481" s="4">
        <f>IFERROR(__xludf.DUMMYFUNCTION("split(B481,""-"")"),39.0)</f>
        <v>39</v>
      </c>
      <c r="E481" s="4">
        <f>IFERROR(__xludf.DUMMYFUNCTION("""COMPUTED_VALUE"""),85.0)</f>
        <v>85</v>
      </c>
      <c r="F481" s="4">
        <f>IFERROR(__xludf.DUMMYFUNCTION("split(C481,""-"")"),40.0)</f>
        <v>40</v>
      </c>
      <c r="G481" s="4">
        <f>IFERROR(__xludf.DUMMYFUNCTION("""COMPUTED_VALUE"""),85.0)</f>
        <v>85</v>
      </c>
      <c r="H481" s="4">
        <f t="shared" si="1"/>
        <v>1</v>
      </c>
      <c r="J481" s="4">
        <f>IFERROR(__xludf.DUMMYFUNCTION("IFS(
ISBETWEEN(D481,F481,G481,TRUE,TRUE),1,
ISBETWEEN(E481,F481,G481,TRUE,TRUE),1,
ISBETWEEN(F481,D481,E481,TRUE,TRUE),1,
ISBETWEEN(G481,D481,E481,TRUE,TRUE),1,
1,0)"),1.0)</f>
        <v>1</v>
      </c>
    </row>
    <row r="482">
      <c r="A482" s="2" t="s">
        <v>481</v>
      </c>
      <c r="B482" s="1" t="str">
        <f>IFERROR(__xludf.DUMMYFUNCTION("SPLIT(A482,"","",)"),"1-85")</f>
        <v>1-85</v>
      </c>
      <c r="C482" s="1" t="str">
        <f>IFERROR(__xludf.DUMMYFUNCTION("""COMPUTED_VALUE"""),"13-87")</f>
        <v>13-87</v>
      </c>
      <c r="D482" s="4">
        <f>IFERROR(__xludf.DUMMYFUNCTION("split(B482,""-"")"),1.0)</f>
        <v>1</v>
      </c>
      <c r="E482" s="4">
        <f>IFERROR(__xludf.DUMMYFUNCTION("""COMPUTED_VALUE"""),85.0)</f>
        <v>85</v>
      </c>
      <c r="F482" s="4">
        <f>IFERROR(__xludf.DUMMYFUNCTION("split(C482,""-"")"),13.0)</f>
        <v>13</v>
      </c>
      <c r="G482" s="4">
        <f>IFERROR(__xludf.DUMMYFUNCTION("""COMPUTED_VALUE"""),87.0)</f>
        <v>87</v>
      </c>
      <c r="H482" s="4">
        <f t="shared" si="1"/>
        <v>0</v>
      </c>
      <c r="J482" s="4">
        <f>IFERROR(__xludf.DUMMYFUNCTION("IFS(
ISBETWEEN(D482,F482,G482,TRUE,TRUE),1,
ISBETWEEN(E482,F482,G482,TRUE,TRUE),1,
ISBETWEEN(F482,D482,E482,TRUE,TRUE),1,
ISBETWEEN(G482,D482,E482,TRUE,TRUE),1,
1,0)"),1.0)</f>
        <v>1</v>
      </c>
    </row>
    <row r="483">
      <c r="A483" s="2" t="s">
        <v>482</v>
      </c>
      <c r="B483" s="3">
        <f>IFERROR(__xludf.DUMMYFUNCTION("SPLIT(A483,"","",)"),44901.0)</f>
        <v>44901</v>
      </c>
      <c r="C483" s="1" t="str">
        <f>IFERROR(__xludf.DUMMYFUNCTION("""COMPUTED_VALUE"""),"11-56")</f>
        <v>11-56</v>
      </c>
      <c r="D483" s="4">
        <f>IFERROR(__xludf.DUMMYFUNCTION("split(B483,""-"")"),6.0)</f>
        <v>6</v>
      </c>
      <c r="E483" s="4">
        <f>IFERROR(__xludf.DUMMYFUNCTION("""COMPUTED_VALUE"""),12.0)</f>
        <v>12</v>
      </c>
      <c r="F483" s="4">
        <f>IFERROR(__xludf.DUMMYFUNCTION("split(C483,""-"")"),11.0)</f>
        <v>11</v>
      </c>
      <c r="G483" s="4">
        <f>IFERROR(__xludf.DUMMYFUNCTION("""COMPUTED_VALUE"""),56.0)</f>
        <v>56</v>
      </c>
      <c r="H483" s="4">
        <f t="shared" si="1"/>
        <v>0</v>
      </c>
      <c r="J483" s="4">
        <f>IFERROR(__xludf.DUMMYFUNCTION("IFS(
ISBETWEEN(D483,F483,G483,TRUE,TRUE),1,
ISBETWEEN(E483,F483,G483,TRUE,TRUE),1,
ISBETWEEN(F483,D483,E483,TRUE,TRUE),1,
ISBETWEEN(G483,D483,E483,TRUE,TRUE),1,
1,0)"),1.0)</f>
        <v>1</v>
      </c>
    </row>
    <row r="484">
      <c r="A484" s="2" t="s">
        <v>483</v>
      </c>
      <c r="B484" s="1" t="str">
        <f>IFERROR(__xludf.DUMMYFUNCTION("SPLIT(A484,"","",)"),"16-93")</f>
        <v>16-93</v>
      </c>
      <c r="C484" s="1" t="str">
        <f>IFERROR(__xludf.DUMMYFUNCTION("""COMPUTED_VALUE"""),"92-92")</f>
        <v>92-92</v>
      </c>
      <c r="D484" s="4">
        <f>IFERROR(__xludf.DUMMYFUNCTION("split(B484,""-"")"),16.0)</f>
        <v>16</v>
      </c>
      <c r="E484" s="4">
        <f>IFERROR(__xludf.DUMMYFUNCTION("""COMPUTED_VALUE"""),93.0)</f>
        <v>93</v>
      </c>
      <c r="F484" s="4">
        <f>IFERROR(__xludf.DUMMYFUNCTION("split(C484,""-"")"),92.0)</f>
        <v>92</v>
      </c>
      <c r="G484" s="4">
        <f>IFERROR(__xludf.DUMMYFUNCTION("""COMPUTED_VALUE"""),92.0)</f>
        <v>92</v>
      </c>
      <c r="H484" s="4">
        <f t="shared" si="1"/>
        <v>1</v>
      </c>
      <c r="J484" s="4">
        <f>IFERROR(__xludf.DUMMYFUNCTION("IFS(
ISBETWEEN(D484,F484,G484,TRUE,TRUE),1,
ISBETWEEN(E484,F484,G484,TRUE,TRUE),1,
ISBETWEEN(F484,D484,E484,TRUE,TRUE),1,
ISBETWEEN(G484,D484,E484,TRUE,TRUE),1,
1,0)"),1.0)</f>
        <v>1</v>
      </c>
    </row>
    <row r="485">
      <c r="A485" s="2" t="s">
        <v>484</v>
      </c>
      <c r="B485" s="1" t="str">
        <f>IFERROR(__xludf.DUMMYFUNCTION("SPLIT(A485,"","",)"),"8-42")</f>
        <v>8-42</v>
      </c>
      <c r="C485" s="1" t="str">
        <f>IFERROR(__xludf.DUMMYFUNCTION("""COMPUTED_VALUE"""),"39-78")</f>
        <v>39-78</v>
      </c>
      <c r="D485" s="4">
        <f>IFERROR(__xludf.DUMMYFUNCTION("split(B485,""-"")"),8.0)</f>
        <v>8</v>
      </c>
      <c r="E485" s="4">
        <f>IFERROR(__xludf.DUMMYFUNCTION("""COMPUTED_VALUE"""),42.0)</f>
        <v>42</v>
      </c>
      <c r="F485" s="4">
        <f>IFERROR(__xludf.DUMMYFUNCTION("split(C485,""-"")"),39.0)</f>
        <v>39</v>
      </c>
      <c r="G485" s="4">
        <f>IFERROR(__xludf.DUMMYFUNCTION("""COMPUTED_VALUE"""),78.0)</f>
        <v>78</v>
      </c>
      <c r="H485" s="4">
        <f t="shared" si="1"/>
        <v>0</v>
      </c>
      <c r="J485" s="4">
        <f>IFERROR(__xludf.DUMMYFUNCTION("IFS(
ISBETWEEN(D485,F485,G485,TRUE,TRUE),1,
ISBETWEEN(E485,F485,G485,TRUE,TRUE),1,
ISBETWEEN(F485,D485,E485,TRUE,TRUE),1,
ISBETWEEN(G485,D485,E485,TRUE,TRUE),1,
1,0)"),1.0)</f>
        <v>1</v>
      </c>
    </row>
    <row r="486">
      <c r="A486" s="2" t="s">
        <v>485</v>
      </c>
      <c r="B486" s="1" t="str">
        <f>IFERROR(__xludf.DUMMYFUNCTION("SPLIT(A486,"","",)"),"83-83")</f>
        <v>83-83</v>
      </c>
      <c r="C486" s="1" t="str">
        <f>IFERROR(__xludf.DUMMYFUNCTION("""COMPUTED_VALUE"""),"50-83")</f>
        <v>50-83</v>
      </c>
      <c r="D486" s="4">
        <f>IFERROR(__xludf.DUMMYFUNCTION("split(B486,""-"")"),83.0)</f>
        <v>83</v>
      </c>
      <c r="E486" s="4">
        <f>IFERROR(__xludf.DUMMYFUNCTION("""COMPUTED_VALUE"""),83.0)</f>
        <v>83</v>
      </c>
      <c r="F486" s="4">
        <f>IFERROR(__xludf.DUMMYFUNCTION("split(C486,""-"")"),50.0)</f>
        <v>50</v>
      </c>
      <c r="G486" s="4">
        <f>IFERROR(__xludf.DUMMYFUNCTION("""COMPUTED_VALUE"""),83.0)</f>
        <v>83</v>
      </c>
      <c r="H486" s="4">
        <f t="shared" si="1"/>
        <v>1</v>
      </c>
      <c r="J486" s="4">
        <f>IFERROR(__xludf.DUMMYFUNCTION("IFS(
ISBETWEEN(D486,F486,G486,TRUE,TRUE),1,
ISBETWEEN(E486,F486,G486,TRUE,TRUE),1,
ISBETWEEN(F486,D486,E486,TRUE,TRUE),1,
ISBETWEEN(G486,D486,E486,TRUE,TRUE),1,
1,0)"),1.0)</f>
        <v>1</v>
      </c>
    </row>
    <row r="487">
      <c r="A487" s="2" t="s">
        <v>486</v>
      </c>
      <c r="B487" s="1" t="str">
        <f>IFERROR(__xludf.DUMMYFUNCTION("SPLIT(A487,"","",)"),"8-59")</f>
        <v>8-59</v>
      </c>
      <c r="C487" s="1" t="str">
        <f>IFERROR(__xludf.DUMMYFUNCTION("""COMPUTED_VALUE"""),"58-59")</f>
        <v>58-59</v>
      </c>
      <c r="D487" s="4">
        <f>IFERROR(__xludf.DUMMYFUNCTION("split(B487,""-"")"),8.0)</f>
        <v>8</v>
      </c>
      <c r="E487" s="4">
        <f>IFERROR(__xludf.DUMMYFUNCTION("""COMPUTED_VALUE"""),59.0)</f>
        <v>59</v>
      </c>
      <c r="F487" s="4">
        <f>IFERROR(__xludf.DUMMYFUNCTION("split(C487,""-"")"),58.0)</f>
        <v>58</v>
      </c>
      <c r="G487" s="4">
        <f>IFERROR(__xludf.DUMMYFUNCTION("""COMPUTED_VALUE"""),59.0)</f>
        <v>59</v>
      </c>
      <c r="H487" s="4">
        <f t="shared" si="1"/>
        <v>1</v>
      </c>
      <c r="J487" s="4">
        <f>IFERROR(__xludf.DUMMYFUNCTION("IFS(
ISBETWEEN(D487,F487,G487,TRUE,TRUE),1,
ISBETWEEN(E487,F487,G487,TRUE,TRUE),1,
ISBETWEEN(F487,D487,E487,TRUE,TRUE),1,
ISBETWEEN(G487,D487,E487,TRUE,TRUE),1,
1,0)"),1.0)</f>
        <v>1</v>
      </c>
    </row>
    <row r="488">
      <c r="A488" s="2" t="s">
        <v>487</v>
      </c>
      <c r="B488" s="1" t="str">
        <f>IFERROR(__xludf.DUMMYFUNCTION("SPLIT(A488,"","",)"),"48-76")</f>
        <v>48-76</v>
      </c>
      <c r="C488" s="1" t="str">
        <f>IFERROR(__xludf.DUMMYFUNCTION("""COMPUTED_VALUE"""),"49-77")</f>
        <v>49-77</v>
      </c>
      <c r="D488" s="4">
        <f>IFERROR(__xludf.DUMMYFUNCTION("split(B488,""-"")"),48.0)</f>
        <v>48</v>
      </c>
      <c r="E488" s="4">
        <f>IFERROR(__xludf.DUMMYFUNCTION("""COMPUTED_VALUE"""),76.0)</f>
        <v>76</v>
      </c>
      <c r="F488" s="4">
        <f>IFERROR(__xludf.DUMMYFUNCTION("split(C488,""-"")"),49.0)</f>
        <v>49</v>
      </c>
      <c r="G488" s="4">
        <f>IFERROR(__xludf.DUMMYFUNCTION("""COMPUTED_VALUE"""),77.0)</f>
        <v>77</v>
      </c>
      <c r="H488" s="4">
        <f t="shared" si="1"/>
        <v>0</v>
      </c>
      <c r="J488" s="4">
        <f>IFERROR(__xludf.DUMMYFUNCTION("IFS(
ISBETWEEN(D488,F488,G488,TRUE,TRUE),1,
ISBETWEEN(E488,F488,G488,TRUE,TRUE),1,
ISBETWEEN(F488,D488,E488,TRUE,TRUE),1,
ISBETWEEN(G488,D488,E488,TRUE,TRUE),1,
1,0)"),1.0)</f>
        <v>1</v>
      </c>
    </row>
    <row r="489">
      <c r="A489" s="2" t="s">
        <v>488</v>
      </c>
      <c r="B489" s="1" t="str">
        <f>IFERROR(__xludf.DUMMYFUNCTION("SPLIT(A489,"","",)"),"86-86")</f>
        <v>86-86</v>
      </c>
      <c r="C489" s="1" t="str">
        <f>IFERROR(__xludf.DUMMYFUNCTION("""COMPUTED_VALUE"""),"36-86")</f>
        <v>36-86</v>
      </c>
      <c r="D489" s="4">
        <f>IFERROR(__xludf.DUMMYFUNCTION("split(B489,""-"")"),86.0)</f>
        <v>86</v>
      </c>
      <c r="E489" s="4">
        <f>IFERROR(__xludf.DUMMYFUNCTION("""COMPUTED_VALUE"""),86.0)</f>
        <v>86</v>
      </c>
      <c r="F489" s="4">
        <f>IFERROR(__xludf.DUMMYFUNCTION("split(C489,""-"")"),36.0)</f>
        <v>36</v>
      </c>
      <c r="G489" s="4">
        <f>IFERROR(__xludf.DUMMYFUNCTION("""COMPUTED_VALUE"""),86.0)</f>
        <v>86</v>
      </c>
      <c r="H489" s="4">
        <f t="shared" si="1"/>
        <v>1</v>
      </c>
      <c r="J489" s="4">
        <f>IFERROR(__xludf.DUMMYFUNCTION("IFS(
ISBETWEEN(D489,F489,G489,TRUE,TRUE),1,
ISBETWEEN(E489,F489,G489,TRUE,TRUE),1,
ISBETWEEN(F489,D489,E489,TRUE,TRUE),1,
ISBETWEEN(G489,D489,E489,TRUE,TRUE),1,
1,0)"),1.0)</f>
        <v>1</v>
      </c>
    </row>
    <row r="490">
      <c r="A490" s="2" t="s">
        <v>489</v>
      </c>
      <c r="B490" s="1" t="str">
        <f>IFERROR(__xludf.DUMMYFUNCTION("SPLIT(A490,"","",)"),"29-45")</f>
        <v>29-45</v>
      </c>
      <c r="C490" s="1" t="str">
        <f>IFERROR(__xludf.DUMMYFUNCTION("""COMPUTED_VALUE"""),"44-49")</f>
        <v>44-49</v>
      </c>
      <c r="D490" s="4">
        <f>IFERROR(__xludf.DUMMYFUNCTION("split(B490,""-"")"),29.0)</f>
        <v>29</v>
      </c>
      <c r="E490" s="4">
        <f>IFERROR(__xludf.DUMMYFUNCTION("""COMPUTED_VALUE"""),45.0)</f>
        <v>45</v>
      </c>
      <c r="F490" s="4">
        <f>IFERROR(__xludf.DUMMYFUNCTION("split(C490,""-"")"),44.0)</f>
        <v>44</v>
      </c>
      <c r="G490" s="4">
        <f>IFERROR(__xludf.DUMMYFUNCTION("""COMPUTED_VALUE"""),49.0)</f>
        <v>49</v>
      </c>
      <c r="H490" s="4">
        <f t="shared" si="1"/>
        <v>0</v>
      </c>
      <c r="J490" s="4">
        <f>IFERROR(__xludf.DUMMYFUNCTION("IFS(
ISBETWEEN(D490,F490,G490,TRUE,TRUE),1,
ISBETWEEN(E490,F490,G490,TRUE,TRUE),1,
ISBETWEEN(F490,D490,E490,TRUE,TRUE),1,
ISBETWEEN(G490,D490,E490,TRUE,TRUE),1,
1,0)"),1.0)</f>
        <v>1</v>
      </c>
    </row>
    <row r="491">
      <c r="A491" s="2" t="s">
        <v>490</v>
      </c>
      <c r="B491" s="1" t="str">
        <f>IFERROR(__xludf.DUMMYFUNCTION("SPLIT(A491,"","",)"),"67-92")</f>
        <v>67-92</v>
      </c>
      <c r="C491" s="1" t="str">
        <f>IFERROR(__xludf.DUMMYFUNCTION("""COMPUTED_VALUE"""),"66-92")</f>
        <v>66-92</v>
      </c>
      <c r="D491" s="4">
        <f>IFERROR(__xludf.DUMMYFUNCTION("split(B491,""-"")"),67.0)</f>
        <v>67</v>
      </c>
      <c r="E491" s="4">
        <f>IFERROR(__xludf.DUMMYFUNCTION("""COMPUTED_VALUE"""),92.0)</f>
        <v>92</v>
      </c>
      <c r="F491" s="4">
        <f>IFERROR(__xludf.DUMMYFUNCTION("split(C491,""-"")"),66.0)</f>
        <v>66</v>
      </c>
      <c r="G491" s="4">
        <f>IFERROR(__xludf.DUMMYFUNCTION("""COMPUTED_VALUE"""),92.0)</f>
        <v>92</v>
      </c>
      <c r="H491" s="4">
        <f t="shared" si="1"/>
        <v>1</v>
      </c>
      <c r="J491" s="4">
        <f>IFERROR(__xludf.DUMMYFUNCTION("IFS(
ISBETWEEN(D491,F491,G491,TRUE,TRUE),1,
ISBETWEEN(E491,F491,G491,TRUE,TRUE),1,
ISBETWEEN(F491,D491,E491,TRUE,TRUE),1,
ISBETWEEN(G491,D491,E491,TRUE,TRUE),1,
1,0)"),1.0)</f>
        <v>1</v>
      </c>
    </row>
    <row r="492">
      <c r="A492" s="2" t="s">
        <v>491</v>
      </c>
      <c r="B492" s="1" t="str">
        <f>IFERROR(__xludf.DUMMYFUNCTION("SPLIT(A492,"","",)"),"1-53")</f>
        <v>1-53</v>
      </c>
      <c r="C492" s="1" t="str">
        <f>IFERROR(__xludf.DUMMYFUNCTION("""COMPUTED_VALUE"""),"34-76")</f>
        <v>34-76</v>
      </c>
      <c r="D492" s="4">
        <f>IFERROR(__xludf.DUMMYFUNCTION("split(B492,""-"")"),1.0)</f>
        <v>1</v>
      </c>
      <c r="E492" s="4">
        <f>IFERROR(__xludf.DUMMYFUNCTION("""COMPUTED_VALUE"""),53.0)</f>
        <v>53</v>
      </c>
      <c r="F492" s="4">
        <f>IFERROR(__xludf.DUMMYFUNCTION("split(C492,""-"")"),34.0)</f>
        <v>34</v>
      </c>
      <c r="G492" s="4">
        <f>IFERROR(__xludf.DUMMYFUNCTION("""COMPUTED_VALUE"""),76.0)</f>
        <v>76</v>
      </c>
      <c r="H492" s="4">
        <f t="shared" si="1"/>
        <v>0</v>
      </c>
      <c r="J492" s="4">
        <f>IFERROR(__xludf.DUMMYFUNCTION("IFS(
ISBETWEEN(D492,F492,G492,TRUE,TRUE),1,
ISBETWEEN(E492,F492,G492,TRUE,TRUE),1,
ISBETWEEN(F492,D492,E492,TRUE,TRUE),1,
ISBETWEEN(G492,D492,E492,TRUE,TRUE),1,
1,0)"),1.0)</f>
        <v>1</v>
      </c>
    </row>
    <row r="493">
      <c r="A493" s="2" t="s">
        <v>492</v>
      </c>
      <c r="B493" s="1" t="str">
        <f>IFERROR(__xludf.DUMMYFUNCTION("SPLIT(A493,"","",)"),"39-99")</f>
        <v>39-99</v>
      </c>
      <c r="C493" s="1" t="str">
        <f>IFERROR(__xludf.DUMMYFUNCTION("""COMPUTED_VALUE"""),"38-70")</f>
        <v>38-70</v>
      </c>
      <c r="D493" s="4">
        <f>IFERROR(__xludf.DUMMYFUNCTION("split(B493,""-"")"),39.0)</f>
        <v>39</v>
      </c>
      <c r="E493" s="4">
        <f>IFERROR(__xludf.DUMMYFUNCTION("""COMPUTED_VALUE"""),99.0)</f>
        <v>99</v>
      </c>
      <c r="F493" s="4">
        <f>IFERROR(__xludf.DUMMYFUNCTION("split(C493,""-"")"),38.0)</f>
        <v>38</v>
      </c>
      <c r="G493" s="4">
        <f>IFERROR(__xludf.DUMMYFUNCTION("""COMPUTED_VALUE"""),70.0)</f>
        <v>70</v>
      </c>
      <c r="H493" s="4">
        <f t="shared" si="1"/>
        <v>0</v>
      </c>
      <c r="J493" s="4">
        <f>IFERROR(__xludf.DUMMYFUNCTION("IFS(
ISBETWEEN(D493,F493,G493,TRUE,TRUE),1,
ISBETWEEN(E493,F493,G493,TRUE,TRUE),1,
ISBETWEEN(F493,D493,E493,TRUE,TRUE),1,
ISBETWEEN(G493,D493,E493,TRUE,TRUE),1,
1,0)"),1.0)</f>
        <v>1</v>
      </c>
    </row>
    <row r="494">
      <c r="A494" s="2" t="s">
        <v>493</v>
      </c>
      <c r="B494" s="1" t="str">
        <f>IFERROR(__xludf.DUMMYFUNCTION("SPLIT(A494,"","",)"),"21-80")</f>
        <v>21-80</v>
      </c>
      <c r="C494" s="1" t="str">
        <f>IFERROR(__xludf.DUMMYFUNCTION("""COMPUTED_VALUE"""),"22-22")</f>
        <v>22-22</v>
      </c>
      <c r="D494" s="4">
        <f>IFERROR(__xludf.DUMMYFUNCTION("split(B494,""-"")"),21.0)</f>
        <v>21</v>
      </c>
      <c r="E494" s="4">
        <f>IFERROR(__xludf.DUMMYFUNCTION("""COMPUTED_VALUE"""),80.0)</f>
        <v>80</v>
      </c>
      <c r="F494" s="4">
        <f>IFERROR(__xludf.DUMMYFUNCTION("split(C494,""-"")"),22.0)</f>
        <v>22</v>
      </c>
      <c r="G494" s="4">
        <f>IFERROR(__xludf.DUMMYFUNCTION("""COMPUTED_VALUE"""),22.0)</f>
        <v>22</v>
      </c>
      <c r="H494" s="4">
        <f t="shared" si="1"/>
        <v>1</v>
      </c>
      <c r="J494" s="4">
        <f>IFERROR(__xludf.DUMMYFUNCTION("IFS(
ISBETWEEN(D494,F494,G494,TRUE,TRUE),1,
ISBETWEEN(E494,F494,G494,TRUE,TRUE),1,
ISBETWEEN(F494,D494,E494,TRUE,TRUE),1,
ISBETWEEN(G494,D494,E494,TRUE,TRUE),1,
1,0)"),1.0)</f>
        <v>1</v>
      </c>
    </row>
    <row r="495">
      <c r="A495" s="2" t="s">
        <v>494</v>
      </c>
      <c r="B495" s="1" t="str">
        <f>IFERROR(__xludf.DUMMYFUNCTION("SPLIT(A495,"","",)"),"39-54")</f>
        <v>39-54</v>
      </c>
      <c r="C495" s="1" t="str">
        <f>IFERROR(__xludf.DUMMYFUNCTION("""COMPUTED_VALUE"""),"38-99")</f>
        <v>38-99</v>
      </c>
      <c r="D495" s="4">
        <f>IFERROR(__xludf.DUMMYFUNCTION("split(B495,""-"")"),39.0)</f>
        <v>39</v>
      </c>
      <c r="E495" s="4">
        <f>IFERROR(__xludf.DUMMYFUNCTION("""COMPUTED_VALUE"""),54.0)</f>
        <v>54</v>
      </c>
      <c r="F495" s="4">
        <f>IFERROR(__xludf.DUMMYFUNCTION("split(C495,""-"")"),38.0)</f>
        <v>38</v>
      </c>
      <c r="G495" s="4">
        <f>IFERROR(__xludf.DUMMYFUNCTION("""COMPUTED_VALUE"""),99.0)</f>
        <v>99</v>
      </c>
      <c r="H495" s="4">
        <f t="shared" si="1"/>
        <v>1</v>
      </c>
      <c r="J495" s="4">
        <f>IFERROR(__xludf.DUMMYFUNCTION("IFS(
ISBETWEEN(D495,F495,G495,TRUE,TRUE),1,
ISBETWEEN(E495,F495,G495,TRUE,TRUE),1,
ISBETWEEN(F495,D495,E495,TRUE,TRUE),1,
ISBETWEEN(G495,D495,E495,TRUE,TRUE),1,
1,0)"),1.0)</f>
        <v>1</v>
      </c>
    </row>
    <row r="496">
      <c r="A496" s="2" t="s">
        <v>495</v>
      </c>
      <c r="B496" s="1" t="str">
        <f>IFERROR(__xludf.DUMMYFUNCTION("SPLIT(A496,"","",)"),"13-96")</f>
        <v>13-96</v>
      </c>
      <c r="C496" s="1" t="str">
        <f>IFERROR(__xludf.DUMMYFUNCTION("""COMPUTED_VALUE"""),"95-98")</f>
        <v>95-98</v>
      </c>
      <c r="D496" s="4">
        <f>IFERROR(__xludf.DUMMYFUNCTION("split(B496,""-"")"),13.0)</f>
        <v>13</v>
      </c>
      <c r="E496" s="4">
        <f>IFERROR(__xludf.DUMMYFUNCTION("""COMPUTED_VALUE"""),96.0)</f>
        <v>96</v>
      </c>
      <c r="F496" s="4">
        <f>IFERROR(__xludf.DUMMYFUNCTION("split(C496,""-"")"),95.0)</f>
        <v>95</v>
      </c>
      <c r="G496" s="4">
        <f>IFERROR(__xludf.DUMMYFUNCTION("""COMPUTED_VALUE"""),98.0)</f>
        <v>98</v>
      </c>
      <c r="H496" s="4">
        <f t="shared" si="1"/>
        <v>0</v>
      </c>
      <c r="J496" s="4">
        <f>IFERROR(__xludf.DUMMYFUNCTION("IFS(
ISBETWEEN(D496,F496,G496,TRUE,TRUE),1,
ISBETWEEN(E496,F496,G496,TRUE,TRUE),1,
ISBETWEEN(F496,D496,E496,TRUE,TRUE),1,
ISBETWEEN(G496,D496,E496,TRUE,TRUE),1,
1,0)"),1.0)</f>
        <v>1</v>
      </c>
    </row>
    <row r="497">
      <c r="A497" s="2" t="s">
        <v>496</v>
      </c>
      <c r="B497" s="1" t="str">
        <f>IFERROR(__xludf.DUMMYFUNCTION("SPLIT(A497,"","",)"),"95-97")</f>
        <v>95-97</v>
      </c>
      <c r="C497" s="1" t="str">
        <f>IFERROR(__xludf.DUMMYFUNCTION("""COMPUTED_VALUE"""),"61-92")</f>
        <v>61-92</v>
      </c>
      <c r="D497" s="4">
        <f>IFERROR(__xludf.DUMMYFUNCTION("split(B497,""-"")"),95.0)</f>
        <v>95</v>
      </c>
      <c r="E497" s="4">
        <f>IFERROR(__xludf.DUMMYFUNCTION("""COMPUTED_VALUE"""),97.0)</f>
        <v>97</v>
      </c>
      <c r="F497" s="4">
        <f>IFERROR(__xludf.DUMMYFUNCTION("split(C497,""-"")"),61.0)</f>
        <v>61</v>
      </c>
      <c r="G497" s="4">
        <f>IFERROR(__xludf.DUMMYFUNCTION("""COMPUTED_VALUE"""),92.0)</f>
        <v>92</v>
      </c>
      <c r="H497" s="4">
        <f t="shared" si="1"/>
        <v>0</v>
      </c>
      <c r="J497" s="4">
        <f>IFERROR(__xludf.DUMMYFUNCTION("IFS(
ISBETWEEN(D497,F497,G497,TRUE,TRUE),1,
ISBETWEEN(E497,F497,G497,TRUE,TRUE),1,
ISBETWEEN(F497,D497,E497,TRUE,TRUE),1,
ISBETWEEN(G497,D497,E497,TRUE,TRUE),1,
1,0)"),0.0)</f>
        <v>0</v>
      </c>
    </row>
    <row r="498">
      <c r="A498" s="2" t="s">
        <v>497</v>
      </c>
      <c r="B498" s="1" t="str">
        <f>IFERROR(__xludf.DUMMYFUNCTION("SPLIT(A498,"","",)"),"15-66")</f>
        <v>15-66</v>
      </c>
      <c r="C498" s="1" t="str">
        <f>IFERROR(__xludf.DUMMYFUNCTION("""COMPUTED_VALUE"""),"18-67")</f>
        <v>18-67</v>
      </c>
      <c r="D498" s="4">
        <f>IFERROR(__xludf.DUMMYFUNCTION("split(B498,""-"")"),15.0)</f>
        <v>15</v>
      </c>
      <c r="E498" s="4">
        <f>IFERROR(__xludf.DUMMYFUNCTION("""COMPUTED_VALUE"""),66.0)</f>
        <v>66</v>
      </c>
      <c r="F498" s="4">
        <f>IFERROR(__xludf.DUMMYFUNCTION("split(C498,""-"")"),18.0)</f>
        <v>18</v>
      </c>
      <c r="G498" s="4">
        <f>IFERROR(__xludf.DUMMYFUNCTION("""COMPUTED_VALUE"""),67.0)</f>
        <v>67</v>
      </c>
      <c r="H498" s="4">
        <f t="shared" si="1"/>
        <v>0</v>
      </c>
      <c r="J498" s="4">
        <f>IFERROR(__xludf.DUMMYFUNCTION("IFS(
ISBETWEEN(D498,F498,G498,TRUE,TRUE),1,
ISBETWEEN(E498,F498,G498,TRUE,TRUE),1,
ISBETWEEN(F498,D498,E498,TRUE,TRUE),1,
ISBETWEEN(G498,D498,E498,TRUE,TRUE),1,
1,0)"),1.0)</f>
        <v>1</v>
      </c>
    </row>
    <row r="499">
      <c r="A499" s="2" t="s">
        <v>498</v>
      </c>
      <c r="B499" s="1" t="str">
        <f>IFERROR(__xludf.DUMMYFUNCTION("SPLIT(A499,"","",)"),"38-97")</f>
        <v>38-97</v>
      </c>
      <c r="C499" s="1" t="str">
        <f>IFERROR(__xludf.DUMMYFUNCTION("""COMPUTED_VALUE"""),"39-83")</f>
        <v>39-83</v>
      </c>
      <c r="D499" s="4">
        <f>IFERROR(__xludf.DUMMYFUNCTION("split(B499,""-"")"),38.0)</f>
        <v>38</v>
      </c>
      <c r="E499" s="4">
        <f>IFERROR(__xludf.DUMMYFUNCTION("""COMPUTED_VALUE"""),97.0)</f>
        <v>97</v>
      </c>
      <c r="F499" s="4">
        <f>IFERROR(__xludf.DUMMYFUNCTION("split(C499,""-"")"),39.0)</f>
        <v>39</v>
      </c>
      <c r="G499" s="4">
        <f>IFERROR(__xludf.DUMMYFUNCTION("""COMPUTED_VALUE"""),83.0)</f>
        <v>83</v>
      </c>
      <c r="H499" s="4">
        <f t="shared" si="1"/>
        <v>1</v>
      </c>
      <c r="J499" s="4">
        <f>IFERROR(__xludf.DUMMYFUNCTION("IFS(
ISBETWEEN(D499,F499,G499,TRUE,TRUE),1,
ISBETWEEN(E499,F499,G499,TRUE,TRUE),1,
ISBETWEEN(F499,D499,E499,TRUE,TRUE),1,
ISBETWEEN(G499,D499,E499,TRUE,TRUE),1,
1,0)"),1.0)</f>
        <v>1</v>
      </c>
    </row>
    <row r="500">
      <c r="A500" s="2" t="s">
        <v>499</v>
      </c>
      <c r="B500" s="1" t="str">
        <f>IFERROR(__xludf.DUMMYFUNCTION("SPLIT(A500,"","",)"),"84-85")</f>
        <v>84-85</v>
      </c>
      <c r="C500" s="1" t="str">
        <f>IFERROR(__xludf.DUMMYFUNCTION("""COMPUTED_VALUE"""),"85-97")</f>
        <v>85-97</v>
      </c>
      <c r="D500" s="4">
        <f>IFERROR(__xludf.DUMMYFUNCTION("split(B500,""-"")"),84.0)</f>
        <v>84</v>
      </c>
      <c r="E500" s="4">
        <f>IFERROR(__xludf.DUMMYFUNCTION("""COMPUTED_VALUE"""),85.0)</f>
        <v>85</v>
      </c>
      <c r="F500" s="4">
        <f>IFERROR(__xludf.DUMMYFUNCTION("split(C500,""-"")"),85.0)</f>
        <v>85</v>
      </c>
      <c r="G500" s="4">
        <f>IFERROR(__xludf.DUMMYFUNCTION("""COMPUTED_VALUE"""),97.0)</f>
        <v>97</v>
      </c>
      <c r="H500" s="4">
        <f t="shared" si="1"/>
        <v>0</v>
      </c>
      <c r="J500" s="4">
        <f>IFERROR(__xludf.DUMMYFUNCTION("IFS(
ISBETWEEN(D500,F500,G500,TRUE,TRUE),1,
ISBETWEEN(E500,F500,G500,TRUE,TRUE),1,
ISBETWEEN(F500,D500,E500,TRUE,TRUE),1,
ISBETWEEN(G500,D500,E500,TRUE,TRUE),1,
1,0)"),1.0)</f>
        <v>1</v>
      </c>
    </row>
    <row r="501">
      <c r="A501" s="2" t="s">
        <v>500</v>
      </c>
      <c r="B501" s="1" t="str">
        <f>IFERROR(__xludf.DUMMYFUNCTION("SPLIT(A501,"","",)"),"20-41")</f>
        <v>20-41</v>
      </c>
      <c r="C501" s="1" t="str">
        <f>IFERROR(__xludf.DUMMYFUNCTION("""COMPUTED_VALUE"""),"21-40")</f>
        <v>21-40</v>
      </c>
      <c r="D501" s="4">
        <f>IFERROR(__xludf.DUMMYFUNCTION("split(B501,""-"")"),20.0)</f>
        <v>20</v>
      </c>
      <c r="E501" s="4">
        <f>IFERROR(__xludf.DUMMYFUNCTION("""COMPUTED_VALUE"""),41.0)</f>
        <v>41</v>
      </c>
      <c r="F501" s="4">
        <f>IFERROR(__xludf.DUMMYFUNCTION("split(C501,""-"")"),21.0)</f>
        <v>21</v>
      </c>
      <c r="G501" s="4">
        <f>IFERROR(__xludf.DUMMYFUNCTION("""COMPUTED_VALUE"""),40.0)</f>
        <v>40</v>
      </c>
      <c r="H501" s="4">
        <f t="shared" si="1"/>
        <v>1</v>
      </c>
      <c r="J501" s="4">
        <f>IFERROR(__xludf.DUMMYFUNCTION("IFS(
ISBETWEEN(D501,F501,G501,TRUE,TRUE),1,
ISBETWEEN(E501,F501,G501,TRUE,TRUE),1,
ISBETWEEN(F501,D501,E501,TRUE,TRUE),1,
ISBETWEEN(G501,D501,E501,TRUE,TRUE),1,
1,0)"),1.0)</f>
        <v>1</v>
      </c>
    </row>
    <row r="502">
      <c r="A502" s="2" t="s">
        <v>501</v>
      </c>
      <c r="B502" s="1" t="str">
        <f>IFERROR(__xludf.DUMMYFUNCTION("SPLIT(A502,"","",)"),"95-97")</f>
        <v>95-97</v>
      </c>
      <c r="C502" s="1" t="str">
        <f>IFERROR(__xludf.DUMMYFUNCTION("""COMPUTED_VALUE"""),"28-96")</f>
        <v>28-96</v>
      </c>
      <c r="D502" s="4">
        <f>IFERROR(__xludf.DUMMYFUNCTION("split(B502,""-"")"),95.0)</f>
        <v>95</v>
      </c>
      <c r="E502" s="4">
        <f>IFERROR(__xludf.DUMMYFUNCTION("""COMPUTED_VALUE"""),97.0)</f>
        <v>97</v>
      </c>
      <c r="F502" s="4">
        <f>IFERROR(__xludf.DUMMYFUNCTION("split(C502,""-"")"),28.0)</f>
        <v>28</v>
      </c>
      <c r="G502" s="4">
        <f>IFERROR(__xludf.DUMMYFUNCTION("""COMPUTED_VALUE"""),96.0)</f>
        <v>96</v>
      </c>
      <c r="H502" s="4">
        <f t="shared" si="1"/>
        <v>0</v>
      </c>
      <c r="J502" s="4">
        <f>IFERROR(__xludf.DUMMYFUNCTION("IFS(
ISBETWEEN(D502,F502,G502,TRUE,TRUE),1,
ISBETWEEN(E502,F502,G502,TRUE,TRUE),1,
ISBETWEEN(F502,D502,E502,TRUE,TRUE),1,
ISBETWEEN(G502,D502,E502,TRUE,TRUE),1,
1,0)"),1.0)</f>
        <v>1</v>
      </c>
    </row>
    <row r="503">
      <c r="A503" s="2" t="s">
        <v>502</v>
      </c>
      <c r="B503" s="1" t="str">
        <f>IFERROR(__xludf.DUMMYFUNCTION("SPLIT(A503,"","",)"),"99-99")</f>
        <v>99-99</v>
      </c>
      <c r="C503" s="1" t="str">
        <f>IFERROR(__xludf.DUMMYFUNCTION("""COMPUTED_VALUE"""),"68-96")</f>
        <v>68-96</v>
      </c>
      <c r="D503" s="4">
        <f>IFERROR(__xludf.DUMMYFUNCTION("split(B503,""-"")"),99.0)</f>
        <v>99</v>
      </c>
      <c r="E503" s="4">
        <f>IFERROR(__xludf.DUMMYFUNCTION("""COMPUTED_VALUE"""),99.0)</f>
        <v>99</v>
      </c>
      <c r="F503" s="4">
        <f>IFERROR(__xludf.DUMMYFUNCTION("split(C503,""-"")"),68.0)</f>
        <v>68</v>
      </c>
      <c r="G503" s="4">
        <f>IFERROR(__xludf.DUMMYFUNCTION("""COMPUTED_VALUE"""),96.0)</f>
        <v>96</v>
      </c>
      <c r="H503" s="4">
        <f t="shared" si="1"/>
        <v>0</v>
      </c>
      <c r="J503" s="4">
        <f>IFERROR(__xludf.DUMMYFUNCTION("IFS(
ISBETWEEN(D503,F503,G503,TRUE,TRUE),1,
ISBETWEEN(E503,F503,G503,TRUE,TRUE),1,
ISBETWEEN(F503,D503,E503,TRUE,TRUE),1,
ISBETWEEN(G503,D503,E503,TRUE,TRUE),1,
1,0)"),0.0)</f>
        <v>0</v>
      </c>
    </row>
    <row r="504">
      <c r="A504" s="2" t="s">
        <v>503</v>
      </c>
      <c r="B504" s="1" t="str">
        <f>IFERROR(__xludf.DUMMYFUNCTION("SPLIT(A504,"","",)"),"10-64")</f>
        <v>10-64</v>
      </c>
      <c r="C504" s="1" t="str">
        <f>IFERROR(__xludf.DUMMYFUNCTION("""COMPUTED_VALUE"""),"9-65")</f>
        <v>9-65</v>
      </c>
      <c r="D504" s="4">
        <f>IFERROR(__xludf.DUMMYFUNCTION("split(B504,""-"")"),10.0)</f>
        <v>10</v>
      </c>
      <c r="E504" s="4">
        <f>IFERROR(__xludf.DUMMYFUNCTION("""COMPUTED_VALUE"""),64.0)</f>
        <v>64</v>
      </c>
      <c r="F504" s="4">
        <f>IFERROR(__xludf.DUMMYFUNCTION("split(C504,""-"")"),9.0)</f>
        <v>9</v>
      </c>
      <c r="G504" s="4">
        <f>IFERROR(__xludf.DUMMYFUNCTION("""COMPUTED_VALUE"""),65.0)</f>
        <v>65</v>
      </c>
      <c r="H504" s="4">
        <f t="shared" si="1"/>
        <v>1</v>
      </c>
      <c r="J504" s="4">
        <f>IFERROR(__xludf.DUMMYFUNCTION("IFS(
ISBETWEEN(D504,F504,G504,TRUE,TRUE),1,
ISBETWEEN(E504,F504,G504,TRUE,TRUE),1,
ISBETWEEN(F504,D504,E504,TRUE,TRUE),1,
ISBETWEEN(G504,D504,E504,TRUE,TRUE),1,
1,0)"),1.0)</f>
        <v>1</v>
      </c>
    </row>
    <row r="505">
      <c r="A505" s="2" t="s">
        <v>504</v>
      </c>
      <c r="B505" s="1" t="str">
        <f>IFERROR(__xludf.DUMMYFUNCTION("SPLIT(A505,"","",)"),"88-96")</f>
        <v>88-96</v>
      </c>
      <c r="C505" s="1" t="str">
        <f>IFERROR(__xludf.DUMMYFUNCTION("""COMPUTED_VALUE"""),"42-89")</f>
        <v>42-89</v>
      </c>
      <c r="D505" s="4">
        <f>IFERROR(__xludf.DUMMYFUNCTION("split(B505,""-"")"),88.0)</f>
        <v>88</v>
      </c>
      <c r="E505" s="4">
        <f>IFERROR(__xludf.DUMMYFUNCTION("""COMPUTED_VALUE"""),96.0)</f>
        <v>96</v>
      </c>
      <c r="F505" s="4">
        <f>IFERROR(__xludf.DUMMYFUNCTION("split(C505,""-"")"),42.0)</f>
        <v>42</v>
      </c>
      <c r="G505" s="4">
        <f>IFERROR(__xludf.DUMMYFUNCTION("""COMPUTED_VALUE"""),89.0)</f>
        <v>89</v>
      </c>
      <c r="H505" s="4">
        <f t="shared" si="1"/>
        <v>0</v>
      </c>
      <c r="J505" s="4">
        <f>IFERROR(__xludf.DUMMYFUNCTION("IFS(
ISBETWEEN(D505,F505,G505,TRUE,TRUE),1,
ISBETWEEN(E505,F505,G505,TRUE,TRUE),1,
ISBETWEEN(F505,D505,E505,TRUE,TRUE),1,
ISBETWEEN(G505,D505,E505,TRUE,TRUE),1,
1,0)"),1.0)</f>
        <v>1</v>
      </c>
    </row>
    <row r="506">
      <c r="A506" s="2" t="s">
        <v>505</v>
      </c>
      <c r="B506" s="1" t="str">
        <f>IFERROR(__xludf.DUMMYFUNCTION("SPLIT(A506,"","",)"),"30-99")</f>
        <v>30-99</v>
      </c>
      <c r="C506" s="1" t="str">
        <f>IFERROR(__xludf.DUMMYFUNCTION("""COMPUTED_VALUE"""),"30-98")</f>
        <v>30-98</v>
      </c>
      <c r="D506" s="4">
        <f>IFERROR(__xludf.DUMMYFUNCTION("split(B506,""-"")"),30.0)</f>
        <v>30</v>
      </c>
      <c r="E506" s="4">
        <f>IFERROR(__xludf.DUMMYFUNCTION("""COMPUTED_VALUE"""),99.0)</f>
        <v>99</v>
      </c>
      <c r="F506" s="4">
        <f>IFERROR(__xludf.DUMMYFUNCTION("split(C506,""-"")"),30.0)</f>
        <v>30</v>
      </c>
      <c r="G506" s="4">
        <f>IFERROR(__xludf.DUMMYFUNCTION("""COMPUTED_VALUE"""),98.0)</f>
        <v>98</v>
      </c>
      <c r="H506" s="4">
        <f t="shared" si="1"/>
        <v>1</v>
      </c>
      <c r="J506" s="4">
        <f>IFERROR(__xludf.DUMMYFUNCTION("IFS(
ISBETWEEN(D506,F506,G506,TRUE,TRUE),1,
ISBETWEEN(E506,F506,G506,TRUE,TRUE),1,
ISBETWEEN(F506,D506,E506,TRUE,TRUE),1,
ISBETWEEN(G506,D506,E506,TRUE,TRUE),1,
1,0)"),1.0)</f>
        <v>1</v>
      </c>
    </row>
    <row r="507">
      <c r="A507" s="2" t="s">
        <v>506</v>
      </c>
      <c r="B507" s="1" t="str">
        <f>IFERROR(__xludf.DUMMYFUNCTION("SPLIT(A507,"","",)"),"68-97")</f>
        <v>68-97</v>
      </c>
      <c r="C507" s="1" t="str">
        <f>IFERROR(__xludf.DUMMYFUNCTION("""COMPUTED_VALUE"""),"70-96")</f>
        <v>70-96</v>
      </c>
      <c r="D507" s="4">
        <f>IFERROR(__xludf.DUMMYFUNCTION("split(B507,""-"")"),68.0)</f>
        <v>68</v>
      </c>
      <c r="E507" s="4">
        <f>IFERROR(__xludf.DUMMYFUNCTION("""COMPUTED_VALUE"""),97.0)</f>
        <v>97</v>
      </c>
      <c r="F507" s="4">
        <f>IFERROR(__xludf.DUMMYFUNCTION("split(C507,""-"")"),70.0)</f>
        <v>70</v>
      </c>
      <c r="G507" s="4">
        <f>IFERROR(__xludf.DUMMYFUNCTION("""COMPUTED_VALUE"""),96.0)</f>
        <v>96</v>
      </c>
      <c r="H507" s="4">
        <f t="shared" si="1"/>
        <v>1</v>
      </c>
      <c r="J507" s="4">
        <f>IFERROR(__xludf.DUMMYFUNCTION("IFS(
ISBETWEEN(D507,F507,G507,TRUE,TRUE),1,
ISBETWEEN(E507,F507,G507,TRUE,TRUE),1,
ISBETWEEN(F507,D507,E507,TRUE,TRUE),1,
ISBETWEEN(G507,D507,E507,TRUE,TRUE),1,
1,0)"),1.0)</f>
        <v>1</v>
      </c>
    </row>
    <row r="508">
      <c r="A508" s="2" t="s">
        <v>507</v>
      </c>
      <c r="B508" s="3">
        <f>IFERROR(__xludf.DUMMYFUNCTION("SPLIT(A508,"","",)"),44844.0)</f>
        <v>44844</v>
      </c>
      <c r="C508" s="1" t="str">
        <f>IFERROR(__xludf.DUMMYFUNCTION("""COMPUTED_VALUE"""),"9-96")</f>
        <v>9-96</v>
      </c>
      <c r="D508" s="4">
        <f>IFERROR(__xludf.DUMMYFUNCTION("split(B508,""-"")"),10.0)</f>
        <v>10</v>
      </c>
      <c r="E508" s="4">
        <f>IFERROR(__xludf.DUMMYFUNCTION("""COMPUTED_VALUE"""),10.0)</f>
        <v>10</v>
      </c>
      <c r="F508" s="4">
        <f>IFERROR(__xludf.DUMMYFUNCTION("split(C508,""-"")"),9.0)</f>
        <v>9</v>
      </c>
      <c r="G508" s="4">
        <f>IFERROR(__xludf.DUMMYFUNCTION("""COMPUTED_VALUE"""),96.0)</f>
        <v>96</v>
      </c>
      <c r="H508" s="4">
        <f t="shared" si="1"/>
        <v>1</v>
      </c>
      <c r="J508" s="4">
        <f>IFERROR(__xludf.DUMMYFUNCTION("IFS(
ISBETWEEN(D508,F508,G508,TRUE,TRUE),1,
ISBETWEEN(E508,F508,G508,TRUE,TRUE),1,
ISBETWEEN(F508,D508,E508,TRUE,TRUE),1,
ISBETWEEN(G508,D508,E508,TRUE,TRUE),1,
1,0)"),1.0)</f>
        <v>1</v>
      </c>
    </row>
    <row r="509">
      <c r="A509" s="2" t="s">
        <v>508</v>
      </c>
      <c r="B509" s="1" t="str">
        <f>IFERROR(__xludf.DUMMYFUNCTION("SPLIT(A509,"","",)"),"18-26")</f>
        <v>18-26</v>
      </c>
      <c r="C509" s="1" t="str">
        <f>IFERROR(__xludf.DUMMYFUNCTION("""COMPUTED_VALUE"""),"17-27")</f>
        <v>17-27</v>
      </c>
      <c r="D509" s="4">
        <f>IFERROR(__xludf.DUMMYFUNCTION("split(B509,""-"")"),18.0)</f>
        <v>18</v>
      </c>
      <c r="E509" s="4">
        <f>IFERROR(__xludf.DUMMYFUNCTION("""COMPUTED_VALUE"""),26.0)</f>
        <v>26</v>
      </c>
      <c r="F509" s="4">
        <f>IFERROR(__xludf.DUMMYFUNCTION("split(C509,""-"")"),17.0)</f>
        <v>17</v>
      </c>
      <c r="G509" s="4">
        <f>IFERROR(__xludf.DUMMYFUNCTION("""COMPUTED_VALUE"""),27.0)</f>
        <v>27</v>
      </c>
      <c r="H509" s="4">
        <f t="shared" si="1"/>
        <v>1</v>
      </c>
      <c r="J509" s="4">
        <f>IFERROR(__xludf.DUMMYFUNCTION("IFS(
ISBETWEEN(D509,F509,G509,TRUE,TRUE),1,
ISBETWEEN(E509,F509,G509,TRUE,TRUE),1,
ISBETWEEN(F509,D509,E509,TRUE,TRUE),1,
ISBETWEEN(G509,D509,E509,TRUE,TRUE),1,
1,0)"),1.0)</f>
        <v>1</v>
      </c>
    </row>
    <row r="510">
      <c r="A510" s="2" t="s">
        <v>509</v>
      </c>
      <c r="B510" s="1" t="str">
        <f>IFERROR(__xludf.DUMMYFUNCTION("SPLIT(A510,"","",)"),"13-58")</f>
        <v>13-58</v>
      </c>
      <c r="C510" s="1" t="str">
        <f>IFERROR(__xludf.DUMMYFUNCTION("""COMPUTED_VALUE"""),"5-40")</f>
        <v>5-40</v>
      </c>
      <c r="D510" s="4">
        <f>IFERROR(__xludf.DUMMYFUNCTION("split(B510,""-"")"),13.0)</f>
        <v>13</v>
      </c>
      <c r="E510" s="4">
        <f>IFERROR(__xludf.DUMMYFUNCTION("""COMPUTED_VALUE"""),58.0)</f>
        <v>58</v>
      </c>
      <c r="F510" s="4">
        <f>IFERROR(__xludf.DUMMYFUNCTION("split(C510,""-"")"),5.0)</f>
        <v>5</v>
      </c>
      <c r="G510" s="4">
        <f>IFERROR(__xludf.DUMMYFUNCTION("""COMPUTED_VALUE"""),40.0)</f>
        <v>40</v>
      </c>
      <c r="H510" s="4">
        <f t="shared" si="1"/>
        <v>0</v>
      </c>
      <c r="J510" s="4">
        <f>IFERROR(__xludf.DUMMYFUNCTION("IFS(
ISBETWEEN(D510,F510,G510,TRUE,TRUE),1,
ISBETWEEN(E510,F510,G510,TRUE,TRUE),1,
ISBETWEEN(F510,D510,E510,TRUE,TRUE),1,
ISBETWEEN(G510,D510,E510,TRUE,TRUE),1,
1,0)"),1.0)</f>
        <v>1</v>
      </c>
    </row>
    <row r="511">
      <c r="A511" s="2" t="s">
        <v>510</v>
      </c>
      <c r="B511" s="1" t="str">
        <f>IFERROR(__xludf.DUMMYFUNCTION("SPLIT(A511,"","",)"),"13-66")</f>
        <v>13-66</v>
      </c>
      <c r="C511" s="1" t="str">
        <f>IFERROR(__xludf.DUMMYFUNCTION("""COMPUTED_VALUE"""),"67-75")</f>
        <v>67-75</v>
      </c>
      <c r="D511" s="4">
        <f>IFERROR(__xludf.DUMMYFUNCTION("split(B511,""-"")"),13.0)</f>
        <v>13</v>
      </c>
      <c r="E511" s="4">
        <f>IFERROR(__xludf.DUMMYFUNCTION("""COMPUTED_VALUE"""),66.0)</f>
        <v>66</v>
      </c>
      <c r="F511" s="4">
        <f>IFERROR(__xludf.DUMMYFUNCTION("split(C511,""-"")"),67.0)</f>
        <v>67</v>
      </c>
      <c r="G511" s="4">
        <f>IFERROR(__xludf.DUMMYFUNCTION("""COMPUTED_VALUE"""),75.0)</f>
        <v>75</v>
      </c>
      <c r="H511" s="4">
        <f t="shared" si="1"/>
        <v>0</v>
      </c>
      <c r="J511" s="4">
        <f>IFERROR(__xludf.DUMMYFUNCTION("IFS(
ISBETWEEN(D511,F511,G511,TRUE,TRUE),1,
ISBETWEEN(E511,F511,G511,TRUE,TRUE),1,
ISBETWEEN(F511,D511,E511,TRUE,TRUE),1,
ISBETWEEN(G511,D511,E511,TRUE,TRUE),1,
1,0)"),0.0)</f>
        <v>0</v>
      </c>
    </row>
    <row r="512">
      <c r="A512" s="2" t="s">
        <v>511</v>
      </c>
      <c r="B512" s="1" t="str">
        <f>IFERROR(__xludf.DUMMYFUNCTION("SPLIT(A512,"","",)"),"56-60")</f>
        <v>56-60</v>
      </c>
      <c r="C512" s="1" t="str">
        <f>IFERROR(__xludf.DUMMYFUNCTION("""COMPUTED_VALUE"""),"42-61")</f>
        <v>42-61</v>
      </c>
      <c r="D512" s="4">
        <f>IFERROR(__xludf.DUMMYFUNCTION("split(B512,""-"")"),56.0)</f>
        <v>56</v>
      </c>
      <c r="E512" s="4">
        <f>IFERROR(__xludf.DUMMYFUNCTION("""COMPUTED_VALUE"""),60.0)</f>
        <v>60</v>
      </c>
      <c r="F512" s="4">
        <f>IFERROR(__xludf.DUMMYFUNCTION("split(C512,""-"")"),42.0)</f>
        <v>42</v>
      </c>
      <c r="G512" s="4">
        <f>IFERROR(__xludf.DUMMYFUNCTION("""COMPUTED_VALUE"""),61.0)</f>
        <v>61</v>
      </c>
      <c r="H512" s="4">
        <f t="shared" si="1"/>
        <v>1</v>
      </c>
      <c r="J512" s="4">
        <f>IFERROR(__xludf.DUMMYFUNCTION("IFS(
ISBETWEEN(D512,F512,G512,TRUE,TRUE),1,
ISBETWEEN(E512,F512,G512,TRUE,TRUE),1,
ISBETWEEN(F512,D512,E512,TRUE,TRUE),1,
ISBETWEEN(G512,D512,E512,TRUE,TRUE),1,
1,0)"),1.0)</f>
        <v>1</v>
      </c>
    </row>
    <row r="513">
      <c r="A513" s="2" t="s">
        <v>512</v>
      </c>
      <c r="B513" s="1" t="str">
        <f>IFERROR(__xludf.DUMMYFUNCTION("SPLIT(A513,"","",)"),"60-94")</f>
        <v>60-94</v>
      </c>
      <c r="C513" s="1" t="str">
        <f>IFERROR(__xludf.DUMMYFUNCTION("""COMPUTED_VALUE"""),"93-93")</f>
        <v>93-93</v>
      </c>
      <c r="D513" s="4">
        <f>IFERROR(__xludf.DUMMYFUNCTION("split(B513,""-"")"),60.0)</f>
        <v>60</v>
      </c>
      <c r="E513" s="4">
        <f>IFERROR(__xludf.DUMMYFUNCTION("""COMPUTED_VALUE"""),94.0)</f>
        <v>94</v>
      </c>
      <c r="F513" s="4">
        <f>IFERROR(__xludf.DUMMYFUNCTION("split(C513,""-"")"),93.0)</f>
        <v>93</v>
      </c>
      <c r="G513" s="4">
        <f>IFERROR(__xludf.DUMMYFUNCTION("""COMPUTED_VALUE"""),93.0)</f>
        <v>93</v>
      </c>
      <c r="H513" s="4">
        <f t="shared" si="1"/>
        <v>1</v>
      </c>
      <c r="J513" s="4">
        <f>IFERROR(__xludf.DUMMYFUNCTION("IFS(
ISBETWEEN(D513,F513,G513,TRUE,TRUE),1,
ISBETWEEN(E513,F513,G513,TRUE,TRUE),1,
ISBETWEEN(F513,D513,E513,TRUE,TRUE),1,
ISBETWEEN(G513,D513,E513,TRUE,TRUE),1,
1,0)"),1.0)</f>
        <v>1</v>
      </c>
    </row>
    <row r="514">
      <c r="A514" s="2" t="s">
        <v>513</v>
      </c>
      <c r="B514" s="1" t="str">
        <f>IFERROR(__xludf.DUMMYFUNCTION("SPLIT(A514,"","",)"),"62-69")</f>
        <v>62-69</v>
      </c>
      <c r="C514" s="1" t="str">
        <f>IFERROR(__xludf.DUMMYFUNCTION("""COMPUTED_VALUE"""),"7-95")</f>
        <v>7-95</v>
      </c>
      <c r="D514" s="4">
        <f>IFERROR(__xludf.DUMMYFUNCTION("split(B514,""-"")"),62.0)</f>
        <v>62</v>
      </c>
      <c r="E514" s="4">
        <f>IFERROR(__xludf.DUMMYFUNCTION("""COMPUTED_VALUE"""),69.0)</f>
        <v>69</v>
      </c>
      <c r="F514" s="4">
        <f>IFERROR(__xludf.DUMMYFUNCTION("split(C514,""-"")"),7.0)</f>
        <v>7</v>
      </c>
      <c r="G514" s="4">
        <f>IFERROR(__xludf.DUMMYFUNCTION("""COMPUTED_VALUE"""),95.0)</f>
        <v>95</v>
      </c>
      <c r="H514" s="4">
        <f t="shared" si="1"/>
        <v>1</v>
      </c>
      <c r="J514" s="4">
        <f>IFERROR(__xludf.DUMMYFUNCTION("IFS(
ISBETWEEN(D514,F514,G514,TRUE,TRUE),1,
ISBETWEEN(E514,F514,G514,TRUE,TRUE),1,
ISBETWEEN(F514,D514,E514,TRUE,TRUE),1,
ISBETWEEN(G514,D514,E514,TRUE,TRUE),1,
1,0)"),1.0)</f>
        <v>1</v>
      </c>
    </row>
    <row r="515">
      <c r="A515" s="2" t="s">
        <v>514</v>
      </c>
      <c r="B515" s="1" t="str">
        <f>IFERROR(__xludf.DUMMYFUNCTION("SPLIT(A515,"","",)"),"6-81")</f>
        <v>6-81</v>
      </c>
      <c r="C515" s="1" t="str">
        <f>IFERROR(__xludf.DUMMYFUNCTION("""COMPUTED_VALUE"""),"31-97")</f>
        <v>31-97</v>
      </c>
      <c r="D515" s="4">
        <f>IFERROR(__xludf.DUMMYFUNCTION("split(B515,""-"")"),6.0)</f>
        <v>6</v>
      </c>
      <c r="E515" s="4">
        <f>IFERROR(__xludf.DUMMYFUNCTION("""COMPUTED_VALUE"""),81.0)</f>
        <v>81</v>
      </c>
      <c r="F515" s="4">
        <f>IFERROR(__xludf.DUMMYFUNCTION("split(C515,""-"")"),31.0)</f>
        <v>31</v>
      </c>
      <c r="G515" s="4">
        <f>IFERROR(__xludf.DUMMYFUNCTION("""COMPUTED_VALUE"""),97.0)</f>
        <v>97</v>
      </c>
      <c r="H515" s="4">
        <f t="shared" si="1"/>
        <v>0</v>
      </c>
      <c r="J515" s="4">
        <f>IFERROR(__xludf.DUMMYFUNCTION("IFS(
ISBETWEEN(D515,F515,G515,TRUE,TRUE),1,
ISBETWEEN(E515,F515,G515,TRUE,TRUE),1,
ISBETWEEN(F515,D515,E515,TRUE,TRUE),1,
ISBETWEEN(G515,D515,E515,TRUE,TRUE),1,
1,0)"),1.0)</f>
        <v>1</v>
      </c>
    </row>
    <row r="516">
      <c r="A516" s="2" t="s">
        <v>515</v>
      </c>
      <c r="B516" s="1" t="str">
        <f>IFERROR(__xludf.DUMMYFUNCTION("SPLIT(A516,"","",)"),"51-80")</f>
        <v>51-80</v>
      </c>
      <c r="C516" s="1" t="str">
        <f>IFERROR(__xludf.DUMMYFUNCTION("""COMPUTED_VALUE"""),"79-80")</f>
        <v>79-80</v>
      </c>
      <c r="D516" s="4">
        <f>IFERROR(__xludf.DUMMYFUNCTION("split(B516,""-"")"),51.0)</f>
        <v>51</v>
      </c>
      <c r="E516" s="4">
        <f>IFERROR(__xludf.DUMMYFUNCTION("""COMPUTED_VALUE"""),80.0)</f>
        <v>80</v>
      </c>
      <c r="F516" s="4">
        <f>IFERROR(__xludf.DUMMYFUNCTION("split(C516,""-"")"),79.0)</f>
        <v>79</v>
      </c>
      <c r="G516" s="4">
        <f>IFERROR(__xludf.DUMMYFUNCTION("""COMPUTED_VALUE"""),80.0)</f>
        <v>80</v>
      </c>
      <c r="H516" s="4">
        <f t="shared" si="1"/>
        <v>1</v>
      </c>
      <c r="J516" s="4">
        <f>IFERROR(__xludf.DUMMYFUNCTION("IFS(
ISBETWEEN(D516,F516,G516,TRUE,TRUE),1,
ISBETWEEN(E516,F516,G516,TRUE,TRUE),1,
ISBETWEEN(F516,D516,E516,TRUE,TRUE),1,
ISBETWEEN(G516,D516,E516,TRUE,TRUE),1,
1,0)"),1.0)</f>
        <v>1</v>
      </c>
    </row>
    <row r="517">
      <c r="A517" s="2" t="s">
        <v>516</v>
      </c>
      <c r="B517" s="1" t="str">
        <f>IFERROR(__xludf.DUMMYFUNCTION("SPLIT(A517,"","",)"),"25-43")</f>
        <v>25-43</v>
      </c>
      <c r="C517" s="1" t="str">
        <f>IFERROR(__xludf.DUMMYFUNCTION("""COMPUTED_VALUE"""),"26-43")</f>
        <v>26-43</v>
      </c>
      <c r="D517" s="4">
        <f>IFERROR(__xludf.DUMMYFUNCTION("split(B517,""-"")"),25.0)</f>
        <v>25</v>
      </c>
      <c r="E517" s="4">
        <f>IFERROR(__xludf.DUMMYFUNCTION("""COMPUTED_VALUE"""),43.0)</f>
        <v>43</v>
      </c>
      <c r="F517" s="4">
        <f>IFERROR(__xludf.DUMMYFUNCTION("split(C517,""-"")"),26.0)</f>
        <v>26</v>
      </c>
      <c r="G517" s="4">
        <f>IFERROR(__xludf.DUMMYFUNCTION("""COMPUTED_VALUE"""),43.0)</f>
        <v>43</v>
      </c>
      <c r="H517" s="4">
        <f t="shared" si="1"/>
        <v>1</v>
      </c>
      <c r="J517" s="4">
        <f>IFERROR(__xludf.DUMMYFUNCTION("IFS(
ISBETWEEN(D517,F517,G517,TRUE,TRUE),1,
ISBETWEEN(E517,F517,G517,TRUE,TRUE),1,
ISBETWEEN(F517,D517,E517,TRUE,TRUE),1,
ISBETWEEN(G517,D517,E517,TRUE,TRUE),1,
1,0)"),1.0)</f>
        <v>1</v>
      </c>
    </row>
    <row r="518">
      <c r="A518" s="2" t="s">
        <v>517</v>
      </c>
      <c r="B518" s="1" t="str">
        <f>IFERROR(__xludf.DUMMYFUNCTION("SPLIT(A518,"","",)"),"65-65")</f>
        <v>65-65</v>
      </c>
      <c r="C518" s="1" t="str">
        <f>IFERROR(__xludf.DUMMYFUNCTION("""COMPUTED_VALUE"""),"64-86")</f>
        <v>64-86</v>
      </c>
      <c r="D518" s="4">
        <f>IFERROR(__xludf.DUMMYFUNCTION("split(B518,""-"")"),65.0)</f>
        <v>65</v>
      </c>
      <c r="E518" s="4">
        <f>IFERROR(__xludf.DUMMYFUNCTION("""COMPUTED_VALUE"""),65.0)</f>
        <v>65</v>
      </c>
      <c r="F518" s="4">
        <f>IFERROR(__xludf.DUMMYFUNCTION("split(C518,""-"")"),64.0)</f>
        <v>64</v>
      </c>
      <c r="G518" s="4">
        <f>IFERROR(__xludf.DUMMYFUNCTION("""COMPUTED_VALUE"""),86.0)</f>
        <v>86</v>
      </c>
      <c r="H518" s="4">
        <f t="shared" si="1"/>
        <v>1</v>
      </c>
      <c r="J518" s="4">
        <f>IFERROR(__xludf.DUMMYFUNCTION("IFS(
ISBETWEEN(D518,F518,G518,TRUE,TRUE),1,
ISBETWEEN(E518,F518,G518,TRUE,TRUE),1,
ISBETWEEN(F518,D518,E518,TRUE,TRUE),1,
ISBETWEEN(G518,D518,E518,TRUE,TRUE),1,
1,0)"),1.0)</f>
        <v>1</v>
      </c>
    </row>
    <row r="519">
      <c r="A519" s="2" t="s">
        <v>518</v>
      </c>
      <c r="B519" s="3">
        <f>IFERROR(__xludf.DUMMYFUNCTION("SPLIT(A519,"","",)"),44813.0)</f>
        <v>44813</v>
      </c>
      <c r="C519" s="1" t="str">
        <f>IFERROR(__xludf.DUMMYFUNCTION("""COMPUTED_VALUE"""),"8-83")</f>
        <v>8-83</v>
      </c>
      <c r="D519" s="4">
        <f>IFERROR(__xludf.DUMMYFUNCTION("split(B519,""-"")"),9.0)</f>
        <v>9</v>
      </c>
      <c r="E519" s="4">
        <f>IFERROR(__xludf.DUMMYFUNCTION("""COMPUTED_VALUE"""),9.0)</f>
        <v>9</v>
      </c>
      <c r="F519" s="4">
        <f>IFERROR(__xludf.DUMMYFUNCTION("split(C519,""-"")"),8.0)</f>
        <v>8</v>
      </c>
      <c r="G519" s="4">
        <f>IFERROR(__xludf.DUMMYFUNCTION("""COMPUTED_VALUE"""),83.0)</f>
        <v>83</v>
      </c>
      <c r="H519" s="4">
        <f t="shared" si="1"/>
        <v>1</v>
      </c>
      <c r="J519" s="4">
        <f>IFERROR(__xludf.DUMMYFUNCTION("IFS(
ISBETWEEN(D519,F519,G519,TRUE,TRUE),1,
ISBETWEEN(E519,F519,G519,TRUE,TRUE),1,
ISBETWEEN(F519,D519,E519,TRUE,TRUE),1,
ISBETWEEN(G519,D519,E519,TRUE,TRUE),1,
1,0)"),1.0)</f>
        <v>1</v>
      </c>
    </row>
    <row r="520">
      <c r="A520" s="2" t="s">
        <v>519</v>
      </c>
      <c r="B520" s="1" t="str">
        <f>IFERROR(__xludf.DUMMYFUNCTION("SPLIT(A520,"","",)"),"50-81")</f>
        <v>50-81</v>
      </c>
      <c r="C520" s="1" t="str">
        <f>IFERROR(__xludf.DUMMYFUNCTION("""COMPUTED_VALUE"""),"51-81")</f>
        <v>51-81</v>
      </c>
      <c r="D520" s="4">
        <f>IFERROR(__xludf.DUMMYFUNCTION("split(B520,""-"")"),50.0)</f>
        <v>50</v>
      </c>
      <c r="E520" s="4">
        <f>IFERROR(__xludf.DUMMYFUNCTION("""COMPUTED_VALUE"""),81.0)</f>
        <v>81</v>
      </c>
      <c r="F520" s="4">
        <f>IFERROR(__xludf.DUMMYFUNCTION("split(C520,""-"")"),51.0)</f>
        <v>51</v>
      </c>
      <c r="G520" s="4">
        <f>IFERROR(__xludf.DUMMYFUNCTION("""COMPUTED_VALUE"""),81.0)</f>
        <v>81</v>
      </c>
      <c r="H520" s="4">
        <f t="shared" si="1"/>
        <v>1</v>
      </c>
      <c r="J520" s="4">
        <f>IFERROR(__xludf.DUMMYFUNCTION("IFS(
ISBETWEEN(D520,F520,G520,TRUE,TRUE),1,
ISBETWEEN(E520,F520,G520,TRUE,TRUE),1,
ISBETWEEN(F520,D520,E520,TRUE,TRUE),1,
ISBETWEEN(G520,D520,E520,TRUE,TRUE),1,
1,0)"),1.0)</f>
        <v>1</v>
      </c>
    </row>
    <row r="521">
      <c r="A521" s="2" t="s">
        <v>520</v>
      </c>
      <c r="B521" s="1" t="str">
        <f>IFERROR(__xludf.DUMMYFUNCTION("SPLIT(A521,"","",)"),"79-79")</f>
        <v>79-79</v>
      </c>
      <c r="C521" s="1" t="str">
        <f>IFERROR(__xludf.DUMMYFUNCTION("""COMPUTED_VALUE"""),"28-80")</f>
        <v>28-80</v>
      </c>
      <c r="D521" s="4">
        <f>IFERROR(__xludf.DUMMYFUNCTION("split(B521,""-"")"),79.0)</f>
        <v>79</v>
      </c>
      <c r="E521" s="4">
        <f>IFERROR(__xludf.DUMMYFUNCTION("""COMPUTED_VALUE"""),79.0)</f>
        <v>79</v>
      </c>
      <c r="F521" s="4">
        <f>IFERROR(__xludf.DUMMYFUNCTION("split(C521,""-"")"),28.0)</f>
        <v>28</v>
      </c>
      <c r="G521" s="4">
        <f>IFERROR(__xludf.DUMMYFUNCTION("""COMPUTED_VALUE"""),80.0)</f>
        <v>80</v>
      </c>
      <c r="H521" s="4">
        <f t="shared" si="1"/>
        <v>1</v>
      </c>
      <c r="J521" s="4">
        <f>IFERROR(__xludf.DUMMYFUNCTION("IFS(
ISBETWEEN(D521,F521,G521,TRUE,TRUE),1,
ISBETWEEN(E521,F521,G521,TRUE,TRUE),1,
ISBETWEEN(F521,D521,E521,TRUE,TRUE),1,
ISBETWEEN(G521,D521,E521,TRUE,TRUE),1,
1,0)"),1.0)</f>
        <v>1</v>
      </c>
    </row>
    <row r="522">
      <c r="A522" s="2" t="s">
        <v>521</v>
      </c>
      <c r="B522" s="1" t="str">
        <f>IFERROR(__xludf.DUMMYFUNCTION("SPLIT(A522,"","",)"),"14-84")</f>
        <v>14-84</v>
      </c>
      <c r="C522" s="1" t="str">
        <f>IFERROR(__xludf.DUMMYFUNCTION("""COMPUTED_VALUE"""),"15-15")</f>
        <v>15-15</v>
      </c>
      <c r="D522" s="4">
        <f>IFERROR(__xludf.DUMMYFUNCTION("split(B522,""-"")"),14.0)</f>
        <v>14</v>
      </c>
      <c r="E522" s="4">
        <f>IFERROR(__xludf.DUMMYFUNCTION("""COMPUTED_VALUE"""),84.0)</f>
        <v>84</v>
      </c>
      <c r="F522" s="4">
        <f>IFERROR(__xludf.DUMMYFUNCTION("split(C522,""-"")"),15.0)</f>
        <v>15</v>
      </c>
      <c r="G522" s="4">
        <f>IFERROR(__xludf.DUMMYFUNCTION("""COMPUTED_VALUE"""),15.0)</f>
        <v>15</v>
      </c>
      <c r="H522" s="4">
        <f t="shared" si="1"/>
        <v>1</v>
      </c>
      <c r="J522" s="4">
        <f>IFERROR(__xludf.DUMMYFUNCTION("IFS(
ISBETWEEN(D522,F522,G522,TRUE,TRUE),1,
ISBETWEEN(E522,F522,G522,TRUE,TRUE),1,
ISBETWEEN(F522,D522,E522,TRUE,TRUE),1,
ISBETWEEN(G522,D522,E522,TRUE,TRUE),1,
1,0)"),1.0)</f>
        <v>1</v>
      </c>
    </row>
    <row r="523">
      <c r="A523" s="2" t="s">
        <v>522</v>
      </c>
      <c r="B523" s="1" t="str">
        <f>IFERROR(__xludf.DUMMYFUNCTION("SPLIT(A523,"","",)"),"74-91")</f>
        <v>74-91</v>
      </c>
      <c r="C523" s="1" t="str">
        <f>IFERROR(__xludf.DUMMYFUNCTION("""COMPUTED_VALUE"""),"4-90")</f>
        <v>4-90</v>
      </c>
      <c r="D523" s="4">
        <f>IFERROR(__xludf.DUMMYFUNCTION("split(B523,""-"")"),74.0)</f>
        <v>74</v>
      </c>
      <c r="E523" s="4">
        <f>IFERROR(__xludf.DUMMYFUNCTION("""COMPUTED_VALUE"""),91.0)</f>
        <v>91</v>
      </c>
      <c r="F523" s="4">
        <f>IFERROR(__xludf.DUMMYFUNCTION("split(C523,""-"")"),4.0)</f>
        <v>4</v>
      </c>
      <c r="G523" s="4">
        <f>IFERROR(__xludf.DUMMYFUNCTION("""COMPUTED_VALUE"""),90.0)</f>
        <v>90</v>
      </c>
      <c r="H523" s="4">
        <f t="shared" si="1"/>
        <v>0</v>
      </c>
      <c r="J523" s="4">
        <f>IFERROR(__xludf.DUMMYFUNCTION("IFS(
ISBETWEEN(D523,F523,G523,TRUE,TRUE),1,
ISBETWEEN(E523,F523,G523,TRUE,TRUE),1,
ISBETWEEN(F523,D523,E523,TRUE,TRUE),1,
ISBETWEEN(G523,D523,E523,TRUE,TRUE),1,
1,0)"),1.0)</f>
        <v>1</v>
      </c>
    </row>
    <row r="524">
      <c r="A524" s="2" t="s">
        <v>523</v>
      </c>
      <c r="B524" s="1" t="str">
        <f>IFERROR(__xludf.DUMMYFUNCTION("SPLIT(A524,"","",)"),"17-89")</f>
        <v>17-89</v>
      </c>
      <c r="C524" s="1" t="str">
        <f>IFERROR(__xludf.DUMMYFUNCTION("""COMPUTED_VALUE"""),"17-34")</f>
        <v>17-34</v>
      </c>
      <c r="D524" s="4">
        <f>IFERROR(__xludf.DUMMYFUNCTION("split(B524,""-"")"),17.0)</f>
        <v>17</v>
      </c>
      <c r="E524" s="4">
        <f>IFERROR(__xludf.DUMMYFUNCTION("""COMPUTED_VALUE"""),89.0)</f>
        <v>89</v>
      </c>
      <c r="F524" s="4">
        <f>IFERROR(__xludf.DUMMYFUNCTION("split(C524,""-"")"),17.0)</f>
        <v>17</v>
      </c>
      <c r="G524" s="4">
        <f>IFERROR(__xludf.DUMMYFUNCTION("""COMPUTED_VALUE"""),34.0)</f>
        <v>34</v>
      </c>
      <c r="H524" s="4">
        <f t="shared" si="1"/>
        <v>1</v>
      </c>
      <c r="J524" s="4">
        <f>IFERROR(__xludf.DUMMYFUNCTION("IFS(
ISBETWEEN(D524,F524,G524,TRUE,TRUE),1,
ISBETWEEN(E524,F524,G524,TRUE,TRUE),1,
ISBETWEEN(F524,D524,E524,TRUE,TRUE),1,
ISBETWEEN(G524,D524,E524,TRUE,TRUE),1,
1,0)"),1.0)</f>
        <v>1</v>
      </c>
    </row>
    <row r="525">
      <c r="A525" s="2" t="s">
        <v>524</v>
      </c>
      <c r="B525" s="1" t="str">
        <f>IFERROR(__xludf.DUMMYFUNCTION("SPLIT(A525,"","",)"),"14-14")</f>
        <v>14-14</v>
      </c>
      <c r="C525" s="1" t="str">
        <f>IFERROR(__xludf.DUMMYFUNCTION("""COMPUTED_VALUE"""),"14-94")</f>
        <v>14-94</v>
      </c>
      <c r="D525" s="4">
        <f>IFERROR(__xludf.DUMMYFUNCTION("split(B525,""-"")"),14.0)</f>
        <v>14</v>
      </c>
      <c r="E525" s="4">
        <f>IFERROR(__xludf.DUMMYFUNCTION("""COMPUTED_VALUE"""),14.0)</f>
        <v>14</v>
      </c>
      <c r="F525" s="4">
        <f>IFERROR(__xludf.DUMMYFUNCTION("split(C525,""-"")"),14.0)</f>
        <v>14</v>
      </c>
      <c r="G525" s="4">
        <f>IFERROR(__xludf.DUMMYFUNCTION("""COMPUTED_VALUE"""),94.0)</f>
        <v>94</v>
      </c>
      <c r="H525" s="4">
        <f t="shared" si="1"/>
        <v>1</v>
      </c>
      <c r="J525" s="4">
        <f>IFERROR(__xludf.DUMMYFUNCTION("IFS(
ISBETWEEN(D525,F525,G525,TRUE,TRUE),1,
ISBETWEEN(E525,F525,G525,TRUE,TRUE),1,
ISBETWEEN(F525,D525,E525,TRUE,TRUE),1,
ISBETWEEN(G525,D525,E525,TRUE,TRUE),1,
1,0)"),1.0)</f>
        <v>1</v>
      </c>
    </row>
    <row r="526">
      <c r="A526" s="2" t="s">
        <v>525</v>
      </c>
      <c r="B526" s="1" t="str">
        <f>IFERROR(__xludf.DUMMYFUNCTION("SPLIT(A526,"","",)"),"2-34")</f>
        <v>2-34</v>
      </c>
      <c r="C526" s="1" t="str">
        <f>IFERROR(__xludf.DUMMYFUNCTION("""COMPUTED_VALUE"""),"1-33")</f>
        <v>1-33</v>
      </c>
      <c r="D526" s="4">
        <f>IFERROR(__xludf.DUMMYFUNCTION("split(B526,""-"")"),2.0)</f>
        <v>2</v>
      </c>
      <c r="E526" s="4">
        <f>IFERROR(__xludf.DUMMYFUNCTION("""COMPUTED_VALUE"""),34.0)</f>
        <v>34</v>
      </c>
      <c r="F526" s="4">
        <f>IFERROR(__xludf.DUMMYFUNCTION("split(C526,""-"")"),1.0)</f>
        <v>1</v>
      </c>
      <c r="G526" s="4">
        <f>IFERROR(__xludf.DUMMYFUNCTION("""COMPUTED_VALUE"""),33.0)</f>
        <v>33</v>
      </c>
      <c r="H526" s="4">
        <f t="shared" si="1"/>
        <v>0</v>
      </c>
      <c r="J526" s="4">
        <f>IFERROR(__xludf.DUMMYFUNCTION("IFS(
ISBETWEEN(D526,F526,G526,TRUE,TRUE),1,
ISBETWEEN(E526,F526,G526,TRUE,TRUE),1,
ISBETWEEN(F526,D526,E526,TRUE,TRUE),1,
ISBETWEEN(G526,D526,E526,TRUE,TRUE),1,
1,0)"),1.0)</f>
        <v>1</v>
      </c>
    </row>
    <row r="527">
      <c r="A527" s="2" t="s">
        <v>526</v>
      </c>
      <c r="B527" s="1" t="str">
        <f>IFERROR(__xludf.DUMMYFUNCTION("SPLIT(A527,"","",)"),"39-73")</f>
        <v>39-73</v>
      </c>
      <c r="C527" s="1" t="str">
        <f>IFERROR(__xludf.DUMMYFUNCTION("""COMPUTED_VALUE"""),"40-72")</f>
        <v>40-72</v>
      </c>
      <c r="D527" s="4">
        <f>IFERROR(__xludf.DUMMYFUNCTION("split(B527,""-"")"),39.0)</f>
        <v>39</v>
      </c>
      <c r="E527" s="4">
        <f>IFERROR(__xludf.DUMMYFUNCTION("""COMPUTED_VALUE"""),73.0)</f>
        <v>73</v>
      </c>
      <c r="F527" s="4">
        <f>IFERROR(__xludf.DUMMYFUNCTION("split(C527,""-"")"),40.0)</f>
        <v>40</v>
      </c>
      <c r="G527" s="4">
        <f>IFERROR(__xludf.DUMMYFUNCTION("""COMPUTED_VALUE"""),72.0)</f>
        <v>72</v>
      </c>
      <c r="H527" s="4">
        <f t="shared" si="1"/>
        <v>1</v>
      </c>
      <c r="J527" s="4">
        <f>IFERROR(__xludf.DUMMYFUNCTION("IFS(
ISBETWEEN(D527,F527,G527,TRUE,TRUE),1,
ISBETWEEN(E527,F527,G527,TRUE,TRUE),1,
ISBETWEEN(F527,D527,E527,TRUE,TRUE),1,
ISBETWEEN(G527,D527,E527,TRUE,TRUE),1,
1,0)"),1.0)</f>
        <v>1</v>
      </c>
    </row>
    <row r="528">
      <c r="A528" s="2" t="s">
        <v>527</v>
      </c>
      <c r="B528" s="1" t="str">
        <f>IFERROR(__xludf.DUMMYFUNCTION("SPLIT(A528,"","",)"),"2-90")</f>
        <v>2-90</v>
      </c>
      <c r="C528" s="1" t="str">
        <f>IFERROR(__xludf.DUMMYFUNCTION("""COMPUTED_VALUE"""),"1-89")</f>
        <v>1-89</v>
      </c>
      <c r="D528" s="4">
        <f>IFERROR(__xludf.DUMMYFUNCTION("split(B528,""-"")"),2.0)</f>
        <v>2</v>
      </c>
      <c r="E528" s="4">
        <f>IFERROR(__xludf.DUMMYFUNCTION("""COMPUTED_VALUE"""),90.0)</f>
        <v>90</v>
      </c>
      <c r="F528" s="4">
        <f>IFERROR(__xludf.DUMMYFUNCTION("split(C528,""-"")"),1.0)</f>
        <v>1</v>
      </c>
      <c r="G528" s="4">
        <f>IFERROR(__xludf.DUMMYFUNCTION("""COMPUTED_VALUE"""),89.0)</f>
        <v>89</v>
      </c>
      <c r="H528" s="4">
        <f t="shared" si="1"/>
        <v>0</v>
      </c>
      <c r="J528" s="4">
        <f>IFERROR(__xludf.DUMMYFUNCTION("IFS(
ISBETWEEN(D528,F528,G528,TRUE,TRUE),1,
ISBETWEEN(E528,F528,G528,TRUE,TRUE),1,
ISBETWEEN(F528,D528,E528,TRUE,TRUE),1,
ISBETWEEN(G528,D528,E528,TRUE,TRUE),1,
1,0)"),1.0)</f>
        <v>1</v>
      </c>
    </row>
    <row r="529">
      <c r="A529" s="2" t="s">
        <v>528</v>
      </c>
      <c r="B529" s="1" t="str">
        <f>IFERROR(__xludf.DUMMYFUNCTION("SPLIT(A529,"","",)"),"49-71")</f>
        <v>49-71</v>
      </c>
      <c r="C529" s="1" t="str">
        <f>IFERROR(__xludf.DUMMYFUNCTION("""COMPUTED_VALUE"""),"48-50")</f>
        <v>48-50</v>
      </c>
      <c r="D529" s="4">
        <f>IFERROR(__xludf.DUMMYFUNCTION("split(B529,""-"")"),49.0)</f>
        <v>49</v>
      </c>
      <c r="E529" s="4">
        <f>IFERROR(__xludf.DUMMYFUNCTION("""COMPUTED_VALUE"""),71.0)</f>
        <v>71</v>
      </c>
      <c r="F529" s="4">
        <f>IFERROR(__xludf.DUMMYFUNCTION("split(C529,""-"")"),48.0)</f>
        <v>48</v>
      </c>
      <c r="G529" s="4">
        <f>IFERROR(__xludf.DUMMYFUNCTION("""COMPUTED_VALUE"""),50.0)</f>
        <v>50</v>
      </c>
      <c r="H529" s="4">
        <f t="shared" si="1"/>
        <v>0</v>
      </c>
      <c r="J529" s="4">
        <f>IFERROR(__xludf.DUMMYFUNCTION("IFS(
ISBETWEEN(D529,F529,G529,TRUE,TRUE),1,
ISBETWEEN(E529,F529,G529,TRUE,TRUE),1,
ISBETWEEN(F529,D529,E529,TRUE,TRUE),1,
ISBETWEEN(G529,D529,E529,TRUE,TRUE),1,
1,0)"),1.0)</f>
        <v>1</v>
      </c>
    </row>
    <row r="530">
      <c r="A530" s="2" t="s">
        <v>529</v>
      </c>
      <c r="B530" s="1" t="str">
        <f>IFERROR(__xludf.DUMMYFUNCTION("SPLIT(A530,"","",)"),"37-87")</f>
        <v>37-87</v>
      </c>
      <c r="C530" s="1" t="str">
        <f>IFERROR(__xludf.DUMMYFUNCTION("""COMPUTED_VALUE"""),"87-87")</f>
        <v>87-87</v>
      </c>
      <c r="D530" s="4">
        <f>IFERROR(__xludf.DUMMYFUNCTION("split(B530,""-"")"),37.0)</f>
        <v>37</v>
      </c>
      <c r="E530" s="4">
        <f>IFERROR(__xludf.DUMMYFUNCTION("""COMPUTED_VALUE"""),87.0)</f>
        <v>87</v>
      </c>
      <c r="F530" s="4">
        <f>IFERROR(__xludf.DUMMYFUNCTION("split(C530,""-"")"),87.0)</f>
        <v>87</v>
      </c>
      <c r="G530" s="4">
        <f>IFERROR(__xludf.DUMMYFUNCTION("""COMPUTED_VALUE"""),87.0)</f>
        <v>87</v>
      </c>
      <c r="H530" s="4">
        <f t="shared" si="1"/>
        <v>1</v>
      </c>
      <c r="J530" s="4">
        <f>IFERROR(__xludf.DUMMYFUNCTION("IFS(
ISBETWEEN(D530,F530,G530,TRUE,TRUE),1,
ISBETWEEN(E530,F530,G530,TRUE,TRUE),1,
ISBETWEEN(F530,D530,E530,TRUE,TRUE),1,
ISBETWEEN(G530,D530,E530,TRUE,TRUE),1,
1,0)"),1.0)</f>
        <v>1</v>
      </c>
    </row>
    <row r="531">
      <c r="A531" s="2" t="s">
        <v>530</v>
      </c>
      <c r="B531" s="1" t="str">
        <f>IFERROR(__xludf.DUMMYFUNCTION("SPLIT(A531,"","",)"),"6-73")</f>
        <v>6-73</v>
      </c>
      <c r="C531" s="1" t="str">
        <f>IFERROR(__xludf.DUMMYFUNCTION("""COMPUTED_VALUE"""),"6-74")</f>
        <v>6-74</v>
      </c>
      <c r="D531" s="4">
        <f>IFERROR(__xludf.DUMMYFUNCTION("split(B531,""-"")"),6.0)</f>
        <v>6</v>
      </c>
      <c r="E531" s="4">
        <f>IFERROR(__xludf.DUMMYFUNCTION("""COMPUTED_VALUE"""),73.0)</f>
        <v>73</v>
      </c>
      <c r="F531" s="4">
        <f>IFERROR(__xludf.DUMMYFUNCTION("split(C531,""-"")"),6.0)</f>
        <v>6</v>
      </c>
      <c r="G531" s="4">
        <f>IFERROR(__xludf.DUMMYFUNCTION("""COMPUTED_VALUE"""),74.0)</f>
        <v>74</v>
      </c>
      <c r="H531" s="4">
        <f t="shared" si="1"/>
        <v>1</v>
      </c>
      <c r="J531" s="4">
        <f>IFERROR(__xludf.DUMMYFUNCTION("IFS(
ISBETWEEN(D531,F531,G531,TRUE,TRUE),1,
ISBETWEEN(E531,F531,G531,TRUE,TRUE),1,
ISBETWEEN(F531,D531,E531,TRUE,TRUE),1,
ISBETWEEN(G531,D531,E531,TRUE,TRUE),1,
1,0)"),1.0)</f>
        <v>1</v>
      </c>
    </row>
    <row r="532">
      <c r="A532" s="2" t="s">
        <v>531</v>
      </c>
      <c r="B532" s="1" t="str">
        <f>IFERROR(__xludf.DUMMYFUNCTION("SPLIT(A532,"","",)"),"39-96")</f>
        <v>39-96</v>
      </c>
      <c r="C532" s="1" t="str">
        <f>IFERROR(__xludf.DUMMYFUNCTION("""COMPUTED_VALUE"""),"18-98")</f>
        <v>18-98</v>
      </c>
      <c r="D532" s="4">
        <f>IFERROR(__xludf.DUMMYFUNCTION("split(B532,""-"")"),39.0)</f>
        <v>39</v>
      </c>
      <c r="E532" s="4">
        <f>IFERROR(__xludf.DUMMYFUNCTION("""COMPUTED_VALUE"""),96.0)</f>
        <v>96</v>
      </c>
      <c r="F532" s="4">
        <f>IFERROR(__xludf.DUMMYFUNCTION("split(C532,""-"")"),18.0)</f>
        <v>18</v>
      </c>
      <c r="G532" s="4">
        <f>IFERROR(__xludf.DUMMYFUNCTION("""COMPUTED_VALUE"""),98.0)</f>
        <v>98</v>
      </c>
      <c r="H532" s="4">
        <f t="shared" si="1"/>
        <v>1</v>
      </c>
      <c r="J532" s="4">
        <f>IFERROR(__xludf.DUMMYFUNCTION("IFS(
ISBETWEEN(D532,F532,G532,TRUE,TRUE),1,
ISBETWEEN(E532,F532,G532,TRUE,TRUE),1,
ISBETWEEN(F532,D532,E532,TRUE,TRUE),1,
ISBETWEEN(G532,D532,E532,TRUE,TRUE),1,
1,0)"),1.0)</f>
        <v>1</v>
      </c>
    </row>
    <row r="533">
      <c r="A533" s="2" t="s">
        <v>532</v>
      </c>
      <c r="B533" s="1" t="str">
        <f>IFERROR(__xludf.DUMMYFUNCTION("SPLIT(A533,"","",)"),"38-59")</f>
        <v>38-59</v>
      </c>
      <c r="C533" s="1" t="str">
        <f>IFERROR(__xludf.DUMMYFUNCTION("""COMPUTED_VALUE"""),"58-58")</f>
        <v>58-58</v>
      </c>
      <c r="D533" s="4">
        <f>IFERROR(__xludf.DUMMYFUNCTION("split(B533,""-"")"),38.0)</f>
        <v>38</v>
      </c>
      <c r="E533" s="4">
        <f>IFERROR(__xludf.DUMMYFUNCTION("""COMPUTED_VALUE"""),59.0)</f>
        <v>59</v>
      </c>
      <c r="F533" s="4">
        <f>IFERROR(__xludf.DUMMYFUNCTION("split(C533,""-"")"),58.0)</f>
        <v>58</v>
      </c>
      <c r="G533" s="4">
        <f>IFERROR(__xludf.DUMMYFUNCTION("""COMPUTED_VALUE"""),58.0)</f>
        <v>58</v>
      </c>
      <c r="H533" s="4">
        <f t="shared" si="1"/>
        <v>1</v>
      </c>
      <c r="J533" s="4">
        <f>IFERROR(__xludf.DUMMYFUNCTION("IFS(
ISBETWEEN(D533,F533,G533,TRUE,TRUE),1,
ISBETWEEN(E533,F533,G533,TRUE,TRUE),1,
ISBETWEEN(F533,D533,E533,TRUE,TRUE),1,
ISBETWEEN(G533,D533,E533,TRUE,TRUE),1,
1,0)"),1.0)</f>
        <v>1</v>
      </c>
    </row>
    <row r="534">
      <c r="A534" s="2" t="s">
        <v>533</v>
      </c>
      <c r="B534" s="1" t="str">
        <f>IFERROR(__xludf.DUMMYFUNCTION("SPLIT(A534,"","",)"),"9-90")</f>
        <v>9-90</v>
      </c>
      <c r="C534" s="1" t="str">
        <f>IFERROR(__xludf.DUMMYFUNCTION("""COMPUTED_VALUE"""),"20-89")</f>
        <v>20-89</v>
      </c>
      <c r="D534" s="4">
        <f>IFERROR(__xludf.DUMMYFUNCTION("split(B534,""-"")"),9.0)</f>
        <v>9</v>
      </c>
      <c r="E534" s="4">
        <f>IFERROR(__xludf.DUMMYFUNCTION("""COMPUTED_VALUE"""),90.0)</f>
        <v>90</v>
      </c>
      <c r="F534" s="4">
        <f>IFERROR(__xludf.DUMMYFUNCTION("split(C534,""-"")"),20.0)</f>
        <v>20</v>
      </c>
      <c r="G534" s="4">
        <f>IFERROR(__xludf.DUMMYFUNCTION("""COMPUTED_VALUE"""),89.0)</f>
        <v>89</v>
      </c>
      <c r="H534" s="4">
        <f t="shared" si="1"/>
        <v>1</v>
      </c>
      <c r="J534" s="4">
        <f>IFERROR(__xludf.DUMMYFUNCTION("IFS(
ISBETWEEN(D534,F534,G534,TRUE,TRUE),1,
ISBETWEEN(E534,F534,G534,TRUE,TRUE),1,
ISBETWEEN(F534,D534,E534,TRUE,TRUE),1,
ISBETWEEN(G534,D534,E534,TRUE,TRUE),1,
1,0)"),1.0)</f>
        <v>1</v>
      </c>
    </row>
    <row r="535">
      <c r="A535" s="2" t="s">
        <v>534</v>
      </c>
      <c r="B535" s="1" t="str">
        <f>IFERROR(__xludf.DUMMYFUNCTION("SPLIT(A535,"","",)"),"79-80")</f>
        <v>79-80</v>
      </c>
      <c r="C535" s="1" t="str">
        <f>IFERROR(__xludf.DUMMYFUNCTION("""COMPUTED_VALUE"""),"38-80")</f>
        <v>38-80</v>
      </c>
      <c r="D535" s="4">
        <f>IFERROR(__xludf.DUMMYFUNCTION("split(B535,""-"")"),79.0)</f>
        <v>79</v>
      </c>
      <c r="E535" s="4">
        <f>IFERROR(__xludf.DUMMYFUNCTION("""COMPUTED_VALUE"""),80.0)</f>
        <v>80</v>
      </c>
      <c r="F535" s="4">
        <f>IFERROR(__xludf.DUMMYFUNCTION("split(C535,""-"")"),38.0)</f>
        <v>38</v>
      </c>
      <c r="G535" s="4">
        <f>IFERROR(__xludf.DUMMYFUNCTION("""COMPUTED_VALUE"""),80.0)</f>
        <v>80</v>
      </c>
      <c r="H535" s="4">
        <f t="shared" si="1"/>
        <v>1</v>
      </c>
      <c r="J535" s="4">
        <f>IFERROR(__xludf.DUMMYFUNCTION("IFS(
ISBETWEEN(D535,F535,G535,TRUE,TRUE),1,
ISBETWEEN(E535,F535,G535,TRUE,TRUE),1,
ISBETWEEN(F535,D535,E535,TRUE,TRUE),1,
ISBETWEEN(G535,D535,E535,TRUE,TRUE),1,
1,0)"),1.0)</f>
        <v>1</v>
      </c>
    </row>
    <row r="536">
      <c r="A536" s="2" t="s">
        <v>535</v>
      </c>
      <c r="B536" s="1" t="str">
        <f>IFERROR(__xludf.DUMMYFUNCTION("SPLIT(A536,"","",)"),"5-30")</f>
        <v>5-30</v>
      </c>
      <c r="C536" s="1" t="str">
        <f>IFERROR(__xludf.DUMMYFUNCTION("""COMPUTED_VALUE"""),"7-90")</f>
        <v>7-90</v>
      </c>
      <c r="D536" s="4">
        <f>IFERROR(__xludf.DUMMYFUNCTION("split(B536,""-"")"),5.0)</f>
        <v>5</v>
      </c>
      <c r="E536" s="4">
        <f>IFERROR(__xludf.DUMMYFUNCTION("""COMPUTED_VALUE"""),30.0)</f>
        <v>30</v>
      </c>
      <c r="F536" s="4">
        <f>IFERROR(__xludf.DUMMYFUNCTION("split(C536,""-"")"),7.0)</f>
        <v>7</v>
      </c>
      <c r="G536" s="4">
        <f>IFERROR(__xludf.DUMMYFUNCTION("""COMPUTED_VALUE"""),90.0)</f>
        <v>90</v>
      </c>
      <c r="H536" s="4">
        <f t="shared" si="1"/>
        <v>0</v>
      </c>
      <c r="J536" s="4">
        <f>IFERROR(__xludf.DUMMYFUNCTION("IFS(
ISBETWEEN(D536,F536,G536,TRUE,TRUE),1,
ISBETWEEN(E536,F536,G536,TRUE,TRUE),1,
ISBETWEEN(F536,D536,E536,TRUE,TRUE),1,
ISBETWEEN(G536,D536,E536,TRUE,TRUE),1,
1,0)"),1.0)</f>
        <v>1</v>
      </c>
    </row>
    <row r="537">
      <c r="A537" s="2" t="s">
        <v>536</v>
      </c>
      <c r="B537" s="1" t="str">
        <f>IFERROR(__xludf.DUMMYFUNCTION("SPLIT(A537,"","",)"),"10-84")</f>
        <v>10-84</v>
      </c>
      <c r="C537" s="1" t="str">
        <f>IFERROR(__xludf.DUMMYFUNCTION("""COMPUTED_VALUE"""),"10-83")</f>
        <v>10-83</v>
      </c>
      <c r="D537" s="4">
        <f>IFERROR(__xludf.DUMMYFUNCTION("split(B537,""-"")"),10.0)</f>
        <v>10</v>
      </c>
      <c r="E537" s="4">
        <f>IFERROR(__xludf.DUMMYFUNCTION("""COMPUTED_VALUE"""),84.0)</f>
        <v>84</v>
      </c>
      <c r="F537" s="4">
        <f>IFERROR(__xludf.DUMMYFUNCTION("split(C537,""-"")"),10.0)</f>
        <v>10</v>
      </c>
      <c r="G537" s="4">
        <f>IFERROR(__xludf.DUMMYFUNCTION("""COMPUTED_VALUE"""),83.0)</f>
        <v>83</v>
      </c>
      <c r="H537" s="4">
        <f t="shared" si="1"/>
        <v>1</v>
      </c>
      <c r="J537" s="4">
        <f>IFERROR(__xludf.DUMMYFUNCTION("IFS(
ISBETWEEN(D537,F537,G537,TRUE,TRUE),1,
ISBETWEEN(E537,F537,G537,TRUE,TRUE),1,
ISBETWEEN(F537,D537,E537,TRUE,TRUE),1,
ISBETWEEN(G537,D537,E537,TRUE,TRUE),1,
1,0)"),1.0)</f>
        <v>1</v>
      </c>
    </row>
    <row r="538">
      <c r="A538" s="2" t="s">
        <v>537</v>
      </c>
      <c r="B538" s="1" t="str">
        <f>IFERROR(__xludf.DUMMYFUNCTION("SPLIT(A538,"","",)"),"51-75")</f>
        <v>51-75</v>
      </c>
      <c r="C538" s="1" t="str">
        <f>IFERROR(__xludf.DUMMYFUNCTION("""COMPUTED_VALUE"""),"19-74")</f>
        <v>19-74</v>
      </c>
      <c r="D538" s="4">
        <f>IFERROR(__xludf.DUMMYFUNCTION("split(B538,""-"")"),51.0)</f>
        <v>51</v>
      </c>
      <c r="E538" s="4">
        <f>IFERROR(__xludf.DUMMYFUNCTION("""COMPUTED_VALUE"""),75.0)</f>
        <v>75</v>
      </c>
      <c r="F538" s="4">
        <f>IFERROR(__xludf.DUMMYFUNCTION("split(C538,""-"")"),19.0)</f>
        <v>19</v>
      </c>
      <c r="G538" s="4">
        <f>IFERROR(__xludf.DUMMYFUNCTION("""COMPUTED_VALUE"""),74.0)</f>
        <v>74</v>
      </c>
      <c r="H538" s="4">
        <f t="shared" si="1"/>
        <v>0</v>
      </c>
      <c r="J538" s="4">
        <f>IFERROR(__xludf.DUMMYFUNCTION("IFS(
ISBETWEEN(D538,F538,G538,TRUE,TRUE),1,
ISBETWEEN(E538,F538,G538,TRUE,TRUE),1,
ISBETWEEN(F538,D538,E538,TRUE,TRUE),1,
ISBETWEEN(G538,D538,E538,TRUE,TRUE),1,
1,0)"),1.0)</f>
        <v>1</v>
      </c>
    </row>
    <row r="539">
      <c r="A539" s="2" t="s">
        <v>538</v>
      </c>
      <c r="B539" s="1" t="str">
        <f>IFERROR(__xludf.DUMMYFUNCTION("SPLIT(A539,"","",)"),"21-22")</f>
        <v>21-22</v>
      </c>
      <c r="C539" s="1" t="str">
        <f>IFERROR(__xludf.DUMMYFUNCTION("""COMPUTED_VALUE"""),"22-98")</f>
        <v>22-98</v>
      </c>
      <c r="D539" s="4">
        <f>IFERROR(__xludf.DUMMYFUNCTION("split(B539,""-"")"),21.0)</f>
        <v>21</v>
      </c>
      <c r="E539" s="4">
        <f>IFERROR(__xludf.DUMMYFUNCTION("""COMPUTED_VALUE"""),22.0)</f>
        <v>22</v>
      </c>
      <c r="F539" s="4">
        <f>IFERROR(__xludf.DUMMYFUNCTION("split(C539,""-"")"),22.0)</f>
        <v>22</v>
      </c>
      <c r="G539" s="4">
        <f>IFERROR(__xludf.DUMMYFUNCTION("""COMPUTED_VALUE"""),98.0)</f>
        <v>98</v>
      </c>
      <c r="H539" s="4">
        <f t="shared" si="1"/>
        <v>0</v>
      </c>
      <c r="J539" s="4">
        <f>IFERROR(__xludf.DUMMYFUNCTION("IFS(
ISBETWEEN(D539,F539,G539,TRUE,TRUE),1,
ISBETWEEN(E539,F539,G539,TRUE,TRUE),1,
ISBETWEEN(F539,D539,E539,TRUE,TRUE),1,
ISBETWEEN(G539,D539,E539,TRUE,TRUE),1,
1,0)"),1.0)</f>
        <v>1</v>
      </c>
    </row>
    <row r="540">
      <c r="A540" s="2" t="s">
        <v>539</v>
      </c>
      <c r="B540" s="1" t="str">
        <f>IFERROR(__xludf.DUMMYFUNCTION("SPLIT(A540,"","",)"),"1-37")</f>
        <v>1-37</v>
      </c>
      <c r="C540" s="1" t="str">
        <f>IFERROR(__xludf.DUMMYFUNCTION("""COMPUTED_VALUE"""),"37-38")</f>
        <v>37-38</v>
      </c>
      <c r="D540" s="4">
        <f>IFERROR(__xludf.DUMMYFUNCTION("split(B540,""-"")"),1.0)</f>
        <v>1</v>
      </c>
      <c r="E540" s="4">
        <f>IFERROR(__xludf.DUMMYFUNCTION("""COMPUTED_VALUE"""),37.0)</f>
        <v>37</v>
      </c>
      <c r="F540" s="4">
        <f>IFERROR(__xludf.DUMMYFUNCTION("split(C540,""-"")"),37.0)</f>
        <v>37</v>
      </c>
      <c r="G540" s="4">
        <f>IFERROR(__xludf.DUMMYFUNCTION("""COMPUTED_VALUE"""),38.0)</f>
        <v>38</v>
      </c>
      <c r="H540" s="4">
        <f t="shared" si="1"/>
        <v>0</v>
      </c>
      <c r="J540" s="4">
        <f>IFERROR(__xludf.DUMMYFUNCTION("IFS(
ISBETWEEN(D540,F540,G540,TRUE,TRUE),1,
ISBETWEEN(E540,F540,G540,TRUE,TRUE),1,
ISBETWEEN(F540,D540,E540,TRUE,TRUE),1,
ISBETWEEN(G540,D540,E540,TRUE,TRUE),1,
1,0)"),1.0)</f>
        <v>1</v>
      </c>
    </row>
    <row r="541">
      <c r="A541" s="2" t="s">
        <v>540</v>
      </c>
      <c r="B541" s="1" t="str">
        <f>IFERROR(__xludf.DUMMYFUNCTION("SPLIT(A541,"","",)"),"6-92")</f>
        <v>6-92</v>
      </c>
      <c r="C541" s="3">
        <f>IFERROR(__xludf.DUMMYFUNCTION("""COMPUTED_VALUE"""),44716.0)</f>
        <v>44716</v>
      </c>
      <c r="D541" s="4">
        <f>IFERROR(__xludf.DUMMYFUNCTION("split(B541,""-"")"),6.0)</f>
        <v>6</v>
      </c>
      <c r="E541" s="4">
        <f>IFERROR(__xludf.DUMMYFUNCTION("""COMPUTED_VALUE"""),92.0)</f>
        <v>92</v>
      </c>
      <c r="F541" s="4">
        <f>IFERROR(__xludf.DUMMYFUNCTION("split(C541,""-"")"),4.0)</f>
        <v>4</v>
      </c>
      <c r="G541" s="4">
        <f>IFERROR(__xludf.DUMMYFUNCTION("""COMPUTED_VALUE"""),6.0)</f>
        <v>6</v>
      </c>
      <c r="H541" s="4">
        <f t="shared" si="1"/>
        <v>0</v>
      </c>
      <c r="J541" s="4">
        <f>IFERROR(__xludf.DUMMYFUNCTION("IFS(
ISBETWEEN(D541,F541,G541,TRUE,TRUE),1,
ISBETWEEN(E541,F541,G541,TRUE,TRUE),1,
ISBETWEEN(F541,D541,E541,TRUE,TRUE),1,
ISBETWEEN(G541,D541,E541,TRUE,TRUE),1,
1,0)"),1.0)</f>
        <v>1</v>
      </c>
    </row>
    <row r="542">
      <c r="A542" s="2" t="s">
        <v>541</v>
      </c>
      <c r="B542" s="1" t="str">
        <f>IFERROR(__xludf.DUMMYFUNCTION("SPLIT(A542,"","",)"),"35-37")</f>
        <v>35-37</v>
      </c>
      <c r="C542" s="1" t="str">
        <f>IFERROR(__xludf.DUMMYFUNCTION("""COMPUTED_VALUE"""),"36-82")</f>
        <v>36-82</v>
      </c>
      <c r="D542" s="4">
        <f>IFERROR(__xludf.DUMMYFUNCTION("split(B542,""-"")"),35.0)</f>
        <v>35</v>
      </c>
      <c r="E542" s="4">
        <f>IFERROR(__xludf.DUMMYFUNCTION("""COMPUTED_VALUE"""),37.0)</f>
        <v>37</v>
      </c>
      <c r="F542" s="4">
        <f>IFERROR(__xludf.DUMMYFUNCTION("split(C542,""-"")"),36.0)</f>
        <v>36</v>
      </c>
      <c r="G542" s="4">
        <f>IFERROR(__xludf.DUMMYFUNCTION("""COMPUTED_VALUE"""),82.0)</f>
        <v>82</v>
      </c>
      <c r="H542" s="4">
        <f t="shared" si="1"/>
        <v>0</v>
      </c>
      <c r="J542" s="4">
        <f>IFERROR(__xludf.DUMMYFUNCTION("IFS(
ISBETWEEN(D542,F542,G542,TRUE,TRUE),1,
ISBETWEEN(E542,F542,G542,TRUE,TRUE),1,
ISBETWEEN(F542,D542,E542,TRUE,TRUE),1,
ISBETWEEN(G542,D542,E542,TRUE,TRUE),1,
1,0)"),1.0)</f>
        <v>1</v>
      </c>
    </row>
    <row r="543">
      <c r="A543" s="2" t="s">
        <v>542</v>
      </c>
      <c r="B543" s="1" t="str">
        <f>IFERROR(__xludf.DUMMYFUNCTION("SPLIT(A543,"","",)"),"1-93")</f>
        <v>1-93</v>
      </c>
      <c r="C543" s="1" t="str">
        <f>IFERROR(__xludf.DUMMYFUNCTION("""COMPUTED_VALUE"""),"93-93")</f>
        <v>93-93</v>
      </c>
      <c r="D543" s="4">
        <f>IFERROR(__xludf.DUMMYFUNCTION("split(B543,""-"")"),1.0)</f>
        <v>1</v>
      </c>
      <c r="E543" s="4">
        <f>IFERROR(__xludf.DUMMYFUNCTION("""COMPUTED_VALUE"""),93.0)</f>
        <v>93</v>
      </c>
      <c r="F543" s="4">
        <f>IFERROR(__xludf.DUMMYFUNCTION("split(C543,""-"")"),93.0)</f>
        <v>93</v>
      </c>
      <c r="G543" s="4">
        <f>IFERROR(__xludf.DUMMYFUNCTION("""COMPUTED_VALUE"""),93.0)</f>
        <v>93</v>
      </c>
      <c r="H543" s="4">
        <f t="shared" si="1"/>
        <v>1</v>
      </c>
      <c r="J543" s="4">
        <f>IFERROR(__xludf.DUMMYFUNCTION("IFS(
ISBETWEEN(D543,F543,G543,TRUE,TRUE),1,
ISBETWEEN(E543,F543,G543,TRUE,TRUE),1,
ISBETWEEN(F543,D543,E543,TRUE,TRUE),1,
ISBETWEEN(G543,D543,E543,TRUE,TRUE),1,
1,0)"),1.0)</f>
        <v>1</v>
      </c>
    </row>
    <row r="544">
      <c r="A544" s="2" t="s">
        <v>543</v>
      </c>
      <c r="B544" s="1" t="str">
        <f>IFERROR(__xludf.DUMMYFUNCTION("SPLIT(A544,"","",)"),"58-95")</f>
        <v>58-95</v>
      </c>
      <c r="C544" s="1" t="str">
        <f>IFERROR(__xludf.DUMMYFUNCTION("""COMPUTED_VALUE"""),"35-68")</f>
        <v>35-68</v>
      </c>
      <c r="D544" s="4">
        <f>IFERROR(__xludf.DUMMYFUNCTION("split(B544,""-"")"),58.0)</f>
        <v>58</v>
      </c>
      <c r="E544" s="4">
        <f>IFERROR(__xludf.DUMMYFUNCTION("""COMPUTED_VALUE"""),95.0)</f>
        <v>95</v>
      </c>
      <c r="F544" s="4">
        <f>IFERROR(__xludf.DUMMYFUNCTION("split(C544,""-"")"),35.0)</f>
        <v>35</v>
      </c>
      <c r="G544" s="4">
        <f>IFERROR(__xludf.DUMMYFUNCTION("""COMPUTED_VALUE"""),68.0)</f>
        <v>68</v>
      </c>
      <c r="H544" s="4">
        <f t="shared" si="1"/>
        <v>0</v>
      </c>
      <c r="J544" s="4">
        <f>IFERROR(__xludf.DUMMYFUNCTION("IFS(
ISBETWEEN(D544,F544,G544,TRUE,TRUE),1,
ISBETWEEN(E544,F544,G544,TRUE,TRUE),1,
ISBETWEEN(F544,D544,E544,TRUE,TRUE),1,
ISBETWEEN(G544,D544,E544,TRUE,TRUE),1,
1,0)"),1.0)</f>
        <v>1</v>
      </c>
    </row>
    <row r="545">
      <c r="A545" s="2" t="s">
        <v>544</v>
      </c>
      <c r="B545" s="1" t="str">
        <f>IFERROR(__xludf.DUMMYFUNCTION("SPLIT(A545,"","",)"),"20-85")</f>
        <v>20-85</v>
      </c>
      <c r="C545" s="1" t="str">
        <f>IFERROR(__xludf.DUMMYFUNCTION("""COMPUTED_VALUE"""),"20-81")</f>
        <v>20-81</v>
      </c>
      <c r="D545" s="4">
        <f>IFERROR(__xludf.DUMMYFUNCTION("split(B545,""-"")"),20.0)</f>
        <v>20</v>
      </c>
      <c r="E545" s="4">
        <f>IFERROR(__xludf.DUMMYFUNCTION("""COMPUTED_VALUE"""),85.0)</f>
        <v>85</v>
      </c>
      <c r="F545" s="4">
        <f>IFERROR(__xludf.DUMMYFUNCTION("split(C545,""-"")"),20.0)</f>
        <v>20</v>
      </c>
      <c r="G545" s="4">
        <f>IFERROR(__xludf.DUMMYFUNCTION("""COMPUTED_VALUE"""),81.0)</f>
        <v>81</v>
      </c>
      <c r="H545" s="4">
        <f t="shared" si="1"/>
        <v>1</v>
      </c>
      <c r="J545" s="4">
        <f>IFERROR(__xludf.DUMMYFUNCTION("IFS(
ISBETWEEN(D545,F545,G545,TRUE,TRUE),1,
ISBETWEEN(E545,F545,G545,TRUE,TRUE),1,
ISBETWEEN(F545,D545,E545,TRUE,TRUE),1,
ISBETWEEN(G545,D545,E545,TRUE,TRUE),1,
1,0)"),1.0)</f>
        <v>1</v>
      </c>
    </row>
    <row r="546">
      <c r="A546" s="2" t="s">
        <v>545</v>
      </c>
      <c r="B546" s="1" t="str">
        <f>IFERROR(__xludf.DUMMYFUNCTION("SPLIT(A546,"","",)"),"1-85")</f>
        <v>1-85</v>
      </c>
      <c r="C546" s="1" t="str">
        <f>IFERROR(__xludf.DUMMYFUNCTION("""COMPUTED_VALUE"""),"1-93")</f>
        <v>1-93</v>
      </c>
      <c r="D546" s="4">
        <f>IFERROR(__xludf.DUMMYFUNCTION("split(B546,""-"")"),1.0)</f>
        <v>1</v>
      </c>
      <c r="E546" s="4">
        <f>IFERROR(__xludf.DUMMYFUNCTION("""COMPUTED_VALUE"""),85.0)</f>
        <v>85</v>
      </c>
      <c r="F546" s="4">
        <f>IFERROR(__xludf.DUMMYFUNCTION("split(C546,""-"")"),1.0)</f>
        <v>1</v>
      </c>
      <c r="G546" s="4">
        <f>IFERROR(__xludf.DUMMYFUNCTION("""COMPUTED_VALUE"""),93.0)</f>
        <v>93</v>
      </c>
      <c r="H546" s="4">
        <f t="shared" si="1"/>
        <v>1</v>
      </c>
      <c r="J546" s="4">
        <f>IFERROR(__xludf.DUMMYFUNCTION("IFS(
ISBETWEEN(D546,F546,G546,TRUE,TRUE),1,
ISBETWEEN(E546,F546,G546,TRUE,TRUE),1,
ISBETWEEN(F546,D546,E546,TRUE,TRUE),1,
ISBETWEEN(G546,D546,E546,TRUE,TRUE),1,
1,0)"),1.0)</f>
        <v>1</v>
      </c>
    </row>
    <row r="547">
      <c r="A547" s="2" t="s">
        <v>546</v>
      </c>
      <c r="B547" s="1" t="str">
        <f>IFERROR(__xludf.DUMMYFUNCTION("SPLIT(A547,"","",)"),"22-50")</f>
        <v>22-50</v>
      </c>
      <c r="C547" s="1" t="str">
        <f>IFERROR(__xludf.DUMMYFUNCTION("""COMPUTED_VALUE"""),"21-51")</f>
        <v>21-51</v>
      </c>
      <c r="D547" s="4">
        <f>IFERROR(__xludf.DUMMYFUNCTION("split(B547,""-"")"),22.0)</f>
        <v>22</v>
      </c>
      <c r="E547" s="4">
        <f>IFERROR(__xludf.DUMMYFUNCTION("""COMPUTED_VALUE"""),50.0)</f>
        <v>50</v>
      </c>
      <c r="F547" s="4">
        <f>IFERROR(__xludf.DUMMYFUNCTION("split(C547,""-"")"),21.0)</f>
        <v>21</v>
      </c>
      <c r="G547" s="4">
        <f>IFERROR(__xludf.DUMMYFUNCTION("""COMPUTED_VALUE"""),51.0)</f>
        <v>51</v>
      </c>
      <c r="H547" s="4">
        <f t="shared" si="1"/>
        <v>1</v>
      </c>
      <c r="J547" s="4">
        <f>IFERROR(__xludf.DUMMYFUNCTION("IFS(
ISBETWEEN(D547,F547,G547,TRUE,TRUE),1,
ISBETWEEN(E547,F547,G547,TRUE,TRUE),1,
ISBETWEEN(F547,D547,E547,TRUE,TRUE),1,
ISBETWEEN(G547,D547,E547,TRUE,TRUE),1,
1,0)"),1.0)</f>
        <v>1</v>
      </c>
    </row>
    <row r="548">
      <c r="A548" s="2" t="s">
        <v>547</v>
      </c>
      <c r="B548" s="1" t="str">
        <f>IFERROR(__xludf.DUMMYFUNCTION("SPLIT(A548,"","",)"),"44-84")</f>
        <v>44-84</v>
      </c>
      <c r="C548" s="1" t="str">
        <f>IFERROR(__xludf.DUMMYFUNCTION("""COMPUTED_VALUE"""),"43-87")</f>
        <v>43-87</v>
      </c>
      <c r="D548" s="4">
        <f>IFERROR(__xludf.DUMMYFUNCTION("split(B548,""-"")"),44.0)</f>
        <v>44</v>
      </c>
      <c r="E548" s="4">
        <f>IFERROR(__xludf.DUMMYFUNCTION("""COMPUTED_VALUE"""),84.0)</f>
        <v>84</v>
      </c>
      <c r="F548" s="4">
        <f>IFERROR(__xludf.DUMMYFUNCTION("split(C548,""-"")"),43.0)</f>
        <v>43</v>
      </c>
      <c r="G548" s="4">
        <f>IFERROR(__xludf.DUMMYFUNCTION("""COMPUTED_VALUE"""),87.0)</f>
        <v>87</v>
      </c>
      <c r="H548" s="4">
        <f t="shared" si="1"/>
        <v>1</v>
      </c>
      <c r="J548" s="4">
        <f>IFERROR(__xludf.DUMMYFUNCTION("IFS(
ISBETWEEN(D548,F548,G548,TRUE,TRUE),1,
ISBETWEEN(E548,F548,G548,TRUE,TRUE),1,
ISBETWEEN(F548,D548,E548,TRUE,TRUE),1,
ISBETWEEN(G548,D548,E548,TRUE,TRUE),1,
1,0)"),1.0)</f>
        <v>1</v>
      </c>
    </row>
    <row r="549">
      <c r="A549" s="2" t="s">
        <v>548</v>
      </c>
      <c r="B549" s="1" t="str">
        <f>IFERROR(__xludf.DUMMYFUNCTION("SPLIT(A549,"","",)"),"58-63")</f>
        <v>58-63</v>
      </c>
      <c r="C549" s="1" t="str">
        <f>IFERROR(__xludf.DUMMYFUNCTION("""COMPUTED_VALUE"""),"58-79")</f>
        <v>58-79</v>
      </c>
      <c r="D549" s="4">
        <f>IFERROR(__xludf.DUMMYFUNCTION("split(B549,""-"")"),58.0)</f>
        <v>58</v>
      </c>
      <c r="E549" s="4">
        <f>IFERROR(__xludf.DUMMYFUNCTION("""COMPUTED_VALUE"""),63.0)</f>
        <v>63</v>
      </c>
      <c r="F549" s="4">
        <f>IFERROR(__xludf.DUMMYFUNCTION("split(C549,""-"")"),58.0)</f>
        <v>58</v>
      </c>
      <c r="G549" s="4">
        <f>IFERROR(__xludf.DUMMYFUNCTION("""COMPUTED_VALUE"""),79.0)</f>
        <v>79</v>
      </c>
      <c r="H549" s="4">
        <f t="shared" si="1"/>
        <v>1</v>
      </c>
      <c r="J549" s="4">
        <f>IFERROR(__xludf.DUMMYFUNCTION("IFS(
ISBETWEEN(D549,F549,G549,TRUE,TRUE),1,
ISBETWEEN(E549,F549,G549,TRUE,TRUE),1,
ISBETWEEN(F549,D549,E549,TRUE,TRUE),1,
ISBETWEEN(G549,D549,E549,TRUE,TRUE),1,
1,0)"),1.0)</f>
        <v>1</v>
      </c>
    </row>
    <row r="550">
      <c r="A550" s="2" t="s">
        <v>549</v>
      </c>
      <c r="B550" s="1" t="str">
        <f>IFERROR(__xludf.DUMMYFUNCTION("SPLIT(A550,"","",)"),"59-60")</f>
        <v>59-60</v>
      </c>
      <c r="C550" s="1" t="str">
        <f>IFERROR(__xludf.DUMMYFUNCTION("""COMPUTED_VALUE"""),"58-59")</f>
        <v>58-59</v>
      </c>
      <c r="D550" s="4">
        <f>IFERROR(__xludf.DUMMYFUNCTION("split(B550,""-"")"),59.0)</f>
        <v>59</v>
      </c>
      <c r="E550" s="4">
        <f>IFERROR(__xludf.DUMMYFUNCTION("""COMPUTED_VALUE"""),60.0)</f>
        <v>60</v>
      </c>
      <c r="F550" s="4">
        <f>IFERROR(__xludf.DUMMYFUNCTION("split(C550,""-"")"),58.0)</f>
        <v>58</v>
      </c>
      <c r="G550" s="4">
        <f>IFERROR(__xludf.DUMMYFUNCTION("""COMPUTED_VALUE"""),59.0)</f>
        <v>59</v>
      </c>
      <c r="H550" s="4">
        <f t="shared" si="1"/>
        <v>0</v>
      </c>
      <c r="J550" s="4">
        <f>IFERROR(__xludf.DUMMYFUNCTION("IFS(
ISBETWEEN(D550,F550,G550,TRUE,TRUE),1,
ISBETWEEN(E550,F550,G550,TRUE,TRUE),1,
ISBETWEEN(F550,D550,E550,TRUE,TRUE),1,
ISBETWEEN(G550,D550,E550,TRUE,TRUE),1,
1,0)"),1.0)</f>
        <v>1</v>
      </c>
    </row>
    <row r="551">
      <c r="A551" s="2" t="s">
        <v>550</v>
      </c>
      <c r="B551" s="1" t="str">
        <f>IFERROR(__xludf.DUMMYFUNCTION("SPLIT(A551,"","",)"),"35-47")</f>
        <v>35-47</v>
      </c>
      <c r="C551" s="1" t="str">
        <f>IFERROR(__xludf.DUMMYFUNCTION("""COMPUTED_VALUE"""),"35-36")</f>
        <v>35-36</v>
      </c>
      <c r="D551" s="4">
        <f>IFERROR(__xludf.DUMMYFUNCTION("split(B551,""-"")"),35.0)</f>
        <v>35</v>
      </c>
      <c r="E551" s="4">
        <f>IFERROR(__xludf.DUMMYFUNCTION("""COMPUTED_VALUE"""),47.0)</f>
        <v>47</v>
      </c>
      <c r="F551" s="4">
        <f>IFERROR(__xludf.DUMMYFUNCTION("split(C551,""-"")"),35.0)</f>
        <v>35</v>
      </c>
      <c r="G551" s="4">
        <f>IFERROR(__xludf.DUMMYFUNCTION("""COMPUTED_VALUE"""),36.0)</f>
        <v>36</v>
      </c>
      <c r="H551" s="4">
        <f t="shared" si="1"/>
        <v>1</v>
      </c>
      <c r="J551" s="4">
        <f>IFERROR(__xludf.DUMMYFUNCTION("IFS(
ISBETWEEN(D551,F551,G551,TRUE,TRUE),1,
ISBETWEEN(E551,F551,G551,TRUE,TRUE),1,
ISBETWEEN(F551,D551,E551,TRUE,TRUE),1,
ISBETWEEN(G551,D551,E551,TRUE,TRUE),1,
1,0)"),1.0)</f>
        <v>1</v>
      </c>
    </row>
    <row r="552">
      <c r="A552" s="2" t="s">
        <v>551</v>
      </c>
      <c r="B552" s="1" t="str">
        <f>IFERROR(__xludf.DUMMYFUNCTION("SPLIT(A552,"","",)"),"19-28")</f>
        <v>19-28</v>
      </c>
      <c r="C552" s="1" t="str">
        <f>IFERROR(__xludf.DUMMYFUNCTION("""COMPUTED_VALUE"""),"9-19")</f>
        <v>9-19</v>
      </c>
      <c r="D552" s="4">
        <f>IFERROR(__xludf.DUMMYFUNCTION("split(B552,""-"")"),19.0)</f>
        <v>19</v>
      </c>
      <c r="E552" s="4">
        <f>IFERROR(__xludf.DUMMYFUNCTION("""COMPUTED_VALUE"""),28.0)</f>
        <v>28</v>
      </c>
      <c r="F552" s="4">
        <f>IFERROR(__xludf.DUMMYFUNCTION("split(C552,""-"")"),9.0)</f>
        <v>9</v>
      </c>
      <c r="G552" s="4">
        <f>IFERROR(__xludf.DUMMYFUNCTION("""COMPUTED_VALUE"""),19.0)</f>
        <v>19</v>
      </c>
      <c r="H552" s="4">
        <f t="shared" si="1"/>
        <v>0</v>
      </c>
      <c r="J552" s="4">
        <f>IFERROR(__xludf.DUMMYFUNCTION("IFS(
ISBETWEEN(D552,F552,G552,TRUE,TRUE),1,
ISBETWEEN(E552,F552,G552,TRUE,TRUE),1,
ISBETWEEN(F552,D552,E552,TRUE,TRUE),1,
ISBETWEEN(G552,D552,E552,TRUE,TRUE),1,
1,0)"),1.0)</f>
        <v>1</v>
      </c>
    </row>
    <row r="553">
      <c r="A553" s="2" t="s">
        <v>552</v>
      </c>
      <c r="B553" s="1" t="str">
        <f>IFERROR(__xludf.DUMMYFUNCTION("SPLIT(A553,"","",)"),"33-59")</f>
        <v>33-59</v>
      </c>
      <c r="C553" s="1" t="str">
        <f>IFERROR(__xludf.DUMMYFUNCTION("""COMPUTED_VALUE"""),"32-60")</f>
        <v>32-60</v>
      </c>
      <c r="D553" s="4">
        <f>IFERROR(__xludf.DUMMYFUNCTION("split(B553,""-"")"),33.0)</f>
        <v>33</v>
      </c>
      <c r="E553" s="4">
        <f>IFERROR(__xludf.DUMMYFUNCTION("""COMPUTED_VALUE"""),59.0)</f>
        <v>59</v>
      </c>
      <c r="F553" s="4">
        <f>IFERROR(__xludf.DUMMYFUNCTION("split(C553,""-"")"),32.0)</f>
        <v>32</v>
      </c>
      <c r="G553" s="4">
        <f>IFERROR(__xludf.DUMMYFUNCTION("""COMPUTED_VALUE"""),60.0)</f>
        <v>60</v>
      </c>
      <c r="H553" s="4">
        <f t="shared" si="1"/>
        <v>1</v>
      </c>
      <c r="J553" s="4">
        <f>IFERROR(__xludf.DUMMYFUNCTION("IFS(
ISBETWEEN(D553,F553,G553,TRUE,TRUE),1,
ISBETWEEN(E553,F553,G553,TRUE,TRUE),1,
ISBETWEEN(F553,D553,E553,TRUE,TRUE),1,
ISBETWEEN(G553,D553,E553,TRUE,TRUE),1,
1,0)"),1.0)</f>
        <v>1</v>
      </c>
    </row>
    <row r="554">
      <c r="A554" s="2" t="s">
        <v>553</v>
      </c>
      <c r="B554" s="1" t="str">
        <f>IFERROR(__xludf.DUMMYFUNCTION("SPLIT(A554,"","",)"),"6-97")</f>
        <v>6-97</v>
      </c>
      <c r="C554" s="1" t="str">
        <f>IFERROR(__xludf.DUMMYFUNCTION("""COMPUTED_VALUE"""),"6-81")</f>
        <v>6-81</v>
      </c>
      <c r="D554" s="4">
        <f>IFERROR(__xludf.DUMMYFUNCTION("split(B554,""-"")"),6.0)</f>
        <v>6</v>
      </c>
      <c r="E554" s="4">
        <f>IFERROR(__xludf.DUMMYFUNCTION("""COMPUTED_VALUE"""),97.0)</f>
        <v>97</v>
      </c>
      <c r="F554" s="4">
        <f>IFERROR(__xludf.DUMMYFUNCTION("split(C554,""-"")"),6.0)</f>
        <v>6</v>
      </c>
      <c r="G554" s="4">
        <f>IFERROR(__xludf.DUMMYFUNCTION("""COMPUTED_VALUE"""),81.0)</f>
        <v>81</v>
      </c>
      <c r="H554" s="4">
        <f t="shared" si="1"/>
        <v>1</v>
      </c>
      <c r="J554" s="4">
        <f>IFERROR(__xludf.DUMMYFUNCTION("IFS(
ISBETWEEN(D554,F554,G554,TRUE,TRUE),1,
ISBETWEEN(E554,F554,G554,TRUE,TRUE),1,
ISBETWEEN(F554,D554,E554,TRUE,TRUE),1,
ISBETWEEN(G554,D554,E554,TRUE,TRUE),1,
1,0)"),1.0)</f>
        <v>1</v>
      </c>
    </row>
    <row r="555">
      <c r="A555" s="2" t="s">
        <v>554</v>
      </c>
      <c r="B555" s="1" t="str">
        <f>IFERROR(__xludf.DUMMYFUNCTION("SPLIT(A555,"","",)"),"89-90")</f>
        <v>89-90</v>
      </c>
      <c r="C555" s="1" t="str">
        <f>IFERROR(__xludf.DUMMYFUNCTION("""COMPUTED_VALUE"""),"21-90")</f>
        <v>21-90</v>
      </c>
      <c r="D555" s="4">
        <f>IFERROR(__xludf.DUMMYFUNCTION("split(B555,""-"")"),89.0)</f>
        <v>89</v>
      </c>
      <c r="E555" s="4">
        <f>IFERROR(__xludf.DUMMYFUNCTION("""COMPUTED_VALUE"""),90.0)</f>
        <v>90</v>
      </c>
      <c r="F555" s="4">
        <f>IFERROR(__xludf.DUMMYFUNCTION("split(C555,""-"")"),21.0)</f>
        <v>21</v>
      </c>
      <c r="G555" s="4">
        <f>IFERROR(__xludf.DUMMYFUNCTION("""COMPUTED_VALUE"""),90.0)</f>
        <v>90</v>
      </c>
      <c r="H555" s="4">
        <f t="shared" si="1"/>
        <v>1</v>
      </c>
      <c r="J555" s="4">
        <f>IFERROR(__xludf.DUMMYFUNCTION("IFS(
ISBETWEEN(D555,F555,G555,TRUE,TRUE),1,
ISBETWEEN(E555,F555,G555,TRUE,TRUE),1,
ISBETWEEN(F555,D555,E555,TRUE,TRUE),1,
ISBETWEEN(G555,D555,E555,TRUE,TRUE),1,
1,0)"),1.0)</f>
        <v>1</v>
      </c>
    </row>
    <row r="556">
      <c r="A556" s="2" t="s">
        <v>555</v>
      </c>
      <c r="B556" s="1" t="str">
        <f>IFERROR(__xludf.DUMMYFUNCTION("SPLIT(A556,"","",)"),"97-99")</f>
        <v>97-99</v>
      </c>
      <c r="C556" s="1" t="str">
        <f>IFERROR(__xludf.DUMMYFUNCTION("""COMPUTED_VALUE"""),"48-89")</f>
        <v>48-89</v>
      </c>
      <c r="D556" s="4">
        <f>IFERROR(__xludf.DUMMYFUNCTION("split(B556,""-"")"),97.0)</f>
        <v>97</v>
      </c>
      <c r="E556" s="4">
        <f>IFERROR(__xludf.DUMMYFUNCTION("""COMPUTED_VALUE"""),99.0)</f>
        <v>99</v>
      </c>
      <c r="F556" s="4">
        <f>IFERROR(__xludf.DUMMYFUNCTION("split(C556,""-"")"),48.0)</f>
        <v>48</v>
      </c>
      <c r="G556" s="4">
        <f>IFERROR(__xludf.DUMMYFUNCTION("""COMPUTED_VALUE"""),89.0)</f>
        <v>89</v>
      </c>
      <c r="H556" s="4">
        <f t="shared" si="1"/>
        <v>0</v>
      </c>
      <c r="J556" s="4">
        <f>IFERROR(__xludf.DUMMYFUNCTION("IFS(
ISBETWEEN(D556,F556,G556,TRUE,TRUE),1,
ISBETWEEN(E556,F556,G556,TRUE,TRUE),1,
ISBETWEEN(F556,D556,E556,TRUE,TRUE),1,
ISBETWEEN(G556,D556,E556,TRUE,TRUE),1,
1,0)"),0.0)</f>
        <v>0</v>
      </c>
    </row>
    <row r="557">
      <c r="A557" s="2" t="s">
        <v>556</v>
      </c>
      <c r="B557" s="1" t="str">
        <f>IFERROR(__xludf.DUMMYFUNCTION("SPLIT(A557,"","",)"),"2-67")</f>
        <v>2-67</v>
      </c>
      <c r="C557" s="1" t="str">
        <f>IFERROR(__xludf.DUMMYFUNCTION("""COMPUTED_VALUE"""),"2-68")</f>
        <v>2-68</v>
      </c>
      <c r="D557" s="4">
        <f>IFERROR(__xludf.DUMMYFUNCTION("split(B557,""-"")"),2.0)</f>
        <v>2</v>
      </c>
      <c r="E557" s="4">
        <f>IFERROR(__xludf.DUMMYFUNCTION("""COMPUTED_VALUE"""),67.0)</f>
        <v>67</v>
      </c>
      <c r="F557" s="4">
        <f>IFERROR(__xludf.DUMMYFUNCTION("split(C557,""-"")"),2.0)</f>
        <v>2</v>
      </c>
      <c r="G557" s="4">
        <f>IFERROR(__xludf.DUMMYFUNCTION("""COMPUTED_VALUE"""),68.0)</f>
        <v>68</v>
      </c>
      <c r="H557" s="4">
        <f t="shared" si="1"/>
        <v>1</v>
      </c>
      <c r="J557" s="4">
        <f>IFERROR(__xludf.DUMMYFUNCTION("IFS(
ISBETWEEN(D557,F557,G557,TRUE,TRUE),1,
ISBETWEEN(E557,F557,G557,TRUE,TRUE),1,
ISBETWEEN(F557,D557,E557,TRUE,TRUE),1,
ISBETWEEN(G557,D557,E557,TRUE,TRUE),1,
1,0)"),1.0)</f>
        <v>1</v>
      </c>
    </row>
    <row r="558">
      <c r="A558" s="2" t="s">
        <v>557</v>
      </c>
      <c r="B558" s="1" t="str">
        <f>IFERROR(__xludf.DUMMYFUNCTION("SPLIT(A558,"","",)"),"14-97")</f>
        <v>14-97</v>
      </c>
      <c r="C558" s="1" t="str">
        <f>IFERROR(__xludf.DUMMYFUNCTION("""COMPUTED_VALUE"""),"13-97")</f>
        <v>13-97</v>
      </c>
      <c r="D558" s="4">
        <f>IFERROR(__xludf.DUMMYFUNCTION("split(B558,""-"")"),14.0)</f>
        <v>14</v>
      </c>
      <c r="E558" s="4">
        <f>IFERROR(__xludf.DUMMYFUNCTION("""COMPUTED_VALUE"""),97.0)</f>
        <v>97</v>
      </c>
      <c r="F558" s="4">
        <f>IFERROR(__xludf.DUMMYFUNCTION("split(C558,""-"")"),13.0)</f>
        <v>13</v>
      </c>
      <c r="G558" s="4">
        <f>IFERROR(__xludf.DUMMYFUNCTION("""COMPUTED_VALUE"""),97.0)</f>
        <v>97</v>
      </c>
      <c r="H558" s="4">
        <f t="shared" si="1"/>
        <v>1</v>
      </c>
      <c r="J558" s="4">
        <f>IFERROR(__xludf.DUMMYFUNCTION("IFS(
ISBETWEEN(D558,F558,G558,TRUE,TRUE),1,
ISBETWEEN(E558,F558,G558,TRUE,TRUE),1,
ISBETWEEN(F558,D558,E558,TRUE,TRUE),1,
ISBETWEEN(G558,D558,E558,TRUE,TRUE),1,
1,0)"),1.0)</f>
        <v>1</v>
      </c>
    </row>
    <row r="559">
      <c r="A559" s="2" t="s">
        <v>558</v>
      </c>
      <c r="B559" s="1" t="str">
        <f>IFERROR(__xludf.DUMMYFUNCTION("SPLIT(A559,"","",)"),"6-29")</f>
        <v>6-29</v>
      </c>
      <c r="C559" s="1" t="str">
        <f>IFERROR(__xludf.DUMMYFUNCTION("""COMPUTED_VALUE"""),"28-28")</f>
        <v>28-28</v>
      </c>
      <c r="D559" s="4">
        <f>IFERROR(__xludf.DUMMYFUNCTION("split(B559,""-"")"),6.0)</f>
        <v>6</v>
      </c>
      <c r="E559" s="4">
        <f>IFERROR(__xludf.DUMMYFUNCTION("""COMPUTED_VALUE"""),29.0)</f>
        <v>29</v>
      </c>
      <c r="F559" s="4">
        <f>IFERROR(__xludf.DUMMYFUNCTION("split(C559,""-"")"),28.0)</f>
        <v>28</v>
      </c>
      <c r="G559" s="4">
        <f>IFERROR(__xludf.DUMMYFUNCTION("""COMPUTED_VALUE"""),28.0)</f>
        <v>28</v>
      </c>
      <c r="H559" s="4">
        <f t="shared" si="1"/>
        <v>1</v>
      </c>
      <c r="J559" s="4">
        <f>IFERROR(__xludf.DUMMYFUNCTION("IFS(
ISBETWEEN(D559,F559,G559,TRUE,TRUE),1,
ISBETWEEN(E559,F559,G559,TRUE,TRUE),1,
ISBETWEEN(F559,D559,E559,TRUE,TRUE),1,
ISBETWEEN(G559,D559,E559,TRUE,TRUE),1,
1,0)"),1.0)</f>
        <v>1</v>
      </c>
    </row>
    <row r="560">
      <c r="A560" s="2" t="s">
        <v>559</v>
      </c>
      <c r="B560" s="1" t="str">
        <f>IFERROR(__xludf.DUMMYFUNCTION("SPLIT(A560,"","",)"),"33-71")</f>
        <v>33-71</v>
      </c>
      <c r="C560" s="1" t="str">
        <f>IFERROR(__xludf.DUMMYFUNCTION("""COMPUTED_VALUE"""),"32-71")</f>
        <v>32-71</v>
      </c>
      <c r="D560" s="4">
        <f>IFERROR(__xludf.DUMMYFUNCTION("split(B560,""-"")"),33.0)</f>
        <v>33</v>
      </c>
      <c r="E560" s="4">
        <f>IFERROR(__xludf.DUMMYFUNCTION("""COMPUTED_VALUE"""),71.0)</f>
        <v>71</v>
      </c>
      <c r="F560" s="4">
        <f>IFERROR(__xludf.DUMMYFUNCTION("split(C560,""-"")"),32.0)</f>
        <v>32</v>
      </c>
      <c r="G560" s="4">
        <f>IFERROR(__xludf.DUMMYFUNCTION("""COMPUTED_VALUE"""),71.0)</f>
        <v>71</v>
      </c>
      <c r="H560" s="4">
        <f t="shared" si="1"/>
        <v>1</v>
      </c>
      <c r="J560" s="4">
        <f>IFERROR(__xludf.DUMMYFUNCTION("IFS(
ISBETWEEN(D560,F560,G560,TRUE,TRUE),1,
ISBETWEEN(E560,F560,G560,TRUE,TRUE),1,
ISBETWEEN(F560,D560,E560,TRUE,TRUE),1,
ISBETWEEN(G560,D560,E560,TRUE,TRUE),1,
1,0)"),1.0)</f>
        <v>1</v>
      </c>
    </row>
    <row r="561">
      <c r="A561" s="2" t="s">
        <v>560</v>
      </c>
      <c r="B561" s="1" t="str">
        <f>IFERROR(__xludf.DUMMYFUNCTION("SPLIT(A561,"","",)"),"35-89")</f>
        <v>35-89</v>
      </c>
      <c r="C561" s="1" t="str">
        <f>IFERROR(__xludf.DUMMYFUNCTION("""COMPUTED_VALUE"""),"92-93")</f>
        <v>92-93</v>
      </c>
      <c r="D561" s="4">
        <f>IFERROR(__xludf.DUMMYFUNCTION("split(B561,""-"")"),35.0)</f>
        <v>35</v>
      </c>
      <c r="E561" s="4">
        <f>IFERROR(__xludf.DUMMYFUNCTION("""COMPUTED_VALUE"""),89.0)</f>
        <v>89</v>
      </c>
      <c r="F561" s="4">
        <f>IFERROR(__xludf.DUMMYFUNCTION("split(C561,""-"")"),92.0)</f>
        <v>92</v>
      </c>
      <c r="G561" s="4">
        <f>IFERROR(__xludf.DUMMYFUNCTION("""COMPUTED_VALUE"""),93.0)</f>
        <v>93</v>
      </c>
      <c r="H561" s="4">
        <f t="shared" si="1"/>
        <v>0</v>
      </c>
      <c r="J561" s="4">
        <f>IFERROR(__xludf.DUMMYFUNCTION("IFS(
ISBETWEEN(D561,F561,G561,TRUE,TRUE),1,
ISBETWEEN(E561,F561,G561,TRUE,TRUE),1,
ISBETWEEN(F561,D561,E561,TRUE,TRUE),1,
ISBETWEEN(G561,D561,E561,TRUE,TRUE),1,
1,0)"),0.0)</f>
        <v>0</v>
      </c>
    </row>
    <row r="562">
      <c r="A562" s="2" t="s">
        <v>561</v>
      </c>
      <c r="B562" s="1" t="str">
        <f>IFERROR(__xludf.DUMMYFUNCTION("SPLIT(A562,"","",)"),"51-97")</f>
        <v>51-97</v>
      </c>
      <c r="C562" s="1" t="str">
        <f>IFERROR(__xludf.DUMMYFUNCTION("""COMPUTED_VALUE"""),"51-87")</f>
        <v>51-87</v>
      </c>
      <c r="D562" s="4">
        <f>IFERROR(__xludf.DUMMYFUNCTION("split(B562,""-"")"),51.0)</f>
        <v>51</v>
      </c>
      <c r="E562" s="4">
        <f>IFERROR(__xludf.DUMMYFUNCTION("""COMPUTED_VALUE"""),97.0)</f>
        <v>97</v>
      </c>
      <c r="F562" s="4">
        <f>IFERROR(__xludf.DUMMYFUNCTION("split(C562,""-"")"),51.0)</f>
        <v>51</v>
      </c>
      <c r="G562" s="4">
        <f>IFERROR(__xludf.DUMMYFUNCTION("""COMPUTED_VALUE"""),87.0)</f>
        <v>87</v>
      </c>
      <c r="H562" s="4">
        <f t="shared" si="1"/>
        <v>1</v>
      </c>
      <c r="J562" s="4">
        <f>IFERROR(__xludf.DUMMYFUNCTION("IFS(
ISBETWEEN(D562,F562,G562,TRUE,TRUE),1,
ISBETWEEN(E562,F562,G562,TRUE,TRUE),1,
ISBETWEEN(F562,D562,E562,TRUE,TRUE),1,
ISBETWEEN(G562,D562,E562,TRUE,TRUE),1,
1,0)"),1.0)</f>
        <v>1</v>
      </c>
    </row>
    <row r="563">
      <c r="A563" s="2" t="s">
        <v>562</v>
      </c>
      <c r="B563" s="1" t="str">
        <f>IFERROR(__xludf.DUMMYFUNCTION("SPLIT(A563,"","",)"),"15-30")</f>
        <v>15-30</v>
      </c>
      <c r="C563" s="1" t="str">
        <f>IFERROR(__xludf.DUMMYFUNCTION("""COMPUTED_VALUE"""),"14-20")</f>
        <v>14-20</v>
      </c>
      <c r="D563" s="4">
        <f>IFERROR(__xludf.DUMMYFUNCTION("split(B563,""-"")"),15.0)</f>
        <v>15</v>
      </c>
      <c r="E563" s="4">
        <f>IFERROR(__xludf.DUMMYFUNCTION("""COMPUTED_VALUE"""),30.0)</f>
        <v>30</v>
      </c>
      <c r="F563" s="4">
        <f>IFERROR(__xludf.DUMMYFUNCTION("split(C563,""-"")"),14.0)</f>
        <v>14</v>
      </c>
      <c r="G563" s="4">
        <f>IFERROR(__xludf.DUMMYFUNCTION("""COMPUTED_VALUE"""),20.0)</f>
        <v>20</v>
      </c>
      <c r="H563" s="4">
        <f t="shared" si="1"/>
        <v>0</v>
      </c>
      <c r="J563" s="4">
        <f>IFERROR(__xludf.DUMMYFUNCTION("IFS(
ISBETWEEN(D563,F563,G563,TRUE,TRUE),1,
ISBETWEEN(E563,F563,G563,TRUE,TRUE),1,
ISBETWEEN(F563,D563,E563,TRUE,TRUE),1,
ISBETWEEN(G563,D563,E563,TRUE,TRUE),1,
1,0)"),1.0)</f>
        <v>1</v>
      </c>
    </row>
    <row r="564">
      <c r="A564" s="2" t="s">
        <v>563</v>
      </c>
      <c r="B564" s="1" t="str">
        <f>IFERROR(__xludf.DUMMYFUNCTION("SPLIT(A564,"","",)"),"14-97")</f>
        <v>14-97</v>
      </c>
      <c r="C564" s="1" t="str">
        <f>IFERROR(__xludf.DUMMYFUNCTION("""COMPUTED_VALUE"""),"15-97")</f>
        <v>15-97</v>
      </c>
      <c r="D564" s="4">
        <f>IFERROR(__xludf.DUMMYFUNCTION("split(B564,""-"")"),14.0)</f>
        <v>14</v>
      </c>
      <c r="E564" s="4">
        <f>IFERROR(__xludf.DUMMYFUNCTION("""COMPUTED_VALUE"""),97.0)</f>
        <v>97</v>
      </c>
      <c r="F564" s="4">
        <f>IFERROR(__xludf.DUMMYFUNCTION("split(C564,""-"")"),15.0)</f>
        <v>15</v>
      </c>
      <c r="G564" s="4">
        <f>IFERROR(__xludf.DUMMYFUNCTION("""COMPUTED_VALUE"""),97.0)</f>
        <v>97</v>
      </c>
      <c r="H564" s="4">
        <f t="shared" si="1"/>
        <v>1</v>
      </c>
      <c r="J564" s="4">
        <f>IFERROR(__xludf.DUMMYFUNCTION("IFS(
ISBETWEEN(D564,F564,G564,TRUE,TRUE),1,
ISBETWEEN(E564,F564,G564,TRUE,TRUE),1,
ISBETWEEN(F564,D564,E564,TRUE,TRUE),1,
ISBETWEEN(G564,D564,E564,TRUE,TRUE),1,
1,0)"),1.0)</f>
        <v>1</v>
      </c>
    </row>
    <row r="565">
      <c r="A565" s="2" t="s">
        <v>564</v>
      </c>
      <c r="B565" s="1" t="str">
        <f>IFERROR(__xludf.DUMMYFUNCTION("SPLIT(A565,"","",)"),"28-43")</f>
        <v>28-43</v>
      </c>
      <c r="C565" s="1" t="str">
        <f>IFERROR(__xludf.DUMMYFUNCTION("""COMPUTED_VALUE"""),"8-52")</f>
        <v>8-52</v>
      </c>
      <c r="D565" s="4">
        <f>IFERROR(__xludf.DUMMYFUNCTION("split(B565,""-"")"),28.0)</f>
        <v>28</v>
      </c>
      <c r="E565" s="4">
        <f>IFERROR(__xludf.DUMMYFUNCTION("""COMPUTED_VALUE"""),43.0)</f>
        <v>43</v>
      </c>
      <c r="F565" s="4">
        <f>IFERROR(__xludf.DUMMYFUNCTION("split(C565,""-"")"),8.0)</f>
        <v>8</v>
      </c>
      <c r="G565" s="4">
        <f>IFERROR(__xludf.DUMMYFUNCTION("""COMPUTED_VALUE"""),52.0)</f>
        <v>52</v>
      </c>
      <c r="H565" s="4">
        <f t="shared" si="1"/>
        <v>1</v>
      </c>
      <c r="J565" s="4">
        <f>IFERROR(__xludf.DUMMYFUNCTION("IFS(
ISBETWEEN(D565,F565,G565,TRUE,TRUE),1,
ISBETWEEN(E565,F565,G565,TRUE,TRUE),1,
ISBETWEEN(F565,D565,E565,TRUE,TRUE),1,
ISBETWEEN(G565,D565,E565,TRUE,TRUE),1,
1,0)"),1.0)</f>
        <v>1</v>
      </c>
    </row>
    <row r="566">
      <c r="A566" s="2" t="s">
        <v>565</v>
      </c>
      <c r="B566" s="1" t="str">
        <f>IFERROR(__xludf.DUMMYFUNCTION("SPLIT(A566,"","",)"),"3-99")</f>
        <v>3-99</v>
      </c>
      <c r="C566" s="1" t="str">
        <f>IFERROR(__xludf.DUMMYFUNCTION("""COMPUTED_VALUE"""),"2-55")</f>
        <v>2-55</v>
      </c>
      <c r="D566" s="4">
        <f>IFERROR(__xludf.DUMMYFUNCTION("split(B566,""-"")"),3.0)</f>
        <v>3</v>
      </c>
      <c r="E566" s="4">
        <f>IFERROR(__xludf.DUMMYFUNCTION("""COMPUTED_VALUE"""),99.0)</f>
        <v>99</v>
      </c>
      <c r="F566" s="4">
        <f>IFERROR(__xludf.DUMMYFUNCTION("split(C566,""-"")"),2.0)</f>
        <v>2</v>
      </c>
      <c r="G566" s="4">
        <f>IFERROR(__xludf.DUMMYFUNCTION("""COMPUTED_VALUE"""),55.0)</f>
        <v>55</v>
      </c>
      <c r="H566" s="4">
        <f t="shared" si="1"/>
        <v>0</v>
      </c>
      <c r="J566" s="4">
        <f>IFERROR(__xludf.DUMMYFUNCTION("IFS(
ISBETWEEN(D566,F566,G566,TRUE,TRUE),1,
ISBETWEEN(E566,F566,G566,TRUE,TRUE),1,
ISBETWEEN(F566,D566,E566,TRUE,TRUE),1,
ISBETWEEN(G566,D566,E566,TRUE,TRUE),1,
1,0)"),1.0)</f>
        <v>1</v>
      </c>
    </row>
    <row r="567">
      <c r="A567" s="2" t="s">
        <v>566</v>
      </c>
      <c r="B567" s="1" t="str">
        <f>IFERROR(__xludf.DUMMYFUNCTION("SPLIT(A567,"","",)"),"33-37")</f>
        <v>33-37</v>
      </c>
      <c r="C567" s="1" t="str">
        <f>IFERROR(__xludf.DUMMYFUNCTION("""COMPUTED_VALUE"""),"32-38")</f>
        <v>32-38</v>
      </c>
      <c r="D567" s="4">
        <f>IFERROR(__xludf.DUMMYFUNCTION("split(B567,""-"")"),33.0)</f>
        <v>33</v>
      </c>
      <c r="E567" s="4">
        <f>IFERROR(__xludf.DUMMYFUNCTION("""COMPUTED_VALUE"""),37.0)</f>
        <v>37</v>
      </c>
      <c r="F567" s="4">
        <f>IFERROR(__xludf.DUMMYFUNCTION("split(C567,""-"")"),32.0)</f>
        <v>32</v>
      </c>
      <c r="G567" s="4">
        <f>IFERROR(__xludf.DUMMYFUNCTION("""COMPUTED_VALUE"""),38.0)</f>
        <v>38</v>
      </c>
      <c r="H567" s="4">
        <f t="shared" si="1"/>
        <v>1</v>
      </c>
      <c r="J567" s="4">
        <f>IFERROR(__xludf.DUMMYFUNCTION("IFS(
ISBETWEEN(D567,F567,G567,TRUE,TRUE),1,
ISBETWEEN(E567,F567,G567,TRUE,TRUE),1,
ISBETWEEN(F567,D567,E567,TRUE,TRUE),1,
ISBETWEEN(G567,D567,E567,TRUE,TRUE),1,
1,0)"),1.0)</f>
        <v>1</v>
      </c>
    </row>
    <row r="568">
      <c r="A568" s="2" t="s">
        <v>567</v>
      </c>
      <c r="B568" s="1" t="str">
        <f>IFERROR(__xludf.DUMMYFUNCTION("SPLIT(A568,"","",)"),"69-69")</f>
        <v>69-69</v>
      </c>
      <c r="C568" s="1" t="str">
        <f>IFERROR(__xludf.DUMMYFUNCTION("""COMPUTED_VALUE"""),"69-83")</f>
        <v>69-83</v>
      </c>
      <c r="D568" s="4">
        <f>IFERROR(__xludf.DUMMYFUNCTION("split(B568,""-"")"),69.0)</f>
        <v>69</v>
      </c>
      <c r="E568" s="4">
        <f>IFERROR(__xludf.DUMMYFUNCTION("""COMPUTED_VALUE"""),69.0)</f>
        <v>69</v>
      </c>
      <c r="F568" s="4">
        <f>IFERROR(__xludf.DUMMYFUNCTION("split(C568,""-"")"),69.0)</f>
        <v>69</v>
      </c>
      <c r="G568" s="4">
        <f>IFERROR(__xludf.DUMMYFUNCTION("""COMPUTED_VALUE"""),83.0)</f>
        <v>83</v>
      </c>
      <c r="H568" s="4">
        <f t="shared" si="1"/>
        <v>1</v>
      </c>
      <c r="J568" s="4">
        <f>IFERROR(__xludf.DUMMYFUNCTION("IFS(
ISBETWEEN(D568,F568,G568,TRUE,TRUE),1,
ISBETWEEN(E568,F568,G568,TRUE,TRUE),1,
ISBETWEEN(F568,D568,E568,TRUE,TRUE),1,
ISBETWEEN(G568,D568,E568,TRUE,TRUE),1,
1,0)"),1.0)</f>
        <v>1</v>
      </c>
    </row>
    <row r="569">
      <c r="A569" s="2" t="s">
        <v>568</v>
      </c>
      <c r="B569" s="1" t="str">
        <f>IFERROR(__xludf.DUMMYFUNCTION("SPLIT(A569,"","",)"),"4-76")</f>
        <v>4-76</v>
      </c>
      <c r="C569" s="1" t="str">
        <f>IFERROR(__xludf.DUMMYFUNCTION("""COMPUTED_VALUE"""),"4-50")</f>
        <v>4-50</v>
      </c>
      <c r="D569" s="4">
        <f>IFERROR(__xludf.DUMMYFUNCTION("split(B569,""-"")"),4.0)</f>
        <v>4</v>
      </c>
      <c r="E569" s="4">
        <f>IFERROR(__xludf.DUMMYFUNCTION("""COMPUTED_VALUE"""),76.0)</f>
        <v>76</v>
      </c>
      <c r="F569" s="4">
        <f>IFERROR(__xludf.DUMMYFUNCTION("split(C569,""-"")"),4.0)</f>
        <v>4</v>
      </c>
      <c r="G569" s="4">
        <f>IFERROR(__xludf.DUMMYFUNCTION("""COMPUTED_VALUE"""),50.0)</f>
        <v>50</v>
      </c>
      <c r="H569" s="4">
        <f t="shared" si="1"/>
        <v>1</v>
      </c>
      <c r="J569" s="4">
        <f>IFERROR(__xludf.DUMMYFUNCTION("IFS(
ISBETWEEN(D569,F569,G569,TRUE,TRUE),1,
ISBETWEEN(E569,F569,G569,TRUE,TRUE),1,
ISBETWEEN(F569,D569,E569,TRUE,TRUE),1,
ISBETWEEN(G569,D569,E569,TRUE,TRUE),1,
1,0)"),1.0)</f>
        <v>1</v>
      </c>
    </row>
    <row r="570">
      <c r="A570" s="2" t="s">
        <v>569</v>
      </c>
      <c r="B570" s="1" t="str">
        <f>IFERROR(__xludf.DUMMYFUNCTION("SPLIT(A570,"","",)"),"87-91")</f>
        <v>87-91</v>
      </c>
      <c r="C570" s="1" t="str">
        <f>IFERROR(__xludf.DUMMYFUNCTION("""COMPUTED_VALUE"""),"28-58")</f>
        <v>28-58</v>
      </c>
      <c r="D570" s="4">
        <f>IFERROR(__xludf.DUMMYFUNCTION("split(B570,""-"")"),87.0)</f>
        <v>87</v>
      </c>
      <c r="E570" s="4">
        <f>IFERROR(__xludf.DUMMYFUNCTION("""COMPUTED_VALUE"""),91.0)</f>
        <v>91</v>
      </c>
      <c r="F570" s="4">
        <f>IFERROR(__xludf.DUMMYFUNCTION("split(C570,""-"")"),28.0)</f>
        <v>28</v>
      </c>
      <c r="G570" s="4">
        <f>IFERROR(__xludf.DUMMYFUNCTION("""COMPUTED_VALUE"""),58.0)</f>
        <v>58</v>
      </c>
      <c r="H570" s="4">
        <f t="shared" si="1"/>
        <v>0</v>
      </c>
      <c r="J570" s="4">
        <f>IFERROR(__xludf.DUMMYFUNCTION("IFS(
ISBETWEEN(D570,F570,G570,TRUE,TRUE),1,
ISBETWEEN(E570,F570,G570,TRUE,TRUE),1,
ISBETWEEN(F570,D570,E570,TRUE,TRUE),1,
ISBETWEEN(G570,D570,E570,TRUE,TRUE),1,
1,0)"),0.0)</f>
        <v>0</v>
      </c>
    </row>
    <row r="571">
      <c r="A571" s="2" t="s">
        <v>570</v>
      </c>
      <c r="B571" s="1" t="str">
        <f>IFERROR(__xludf.DUMMYFUNCTION("SPLIT(A571,"","",)"),"76-80")</f>
        <v>76-80</v>
      </c>
      <c r="C571" s="1" t="str">
        <f>IFERROR(__xludf.DUMMYFUNCTION("""COMPUTED_VALUE"""),"77-95")</f>
        <v>77-95</v>
      </c>
      <c r="D571" s="4">
        <f>IFERROR(__xludf.DUMMYFUNCTION("split(B571,""-"")"),76.0)</f>
        <v>76</v>
      </c>
      <c r="E571" s="4">
        <f>IFERROR(__xludf.DUMMYFUNCTION("""COMPUTED_VALUE"""),80.0)</f>
        <v>80</v>
      </c>
      <c r="F571" s="4">
        <f>IFERROR(__xludf.DUMMYFUNCTION("split(C571,""-"")"),77.0)</f>
        <v>77</v>
      </c>
      <c r="G571" s="4">
        <f>IFERROR(__xludf.DUMMYFUNCTION("""COMPUTED_VALUE"""),95.0)</f>
        <v>95</v>
      </c>
      <c r="H571" s="4">
        <f t="shared" si="1"/>
        <v>0</v>
      </c>
      <c r="J571" s="4">
        <f>IFERROR(__xludf.DUMMYFUNCTION("IFS(
ISBETWEEN(D571,F571,G571,TRUE,TRUE),1,
ISBETWEEN(E571,F571,G571,TRUE,TRUE),1,
ISBETWEEN(F571,D571,E571,TRUE,TRUE),1,
ISBETWEEN(G571,D571,E571,TRUE,TRUE),1,
1,0)"),1.0)</f>
        <v>1</v>
      </c>
    </row>
    <row r="572">
      <c r="A572" s="2" t="s">
        <v>571</v>
      </c>
      <c r="B572" s="1" t="str">
        <f>IFERROR(__xludf.DUMMYFUNCTION("SPLIT(A572,"","",)"),"38-57")</f>
        <v>38-57</v>
      </c>
      <c r="C572" s="1" t="str">
        <f>IFERROR(__xludf.DUMMYFUNCTION("""COMPUTED_VALUE"""),"29-58")</f>
        <v>29-58</v>
      </c>
      <c r="D572" s="4">
        <f>IFERROR(__xludf.DUMMYFUNCTION("split(B572,""-"")"),38.0)</f>
        <v>38</v>
      </c>
      <c r="E572" s="4">
        <f>IFERROR(__xludf.DUMMYFUNCTION("""COMPUTED_VALUE"""),57.0)</f>
        <v>57</v>
      </c>
      <c r="F572" s="4">
        <f>IFERROR(__xludf.DUMMYFUNCTION("split(C572,""-"")"),29.0)</f>
        <v>29</v>
      </c>
      <c r="G572" s="4">
        <f>IFERROR(__xludf.DUMMYFUNCTION("""COMPUTED_VALUE"""),58.0)</f>
        <v>58</v>
      </c>
      <c r="H572" s="4">
        <f t="shared" si="1"/>
        <v>1</v>
      </c>
      <c r="J572" s="4">
        <f>IFERROR(__xludf.DUMMYFUNCTION("IFS(
ISBETWEEN(D572,F572,G572,TRUE,TRUE),1,
ISBETWEEN(E572,F572,G572,TRUE,TRUE),1,
ISBETWEEN(F572,D572,E572,TRUE,TRUE),1,
ISBETWEEN(G572,D572,E572,TRUE,TRUE),1,
1,0)"),1.0)</f>
        <v>1</v>
      </c>
    </row>
    <row r="573">
      <c r="A573" s="2" t="s">
        <v>572</v>
      </c>
      <c r="B573" s="1" t="str">
        <f>IFERROR(__xludf.DUMMYFUNCTION("SPLIT(A573,"","",)"),"11-90")</f>
        <v>11-90</v>
      </c>
      <c r="C573" s="1" t="str">
        <f>IFERROR(__xludf.DUMMYFUNCTION("""COMPUTED_VALUE"""),"51-76")</f>
        <v>51-76</v>
      </c>
      <c r="D573" s="4">
        <f>IFERROR(__xludf.DUMMYFUNCTION("split(B573,""-"")"),11.0)</f>
        <v>11</v>
      </c>
      <c r="E573" s="4">
        <f>IFERROR(__xludf.DUMMYFUNCTION("""COMPUTED_VALUE"""),90.0)</f>
        <v>90</v>
      </c>
      <c r="F573" s="4">
        <f>IFERROR(__xludf.DUMMYFUNCTION("split(C573,""-"")"),51.0)</f>
        <v>51</v>
      </c>
      <c r="G573" s="4">
        <f>IFERROR(__xludf.DUMMYFUNCTION("""COMPUTED_VALUE"""),76.0)</f>
        <v>76</v>
      </c>
      <c r="H573" s="4">
        <f t="shared" si="1"/>
        <v>1</v>
      </c>
      <c r="J573" s="4">
        <f>IFERROR(__xludf.DUMMYFUNCTION("IFS(
ISBETWEEN(D573,F573,G573,TRUE,TRUE),1,
ISBETWEEN(E573,F573,G573,TRUE,TRUE),1,
ISBETWEEN(F573,D573,E573,TRUE,TRUE),1,
ISBETWEEN(G573,D573,E573,TRUE,TRUE),1,
1,0)"),1.0)</f>
        <v>1</v>
      </c>
    </row>
    <row r="574">
      <c r="A574" s="2" t="s">
        <v>573</v>
      </c>
      <c r="B574" s="1" t="str">
        <f>IFERROR(__xludf.DUMMYFUNCTION("SPLIT(A574,"","",)"),"16-89")</f>
        <v>16-89</v>
      </c>
      <c r="C574" s="1" t="str">
        <f>IFERROR(__xludf.DUMMYFUNCTION("""COMPUTED_VALUE"""),"16-88")</f>
        <v>16-88</v>
      </c>
      <c r="D574" s="4">
        <f>IFERROR(__xludf.DUMMYFUNCTION("split(B574,""-"")"),16.0)</f>
        <v>16</v>
      </c>
      <c r="E574" s="4">
        <f>IFERROR(__xludf.DUMMYFUNCTION("""COMPUTED_VALUE"""),89.0)</f>
        <v>89</v>
      </c>
      <c r="F574" s="4">
        <f>IFERROR(__xludf.DUMMYFUNCTION("split(C574,""-"")"),16.0)</f>
        <v>16</v>
      </c>
      <c r="G574" s="4">
        <f>IFERROR(__xludf.DUMMYFUNCTION("""COMPUTED_VALUE"""),88.0)</f>
        <v>88</v>
      </c>
      <c r="H574" s="4">
        <f t="shared" si="1"/>
        <v>1</v>
      </c>
      <c r="J574" s="4">
        <f>IFERROR(__xludf.DUMMYFUNCTION("IFS(
ISBETWEEN(D574,F574,G574,TRUE,TRUE),1,
ISBETWEEN(E574,F574,G574,TRUE,TRUE),1,
ISBETWEEN(F574,D574,E574,TRUE,TRUE),1,
ISBETWEEN(G574,D574,E574,TRUE,TRUE),1,
1,0)"),1.0)</f>
        <v>1</v>
      </c>
    </row>
    <row r="575">
      <c r="A575" s="2" t="s">
        <v>574</v>
      </c>
      <c r="B575" s="1" t="str">
        <f>IFERROR(__xludf.DUMMYFUNCTION("SPLIT(A575,"","",)"),"21-77")</f>
        <v>21-77</v>
      </c>
      <c r="C575" s="1" t="str">
        <f>IFERROR(__xludf.DUMMYFUNCTION("""COMPUTED_VALUE"""),"20-68")</f>
        <v>20-68</v>
      </c>
      <c r="D575" s="4">
        <f>IFERROR(__xludf.DUMMYFUNCTION("split(B575,""-"")"),21.0)</f>
        <v>21</v>
      </c>
      <c r="E575" s="4">
        <f>IFERROR(__xludf.DUMMYFUNCTION("""COMPUTED_VALUE"""),77.0)</f>
        <v>77</v>
      </c>
      <c r="F575" s="4">
        <f>IFERROR(__xludf.DUMMYFUNCTION("split(C575,""-"")"),20.0)</f>
        <v>20</v>
      </c>
      <c r="G575" s="4">
        <f>IFERROR(__xludf.DUMMYFUNCTION("""COMPUTED_VALUE"""),68.0)</f>
        <v>68</v>
      </c>
      <c r="H575" s="4">
        <f t="shared" si="1"/>
        <v>0</v>
      </c>
      <c r="J575" s="4">
        <f>IFERROR(__xludf.DUMMYFUNCTION("IFS(
ISBETWEEN(D575,F575,G575,TRUE,TRUE),1,
ISBETWEEN(E575,F575,G575,TRUE,TRUE),1,
ISBETWEEN(F575,D575,E575,TRUE,TRUE),1,
ISBETWEEN(G575,D575,E575,TRUE,TRUE),1,
1,0)"),1.0)</f>
        <v>1</v>
      </c>
    </row>
    <row r="576">
      <c r="A576" s="2" t="s">
        <v>575</v>
      </c>
      <c r="B576" s="1" t="str">
        <f>IFERROR(__xludf.DUMMYFUNCTION("SPLIT(A576,"","",)"),"7-86")</f>
        <v>7-86</v>
      </c>
      <c r="C576" s="3">
        <f>IFERROR(__xludf.DUMMYFUNCTION("""COMPUTED_VALUE"""),44749.0)</f>
        <v>44749</v>
      </c>
      <c r="D576" s="4">
        <f>IFERROR(__xludf.DUMMYFUNCTION("split(B576,""-"")"),7.0)</f>
        <v>7</v>
      </c>
      <c r="E576" s="4">
        <f>IFERROR(__xludf.DUMMYFUNCTION("""COMPUTED_VALUE"""),86.0)</f>
        <v>86</v>
      </c>
      <c r="F576" s="4">
        <f>IFERROR(__xludf.DUMMYFUNCTION("split(C576,""-"")"),7.0)</f>
        <v>7</v>
      </c>
      <c r="G576" s="4">
        <f>IFERROR(__xludf.DUMMYFUNCTION("""COMPUTED_VALUE"""),7.0)</f>
        <v>7</v>
      </c>
      <c r="H576" s="4">
        <f t="shared" si="1"/>
        <v>1</v>
      </c>
      <c r="J576" s="4">
        <f>IFERROR(__xludf.DUMMYFUNCTION("IFS(
ISBETWEEN(D576,F576,G576,TRUE,TRUE),1,
ISBETWEEN(E576,F576,G576,TRUE,TRUE),1,
ISBETWEEN(F576,D576,E576,TRUE,TRUE),1,
ISBETWEEN(G576,D576,E576,TRUE,TRUE),1,
1,0)"),1.0)</f>
        <v>1</v>
      </c>
    </row>
    <row r="577">
      <c r="A577" s="2" t="s">
        <v>576</v>
      </c>
      <c r="B577" s="1" t="str">
        <f>IFERROR(__xludf.DUMMYFUNCTION("SPLIT(A577,"","",)"),"28-94")</f>
        <v>28-94</v>
      </c>
      <c r="C577" s="1" t="str">
        <f>IFERROR(__xludf.DUMMYFUNCTION("""COMPUTED_VALUE"""),"29-95")</f>
        <v>29-95</v>
      </c>
      <c r="D577" s="4">
        <f>IFERROR(__xludf.DUMMYFUNCTION("split(B577,""-"")"),28.0)</f>
        <v>28</v>
      </c>
      <c r="E577" s="4">
        <f>IFERROR(__xludf.DUMMYFUNCTION("""COMPUTED_VALUE"""),94.0)</f>
        <v>94</v>
      </c>
      <c r="F577" s="4">
        <f>IFERROR(__xludf.DUMMYFUNCTION("split(C577,""-"")"),29.0)</f>
        <v>29</v>
      </c>
      <c r="G577" s="4">
        <f>IFERROR(__xludf.DUMMYFUNCTION("""COMPUTED_VALUE"""),95.0)</f>
        <v>95</v>
      </c>
      <c r="H577" s="4">
        <f t="shared" si="1"/>
        <v>0</v>
      </c>
      <c r="J577" s="4">
        <f>IFERROR(__xludf.DUMMYFUNCTION("IFS(
ISBETWEEN(D577,F577,G577,TRUE,TRUE),1,
ISBETWEEN(E577,F577,G577,TRUE,TRUE),1,
ISBETWEEN(F577,D577,E577,TRUE,TRUE),1,
ISBETWEEN(G577,D577,E577,TRUE,TRUE),1,
1,0)"),1.0)</f>
        <v>1</v>
      </c>
    </row>
    <row r="578">
      <c r="A578" s="2" t="s">
        <v>577</v>
      </c>
      <c r="B578" s="1" t="str">
        <f>IFERROR(__xludf.DUMMYFUNCTION("SPLIT(A578,"","",)"),"29-30")</f>
        <v>29-30</v>
      </c>
      <c r="C578" s="1" t="str">
        <f>IFERROR(__xludf.DUMMYFUNCTION("""COMPUTED_VALUE"""),"30-97")</f>
        <v>30-97</v>
      </c>
      <c r="D578" s="4">
        <f>IFERROR(__xludf.DUMMYFUNCTION("split(B578,""-"")"),29.0)</f>
        <v>29</v>
      </c>
      <c r="E578" s="4">
        <f>IFERROR(__xludf.DUMMYFUNCTION("""COMPUTED_VALUE"""),30.0)</f>
        <v>30</v>
      </c>
      <c r="F578" s="4">
        <f>IFERROR(__xludf.DUMMYFUNCTION("split(C578,""-"")"),30.0)</f>
        <v>30</v>
      </c>
      <c r="G578" s="4">
        <f>IFERROR(__xludf.DUMMYFUNCTION("""COMPUTED_VALUE"""),97.0)</f>
        <v>97</v>
      </c>
      <c r="H578" s="4">
        <f t="shared" si="1"/>
        <v>0</v>
      </c>
      <c r="J578" s="4">
        <f>IFERROR(__xludf.DUMMYFUNCTION("IFS(
ISBETWEEN(D578,F578,G578,TRUE,TRUE),1,
ISBETWEEN(E578,F578,G578,TRUE,TRUE),1,
ISBETWEEN(F578,D578,E578,TRUE,TRUE),1,
ISBETWEEN(G578,D578,E578,TRUE,TRUE),1,
1,0)"),1.0)</f>
        <v>1</v>
      </c>
    </row>
    <row r="579">
      <c r="A579" s="2" t="s">
        <v>578</v>
      </c>
      <c r="B579" s="1" t="str">
        <f>IFERROR(__xludf.DUMMYFUNCTION("SPLIT(A579,"","",)"),"62-77")</f>
        <v>62-77</v>
      </c>
      <c r="C579" s="1" t="str">
        <f>IFERROR(__xludf.DUMMYFUNCTION("""COMPUTED_VALUE"""),"62-91")</f>
        <v>62-91</v>
      </c>
      <c r="D579" s="4">
        <f>IFERROR(__xludf.DUMMYFUNCTION("split(B579,""-"")"),62.0)</f>
        <v>62</v>
      </c>
      <c r="E579" s="4">
        <f>IFERROR(__xludf.DUMMYFUNCTION("""COMPUTED_VALUE"""),77.0)</f>
        <v>77</v>
      </c>
      <c r="F579" s="4">
        <f>IFERROR(__xludf.DUMMYFUNCTION("split(C579,""-"")"),62.0)</f>
        <v>62</v>
      </c>
      <c r="G579" s="4">
        <f>IFERROR(__xludf.DUMMYFUNCTION("""COMPUTED_VALUE"""),91.0)</f>
        <v>91</v>
      </c>
      <c r="H579" s="4">
        <f t="shared" si="1"/>
        <v>1</v>
      </c>
      <c r="J579" s="4">
        <f>IFERROR(__xludf.DUMMYFUNCTION("IFS(
ISBETWEEN(D579,F579,G579,TRUE,TRUE),1,
ISBETWEEN(E579,F579,G579,TRUE,TRUE),1,
ISBETWEEN(F579,D579,E579,TRUE,TRUE),1,
ISBETWEEN(G579,D579,E579,TRUE,TRUE),1,
1,0)"),1.0)</f>
        <v>1</v>
      </c>
    </row>
    <row r="580">
      <c r="A580" s="2" t="s">
        <v>579</v>
      </c>
      <c r="B580" s="1" t="str">
        <f>IFERROR(__xludf.DUMMYFUNCTION("SPLIT(A580,"","",)"),"2-97")</f>
        <v>2-97</v>
      </c>
      <c r="C580" s="1" t="str">
        <f>IFERROR(__xludf.DUMMYFUNCTION("""COMPUTED_VALUE"""),"1-96")</f>
        <v>1-96</v>
      </c>
      <c r="D580" s="4">
        <f>IFERROR(__xludf.DUMMYFUNCTION("split(B580,""-"")"),2.0)</f>
        <v>2</v>
      </c>
      <c r="E580" s="4">
        <f>IFERROR(__xludf.DUMMYFUNCTION("""COMPUTED_VALUE"""),97.0)</f>
        <v>97</v>
      </c>
      <c r="F580" s="4">
        <f>IFERROR(__xludf.DUMMYFUNCTION("split(C580,""-"")"),1.0)</f>
        <v>1</v>
      </c>
      <c r="G580" s="4">
        <f>IFERROR(__xludf.DUMMYFUNCTION("""COMPUTED_VALUE"""),96.0)</f>
        <v>96</v>
      </c>
      <c r="H580" s="4">
        <f t="shared" si="1"/>
        <v>0</v>
      </c>
      <c r="J580" s="4">
        <f>IFERROR(__xludf.DUMMYFUNCTION("IFS(
ISBETWEEN(D580,F580,G580,TRUE,TRUE),1,
ISBETWEEN(E580,F580,G580,TRUE,TRUE),1,
ISBETWEEN(F580,D580,E580,TRUE,TRUE),1,
ISBETWEEN(G580,D580,E580,TRUE,TRUE),1,
1,0)"),1.0)</f>
        <v>1</v>
      </c>
    </row>
    <row r="581">
      <c r="A581" s="2" t="s">
        <v>580</v>
      </c>
      <c r="B581" s="1" t="str">
        <f>IFERROR(__xludf.DUMMYFUNCTION("SPLIT(A581,"","",)"),"26-33")</f>
        <v>26-33</v>
      </c>
      <c r="C581" s="1" t="str">
        <f>IFERROR(__xludf.DUMMYFUNCTION("""COMPUTED_VALUE"""),"26-27")</f>
        <v>26-27</v>
      </c>
      <c r="D581" s="4">
        <f>IFERROR(__xludf.DUMMYFUNCTION("split(B581,""-"")"),26.0)</f>
        <v>26</v>
      </c>
      <c r="E581" s="4">
        <f>IFERROR(__xludf.DUMMYFUNCTION("""COMPUTED_VALUE"""),33.0)</f>
        <v>33</v>
      </c>
      <c r="F581" s="4">
        <f>IFERROR(__xludf.DUMMYFUNCTION("split(C581,""-"")"),26.0)</f>
        <v>26</v>
      </c>
      <c r="G581" s="4">
        <f>IFERROR(__xludf.DUMMYFUNCTION("""COMPUTED_VALUE"""),27.0)</f>
        <v>27</v>
      </c>
      <c r="H581" s="4">
        <f t="shared" si="1"/>
        <v>1</v>
      </c>
      <c r="J581" s="4">
        <f>IFERROR(__xludf.DUMMYFUNCTION("IFS(
ISBETWEEN(D581,F581,G581,TRUE,TRUE),1,
ISBETWEEN(E581,F581,G581,TRUE,TRUE),1,
ISBETWEEN(F581,D581,E581,TRUE,TRUE),1,
ISBETWEEN(G581,D581,E581,TRUE,TRUE),1,
1,0)"),1.0)</f>
        <v>1</v>
      </c>
    </row>
    <row r="582">
      <c r="A582" s="2" t="s">
        <v>581</v>
      </c>
      <c r="B582" s="1" t="str">
        <f>IFERROR(__xludf.DUMMYFUNCTION("SPLIT(A582,"","",)"),"24-64")</f>
        <v>24-64</v>
      </c>
      <c r="C582" s="1" t="str">
        <f>IFERROR(__xludf.DUMMYFUNCTION("""COMPUTED_VALUE"""),"4-63")</f>
        <v>4-63</v>
      </c>
      <c r="D582" s="4">
        <f>IFERROR(__xludf.DUMMYFUNCTION("split(B582,""-"")"),24.0)</f>
        <v>24</v>
      </c>
      <c r="E582" s="4">
        <f>IFERROR(__xludf.DUMMYFUNCTION("""COMPUTED_VALUE"""),64.0)</f>
        <v>64</v>
      </c>
      <c r="F582" s="4">
        <f>IFERROR(__xludf.DUMMYFUNCTION("split(C582,""-"")"),4.0)</f>
        <v>4</v>
      </c>
      <c r="G582" s="4">
        <f>IFERROR(__xludf.DUMMYFUNCTION("""COMPUTED_VALUE"""),63.0)</f>
        <v>63</v>
      </c>
      <c r="H582" s="4">
        <f t="shared" si="1"/>
        <v>0</v>
      </c>
      <c r="J582" s="4">
        <f>IFERROR(__xludf.DUMMYFUNCTION("IFS(
ISBETWEEN(D582,F582,G582,TRUE,TRUE),1,
ISBETWEEN(E582,F582,G582,TRUE,TRUE),1,
ISBETWEEN(F582,D582,E582,TRUE,TRUE),1,
ISBETWEEN(G582,D582,E582,TRUE,TRUE),1,
1,0)"),1.0)</f>
        <v>1</v>
      </c>
    </row>
    <row r="583">
      <c r="A583" s="2" t="s">
        <v>582</v>
      </c>
      <c r="B583" s="1" t="str">
        <f>IFERROR(__xludf.DUMMYFUNCTION("SPLIT(A583,"","",)"),"23-58")</f>
        <v>23-58</v>
      </c>
      <c r="C583" s="1" t="str">
        <f>IFERROR(__xludf.DUMMYFUNCTION("""COMPUTED_VALUE"""),"22-59")</f>
        <v>22-59</v>
      </c>
      <c r="D583" s="4">
        <f>IFERROR(__xludf.DUMMYFUNCTION("split(B583,""-"")"),23.0)</f>
        <v>23</v>
      </c>
      <c r="E583" s="4">
        <f>IFERROR(__xludf.DUMMYFUNCTION("""COMPUTED_VALUE"""),58.0)</f>
        <v>58</v>
      </c>
      <c r="F583" s="4">
        <f>IFERROR(__xludf.DUMMYFUNCTION("split(C583,""-"")"),22.0)</f>
        <v>22</v>
      </c>
      <c r="G583" s="4">
        <f>IFERROR(__xludf.DUMMYFUNCTION("""COMPUTED_VALUE"""),59.0)</f>
        <v>59</v>
      </c>
      <c r="H583" s="4">
        <f t="shared" si="1"/>
        <v>1</v>
      </c>
      <c r="J583" s="4">
        <f>IFERROR(__xludf.DUMMYFUNCTION("IFS(
ISBETWEEN(D583,F583,G583,TRUE,TRUE),1,
ISBETWEEN(E583,F583,G583,TRUE,TRUE),1,
ISBETWEEN(F583,D583,E583,TRUE,TRUE),1,
ISBETWEEN(G583,D583,E583,TRUE,TRUE),1,
1,0)"),1.0)</f>
        <v>1</v>
      </c>
    </row>
    <row r="584">
      <c r="A584" s="2" t="s">
        <v>583</v>
      </c>
      <c r="B584" s="1" t="str">
        <f>IFERROR(__xludf.DUMMYFUNCTION("SPLIT(A584,"","",)"),"13-59")</f>
        <v>13-59</v>
      </c>
      <c r="C584" s="1" t="str">
        <f>IFERROR(__xludf.DUMMYFUNCTION("""COMPUTED_VALUE"""),"58-58")</f>
        <v>58-58</v>
      </c>
      <c r="D584" s="4">
        <f>IFERROR(__xludf.DUMMYFUNCTION("split(B584,""-"")"),13.0)</f>
        <v>13</v>
      </c>
      <c r="E584" s="4">
        <f>IFERROR(__xludf.DUMMYFUNCTION("""COMPUTED_VALUE"""),59.0)</f>
        <v>59</v>
      </c>
      <c r="F584" s="4">
        <f>IFERROR(__xludf.DUMMYFUNCTION("split(C584,""-"")"),58.0)</f>
        <v>58</v>
      </c>
      <c r="G584" s="4">
        <f>IFERROR(__xludf.DUMMYFUNCTION("""COMPUTED_VALUE"""),58.0)</f>
        <v>58</v>
      </c>
      <c r="H584" s="4">
        <f t="shared" si="1"/>
        <v>1</v>
      </c>
      <c r="J584" s="4">
        <f>IFERROR(__xludf.DUMMYFUNCTION("IFS(
ISBETWEEN(D584,F584,G584,TRUE,TRUE),1,
ISBETWEEN(E584,F584,G584,TRUE,TRUE),1,
ISBETWEEN(F584,D584,E584,TRUE,TRUE),1,
ISBETWEEN(G584,D584,E584,TRUE,TRUE),1,
1,0)"),1.0)</f>
        <v>1</v>
      </c>
    </row>
    <row r="585">
      <c r="A585" s="2" t="s">
        <v>584</v>
      </c>
      <c r="B585" s="1" t="str">
        <f>IFERROR(__xludf.DUMMYFUNCTION("SPLIT(A585,"","",)"),"35-38")</f>
        <v>35-38</v>
      </c>
      <c r="C585" s="1" t="str">
        <f>IFERROR(__xludf.DUMMYFUNCTION("""COMPUTED_VALUE"""),"19-94")</f>
        <v>19-94</v>
      </c>
      <c r="D585" s="4">
        <f>IFERROR(__xludf.DUMMYFUNCTION("split(B585,""-"")"),35.0)</f>
        <v>35</v>
      </c>
      <c r="E585" s="4">
        <f>IFERROR(__xludf.DUMMYFUNCTION("""COMPUTED_VALUE"""),38.0)</f>
        <v>38</v>
      </c>
      <c r="F585" s="4">
        <f>IFERROR(__xludf.DUMMYFUNCTION("split(C585,""-"")"),19.0)</f>
        <v>19</v>
      </c>
      <c r="G585" s="4">
        <f>IFERROR(__xludf.DUMMYFUNCTION("""COMPUTED_VALUE"""),94.0)</f>
        <v>94</v>
      </c>
      <c r="H585" s="4">
        <f t="shared" si="1"/>
        <v>1</v>
      </c>
      <c r="J585" s="4">
        <f>IFERROR(__xludf.DUMMYFUNCTION("IFS(
ISBETWEEN(D585,F585,G585,TRUE,TRUE),1,
ISBETWEEN(E585,F585,G585,TRUE,TRUE),1,
ISBETWEEN(F585,D585,E585,TRUE,TRUE),1,
ISBETWEEN(G585,D585,E585,TRUE,TRUE),1,
1,0)"),1.0)</f>
        <v>1</v>
      </c>
    </row>
    <row r="586">
      <c r="A586" s="2" t="s">
        <v>585</v>
      </c>
      <c r="B586" s="1" t="str">
        <f>IFERROR(__xludf.DUMMYFUNCTION("SPLIT(A586,"","",)"),"31-98")</f>
        <v>31-98</v>
      </c>
      <c r="C586" s="1" t="str">
        <f>IFERROR(__xludf.DUMMYFUNCTION("""COMPUTED_VALUE"""),"32-97")</f>
        <v>32-97</v>
      </c>
      <c r="D586" s="4">
        <f>IFERROR(__xludf.DUMMYFUNCTION("split(B586,""-"")"),31.0)</f>
        <v>31</v>
      </c>
      <c r="E586" s="4">
        <f>IFERROR(__xludf.DUMMYFUNCTION("""COMPUTED_VALUE"""),98.0)</f>
        <v>98</v>
      </c>
      <c r="F586" s="4">
        <f>IFERROR(__xludf.DUMMYFUNCTION("split(C586,""-"")"),32.0)</f>
        <v>32</v>
      </c>
      <c r="G586" s="4">
        <f>IFERROR(__xludf.DUMMYFUNCTION("""COMPUTED_VALUE"""),97.0)</f>
        <v>97</v>
      </c>
      <c r="H586" s="4">
        <f t="shared" si="1"/>
        <v>1</v>
      </c>
      <c r="J586" s="4">
        <f>IFERROR(__xludf.DUMMYFUNCTION("IFS(
ISBETWEEN(D586,F586,G586,TRUE,TRUE),1,
ISBETWEEN(E586,F586,G586,TRUE,TRUE),1,
ISBETWEEN(F586,D586,E586,TRUE,TRUE),1,
ISBETWEEN(G586,D586,E586,TRUE,TRUE),1,
1,0)"),1.0)</f>
        <v>1</v>
      </c>
    </row>
    <row r="587">
      <c r="A587" s="2" t="s">
        <v>586</v>
      </c>
      <c r="B587" s="1" t="str">
        <f>IFERROR(__xludf.DUMMYFUNCTION("SPLIT(A587,"","",)"),"43-82")</f>
        <v>43-82</v>
      </c>
      <c r="C587" s="1" t="str">
        <f>IFERROR(__xludf.DUMMYFUNCTION("""COMPUTED_VALUE"""),"43-84")</f>
        <v>43-84</v>
      </c>
      <c r="D587" s="4">
        <f>IFERROR(__xludf.DUMMYFUNCTION("split(B587,""-"")"),43.0)</f>
        <v>43</v>
      </c>
      <c r="E587" s="4">
        <f>IFERROR(__xludf.DUMMYFUNCTION("""COMPUTED_VALUE"""),82.0)</f>
        <v>82</v>
      </c>
      <c r="F587" s="4">
        <f>IFERROR(__xludf.DUMMYFUNCTION("split(C587,""-"")"),43.0)</f>
        <v>43</v>
      </c>
      <c r="G587" s="4">
        <f>IFERROR(__xludf.DUMMYFUNCTION("""COMPUTED_VALUE"""),84.0)</f>
        <v>84</v>
      </c>
      <c r="H587" s="4">
        <f t="shared" si="1"/>
        <v>1</v>
      </c>
      <c r="J587" s="4">
        <f>IFERROR(__xludf.DUMMYFUNCTION("IFS(
ISBETWEEN(D587,F587,G587,TRUE,TRUE),1,
ISBETWEEN(E587,F587,G587,TRUE,TRUE),1,
ISBETWEEN(F587,D587,E587,TRUE,TRUE),1,
ISBETWEEN(G587,D587,E587,TRUE,TRUE),1,
1,0)"),1.0)</f>
        <v>1</v>
      </c>
    </row>
    <row r="588">
      <c r="A588" s="2" t="s">
        <v>587</v>
      </c>
      <c r="B588" s="1" t="str">
        <f>IFERROR(__xludf.DUMMYFUNCTION("SPLIT(A588,"","",)"),"6-92")</f>
        <v>6-92</v>
      </c>
      <c r="C588" s="1" t="str">
        <f>IFERROR(__xludf.DUMMYFUNCTION("""COMPUTED_VALUE"""),"40-75")</f>
        <v>40-75</v>
      </c>
      <c r="D588" s="4">
        <f>IFERROR(__xludf.DUMMYFUNCTION("split(B588,""-"")"),6.0)</f>
        <v>6</v>
      </c>
      <c r="E588" s="4">
        <f>IFERROR(__xludf.DUMMYFUNCTION("""COMPUTED_VALUE"""),92.0)</f>
        <v>92</v>
      </c>
      <c r="F588" s="4">
        <f>IFERROR(__xludf.DUMMYFUNCTION("split(C588,""-"")"),40.0)</f>
        <v>40</v>
      </c>
      <c r="G588" s="4">
        <f>IFERROR(__xludf.DUMMYFUNCTION("""COMPUTED_VALUE"""),75.0)</f>
        <v>75</v>
      </c>
      <c r="H588" s="4">
        <f t="shared" si="1"/>
        <v>1</v>
      </c>
      <c r="J588" s="4">
        <f>IFERROR(__xludf.DUMMYFUNCTION("IFS(
ISBETWEEN(D588,F588,G588,TRUE,TRUE),1,
ISBETWEEN(E588,F588,G588,TRUE,TRUE),1,
ISBETWEEN(F588,D588,E588,TRUE,TRUE),1,
ISBETWEEN(G588,D588,E588,TRUE,TRUE),1,
1,0)"),1.0)</f>
        <v>1</v>
      </c>
    </row>
    <row r="589">
      <c r="A589" s="2" t="s">
        <v>588</v>
      </c>
      <c r="B589" s="3">
        <f>IFERROR(__xludf.DUMMYFUNCTION("SPLIT(A589,"","",)"),44623.0)</f>
        <v>44623</v>
      </c>
      <c r="C589" s="1" t="str">
        <f>IFERROR(__xludf.DUMMYFUNCTION("""COMPUTED_VALUE"""),"2-81")</f>
        <v>2-81</v>
      </c>
      <c r="D589" s="4">
        <f>IFERROR(__xludf.DUMMYFUNCTION("split(B589,""-"")"),3.0)</f>
        <v>3</v>
      </c>
      <c r="E589" s="4">
        <f>IFERROR(__xludf.DUMMYFUNCTION("""COMPUTED_VALUE"""),3.0)</f>
        <v>3</v>
      </c>
      <c r="F589" s="4">
        <f>IFERROR(__xludf.DUMMYFUNCTION("split(C589,""-"")"),2.0)</f>
        <v>2</v>
      </c>
      <c r="G589" s="4">
        <f>IFERROR(__xludf.DUMMYFUNCTION("""COMPUTED_VALUE"""),81.0)</f>
        <v>81</v>
      </c>
      <c r="H589" s="4">
        <f t="shared" si="1"/>
        <v>1</v>
      </c>
      <c r="J589" s="4">
        <f>IFERROR(__xludf.DUMMYFUNCTION("IFS(
ISBETWEEN(D589,F589,G589,TRUE,TRUE),1,
ISBETWEEN(E589,F589,G589,TRUE,TRUE),1,
ISBETWEEN(F589,D589,E589,TRUE,TRUE),1,
ISBETWEEN(G589,D589,E589,TRUE,TRUE),1,
1,0)"),1.0)</f>
        <v>1</v>
      </c>
    </row>
    <row r="590">
      <c r="A590" s="2" t="s">
        <v>589</v>
      </c>
      <c r="B590" s="1" t="str">
        <f>IFERROR(__xludf.DUMMYFUNCTION("SPLIT(A590,"","",)"),"5-92")</f>
        <v>5-92</v>
      </c>
      <c r="C590" s="1" t="str">
        <f>IFERROR(__xludf.DUMMYFUNCTION("""COMPUTED_VALUE"""),"6-97")</f>
        <v>6-97</v>
      </c>
      <c r="D590" s="4">
        <f>IFERROR(__xludf.DUMMYFUNCTION("split(B590,""-"")"),5.0)</f>
        <v>5</v>
      </c>
      <c r="E590" s="4">
        <f>IFERROR(__xludf.DUMMYFUNCTION("""COMPUTED_VALUE"""),92.0)</f>
        <v>92</v>
      </c>
      <c r="F590" s="4">
        <f>IFERROR(__xludf.DUMMYFUNCTION("split(C590,""-"")"),6.0)</f>
        <v>6</v>
      </c>
      <c r="G590" s="4">
        <f>IFERROR(__xludf.DUMMYFUNCTION("""COMPUTED_VALUE"""),97.0)</f>
        <v>97</v>
      </c>
      <c r="H590" s="4">
        <f t="shared" si="1"/>
        <v>0</v>
      </c>
      <c r="J590" s="4">
        <f>IFERROR(__xludf.DUMMYFUNCTION("IFS(
ISBETWEEN(D590,F590,G590,TRUE,TRUE),1,
ISBETWEEN(E590,F590,G590,TRUE,TRUE),1,
ISBETWEEN(F590,D590,E590,TRUE,TRUE),1,
ISBETWEEN(G590,D590,E590,TRUE,TRUE),1,
1,0)"),1.0)</f>
        <v>1</v>
      </c>
    </row>
    <row r="591">
      <c r="A591" s="2" t="s">
        <v>590</v>
      </c>
      <c r="B591" s="1" t="str">
        <f>IFERROR(__xludf.DUMMYFUNCTION("SPLIT(A591,"","",)"),"72-85")</f>
        <v>72-85</v>
      </c>
      <c r="C591" s="1" t="str">
        <f>IFERROR(__xludf.DUMMYFUNCTION("""COMPUTED_VALUE"""),"71-86")</f>
        <v>71-86</v>
      </c>
      <c r="D591" s="4">
        <f>IFERROR(__xludf.DUMMYFUNCTION("split(B591,""-"")"),72.0)</f>
        <v>72</v>
      </c>
      <c r="E591" s="4">
        <f>IFERROR(__xludf.DUMMYFUNCTION("""COMPUTED_VALUE"""),85.0)</f>
        <v>85</v>
      </c>
      <c r="F591" s="4">
        <f>IFERROR(__xludf.DUMMYFUNCTION("split(C591,""-"")"),71.0)</f>
        <v>71</v>
      </c>
      <c r="G591" s="4">
        <f>IFERROR(__xludf.DUMMYFUNCTION("""COMPUTED_VALUE"""),86.0)</f>
        <v>86</v>
      </c>
      <c r="H591" s="4">
        <f t="shared" si="1"/>
        <v>1</v>
      </c>
      <c r="J591" s="4">
        <f>IFERROR(__xludf.DUMMYFUNCTION("IFS(
ISBETWEEN(D591,F591,G591,TRUE,TRUE),1,
ISBETWEEN(E591,F591,G591,TRUE,TRUE),1,
ISBETWEEN(F591,D591,E591,TRUE,TRUE),1,
ISBETWEEN(G591,D591,E591,TRUE,TRUE),1,
1,0)"),1.0)</f>
        <v>1</v>
      </c>
    </row>
    <row r="592">
      <c r="A592" s="2" t="s">
        <v>591</v>
      </c>
      <c r="B592" s="1" t="str">
        <f>IFERROR(__xludf.DUMMYFUNCTION("SPLIT(A592,"","",)"),"21-21")</f>
        <v>21-21</v>
      </c>
      <c r="C592" s="1" t="str">
        <f>IFERROR(__xludf.DUMMYFUNCTION("""COMPUTED_VALUE"""),"20-26")</f>
        <v>20-26</v>
      </c>
      <c r="D592" s="4">
        <f>IFERROR(__xludf.DUMMYFUNCTION("split(B592,""-"")"),21.0)</f>
        <v>21</v>
      </c>
      <c r="E592" s="4">
        <f>IFERROR(__xludf.DUMMYFUNCTION("""COMPUTED_VALUE"""),21.0)</f>
        <v>21</v>
      </c>
      <c r="F592" s="4">
        <f>IFERROR(__xludf.DUMMYFUNCTION("split(C592,""-"")"),20.0)</f>
        <v>20</v>
      </c>
      <c r="G592" s="4">
        <f>IFERROR(__xludf.DUMMYFUNCTION("""COMPUTED_VALUE"""),26.0)</f>
        <v>26</v>
      </c>
      <c r="H592" s="4">
        <f t="shared" si="1"/>
        <v>1</v>
      </c>
      <c r="J592" s="4">
        <f>IFERROR(__xludf.DUMMYFUNCTION("IFS(
ISBETWEEN(D592,F592,G592,TRUE,TRUE),1,
ISBETWEEN(E592,F592,G592,TRUE,TRUE),1,
ISBETWEEN(F592,D592,E592,TRUE,TRUE),1,
ISBETWEEN(G592,D592,E592,TRUE,TRUE),1,
1,0)"),1.0)</f>
        <v>1</v>
      </c>
    </row>
    <row r="593">
      <c r="A593" s="2" t="s">
        <v>592</v>
      </c>
      <c r="B593" s="3">
        <f>IFERROR(__xludf.DUMMYFUNCTION("SPLIT(A593,"","",)"),44781.0)</f>
        <v>44781</v>
      </c>
      <c r="C593" s="1" t="str">
        <f>IFERROR(__xludf.DUMMYFUNCTION("""COMPUTED_VALUE"""),"7-98")</f>
        <v>7-98</v>
      </c>
      <c r="D593" s="4">
        <f>IFERROR(__xludf.DUMMYFUNCTION("split(B593,""-"")"),8.0)</f>
        <v>8</v>
      </c>
      <c r="E593" s="4">
        <f>IFERROR(__xludf.DUMMYFUNCTION("""COMPUTED_VALUE"""),8.0)</f>
        <v>8</v>
      </c>
      <c r="F593" s="4">
        <f>IFERROR(__xludf.DUMMYFUNCTION("split(C593,""-"")"),7.0)</f>
        <v>7</v>
      </c>
      <c r="G593" s="4">
        <f>IFERROR(__xludf.DUMMYFUNCTION("""COMPUTED_VALUE"""),98.0)</f>
        <v>98</v>
      </c>
      <c r="H593" s="4">
        <f t="shared" si="1"/>
        <v>1</v>
      </c>
      <c r="J593" s="4">
        <f>IFERROR(__xludf.DUMMYFUNCTION("IFS(
ISBETWEEN(D593,F593,G593,TRUE,TRUE),1,
ISBETWEEN(E593,F593,G593,TRUE,TRUE),1,
ISBETWEEN(F593,D593,E593,TRUE,TRUE),1,
ISBETWEEN(G593,D593,E593,TRUE,TRUE),1,
1,0)"),1.0)</f>
        <v>1</v>
      </c>
    </row>
    <row r="594">
      <c r="A594" s="2" t="s">
        <v>593</v>
      </c>
      <c r="B594" s="1" t="str">
        <f>IFERROR(__xludf.DUMMYFUNCTION("SPLIT(A594,"","",)"),"22-63")</f>
        <v>22-63</v>
      </c>
      <c r="C594" s="1" t="str">
        <f>IFERROR(__xludf.DUMMYFUNCTION("""COMPUTED_VALUE"""),"21-23")</f>
        <v>21-23</v>
      </c>
      <c r="D594" s="4">
        <f>IFERROR(__xludf.DUMMYFUNCTION("split(B594,""-"")"),22.0)</f>
        <v>22</v>
      </c>
      <c r="E594" s="4">
        <f>IFERROR(__xludf.DUMMYFUNCTION("""COMPUTED_VALUE"""),63.0)</f>
        <v>63</v>
      </c>
      <c r="F594" s="4">
        <f>IFERROR(__xludf.DUMMYFUNCTION("split(C594,""-"")"),21.0)</f>
        <v>21</v>
      </c>
      <c r="G594" s="4">
        <f>IFERROR(__xludf.DUMMYFUNCTION("""COMPUTED_VALUE"""),23.0)</f>
        <v>23</v>
      </c>
      <c r="H594" s="4">
        <f t="shared" si="1"/>
        <v>0</v>
      </c>
      <c r="J594" s="4">
        <f>IFERROR(__xludf.DUMMYFUNCTION("IFS(
ISBETWEEN(D594,F594,G594,TRUE,TRUE),1,
ISBETWEEN(E594,F594,G594,TRUE,TRUE),1,
ISBETWEEN(F594,D594,E594,TRUE,TRUE),1,
ISBETWEEN(G594,D594,E594,TRUE,TRUE),1,
1,0)"),1.0)</f>
        <v>1</v>
      </c>
    </row>
    <row r="595">
      <c r="A595" s="2" t="s">
        <v>594</v>
      </c>
      <c r="B595" s="1" t="str">
        <f>IFERROR(__xludf.DUMMYFUNCTION("SPLIT(A595,"","",)"),"20-73")</f>
        <v>20-73</v>
      </c>
      <c r="C595" s="1" t="str">
        <f>IFERROR(__xludf.DUMMYFUNCTION("""COMPUTED_VALUE"""),"19-21")</f>
        <v>19-21</v>
      </c>
      <c r="D595" s="4">
        <f>IFERROR(__xludf.DUMMYFUNCTION("split(B595,""-"")"),20.0)</f>
        <v>20</v>
      </c>
      <c r="E595" s="4">
        <f>IFERROR(__xludf.DUMMYFUNCTION("""COMPUTED_VALUE"""),73.0)</f>
        <v>73</v>
      </c>
      <c r="F595" s="4">
        <f>IFERROR(__xludf.DUMMYFUNCTION("split(C595,""-"")"),19.0)</f>
        <v>19</v>
      </c>
      <c r="G595" s="4">
        <f>IFERROR(__xludf.DUMMYFUNCTION("""COMPUTED_VALUE"""),21.0)</f>
        <v>21</v>
      </c>
      <c r="H595" s="4">
        <f t="shared" si="1"/>
        <v>0</v>
      </c>
      <c r="J595" s="4">
        <f>IFERROR(__xludf.DUMMYFUNCTION("IFS(
ISBETWEEN(D595,F595,G595,TRUE,TRUE),1,
ISBETWEEN(E595,F595,G595,TRUE,TRUE),1,
ISBETWEEN(F595,D595,E595,TRUE,TRUE),1,
ISBETWEEN(G595,D595,E595,TRUE,TRUE),1,
1,0)"),1.0)</f>
        <v>1</v>
      </c>
    </row>
    <row r="596">
      <c r="A596" s="2" t="s">
        <v>595</v>
      </c>
      <c r="B596" s="1" t="str">
        <f>IFERROR(__xludf.DUMMYFUNCTION("SPLIT(A596,"","",)"),"60-71")</f>
        <v>60-71</v>
      </c>
      <c r="C596" s="1" t="str">
        <f>IFERROR(__xludf.DUMMYFUNCTION("""COMPUTED_VALUE"""),"53-61")</f>
        <v>53-61</v>
      </c>
      <c r="D596" s="4">
        <f>IFERROR(__xludf.DUMMYFUNCTION("split(B596,""-"")"),60.0)</f>
        <v>60</v>
      </c>
      <c r="E596" s="4">
        <f>IFERROR(__xludf.DUMMYFUNCTION("""COMPUTED_VALUE"""),71.0)</f>
        <v>71</v>
      </c>
      <c r="F596" s="4">
        <f>IFERROR(__xludf.DUMMYFUNCTION("split(C596,""-"")"),53.0)</f>
        <v>53</v>
      </c>
      <c r="G596" s="4">
        <f>IFERROR(__xludf.DUMMYFUNCTION("""COMPUTED_VALUE"""),61.0)</f>
        <v>61</v>
      </c>
      <c r="H596" s="4">
        <f t="shared" si="1"/>
        <v>0</v>
      </c>
      <c r="J596" s="4">
        <f>IFERROR(__xludf.DUMMYFUNCTION("IFS(
ISBETWEEN(D596,F596,G596,TRUE,TRUE),1,
ISBETWEEN(E596,F596,G596,TRUE,TRUE),1,
ISBETWEEN(F596,D596,E596,TRUE,TRUE),1,
ISBETWEEN(G596,D596,E596,TRUE,TRUE),1,
1,0)"),1.0)</f>
        <v>1</v>
      </c>
    </row>
    <row r="597">
      <c r="A597" s="2" t="s">
        <v>596</v>
      </c>
      <c r="B597" s="1" t="str">
        <f>IFERROR(__xludf.DUMMYFUNCTION("SPLIT(A597,"","",)"),"26-68")</f>
        <v>26-68</v>
      </c>
      <c r="C597" s="1" t="str">
        <f>IFERROR(__xludf.DUMMYFUNCTION("""COMPUTED_VALUE"""),"25-27")</f>
        <v>25-27</v>
      </c>
      <c r="D597" s="4">
        <f>IFERROR(__xludf.DUMMYFUNCTION("split(B597,""-"")"),26.0)</f>
        <v>26</v>
      </c>
      <c r="E597" s="4">
        <f>IFERROR(__xludf.DUMMYFUNCTION("""COMPUTED_VALUE"""),68.0)</f>
        <v>68</v>
      </c>
      <c r="F597" s="4">
        <f>IFERROR(__xludf.DUMMYFUNCTION("split(C597,""-"")"),25.0)</f>
        <v>25</v>
      </c>
      <c r="G597" s="4">
        <f>IFERROR(__xludf.DUMMYFUNCTION("""COMPUTED_VALUE"""),27.0)</f>
        <v>27</v>
      </c>
      <c r="H597" s="4">
        <f t="shared" si="1"/>
        <v>0</v>
      </c>
      <c r="J597" s="4">
        <f>IFERROR(__xludf.DUMMYFUNCTION("IFS(
ISBETWEEN(D597,F597,G597,TRUE,TRUE),1,
ISBETWEEN(E597,F597,G597,TRUE,TRUE),1,
ISBETWEEN(F597,D597,E597,TRUE,TRUE),1,
ISBETWEEN(G597,D597,E597,TRUE,TRUE),1,
1,0)"),1.0)</f>
        <v>1</v>
      </c>
    </row>
    <row r="598">
      <c r="A598" s="2" t="s">
        <v>597</v>
      </c>
      <c r="B598" s="1" t="str">
        <f>IFERROR(__xludf.DUMMYFUNCTION("SPLIT(A598,"","",)"),"21-93")</f>
        <v>21-93</v>
      </c>
      <c r="C598" s="1" t="str">
        <f>IFERROR(__xludf.DUMMYFUNCTION("""COMPUTED_VALUE"""),"21-94")</f>
        <v>21-94</v>
      </c>
      <c r="D598" s="4">
        <f>IFERROR(__xludf.DUMMYFUNCTION("split(B598,""-"")"),21.0)</f>
        <v>21</v>
      </c>
      <c r="E598" s="4">
        <f>IFERROR(__xludf.DUMMYFUNCTION("""COMPUTED_VALUE"""),93.0)</f>
        <v>93</v>
      </c>
      <c r="F598" s="4">
        <f>IFERROR(__xludf.DUMMYFUNCTION("split(C598,""-"")"),21.0)</f>
        <v>21</v>
      </c>
      <c r="G598" s="4">
        <f>IFERROR(__xludf.DUMMYFUNCTION("""COMPUTED_VALUE"""),94.0)</f>
        <v>94</v>
      </c>
      <c r="H598" s="4">
        <f t="shared" si="1"/>
        <v>1</v>
      </c>
      <c r="J598" s="4">
        <f>IFERROR(__xludf.DUMMYFUNCTION("IFS(
ISBETWEEN(D598,F598,G598,TRUE,TRUE),1,
ISBETWEEN(E598,F598,G598,TRUE,TRUE),1,
ISBETWEEN(F598,D598,E598,TRUE,TRUE),1,
ISBETWEEN(G598,D598,E598,TRUE,TRUE),1,
1,0)"),1.0)</f>
        <v>1</v>
      </c>
    </row>
    <row r="599">
      <c r="A599" s="2" t="s">
        <v>598</v>
      </c>
      <c r="B599" s="1" t="str">
        <f>IFERROR(__xludf.DUMMYFUNCTION("SPLIT(A599,"","",)"),"1-80")</f>
        <v>1-80</v>
      </c>
      <c r="C599" s="3">
        <f>IFERROR(__xludf.DUMMYFUNCTION("""COMPUTED_VALUE"""),44593.0)</f>
        <v>44593</v>
      </c>
      <c r="D599" s="4">
        <f>IFERROR(__xludf.DUMMYFUNCTION("split(B599,""-"")"),1.0)</f>
        <v>1</v>
      </c>
      <c r="E599" s="4">
        <f>IFERROR(__xludf.DUMMYFUNCTION("""COMPUTED_VALUE"""),80.0)</f>
        <v>80</v>
      </c>
      <c r="F599" s="4">
        <f>IFERROR(__xludf.DUMMYFUNCTION("split(C599,""-"")"),1.0)</f>
        <v>1</v>
      </c>
      <c r="G599" s="4">
        <f>IFERROR(__xludf.DUMMYFUNCTION("""COMPUTED_VALUE"""),2.0)</f>
        <v>2</v>
      </c>
      <c r="H599" s="4">
        <f t="shared" si="1"/>
        <v>1</v>
      </c>
      <c r="J599" s="4">
        <f>IFERROR(__xludf.DUMMYFUNCTION("IFS(
ISBETWEEN(D599,F599,G599,TRUE,TRUE),1,
ISBETWEEN(E599,F599,G599,TRUE,TRUE),1,
ISBETWEEN(F599,D599,E599,TRUE,TRUE),1,
ISBETWEEN(G599,D599,E599,TRUE,TRUE),1,
1,0)"),1.0)</f>
        <v>1</v>
      </c>
    </row>
    <row r="600">
      <c r="A600" s="2" t="s">
        <v>599</v>
      </c>
      <c r="B600" s="1" t="str">
        <f>IFERROR(__xludf.DUMMYFUNCTION("SPLIT(A600,"","",)"),"17-65")</f>
        <v>17-65</v>
      </c>
      <c r="C600" s="1" t="str">
        <f>IFERROR(__xludf.DUMMYFUNCTION("""COMPUTED_VALUE"""),"66-87")</f>
        <v>66-87</v>
      </c>
      <c r="D600" s="4">
        <f>IFERROR(__xludf.DUMMYFUNCTION("split(B600,""-"")"),17.0)</f>
        <v>17</v>
      </c>
      <c r="E600" s="4">
        <f>IFERROR(__xludf.DUMMYFUNCTION("""COMPUTED_VALUE"""),65.0)</f>
        <v>65</v>
      </c>
      <c r="F600" s="4">
        <f>IFERROR(__xludf.DUMMYFUNCTION("split(C600,""-"")"),66.0)</f>
        <v>66</v>
      </c>
      <c r="G600" s="4">
        <f>IFERROR(__xludf.DUMMYFUNCTION("""COMPUTED_VALUE"""),87.0)</f>
        <v>87</v>
      </c>
      <c r="H600" s="4">
        <f t="shared" si="1"/>
        <v>0</v>
      </c>
      <c r="J600" s="4">
        <f>IFERROR(__xludf.DUMMYFUNCTION("IFS(
ISBETWEEN(D600,F600,G600,TRUE,TRUE),1,
ISBETWEEN(E600,F600,G600,TRUE,TRUE),1,
ISBETWEEN(F600,D600,E600,TRUE,TRUE),1,
ISBETWEEN(G600,D600,E600,TRUE,TRUE),1,
1,0)"),0.0)</f>
        <v>0</v>
      </c>
    </row>
    <row r="601">
      <c r="A601" s="2" t="s">
        <v>600</v>
      </c>
      <c r="B601" s="1" t="str">
        <f>IFERROR(__xludf.DUMMYFUNCTION("SPLIT(A601,"","",)"),"70-92")</f>
        <v>70-92</v>
      </c>
      <c r="C601" s="1" t="str">
        <f>IFERROR(__xludf.DUMMYFUNCTION("""COMPUTED_VALUE"""),"70-91")</f>
        <v>70-91</v>
      </c>
      <c r="D601" s="4">
        <f>IFERROR(__xludf.DUMMYFUNCTION("split(B601,""-"")"),70.0)</f>
        <v>70</v>
      </c>
      <c r="E601" s="4">
        <f>IFERROR(__xludf.DUMMYFUNCTION("""COMPUTED_VALUE"""),92.0)</f>
        <v>92</v>
      </c>
      <c r="F601" s="4">
        <f>IFERROR(__xludf.DUMMYFUNCTION("split(C601,""-"")"),70.0)</f>
        <v>70</v>
      </c>
      <c r="G601" s="4">
        <f>IFERROR(__xludf.DUMMYFUNCTION("""COMPUTED_VALUE"""),91.0)</f>
        <v>91</v>
      </c>
      <c r="H601" s="4">
        <f t="shared" si="1"/>
        <v>1</v>
      </c>
      <c r="J601" s="4">
        <f>IFERROR(__xludf.DUMMYFUNCTION("IFS(
ISBETWEEN(D601,F601,G601,TRUE,TRUE),1,
ISBETWEEN(E601,F601,G601,TRUE,TRUE),1,
ISBETWEEN(F601,D601,E601,TRUE,TRUE),1,
ISBETWEEN(G601,D601,E601,TRUE,TRUE),1,
1,0)"),1.0)</f>
        <v>1</v>
      </c>
    </row>
    <row r="602">
      <c r="A602" s="2" t="s">
        <v>601</v>
      </c>
      <c r="B602" s="1" t="str">
        <f>IFERROR(__xludf.DUMMYFUNCTION("SPLIT(A602,"","",)"),"7-73")</f>
        <v>7-73</v>
      </c>
      <c r="C602" s="1" t="str">
        <f>IFERROR(__xludf.DUMMYFUNCTION("""COMPUTED_VALUE"""),"7-72")</f>
        <v>7-72</v>
      </c>
      <c r="D602" s="4">
        <f>IFERROR(__xludf.DUMMYFUNCTION("split(B602,""-"")"),7.0)</f>
        <v>7</v>
      </c>
      <c r="E602" s="4">
        <f>IFERROR(__xludf.DUMMYFUNCTION("""COMPUTED_VALUE"""),73.0)</f>
        <v>73</v>
      </c>
      <c r="F602" s="4">
        <f>IFERROR(__xludf.DUMMYFUNCTION("split(C602,""-"")"),7.0)</f>
        <v>7</v>
      </c>
      <c r="G602" s="4">
        <f>IFERROR(__xludf.DUMMYFUNCTION("""COMPUTED_VALUE"""),72.0)</f>
        <v>72</v>
      </c>
      <c r="H602" s="4">
        <f t="shared" si="1"/>
        <v>1</v>
      </c>
      <c r="J602" s="4">
        <f>IFERROR(__xludf.DUMMYFUNCTION("IFS(
ISBETWEEN(D602,F602,G602,TRUE,TRUE),1,
ISBETWEEN(E602,F602,G602,TRUE,TRUE),1,
ISBETWEEN(F602,D602,E602,TRUE,TRUE),1,
ISBETWEEN(G602,D602,E602,TRUE,TRUE),1,
1,0)"),1.0)</f>
        <v>1</v>
      </c>
    </row>
    <row r="603">
      <c r="A603" s="2" t="s">
        <v>602</v>
      </c>
      <c r="B603" s="1" t="str">
        <f>IFERROR(__xludf.DUMMYFUNCTION("SPLIT(A603,"","",)"),"4-81")</f>
        <v>4-81</v>
      </c>
      <c r="C603" s="1" t="str">
        <f>IFERROR(__xludf.DUMMYFUNCTION("""COMPUTED_VALUE"""),"5-82")</f>
        <v>5-82</v>
      </c>
      <c r="D603" s="4">
        <f>IFERROR(__xludf.DUMMYFUNCTION("split(B603,""-"")"),4.0)</f>
        <v>4</v>
      </c>
      <c r="E603" s="4">
        <f>IFERROR(__xludf.DUMMYFUNCTION("""COMPUTED_VALUE"""),81.0)</f>
        <v>81</v>
      </c>
      <c r="F603" s="4">
        <f>IFERROR(__xludf.DUMMYFUNCTION("split(C603,""-"")"),5.0)</f>
        <v>5</v>
      </c>
      <c r="G603" s="4">
        <f>IFERROR(__xludf.DUMMYFUNCTION("""COMPUTED_VALUE"""),82.0)</f>
        <v>82</v>
      </c>
      <c r="H603" s="4">
        <f t="shared" si="1"/>
        <v>0</v>
      </c>
      <c r="J603" s="4">
        <f>IFERROR(__xludf.DUMMYFUNCTION("IFS(
ISBETWEEN(D603,F603,G603,TRUE,TRUE),1,
ISBETWEEN(E603,F603,G603,TRUE,TRUE),1,
ISBETWEEN(F603,D603,E603,TRUE,TRUE),1,
ISBETWEEN(G603,D603,E603,TRUE,TRUE),1,
1,0)"),1.0)</f>
        <v>1</v>
      </c>
    </row>
    <row r="604">
      <c r="A604" s="2" t="s">
        <v>603</v>
      </c>
      <c r="B604" s="1" t="str">
        <f>IFERROR(__xludf.DUMMYFUNCTION("SPLIT(A604,"","",)"),"5-85")</f>
        <v>5-85</v>
      </c>
      <c r="C604" s="1" t="str">
        <f>IFERROR(__xludf.DUMMYFUNCTION("""COMPUTED_VALUE"""),"85-86")</f>
        <v>85-86</v>
      </c>
      <c r="D604" s="4">
        <f>IFERROR(__xludf.DUMMYFUNCTION("split(B604,""-"")"),5.0)</f>
        <v>5</v>
      </c>
      <c r="E604" s="4">
        <f>IFERROR(__xludf.DUMMYFUNCTION("""COMPUTED_VALUE"""),85.0)</f>
        <v>85</v>
      </c>
      <c r="F604" s="4">
        <f>IFERROR(__xludf.DUMMYFUNCTION("split(C604,""-"")"),85.0)</f>
        <v>85</v>
      </c>
      <c r="G604" s="4">
        <f>IFERROR(__xludf.DUMMYFUNCTION("""COMPUTED_VALUE"""),86.0)</f>
        <v>86</v>
      </c>
      <c r="H604" s="4">
        <f t="shared" si="1"/>
        <v>0</v>
      </c>
      <c r="J604" s="4">
        <f>IFERROR(__xludf.DUMMYFUNCTION("IFS(
ISBETWEEN(D604,F604,G604,TRUE,TRUE),1,
ISBETWEEN(E604,F604,G604,TRUE,TRUE),1,
ISBETWEEN(F604,D604,E604,TRUE,TRUE),1,
ISBETWEEN(G604,D604,E604,TRUE,TRUE),1,
1,0)"),1.0)</f>
        <v>1</v>
      </c>
    </row>
    <row r="605">
      <c r="A605" s="2" t="s">
        <v>604</v>
      </c>
      <c r="B605" s="1" t="str">
        <f>IFERROR(__xludf.DUMMYFUNCTION("SPLIT(A605,"","",)"),"36-37")</f>
        <v>36-37</v>
      </c>
      <c r="C605" s="1" t="str">
        <f>IFERROR(__xludf.DUMMYFUNCTION("""COMPUTED_VALUE"""),"21-36")</f>
        <v>21-36</v>
      </c>
      <c r="D605" s="4">
        <f>IFERROR(__xludf.DUMMYFUNCTION("split(B605,""-"")"),36.0)</f>
        <v>36</v>
      </c>
      <c r="E605" s="4">
        <f>IFERROR(__xludf.DUMMYFUNCTION("""COMPUTED_VALUE"""),37.0)</f>
        <v>37</v>
      </c>
      <c r="F605" s="4">
        <f>IFERROR(__xludf.DUMMYFUNCTION("split(C605,""-"")"),21.0)</f>
        <v>21</v>
      </c>
      <c r="G605" s="4">
        <f>IFERROR(__xludf.DUMMYFUNCTION("""COMPUTED_VALUE"""),36.0)</f>
        <v>36</v>
      </c>
      <c r="H605" s="4">
        <f t="shared" si="1"/>
        <v>0</v>
      </c>
      <c r="J605" s="4">
        <f>IFERROR(__xludf.DUMMYFUNCTION("IFS(
ISBETWEEN(D605,F605,G605,TRUE,TRUE),1,
ISBETWEEN(E605,F605,G605,TRUE,TRUE),1,
ISBETWEEN(F605,D605,E605,TRUE,TRUE),1,
ISBETWEEN(G605,D605,E605,TRUE,TRUE),1,
1,0)"),1.0)</f>
        <v>1</v>
      </c>
    </row>
    <row r="606">
      <c r="A606" s="2" t="s">
        <v>605</v>
      </c>
      <c r="B606" s="1" t="str">
        <f>IFERROR(__xludf.DUMMYFUNCTION("SPLIT(A606,"","",)"),"49-97")</f>
        <v>49-97</v>
      </c>
      <c r="C606" s="1" t="str">
        <f>IFERROR(__xludf.DUMMYFUNCTION("""COMPUTED_VALUE"""),"49-97")</f>
        <v>49-97</v>
      </c>
      <c r="D606" s="4">
        <f>IFERROR(__xludf.DUMMYFUNCTION("split(B606,""-"")"),49.0)</f>
        <v>49</v>
      </c>
      <c r="E606" s="4">
        <f>IFERROR(__xludf.DUMMYFUNCTION("""COMPUTED_VALUE"""),97.0)</f>
        <v>97</v>
      </c>
      <c r="F606" s="4">
        <f>IFERROR(__xludf.DUMMYFUNCTION("split(C606,""-"")"),49.0)</f>
        <v>49</v>
      </c>
      <c r="G606" s="4">
        <f>IFERROR(__xludf.DUMMYFUNCTION("""COMPUTED_VALUE"""),97.0)</f>
        <v>97</v>
      </c>
      <c r="H606" s="4">
        <f t="shared" si="1"/>
        <v>1</v>
      </c>
      <c r="J606" s="4">
        <f>IFERROR(__xludf.DUMMYFUNCTION("IFS(
ISBETWEEN(D606,F606,G606,TRUE,TRUE),1,
ISBETWEEN(E606,F606,G606,TRUE,TRUE),1,
ISBETWEEN(F606,D606,E606,TRUE,TRUE),1,
ISBETWEEN(G606,D606,E606,TRUE,TRUE),1,
1,0)"),1.0)</f>
        <v>1</v>
      </c>
    </row>
    <row r="607">
      <c r="A607" s="2" t="s">
        <v>606</v>
      </c>
      <c r="B607" s="1" t="str">
        <f>IFERROR(__xludf.DUMMYFUNCTION("SPLIT(A607,"","",)"),"8-70")</f>
        <v>8-70</v>
      </c>
      <c r="C607" s="1" t="str">
        <f>IFERROR(__xludf.DUMMYFUNCTION("""COMPUTED_VALUE"""),"7-71")</f>
        <v>7-71</v>
      </c>
      <c r="D607" s="4">
        <f>IFERROR(__xludf.DUMMYFUNCTION("split(B607,""-"")"),8.0)</f>
        <v>8</v>
      </c>
      <c r="E607" s="4">
        <f>IFERROR(__xludf.DUMMYFUNCTION("""COMPUTED_VALUE"""),70.0)</f>
        <v>70</v>
      </c>
      <c r="F607" s="4">
        <f>IFERROR(__xludf.DUMMYFUNCTION("split(C607,""-"")"),7.0)</f>
        <v>7</v>
      </c>
      <c r="G607" s="4">
        <f>IFERROR(__xludf.DUMMYFUNCTION("""COMPUTED_VALUE"""),71.0)</f>
        <v>71</v>
      </c>
      <c r="H607" s="4">
        <f t="shared" si="1"/>
        <v>1</v>
      </c>
      <c r="J607" s="4">
        <f>IFERROR(__xludf.DUMMYFUNCTION("IFS(
ISBETWEEN(D607,F607,G607,TRUE,TRUE),1,
ISBETWEEN(E607,F607,G607,TRUE,TRUE),1,
ISBETWEEN(F607,D607,E607,TRUE,TRUE),1,
ISBETWEEN(G607,D607,E607,TRUE,TRUE),1,
1,0)"),1.0)</f>
        <v>1</v>
      </c>
    </row>
    <row r="608">
      <c r="A608" s="2" t="s">
        <v>607</v>
      </c>
      <c r="B608" s="1" t="str">
        <f>IFERROR(__xludf.DUMMYFUNCTION("SPLIT(A608,"","",)"),"43-85")</f>
        <v>43-85</v>
      </c>
      <c r="C608" s="1" t="str">
        <f>IFERROR(__xludf.DUMMYFUNCTION("""COMPUTED_VALUE"""),"68-91")</f>
        <v>68-91</v>
      </c>
      <c r="D608" s="4">
        <f>IFERROR(__xludf.DUMMYFUNCTION("split(B608,""-"")"),43.0)</f>
        <v>43</v>
      </c>
      <c r="E608" s="4">
        <f>IFERROR(__xludf.DUMMYFUNCTION("""COMPUTED_VALUE"""),85.0)</f>
        <v>85</v>
      </c>
      <c r="F608" s="4">
        <f>IFERROR(__xludf.DUMMYFUNCTION("split(C608,""-"")"),68.0)</f>
        <v>68</v>
      </c>
      <c r="G608" s="4">
        <f>IFERROR(__xludf.DUMMYFUNCTION("""COMPUTED_VALUE"""),91.0)</f>
        <v>91</v>
      </c>
      <c r="H608" s="4">
        <f t="shared" si="1"/>
        <v>0</v>
      </c>
      <c r="J608" s="4">
        <f>IFERROR(__xludf.DUMMYFUNCTION("IFS(
ISBETWEEN(D608,F608,G608,TRUE,TRUE),1,
ISBETWEEN(E608,F608,G608,TRUE,TRUE),1,
ISBETWEEN(F608,D608,E608,TRUE,TRUE),1,
ISBETWEEN(G608,D608,E608,TRUE,TRUE),1,
1,0)"),1.0)</f>
        <v>1</v>
      </c>
    </row>
    <row r="609">
      <c r="A609" s="2" t="s">
        <v>608</v>
      </c>
      <c r="B609" s="1" t="str">
        <f>IFERROR(__xludf.DUMMYFUNCTION("SPLIT(A609,"","",)"),"25-95")</f>
        <v>25-95</v>
      </c>
      <c r="C609" s="1" t="str">
        <f>IFERROR(__xludf.DUMMYFUNCTION("""COMPUTED_VALUE"""),"99-99")</f>
        <v>99-99</v>
      </c>
      <c r="D609" s="4">
        <f>IFERROR(__xludf.DUMMYFUNCTION("split(B609,""-"")"),25.0)</f>
        <v>25</v>
      </c>
      <c r="E609" s="4">
        <f>IFERROR(__xludf.DUMMYFUNCTION("""COMPUTED_VALUE"""),95.0)</f>
        <v>95</v>
      </c>
      <c r="F609" s="4">
        <f>IFERROR(__xludf.DUMMYFUNCTION("split(C609,""-"")"),99.0)</f>
        <v>99</v>
      </c>
      <c r="G609" s="4">
        <f>IFERROR(__xludf.DUMMYFUNCTION("""COMPUTED_VALUE"""),99.0)</f>
        <v>99</v>
      </c>
      <c r="H609" s="4">
        <f t="shared" si="1"/>
        <v>0</v>
      </c>
      <c r="J609" s="4">
        <f>IFERROR(__xludf.DUMMYFUNCTION("IFS(
ISBETWEEN(D609,F609,G609,TRUE,TRUE),1,
ISBETWEEN(E609,F609,G609,TRUE,TRUE),1,
ISBETWEEN(F609,D609,E609,TRUE,TRUE),1,
ISBETWEEN(G609,D609,E609,TRUE,TRUE),1,
1,0)"),0.0)</f>
        <v>0</v>
      </c>
    </row>
    <row r="610">
      <c r="A610" s="2" t="s">
        <v>609</v>
      </c>
      <c r="B610" s="1" t="str">
        <f>IFERROR(__xludf.DUMMYFUNCTION("SPLIT(A610,"","",)"),"35-86")</f>
        <v>35-86</v>
      </c>
      <c r="C610" s="1" t="str">
        <f>IFERROR(__xludf.DUMMYFUNCTION("""COMPUTED_VALUE"""),"36-36")</f>
        <v>36-36</v>
      </c>
      <c r="D610" s="4">
        <f>IFERROR(__xludf.DUMMYFUNCTION("split(B610,""-"")"),35.0)</f>
        <v>35</v>
      </c>
      <c r="E610" s="4">
        <f>IFERROR(__xludf.DUMMYFUNCTION("""COMPUTED_VALUE"""),86.0)</f>
        <v>86</v>
      </c>
      <c r="F610" s="4">
        <f>IFERROR(__xludf.DUMMYFUNCTION("split(C610,""-"")"),36.0)</f>
        <v>36</v>
      </c>
      <c r="G610" s="4">
        <f>IFERROR(__xludf.DUMMYFUNCTION("""COMPUTED_VALUE"""),36.0)</f>
        <v>36</v>
      </c>
      <c r="H610" s="4">
        <f t="shared" si="1"/>
        <v>1</v>
      </c>
      <c r="J610" s="4">
        <f>IFERROR(__xludf.DUMMYFUNCTION("IFS(
ISBETWEEN(D610,F610,G610,TRUE,TRUE),1,
ISBETWEEN(E610,F610,G610,TRUE,TRUE),1,
ISBETWEEN(F610,D610,E610,TRUE,TRUE),1,
ISBETWEEN(G610,D610,E610,TRUE,TRUE),1,
1,0)"),1.0)</f>
        <v>1</v>
      </c>
    </row>
    <row r="611">
      <c r="A611" s="2" t="s">
        <v>610</v>
      </c>
      <c r="B611" s="1" t="str">
        <f>IFERROR(__xludf.DUMMYFUNCTION("SPLIT(A611,"","",)"),"55-55")</f>
        <v>55-55</v>
      </c>
      <c r="C611" s="1" t="str">
        <f>IFERROR(__xludf.DUMMYFUNCTION("""COMPUTED_VALUE"""),"54-66")</f>
        <v>54-66</v>
      </c>
      <c r="D611" s="4">
        <f>IFERROR(__xludf.DUMMYFUNCTION("split(B611,""-"")"),55.0)</f>
        <v>55</v>
      </c>
      <c r="E611" s="4">
        <f>IFERROR(__xludf.DUMMYFUNCTION("""COMPUTED_VALUE"""),55.0)</f>
        <v>55</v>
      </c>
      <c r="F611" s="4">
        <f>IFERROR(__xludf.DUMMYFUNCTION("split(C611,""-"")"),54.0)</f>
        <v>54</v>
      </c>
      <c r="G611" s="4">
        <f>IFERROR(__xludf.DUMMYFUNCTION("""COMPUTED_VALUE"""),66.0)</f>
        <v>66</v>
      </c>
      <c r="H611" s="4">
        <f t="shared" si="1"/>
        <v>1</v>
      </c>
      <c r="J611" s="4">
        <f>IFERROR(__xludf.DUMMYFUNCTION("IFS(
ISBETWEEN(D611,F611,G611,TRUE,TRUE),1,
ISBETWEEN(E611,F611,G611,TRUE,TRUE),1,
ISBETWEEN(F611,D611,E611,TRUE,TRUE),1,
ISBETWEEN(G611,D611,E611,TRUE,TRUE),1,
1,0)"),1.0)</f>
        <v>1</v>
      </c>
    </row>
    <row r="612">
      <c r="A612" s="2" t="s">
        <v>611</v>
      </c>
      <c r="B612" s="1" t="str">
        <f>IFERROR(__xludf.DUMMYFUNCTION("SPLIT(A612,"","",)"),"75-84")</f>
        <v>75-84</v>
      </c>
      <c r="C612" s="1" t="str">
        <f>IFERROR(__xludf.DUMMYFUNCTION("""COMPUTED_VALUE"""),"74-85")</f>
        <v>74-85</v>
      </c>
      <c r="D612" s="4">
        <f>IFERROR(__xludf.DUMMYFUNCTION("split(B612,""-"")"),75.0)</f>
        <v>75</v>
      </c>
      <c r="E612" s="4">
        <f>IFERROR(__xludf.DUMMYFUNCTION("""COMPUTED_VALUE"""),84.0)</f>
        <v>84</v>
      </c>
      <c r="F612" s="4">
        <f>IFERROR(__xludf.DUMMYFUNCTION("split(C612,""-"")"),74.0)</f>
        <v>74</v>
      </c>
      <c r="G612" s="4">
        <f>IFERROR(__xludf.DUMMYFUNCTION("""COMPUTED_VALUE"""),85.0)</f>
        <v>85</v>
      </c>
      <c r="H612" s="4">
        <f t="shared" si="1"/>
        <v>1</v>
      </c>
      <c r="J612" s="4">
        <f>IFERROR(__xludf.DUMMYFUNCTION("IFS(
ISBETWEEN(D612,F612,G612,TRUE,TRUE),1,
ISBETWEEN(E612,F612,G612,TRUE,TRUE),1,
ISBETWEEN(F612,D612,E612,TRUE,TRUE),1,
ISBETWEEN(G612,D612,E612,TRUE,TRUE),1,
1,0)"),1.0)</f>
        <v>1</v>
      </c>
    </row>
    <row r="613">
      <c r="A613" s="2" t="s">
        <v>612</v>
      </c>
      <c r="B613" s="1" t="str">
        <f>IFERROR(__xludf.DUMMYFUNCTION("SPLIT(A613,"","",)"),"6-38")</f>
        <v>6-38</v>
      </c>
      <c r="C613" s="1" t="str">
        <f>IFERROR(__xludf.DUMMYFUNCTION("""COMPUTED_VALUE"""),"10-39")</f>
        <v>10-39</v>
      </c>
      <c r="D613" s="4">
        <f>IFERROR(__xludf.DUMMYFUNCTION("split(B613,""-"")"),6.0)</f>
        <v>6</v>
      </c>
      <c r="E613" s="4">
        <f>IFERROR(__xludf.DUMMYFUNCTION("""COMPUTED_VALUE"""),38.0)</f>
        <v>38</v>
      </c>
      <c r="F613" s="4">
        <f>IFERROR(__xludf.DUMMYFUNCTION("split(C613,""-"")"),10.0)</f>
        <v>10</v>
      </c>
      <c r="G613" s="4">
        <f>IFERROR(__xludf.DUMMYFUNCTION("""COMPUTED_VALUE"""),39.0)</f>
        <v>39</v>
      </c>
      <c r="H613" s="4">
        <f t="shared" si="1"/>
        <v>0</v>
      </c>
      <c r="J613" s="4">
        <f>IFERROR(__xludf.DUMMYFUNCTION("IFS(
ISBETWEEN(D613,F613,G613,TRUE,TRUE),1,
ISBETWEEN(E613,F613,G613,TRUE,TRUE),1,
ISBETWEEN(F613,D613,E613,TRUE,TRUE),1,
ISBETWEEN(G613,D613,E613,TRUE,TRUE),1,
1,0)"),1.0)</f>
        <v>1</v>
      </c>
    </row>
    <row r="614">
      <c r="A614" s="2" t="s">
        <v>613</v>
      </c>
      <c r="B614" s="1" t="str">
        <f>IFERROR(__xludf.DUMMYFUNCTION("SPLIT(A614,"","",)"),"76-83")</f>
        <v>76-83</v>
      </c>
      <c r="C614" s="1" t="str">
        <f>IFERROR(__xludf.DUMMYFUNCTION("""COMPUTED_VALUE"""),"8-76")</f>
        <v>8-76</v>
      </c>
      <c r="D614" s="4">
        <f>IFERROR(__xludf.DUMMYFUNCTION("split(B614,""-"")"),76.0)</f>
        <v>76</v>
      </c>
      <c r="E614" s="4">
        <f>IFERROR(__xludf.DUMMYFUNCTION("""COMPUTED_VALUE"""),83.0)</f>
        <v>83</v>
      </c>
      <c r="F614" s="4">
        <f>IFERROR(__xludf.DUMMYFUNCTION("split(C614,""-"")"),8.0)</f>
        <v>8</v>
      </c>
      <c r="G614" s="4">
        <f>IFERROR(__xludf.DUMMYFUNCTION("""COMPUTED_VALUE"""),76.0)</f>
        <v>76</v>
      </c>
      <c r="H614" s="4">
        <f t="shared" si="1"/>
        <v>0</v>
      </c>
      <c r="J614" s="4">
        <f>IFERROR(__xludf.DUMMYFUNCTION("IFS(
ISBETWEEN(D614,F614,G614,TRUE,TRUE),1,
ISBETWEEN(E614,F614,G614,TRUE,TRUE),1,
ISBETWEEN(F614,D614,E614,TRUE,TRUE),1,
ISBETWEEN(G614,D614,E614,TRUE,TRUE),1,
1,0)"),1.0)</f>
        <v>1</v>
      </c>
    </row>
    <row r="615">
      <c r="A615" s="2" t="s">
        <v>614</v>
      </c>
      <c r="B615" s="1" t="str">
        <f>IFERROR(__xludf.DUMMYFUNCTION("SPLIT(A615,"","",)"),"67-69")</f>
        <v>67-69</v>
      </c>
      <c r="C615" s="1" t="str">
        <f>IFERROR(__xludf.DUMMYFUNCTION("""COMPUTED_VALUE"""),"68-87")</f>
        <v>68-87</v>
      </c>
      <c r="D615" s="4">
        <f>IFERROR(__xludf.DUMMYFUNCTION("split(B615,""-"")"),67.0)</f>
        <v>67</v>
      </c>
      <c r="E615" s="4">
        <f>IFERROR(__xludf.DUMMYFUNCTION("""COMPUTED_VALUE"""),69.0)</f>
        <v>69</v>
      </c>
      <c r="F615" s="4">
        <f>IFERROR(__xludf.DUMMYFUNCTION("split(C615,""-"")"),68.0)</f>
        <v>68</v>
      </c>
      <c r="G615" s="4">
        <f>IFERROR(__xludf.DUMMYFUNCTION("""COMPUTED_VALUE"""),87.0)</f>
        <v>87</v>
      </c>
      <c r="H615" s="4">
        <f t="shared" si="1"/>
        <v>0</v>
      </c>
      <c r="J615" s="4">
        <f>IFERROR(__xludf.DUMMYFUNCTION("IFS(
ISBETWEEN(D615,F615,G615,TRUE,TRUE),1,
ISBETWEEN(E615,F615,G615,TRUE,TRUE),1,
ISBETWEEN(F615,D615,E615,TRUE,TRUE),1,
ISBETWEEN(G615,D615,E615,TRUE,TRUE),1,
1,0)"),1.0)</f>
        <v>1</v>
      </c>
    </row>
    <row r="616">
      <c r="A616" s="2" t="s">
        <v>615</v>
      </c>
      <c r="B616" s="1" t="str">
        <f>IFERROR(__xludf.DUMMYFUNCTION("SPLIT(A616,"","",)"),"4-96")</f>
        <v>4-96</v>
      </c>
      <c r="C616" s="1" t="str">
        <f>IFERROR(__xludf.DUMMYFUNCTION("""COMPUTED_VALUE"""),"6-96")</f>
        <v>6-96</v>
      </c>
      <c r="D616" s="4">
        <f>IFERROR(__xludf.DUMMYFUNCTION("split(B616,""-"")"),4.0)</f>
        <v>4</v>
      </c>
      <c r="E616" s="4">
        <f>IFERROR(__xludf.DUMMYFUNCTION("""COMPUTED_VALUE"""),96.0)</f>
        <v>96</v>
      </c>
      <c r="F616" s="4">
        <f>IFERROR(__xludf.DUMMYFUNCTION("split(C616,""-"")"),6.0)</f>
        <v>6</v>
      </c>
      <c r="G616" s="4">
        <f>IFERROR(__xludf.DUMMYFUNCTION("""COMPUTED_VALUE"""),96.0)</f>
        <v>96</v>
      </c>
      <c r="H616" s="4">
        <f t="shared" si="1"/>
        <v>1</v>
      </c>
      <c r="J616" s="4">
        <f>IFERROR(__xludf.DUMMYFUNCTION("IFS(
ISBETWEEN(D616,F616,G616,TRUE,TRUE),1,
ISBETWEEN(E616,F616,G616,TRUE,TRUE),1,
ISBETWEEN(F616,D616,E616,TRUE,TRUE),1,
ISBETWEEN(G616,D616,E616,TRUE,TRUE),1,
1,0)"),1.0)</f>
        <v>1</v>
      </c>
    </row>
    <row r="617">
      <c r="A617" s="2" t="s">
        <v>616</v>
      </c>
      <c r="B617" s="1" t="str">
        <f>IFERROR(__xludf.DUMMYFUNCTION("SPLIT(A617,"","",)"),"45-88")</f>
        <v>45-88</v>
      </c>
      <c r="C617" s="1" t="str">
        <f>IFERROR(__xludf.DUMMYFUNCTION("""COMPUTED_VALUE"""),"78-89")</f>
        <v>78-89</v>
      </c>
      <c r="D617" s="4">
        <f>IFERROR(__xludf.DUMMYFUNCTION("split(B617,""-"")"),45.0)</f>
        <v>45</v>
      </c>
      <c r="E617" s="4">
        <f>IFERROR(__xludf.DUMMYFUNCTION("""COMPUTED_VALUE"""),88.0)</f>
        <v>88</v>
      </c>
      <c r="F617" s="4">
        <f>IFERROR(__xludf.DUMMYFUNCTION("split(C617,""-"")"),78.0)</f>
        <v>78</v>
      </c>
      <c r="G617" s="4">
        <f>IFERROR(__xludf.DUMMYFUNCTION("""COMPUTED_VALUE"""),89.0)</f>
        <v>89</v>
      </c>
      <c r="H617" s="4">
        <f t="shared" si="1"/>
        <v>0</v>
      </c>
      <c r="J617" s="4">
        <f>IFERROR(__xludf.DUMMYFUNCTION("IFS(
ISBETWEEN(D617,F617,G617,TRUE,TRUE),1,
ISBETWEEN(E617,F617,G617,TRUE,TRUE),1,
ISBETWEEN(F617,D617,E617,TRUE,TRUE),1,
ISBETWEEN(G617,D617,E617,TRUE,TRUE),1,
1,0)"),1.0)</f>
        <v>1</v>
      </c>
    </row>
    <row r="618">
      <c r="A618" s="2" t="s">
        <v>617</v>
      </c>
      <c r="B618" s="1" t="str">
        <f>IFERROR(__xludf.DUMMYFUNCTION("SPLIT(A618,"","",)"),"4-42")</f>
        <v>4-42</v>
      </c>
      <c r="C618" s="1" t="str">
        <f>IFERROR(__xludf.DUMMYFUNCTION("""COMPUTED_VALUE"""),"3-43")</f>
        <v>3-43</v>
      </c>
      <c r="D618" s="4">
        <f>IFERROR(__xludf.DUMMYFUNCTION("split(B618,""-"")"),4.0)</f>
        <v>4</v>
      </c>
      <c r="E618" s="4">
        <f>IFERROR(__xludf.DUMMYFUNCTION("""COMPUTED_VALUE"""),42.0)</f>
        <v>42</v>
      </c>
      <c r="F618" s="4">
        <f>IFERROR(__xludf.DUMMYFUNCTION("split(C618,""-"")"),3.0)</f>
        <v>3</v>
      </c>
      <c r="G618" s="4">
        <f>IFERROR(__xludf.DUMMYFUNCTION("""COMPUTED_VALUE"""),43.0)</f>
        <v>43</v>
      </c>
      <c r="H618" s="4">
        <f t="shared" si="1"/>
        <v>1</v>
      </c>
      <c r="J618" s="4">
        <f>IFERROR(__xludf.DUMMYFUNCTION("IFS(
ISBETWEEN(D618,F618,G618,TRUE,TRUE),1,
ISBETWEEN(E618,F618,G618,TRUE,TRUE),1,
ISBETWEEN(F618,D618,E618,TRUE,TRUE),1,
ISBETWEEN(G618,D618,E618,TRUE,TRUE),1,
1,0)"),1.0)</f>
        <v>1</v>
      </c>
    </row>
    <row r="619">
      <c r="A619" s="2" t="s">
        <v>618</v>
      </c>
      <c r="B619" s="1" t="str">
        <f>IFERROR(__xludf.DUMMYFUNCTION("SPLIT(A619,"","",)"),"16-95")</f>
        <v>16-95</v>
      </c>
      <c r="C619" s="1" t="str">
        <f>IFERROR(__xludf.DUMMYFUNCTION("""COMPUTED_VALUE"""),"43-87")</f>
        <v>43-87</v>
      </c>
      <c r="D619" s="4">
        <f>IFERROR(__xludf.DUMMYFUNCTION("split(B619,""-"")"),16.0)</f>
        <v>16</v>
      </c>
      <c r="E619" s="4">
        <f>IFERROR(__xludf.DUMMYFUNCTION("""COMPUTED_VALUE"""),95.0)</f>
        <v>95</v>
      </c>
      <c r="F619" s="4">
        <f>IFERROR(__xludf.DUMMYFUNCTION("split(C619,""-"")"),43.0)</f>
        <v>43</v>
      </c>
      <c r="G619" s="4">
        <f>IFERROR(__xludf.DUMMYFUNCTION("""COMPUTED_VALUE"""),87.0)</f>
        <v>87</v>
      </c>
      <c r="H619" s="4">
        <f t="shared" si="1"/>
        <v>1</v>
      </c>
      <c r="J619" s="4">
        <f>IFERROR(__xludf.DUMMYFUNCTION("IFS(
ISBETWEEN(D619,F619,G619,TRUE,TRUE),1,
ISBETWEEN(E619,F619,G619,TRUE,TRUE),1,
ISBETWEEN(F619,D619,E619,TRUE,TRUE),1,
ISBETWEEN(G619,D619,E619,TRUE,TRUE),1,
1,0)"),1.0)</f>
        <v>1</v>
      </c>
    </row>
    <row r="620">
      <c r="A620" s="2" t="s">
        <v>619</v>
      </c>
      <c r="B620" s="1" t="str">
        <f>IFERROR(__xludf.DUMMYFUNCTION("SPLIT(A620,"","",)"),"48-67")</f>
        <v>48-67</v>
      </c>
      <c r="C620" s="1" t="str">
        <f>IFERROR(__xludf.DUMMYFUNCTION("""COMPUTED_VALUE"""),"47-97")</f>
        <v>47-97</v>
      </c>
      <c r="D620" s="4">
        <f>IFERROR(__xludf.DUMMYFUNCTION("split(B620,""-"")"),48.0)</f>
        <v>48</v>
      </c>
      <c r="E620" s="4">
        <f>IFERROR(__xludf.DUMMYFUNCTION("""COMPUTED_VALUE"""),67.0)</f>
        <v>67</v>
      </c>
      <c r="F620" s="4">
        <f>IFERROR(__xludf.DUMMYFUNCTION("split(C620,""-"")"),47.0)</f>
        <v>47</v>
      </c>
      <c r="G620" s="4">
        <f>IFERROR(__xludf.DUMMYFUNCTION("""COMPUTED_VALUE"""),97.0)</f>
        <v>97</v>
      </c>
      <c r="H620" s="4">
        <f t="shared" si="1"/>
        <v>1</v>
      </c>
      <c r="J620" s="4">
        <f>IFERROR(__xludf.DUMMYFUNCTION("IFS(
ISBETWEEN(D620,F620,G620,TRUE,TRUE),1,
ISBETWEEN(E620,F620,G620,TRUE,TRUE),1,
ISBETWEEN(F620,D620,E620,TRUE,TRUE),1,
ISBETWEEN(G620,D620,E620,TRUE,TRUE),1,
1,0)"),1.0)</f>
        <v>1</v>
      </c>
    </row>
    <row r="621">
      <c r="A621" s="2" t="s">
        <v>620</v>
      </c>
      <c r="B621" s="1" t="str">
        <f>IFERROR(__xludf.DUMMYFUNCTION("SPLIT(A621,"","",)"),"18-98")</f>
        <v>18-98</v>
      </c>
      <c r="C621" s="1" t="str">
        <f>IFERROR(__xludf.DUMMYFUNCTION("""COMPUTED_VALUE"""),"19-99")</f>
        <v>19-99</v>
      </c>
      <c r="D621" s="4">
        <f>IFERROR(__xludf.DUMMYFUNCTION("split(B621,""-"")"),18.0)</f>
        <v>18</v>
      </c>
      <c r="E621" s="4">
        <f>IFERROR(__xludf.DUMMYFUNCTION("""COMPUTED_VALUE"""),98.0)</f>
        <v>98</v>
      </c>
      <c r="F621" s="4">
        <f>IFERROR(__xludf.DUMMYFUNCTION("split(C621,""-"")"),19.0)</f>
        <v>19</v>
      </c>
      <c r="G621" s="4">
        <f>IFERROR(__xludf.DUMMYFUNCTION("""COMPUTED_VALUE"""),99.0)</f>
        <v>99</v>
      </c>
      <c r="H621" s="4">
        <f t="shared" si="1"/>
        <v>0</v>
      </c>
      <c r="J621" s="4">
        <f>IFERROR(__xludf.DUMMYFUNCTION("IFS(
ISBETWEEN(D621,F621,G621,TRUE,TRUE),1,
ISBETWEEN(E621,F621,G621,TRUE,TRUE),1,
ISBETWEEN(F621,D621,E621,TRUE,TRUE),1,
ISBETWEEN(G621,D621,E621,TRUE,TRUE),1,
1,0)"),1.0)</f>
        <v>1</v>
      </c>
    </row>
    <row r="622">
      <c r="A622" s="2" t="s">
        <v>621</v>
      </c>
      <c r="B622" s="1" t="str">
        <f>IFERROR(__xludf.DUMMYFUNCTION("SPLIT(A622,"","",)"),"22-71")</f>
        <v>22-71</v>
      </c>
      <c r="C622" s="1" t="str">
        <f>IFERROR(__xludf.DUMMYFUNCTION("""COMPUTED_VALUE"""),"70-70")</f>
        <v>70-70</v>
      </c>
      <c r="D622" s="4">
        <f>IFERROR(__xludf.DUMMYFUNCTION("split(B622,""-"")"),22.0)</f>
        <v>22</v>
      </c>
      <c r="E622" s="4">
        <f>IFERROR(__xludf.DUMMYFUNCTION("""COMPUTED_VALUE"""),71.0)</f>
        <v>71</v>
      </c>
      <c r="F622" s="4">
        <f>IFERROR(__xludf.DUMMYFUNCTION("split(C622,""-"")"),70.0)</f>
        <v>70</v>
      </c>
      <c r="G622" s="4">
        <f>IFERROR(__xludf.DUMMYFUNCTION("""COMPUTED_VALUE"""),70.0)</f>
        <v>70</v>
      </c>
      <c r="H622" s="4">
        <f t="shared" si="1"/>
        <v>1</v>
      </c>
      <c r="J622" s="4">
        <f>IFERROR(__xludf.DUMMYFUNCTION("IFS(
ISBETWEEN(D622,F622,G622,TRUE,TRUE),1,
ISBETWEEN(E622,F622,G622,TRUE,TRUE),1,
ISBETWEEN(F622,D622,E622,TRUE,TRUE),1,
ISBETWEEN(G622,D622,E622,TRUE,TRUE),1,
1,0)"),1.0)</f>
        <v>1</v>
      </c>
    </row>
    <row r="623">
      <c r="A623" s="2" t="s">
        <v>622</v>
      </c>
      <c r="B623" s="1" t="str">
        <f>IFERROR(__xludf.DUMMYFUNCTION("SPLIT(A623,"","",)"),"64-89")</f>
        <v>64-89</v>
      </c>
      <c r="C623" s="1" t="str">
        <f>IFERROR(__xludf.DUMMYFUNCTION("""COMPUTED_VALUE"""),"88-99")</f>
        <v>88-99</v>
      </c>
      <c r="D623" s="4">
        <f>IFERROR(__xludf.DUMMYFUNCTION("split(B623,""-"")"),64.0)</f>
        <v>64</v>
      </c>
      <c r="E623" s="4">
        <f>IFERROR(__xludf.DUMMYFUNCTION("""COMPUTED_VALUE"""),89.0)</f>
        <v>89</v>
      </c>
      <c r="F623" s="4">
        <f>IFERROR(__xludf.DUMMYFUNCTION("split(C623,""-"")"),88.0)</f>
        <v>88</v>
      </c>
      <c r="G623" s="4">
        <f>IFERROR(__xludf.DUMMYFUNCTION("""COMPUTED_VALUE"""),99.0)</f>
        <v>99</v>
      </c>
      <c r="H623" s="4">
        <f t="shared" si="1"/>
        <v>0</v>
      </c>
      <c r="J623" s="4">
        <f>IFERROR(__xludf.DUMMYFUNCTION("IFS(
ISBETWEEN(D623,F623,G623,TRUE,TRUE),1,
ISBETWEEN(E623,F623,G623,TRUE,TRUE),1,
ISBETWEEN(F623,D623,E623,TRUE,TRUE),1,
ISBETWEEN(G623,D623,E623,TRUE,TRUE),1,
1,0)"),1.0)</f>
        <v>1</v>
      </c>
    </row>
    <row r="624">
      <c r="A624" s="2" t="s">
        <v>623</v>
      </c>
      <c r="B624" s="1" t="str">
        <f>IFERROR(__xludf.DUMMYFUNCTION("SPLIT(A624,"","",)"),"10-17")</f>
        <v>10-17</v>
      </c>
      <c r="C624" s="1" t="str">
        <f>IFERROR(__xludf.DUMMYFUNCTION("""COMPUTED_VALUE"""),"9-61")</f>
        <v>9-61</v>
      </c>
      <c r="D624" s="4">
        <f>IFERROR(__xludf.DUMMYFUNCTION("split(B624,""-"")"),10.0)</f>
        <v>10</v>
      </c>
      <c r="E624" s="4">
        <f>IFERROR(__xludf.DUMMYFUNCTION("""COMPUTED_VALUE"""),17.0)</f>
        <v>17</v>
      </c>
      <c r="F624" s="4">
        <f>IFERROR(__xludf.DUMMYFUNCTION("split(C624,""-"")"),9.0)</f>
        <v>9</v>
      </c>
      <c r="G624" s="4">
        <f>IFERROR(__xludf.DUMMYFUNCTION("""COMPUTED_VALUE"""),61.0)</f>
        <v>61</v>
      </c>
      <c r="H624" s="4">
        <f t="shared" si="1"/>
        <v>1</v>
      </c>
      <c r="J624" s="4">
        <f>IFERROR(__xludf.DUMMYFUNCTION("IFS(
ISBETWEEN(D624,F624,G624,TRUE,TRUE),1,
ISBETWEEN(E624,F624,G624,TRUE,TRUE),1,
ISBETWEEN(F624,D624,E624,TRUE,TRUE),1,
ISBETWEEN(G624,D624,E624,TRUE,TRUE),1,
1,0)"),1.0)</f>
        <v>1</v>
      </c>
    </row>
    <row r="625">
      <c r="A625" s="2" t="s">
        <v>624</v>
      </c>
      <c r="B625" s="3">
        <f>IFERROR(__xludf.DUMMYFUNCTION("SPLIT(A625,"","",)"),44622.0)</f>
        <v>44622</v>
      </c>
      <c r="C625" s="1" t="str">
        <f>IFERROR(__xludf.DUMMYFUNCTION("""COMPUTED_VALUE"""),"6-73")</f>
        <v>6-73</v>
      </c>
      <c r="D625" s="4">
        <f>IFERROR(__xludf.DUMMYFUNCTION("split(B625,""-"")"),2.0)</f>
        <v>2</v>
      </c>
      <c r="E625" s="4">
        <f>IFERROR(__xludf.DUMMYFUNCTION("""COMPUTED_VALUE"""),3.0)</f>
        <v>3</v>
      </c>
      <c r="F625" s="4">
        <f>IFERROR(__xludf.DUMMYFUNCTION("split(C625,""-"")"),6.0)</f>
        <v>6</v>
      </c>
      <c r="G625" s="4">
        <f>IFERROR(__xludf.DUMMYFUNCTION("""COMPUTED_VALUE"""),73.0)</f>
        <v>73</v>
      </c>
      <c r="H625" s="4">
        <f t="shared" si="1"/>
        <v>0</v>
      </c>
      <c r="J625" s="4">
        <f>IFERROR(__xludf.DUMMYFUNCTION("IFS(
ISBETWEEN(D625,F625,G625,TRUE,TRUE),1,
ISBETWEEN(E625,F625,G625,TRUE,TRUE),1,
ISBETWEEN(F625,D625,E625,TRUE,TRUE),1,
ISBETWEEN(G625,D625,E625,TRUE,TRUE),1,
1,0)"),0.0)</f>
        <v>0</v>
      </c>
    </row>
    <row r="626">
      <c r="A626" s="2" t="s">
        <v>625</v>
      </c>
      <c r="B626" s="1" t="str">
        <f>IFERROR(__xludf.DUMMYFUNCTION("SPLIT(A626,"","",)"),"13-79")</f>
        <v>13-79</v>
      </c>
      <c r="C626" s="1" t="str">
        <f>IFERROR(__xludf.DUMMYFUNCTION("""COMPUTED_VALUE"""),"14-78")</f>
        <v>14-78</v>
      </c>
      <c r="D626" s="4">
        <f>IFERROR(__xludf.DUMMYFUNCTION("split(B626,""-"")"),13.0)</f>
        <v>13</v>
      </c>
      <c r="E626" s="4">
        <f>IFERROR(__xludf.DUMMYFUNCTION("""COMPUTED_VALUE"""),79.0)</f>
        <v>79</v>
      </c>
      <c r="F626" s="4">
        <f>IFERROR(__xludf.DUMMYFUNCTION("split(C626,""-"")"),14.0)</f>
        <v>14</v>
      </c>
      <c r="G626" s="4">
        <f>IFERROR(__xludf.DUMMYFUNCTION("""COMPUTED_VALUE"""),78.0)</f>
        <v>78</v>
      </c>
      <c r="H626" s="4">
        <f t="shared" si="1"/>
        <v>1</v>
      </c>
      <c r="J626" s="4">
        <f>IFERROR(__xludf.DUMMYFUNCTION("IFS(
ISBETWEEN(D626,F626,G626,TRUE,TRUE),1,
ISBETWEEN(E626,F626,G626,TRUE,TRUE),1,
ISBETWEEN(F626,D626,E626,TRUE,TRUE),1,
ISBETWEEN(G626,D626,E626,TRUE,TRUE),1,
1,0)"),1.0)</f>
        <v>1</v>
      </c>
    </row>
    <row r="627">
      <c r="A627" s="2" t="s">
        <v>626</v>
      </c>
      <c r="B627" s="1" t="str">
        <f>IFERROR(__xludf.DUMMYFUNCTION("SPLIT(A627,"","",)"),"31-69")</f>
        <v>31-69</v>
      </c>
      <c r="C627" s="1" t="str">
        <f>IFERROR(__xludf.DUMMYFUNCTION("""COMPUTED_VALUE"""),"30-69")</f>
        <v>30-69</v>
      </c>
      <c r="D627" s="4">
        <f>IFERROR(__xludf.DUMMYFUNCTION("split(B627,""-"")"),31.0)</f>
        <v>31</v>
      </c>
      <c r="E627" s="4">
        <f>IFERROR(__xludf.DUMMYFUNCTION("""COMPUTED_VALUE"""),69.0)</f>
        <v>69</v>
      </c>
      <c r="F627" s="4">
        <f>IFERROR(__xludf.DUMMYFUNCTION("split(C627,""-"")"),30.0)</f>
        <v>30</v>
      </c>
      <c r="G627" s="4">
        <f>IFERROR(__xludf.DUMMYFUNCTION("""COMPUTED_VALUE"""),69.0)</f>
        <v>69</v>
      </c>
      <c r="H627" s="4">
        <f t="shared" si="1"/>
        <v>1</v>
      </c>
      <c r="J627" s="4">
        <f>IFERROR(__xludf.DUMMYFUNCTION("IFS(
ISBETWEEN(D627,F627,G627,TRUE,TRUE),1,
ISBETWEEN(E627,F627,G627,TRUE,TRUE),1,
ISBETWEEN(F627,D627,E627,TRUE,TRUE),1,
ISBETWEEN(G627,D627,E627,TRUE,TRUE),1,
1,0)"),1.0)</f>
        <v>1</v>
      </c>
    </row>
    <row r="628">
      <c r="A628" s="2" t="s">
        <v>627</v>
      </c>
      <c r="B628" s="1" t="str">
        <f>IFERROR(__xludf.DUMMYFUNCTION("SPLIT(A628,"","",)"),"8-66")</f>
        <v>8-66</v>
      </c>
      <c r="C628" s="1" t="str">
        <f>IFERROR(__xludf.DUMMYFUNCTION("""COMPUTED_VALUE"""),"9-94")</f>
        <v>9-94</v>
      </c>
      <c r="D628" s="4">
        <f>IFERROR(__xludf.DUMMYFUNCTION("split(B628,""-"")"),8.0)</f>
        <v>8</v>
      </c>
      <c r="E628" s="4">
        <f>IFERROR(__xludf.DUMMYFUNCTION("""COMPUTED_VALUE"""),66.0)</f>
        <v>66</v>
      </c>
      <c r="F628" s="4">
        <f>IFERROR(__xludf.DUMMYFUNCTION("split(C628,""-"")"),9.0)</f>
        <v>9</v>
      </c>
      <c r="G628" s="4">
        <f>IFERROR(__xludf.DUMMYFUNCTION("""COMPUTED_VALUE"""),94.0)</f>
        <v>94</v>
      </c>
      <c r="H628" s="4">
        <f t="shared" si="1"/>
        <v>0</v>
      </c>
      <c r="J628" s="4">
        <f>IFERROR(__xludf.DUMMYFUNCTION("IFS(
ISBETWEEN(D628,F628,G628,TRUE,TRUE),1,
ISBETWEEN(E628,F628,G628,TRUE,TRUE),1,
ISBETWEEN(F628,D628,E628,TRUE,TRUE),1,
ISBETWEEN(G628,D628,E628,TRUE,TRUE),1,
1,0)"),1.0)</f>
        <v>1</v>
      </c>
    </row>
    <row r="629">
      <c r="A629" s="2" t="s">
        <v>628</v>
      </c>
      <c r="B629" s="1" t="str">
        <f>IFERROR(__xludf.DUMMYFUNCTION("SPLIT(A629,"","",)"),"4-95")</f>
        <v>4-95</v>
      </c>
      <c r="C629" s="1" t="str">
        <f>IFERROR(__xludf.DUMMYFUNCTION("""COMPUTED_VALUE"""),"3-96")</f>
        <v>3-96</v>
      </c>
      <c r="D629" s="4">
        <f>IFERROR(__xludf.DUMMYFUNCTION("split(B629,""-"")"),4.0)</f>
        <v>4</v>
      </c>
      <c r="E629" s="4">
        <f>IFERROR(__xludf.DUMMYFUNCTION("""COMPUTED_VALUE"""),95.0)</f>
        <v>95</v>
      </c>
      <c r="F629" s="4">
        <f>IFERROR(__xludf.DUMMYFUNCTION("split(C629,""-"")"),3.0)</f>
        <v>3</v>
      </c>
      <c r="G629" s="4">
        <f>IFERROR(__xludf.DUMMYFUNCTION("""COMPUTED_VALUE"""),96.0)</f>
        <v>96</v>
      </c>
      <c r="H629" s="4">
        <f t="shared" si="1"/>
        <v>1</v>
      </c>
      <c r="J629" s="4">
        <f>IFERROR(__xludf.DUMMYFUNCTION("IFS(
ISBETWEEN(D629,F629,G629,TRUE,TRUE),1,
ISBETWEEN(E629,F629,G629,TRUE,TRUE),1,
ISBETWEEN(F629,D629,E629,TRUE,TRUE),1,
ISBETWEEN(G629,D629,E629,TRUE,TRUE),1,
1,0)"),1.0)</f>
        <v>1</v>
      </c>
    </row>
    <row r="630">
      <c r="A630" s="2" t="s">
        <v>629</v>
      </c>
      <c r="B630" s="1" t="str">
        <f>IFERROR(__xludf.DUMMYFUNCTION("SPLIT(A630,"","",)"),"13-92")</f>
        <v>13-92</v>
      </c>
      <c r="C630" s="1" t="str">
        <f>IFERROR(__xludf.DUMMYFUNCTION("""COMPUTED_VALUE"""),"14-91")</f>
        <v>14-91</v>
      </c>
      <c r="D630" s="4">
        <f>IFERROR(__xludf.DUMMYFUNCTION("split(B630,""-"")"),13.0)</f>
        <v>13</v>
      </c>
      <c r="E630" s="4">
        <f>IFERROR(__xludf.DUMMYFUNCTION("""COMPUTED_VALUE"""),92.0)</f>
        <v>92</v>
      </c>
      <c r="F630" s="4">
        <f>IFERROR(__xludf.DUMMYFUNCTION("split(C630,""-"")"),14.0)</f>
        <v>14</v>
      </c>
      <c r="G630" s="4">
        <f>IFERROR(__xludf.DUMMYFUNCTION("""COMPUTED_VALUE"""),91.0)</f>
        <v>91</v>
      </c>
      <c r="H630" s="4">
        <f t="shared" si="1"/>
        <v>1</v>
      </c>
      <c r="J630" s="4">
        <f>IFERROR(__xludf.DUMMYFUNCTION("IFS(
ISBETWEEN(D630,F630,G630,TRUE,TRUE),1,
ISBETWEEN(E630,F630,G630,TRUE,TRUE),1,
ISBETWEEN(F630,D630,E630,TRUE,TRUE),1,
ISBETWEEN(G630,D630,E630,TRUE,TRUE),1,
1,0)"),1.0)</f>
        <v>1</v>
      </c>
    </row>
    <row r="631">
      <c r="A631" s="2" t="s">
        <v>630</v>
      </c>
      <c r="B631" s="1" t="str">
        <f>IFERROR(__xludf.DUMMYFUNCTION("SPLIT(A631,"","",)"),"47-59")</f>
        <v>47-59</v>
      </c>
      <c r="C631" s="1" t="str">
        <f>IFERROR(__xludf.DUMMYFUNCTION("""COMPUTED_VALUE"""),"48-60")</f>
        <v>48-60</v>
      </c>
      <c r="D631" s="4">
        <f>IFERROR(__xludf.DUMMYFUNCTION("split(B631,""-"")"),47.0)</f>
        <v>47</v>
      </c>
      <c r="E631" s="4">
        <f>IFERROR(__xludf.DUMMYFUNCTION("""COMPUTED_VALUE"""),59.0)</f>
        <v>59</v>
      </c>
      <c r="F631" s="4">
        <f>IFERROR(__xludf.DUMMYFUNCTION("split(C631,""-"")"),48.0)</f>
        <v>48</v>
      </c>
      <c r="G631" s="4">
        <f>IFERROR(__xludf.DUMMYFUNCTION("""COMPUTED_VALUE"""),60.0)</f>
        <v>60</v>
      </c>
      <c r="H631" s="4">
        <f t="shared" si="1"/>
        <v>0</v>
      </c>
      <c r="J631" s="4">
        <f>IFERROR(__xludf.DUMMYFUNCTION("IFS(
ISBETWEEN(D631,F631,G631,TRUE,TRUE),1,
ISBETWEEN(E631,F631,G631,TRUE,TRUE),1,
ISBETWEEN(F631,D631,E631,TRUE,TRUE),1,
ISBETWEEN(G631,D631,E631,TRUE,TRUE),1,
1,0)"),1.0)</f>
        <v>1</v>
      </c>
    </row>
    <row r="632">
      <c r="A632" s="2" t="s">
        <v>631</v>
      </c>
      <c r="B632" s="1" t="str">
        <f>IFERROR(__xludf.DUMMYFUNCTION("SPLIT(A632,"","",)"),"31-75")</f>
        <v>31-75</v>
      </c>
      <c r="C632" s="1" t="str">
        <f>IFERROR(__xludf.DUMMYFUNCTION("""COMPUTED_VALUE"""),"75-95")</f>
        <v>75-95</v>
      </c>
      <c r="D632" s="4">
        <f>IFERROR(__xludf.DUMMYFUNCTION("split(B632,""-"")"),31.0)</f>
        <v>31</v>
      </c>
      <c r="E632" s="4">
        <f>IFERROR(__xludf.DUMMYFUNCTION("""COMPUTED_VALUE"""),75.0)</f>
        <v>75</v>
      </c>
      <c r="F632" s="4">
        <f>IFERROR(__xludf.DUMMYFUNCTION("split(C632,""-"")"),75.0)</f>
        <v>75</v>
      </c>
      <c r="G632" s="4">
        <f>IFERROR(__xludf.DUMMYFUNCTION("""COMPUTED_VALUE"""),95.0)</f>
        <v>95</v>
      </c>
      <c r="H632" s="4">
        <f t="shared" si="1"/>
        <v>0</v>
      </c>
      <c r="J632" s="4">
        <f>IFERROR(__xludf.DUMMYFUNCTION("IFS(
ISBETWEEN(D632,F632,G632,TRUE,TRUE),1,
ISBETWEEN(E632,F632,G632,TRUE,TRUE),1,
ISBETWEEN(F632,D632,E632,TRUE,TRUE),1,
ISBETWEEN(G632,D632,E632,TRUE,TRUE),1,
1,0)"),1.0)</f>
        <v>1</v>
      </c>
    </row>
    <row r="633">
      <c r="A633" s="2" t="s">
        <v>632</v>
      </c>
      <c r="B633" s="1" t="str">
        <f>IFERROR(__xludf.DUMMYFUNCTION("SPLIT(A633,"","",)"),"47-96")</f>
        <v>47-96</v>
      </c>
      <c r="C633" s="1" t="str">
        <f>IFERROR(__xludf.DUMMYFUNCTION("""COMPUTED_VALUE"""),"96-96")</f>
        <v>96-96</v>
      </c>
      <c r="D633" s="4">
        <f>IFERROR(__xludf.DUMMYFUNCTION("split(B633,""-"")"),47.0)</f>
        <v>47</v>
      </c>
      <c r="E633" s="4">
        <f>IFERROR(__xludf.DUMMYFUNCTION("""COMPUTED_VALUE"""),96.0)</f>
        <v>96</v>
      </c>
      <c r="F633" s="4">
        <f>IFERROR(__xludf.DUMMYFUNCTION("split(C633,""-"")"),96.0)</f>
        <v>96</v>
      </c>
      <c r="G633" s="4">
        <f>IFERROR(__xludf.DUMMYFUNCTION("""COMPUTED_VALUE"""),96.0)</f>
        <v>96</v>
      </c>
      <c r="H633" s="4">
        <f t="shared" si="1"/>
        <v>1</v>
      </c>
      <c r="J633" s="4">
        <f>IFERROR(__xludf.DUMMYFUNCTION("IFS(
ISBETWEEN(D633,F633,G633,TRUE,TRUE),1,
ISBETWEEN(E633,F633,G633,TRUE,TRUE),1,
ISBETWEEN(F633,D633,E633,TRUE,TRUE),1,
ISBETWEEN(G633,D633,E633,TRUE,TRUE),1,
1,0)"),1.0)</f>
        <v>1</v>
      </c>
    </row>
    <row r="634">
      <c r="A634" s="2" t="s">
        <v>633</v>
      </c>
      <c r="B634" s="1" t="str">
        <f>IFERROR(__xludf.DUMMYFUNCTION("SPLIT(A634,"","",)"),"31-54")</f>
        <v>31-54</v>
      </c>
      <c r="C634" s="1" t="str">
        <f>IFERROR(__xludf.DUMMYFUNCTION("""COMPUTED_VALUE"""),"32-75")</f>
        <v>32-75</v>
      </c>
      <c r="D634" s="4">
        <f>IFERROR(__xludf.DUMMYFUNCTION("split(B634,""-"")"),31.0)</f>
        <v>31</v>
      </c>
      <c r="E634" s="4">
        <f>IFERROR(__xludf.DUMMYFUNCTION("""COMPUTED_VALUE"""),54.0)</f>
        <v>54</v>
      </c>
      <c r="F634" s="4">
        <f>IFERROR(__xludf.DUMMYFUNCTION("split(C634,""-"")"),32.0)</f>
        <v>32</v>
      </c>
      <c r="G634" s="4">
        <f>IFERROR(__xludf.DUMMYFUNCTION("""COMPUTED_VALUE"""),75.0)</f>
        <v>75</v>
      </c>
      <c r="H634" s="4">
        <f t="shared" si="1"/>
        <v>0</v>
      </c>
      <c r="J634" s="4">
        <f>IFERROR(__xludf.DUMMYFUNCTION("IFS(
ISBETWEEN(D634,F634,G634,TRUE,TRUE),1,
ISBETWEEN(E634,F634,G634,TRUE,TRUE),1,
ISBETWEEN(F634,D634,E634,TRUE,TRUE),1,
ISBETWEEN(G634,D634,E634,TRUE,TRUE),1,
1,0)"),1.0)</f>
        <v>1</v>
      </c>
    </row>
    <row r="635">
      <c r="A635" s="2" t="s">
        <v>634</v>
      </c>
      <c r="B635" s="1" t="str">
        <f>IFERROR(__xludf.DUMMYFUNCTION("SPLIT(A635,"","",)"),"3-68")</f>
        <v>3-68</v>
      </c>
      <c r="C635" s="1" t="str">
        <f>IFERROR(__xludf.DUMMYFUNCTION("""COMPUTED_VALUE"""),"2-74")</f>
        <v>2-74</v>
      </c>
      <c r="D635" s="4">
        <f>IFERROR(__xludf.DUMMYFUNCTION("split(B635,""-"")"),3.0)</f>
        <v>3</v>
      </c>
      <c r="E635" s="4">
        <f>IFERROR(__xludf.DUMMYFUNCTION("""COMPUTED_VALUE"""),68.0)</f>
        <v>68</v>
      </c>
      <c r="F635" s="4">
        <f>IFERROR(__xludf.DUMMYFUNCTION("split(C635,""-"")"),2.0)</f>
        <v>2</v>
      </c>
      <c r="G635" s="4">
        <f>IFERROR(__xludf.DUMMYFUNCTION("""COMPUTED_VALUE"""),74.0)</f>
        <v>74</v>
      </c>
      <c r="H635" s="4">
        <f t="shared" si="1"/>
        <v>1</v>
      </c>
      <c r="J635" s="4">
        <f>IFERROR(__xludf.DUMMYFUNCTION("IFS(
ISBETWEEN(D635,F635,G635,TRUE,TRUE),1,
ISBETWEEN(E635,F635,G635,TRUE,TRUE),1,
ISBETWEEN(F635,D635,E635,TRUE,TRUE),1,
ISBETWEEN(G635,D635,E635,TRUE,TRUE),1,
1,0)"),1.0)</f>
        <v>1</v>
      </c>
    </row>
    <row r="636">
      <c r="A636" s="2" t="s">
        <v>635</v>
      </c>
      <c r="B636" s="3">
        <f>IFERROR(__xludf.DUMMYFUNCTION("SPLIT(A636,"","",)"),44875.0)</f>
        <v>44875</v>
      </c>
      <c r="C636" s="1" t="str">
        <f>IFERROR(__xludf.DUMMYFUNCTION("""COMPUTED_VALUE"""),"10-75")</f>
        <v>10-75</v>
      </c>
      <c r="D636" s="4">
        <f>IFERROR(__xludf.DUMMYFUNCTION("split(B636,""-"")"),10.0)</f>
        <v>10</v>
      </c>
      <c r="E636" s="4">
        <f>IFERROR(__xludf.DUMMYFUNCTION("""COMPUTED_VALUE"""),11.0)</f>
        <v>11</v>
      </c>
      <c r="F636" s="4">
        <f>IFERROR(__xludf.DUMMYFUNCTION("split(C636,""-"")"),10.0)</f>
        <v>10</v>
      </c>
      <c r="G636" s="4">
        <f>IFERROR(__xludf.DUMMYFUNCTION("""COMPUTED_VALUE"""),75.0)</f>
        <v>75</v>
      </c>
      <c r="H636" s="4">
        <f t="shared" si="1"/>
        <v>1</v>
      </c>
      <c r="J636" s="4">
        <f>IFERROR(__xludf.DUMMYFUNCTION("IFS(
ISBETWEEN(D636,F636,G636,TRUE,TRUE),1,
ISBETWEEN(E636,F636,G636,TRUE,TRUE),1,
ISBETWEEN(F636,D636,E636,TRUE,TRUE),1,
ISBETWEEN(G636,D636,E636,TRUE,TRUE),1,
1,0)"),1.0)</f>
        <v>1</v>
      </c>
    </row>
    <row r="637">
      <c r="A637" s="2" t="s">
        <v>636</v>
      </c>
      <c r="B637" s="1" t="str">
        <f>IFERROR(__xludf.DUMMYFUNCTION("SPLIT(A637,"","",)"),"83-96")</f>
        <v>83-96</v>
      </c>
      <c r="C637" s="1" t="str">
        <f>IFERROR(__xludf.DUMMYFUNCTION("""COMPUTED_VALUE"""),"75-84")</f>
        <v>75-84</v>
      </c>
      <c r="D637" s="4">
        <f>IFERROR(__xludf.DUMMYFUNCTION("split(B637,""-"")"),83.0)</f>
        <v>83</v>
      </c>
      <c r="E637" s="4">
        <f>IFERROR(__xludf.DUMMYFUNCTION("""COMPUTED_VALUE"""),96.0)</f>
        <v>96</v>
      </c>
      <c r="F637" s="4">
        <f>IFERROR(__xludf.DUMMYFUNCTION("split(C637,""-"")"),75.0)</f>
        <v>75</v>
      </c>
      <c r="G637" s="4">
        <f>IFERROR(__xludf.DUMMYFUNCTION("""COMPUTED_VALUE"""),84.0)</f>
        <v>84</v>
      </c>
      <c r="H637" s="4">
        <f t="shared" si="1"/>
        <v>0</v>
      </c>
      <c r="J637" s="4">
        <f>IFERROR(__xludf.DUMMYFUNCTION("IFS(
ISBETWEEN(D637,F637,G637,TRUE,TRUE),1,
ISBETWEEN(E637,F637,G637,TRUE,TRUE),1,
ISBETWEEN(F637,D637,E637,TRUE,TRUE),1,
ISBETWEEN(G637,D637,E637,TRUE,TRUE),1,
1,0)"),1.0)</f>
        <v>1</v>
      </c>
    </row>
    <row r="638">
      <c r="A638" s="2" t="s">
        <v>637</v>
      </c>
      <c r="B638" s="1" t="str">
        <f>IFERROR(__xludf.DUMMYFUNCTION("SPLIT(A638,"","",)"),"33-33")</f>
        <v>33-33</v>
      </c>
      <c r="C638" s="1" t="str">
        <f>IFERROR(__xludf.DUMMYFUNCTION("""COMPUTED_VALUE"""),"32-78")</f>
        <v>32-78</v>
      </c>
      <c r="D638" s="4">
        <f>IFERROR(__xludf.DUMMYFUNCTION("split(B638,""-"")"),33.0)</f>
        <v>33</v>
      </c>
      <c r="E638" s="4">
        <f>IFERROR(__xludf.DUMMYFUNCTION("""COMPUTED_VALUE"""),33.0)</f>
        <v>33</v>
      </c>
      <c r="F638" s="4">
        <f>IFERROR(__xludf.DUMMYFUNCTION("split(C638,""-"")"),32.0)</f>
        <v>32</v>
      </c>
      <c r="G638" s="4">
        <f>IFERROR(__xludf.DUMMYFUNCTION("""COMPUTED_VALUE"""),78.0)</f>
        <v>78</v>
      </c>
      <c r="H638" s="4">
        <f t="shared" si="1"/>
        <v>1</v>
      </c>
      <c r="J638" s="4">
        <f>IFERROR(__xludf.DUMMYFUNCTION("IFS(
ISBETWEEN(D638,F638,G638,TRUE,TRUE),1,
ISBETWEEN(E638,F638,G638,TRUE,TRUE),1,
ISBETWEEN(F638,D638,E638,TRUE,TRUE),1,
ISBETWEEN(G638,D638,E638,TRUE,TRUE),1,
1,0)"),1.0)</f>
        <v>1</v>
      </c>
    </row>
    <row r="639">
      <c r="A639" s="2" t="s">
        <v>638</v>
      </c>
      <c r="B639" s="1" t="str">
        <f>IFERROR(__xludf.DUMMYFUNCTION("SPLIT(A639,"","",)"),"6-64")</f>
        <v>6-64</v>
      </c>
      <c r="C639" s="1" t="str">
        <f>IFERROR(__xludf.DUMMYFUNCTION("""COMPUTED_VALUE"""),"6-65")</f>
        <v>6-65</v>
      </c>
      <c r="D639" s="4">
        <f>IFERROR(__xludf.DUMMYFUNCTION("split(B639,""-"")"),6.0)</f>
        <v>6</v>
      </c>
      <c r="E639" s="4">
        <f>IFERROR(__xludf.DUMMYFUNCTION("""COMPUTED_VALUE"""),64.0)</f>
        <v>64</v>
      </c>
      <c r="F639" s="4">
        <f>IFERROR(__xludf.DUMMYFUNCTION("split(C639,""-"")"),6.0)</f>
        <v>6</v>
      </c>
      <c r="G639" s="4">
        <f>IFERROR(__xludf.DUMMYFUNCTION("""COMPUTED_VALUE"""),65.0)</f>
        <v>65</v>
      </c>
      <c r="H639" s="4">
        <f t="shared" si="1"/>
        <v>1</v>
      </c>
      <c r="J639" s="4">
        <f>IFERROR(__xludf.DUMMYFUNCTION("IFS(
ISBETWEEN(D639,F639,G639,TRUE,TRUE),1,
ISBETWEEN(E639,F639,G639,TRUE,TRUE),1,
ISBETWEEN(F639,D639,E639,TRUE,TRUE),1,
ISBETWEEN(G639,D639,E639,TRUE,TRUE),1,
1,0)"),1.0)</f>
        <v>1</v>
      </c>
    </row>
    <row r="640">
      <c r="A640" s="2" t="s">
        <v>639</v>
      </c>
      <c r="B640" s="1" t="str">
        <f>IFERROR(__xludf.DUMMYFUNCTION("SPLIT(A640,"","",)"),"2-97")</f>
        <v>2-97</v>
      </c>
      <c r="C640" s="1" t="str">
        <f>IFERROR(__xludf.DUMMYFUNCTION("""COMPUTED_VALUE"""),"3-97")</f>
        <v>3-97</v>
      </c>
      <c r="D640" s="4">
        <f>IFERROR(__xludf.DUMMYFUNCTION("split(B640,""-"")"),2.0)</f>
        <v>2</v>
      </c>
      <c r="E640" s="4">
        <f>IFERROR(__xludf.DUMMYFUNCTION("""COMPUTED_VALUE"""),97.0)</f>
        <v>97</v>
      </c>
      <c r="F640" s="4">
        <f>IFERROR(__xludf.DUMMYFUNCTION("split(C640,""-"")"),3.0)</f>
        <v>3</v>
      </c>
      <c r="G640" s="4">
        <f>IFERROR(__xludf.DUMMYFUNCTION("""COMPUTED_VALUE"""),97.0)</f>
        <v>97</v>
      </c>
      <c r="H640" s="4">
        <f t="shared" si="1"/>
        <v>1</v>
      </c>
      <c r="J640" s="4">
        <f>IFERROR(__xludf.DUMMYFUNCTION("IFS(
ISBETWEEN(D640,F640,G640,TRUE,TRUE),1,
ISBETWEEN(E640,F640,G640,TRUE,TRUE),1,
ISBETWEEN(F640,D640,E640,TRUE,TRUE),1,
ISBETWEEN(G640,D640,E640,TRUE,TRUE),1,
1,0)"),1.0)</f>
        <v>1</v>
      </c>
    </row>
    <row r="641">
      <c r="A641" s="2" t="s">
        <v>640</v>
      </c>
      <c r="B641" s="1" t="str">
        <f>IFERROR(__xludf.DUMMYFUNCTION("SPLIT(A641,"","",)"),"57-77")</f>
        <v>57-77</v>
      </c>
      <c r="C641" s="1" t="str">
        <f>IFERROR(__xludf.DUMMYFUNCTION("""COMPUTED_VALUE"""),"37-77")</f>
        <v>37-77</v>
      </c>
      <c r="D641" s="4">
        <f>IFERROR(__xludf.DUMMYFUNCTION("split(B641,""-"")"),57.0)</f>
        <v>57</v>
      </c>
      <c r="E641" s="4">
        <f>IFERROR(__xludf.DUMMYFUNCTION("""COMPUTED_VALUE"""),77.0)</f>
        <v>77</v>
      </c>
      <c r="F641" s="4">
        <f>IFERROR(__xludf.DUMMYFUNCTION("split(C641,""-"")"),37.0)</f>
        <v>37</v>
      </c>
      <c r="G641" s="4">
        <f>IFERROR(__xludf.DUMMYFUNCTION("""COMPUTED_VALUE"""),77.0)</f>
        <v>77</v>
      </c>
      <c r="H641" s="4">
        <f t="shared" si="1"/>
        <v>1</v>
      </c>
      <c r="J641" s="4">
        <f>IFERROR(__xludf.DUMMYFUNCTION("IFS(
ISBETWEEN(D641,F641,G641,TRUE,TRUE),1,
ISBETWEEN(E641,F641,G641,TRUE,TRUE),1,
ISBETWEEN(F641,D641,E641,TRUE,TRUE),1,
ISBETWEEN(G641,D641,E641,TRUE,TRUE),1,
1,0)"),1.0)</f>
        <v>1</v>
      </c>
    </row>
    <row r="642">
      <c r="A642" s="2" t="s">
        <v>641</v>
      </c>
      <c r="B642" s="1" t="str">
        <f>IFERROR(__xludf.DUMMYFUNCTION("SPLIT(A642,"","",)"),"5-52")</f>
        <v>5-52</v>
      </c>
      <c r="C642" s="1" t="str">
        <f>IFERROR(__xludf.DUMMYFUNCTION("""COMPUTED_VALUE"""),"5-52")</f>
        <v>5-52</v>
      </c>
      <c r="D642" s="4">
        <f>IFERROR(__xludf.DUMMYFUNCTION("split(B642,""-"")"),5.0)</f>
        <v>5</v>
      </c>
      <c r="E642" s="4">
        <f>IFERROR(__xludf.DUMMYFUNCTION("""COMPUTED_VALUE"""),52.0)</f>
        <v>52</v>
      </c>
      <c r="F642" s="4">
        <f>IFERROR(__xludf.DUMMYFUNCTION("split(C642,""-"")"),5.0)</f>
        <v>5</v>
      </c>
      <c r="G642" s="4">
        <f>IFERROR(__xludf.DUMMYFUNCTION("""COMPUTED_VALUE"""),52.0)</f>
        <v>52</v>
      </c>
      <c r="H642" s="4">
        <f t="shared" si="1"/>
        <v>1</v>
      </c>
      <c r="J642" s="4">
        <f>IFERROR(__xludf.DUMMYFUNCTION("IFS(
ISBETWEEN(D642,F642,G642,TRUE,TRUE),1,
ISBETWEEN(E642,F642,G642,TRUE,TRUE),1,
ISBETWEEN(F642,D642,E642,TRUE,TRUE),1,
ISBETWEEN(G642,D642,E642,TRUE,TRUE),1,
1,0)"),1.0)</f>
        <v>1</v>
      </c>
    </row>
    <row r="643">
      <c r="A643" s="2" t="s">
        <v>642</v>
      </c>
      <c r="B643" s="1" t="str">
        <f>IFERROR(__xludf.DUMMYFUNCTION("SPLIT(A643,"","",)"),"7-31")</f>
        <v>7-31</v>
      </c>
      <c r="C643" s="1" t="str">
        <f>IFERROR(__xludf.DUMMYFUNCTION("""COMPUTED_VALUE"""),"31-76")</f>
        <v>31-76</v>
      </c>
      <c r="D643" s="4">
        <f>IFERROR(__xludf.DUMMYFUNCTION("split(B643,""-"")"),7.0)</f>
        <v>7</v>
      </c>
      <c r="E643" s="4">
        <f>IFERROR(__xludf.DUMMYFUNCTION("""COMPUTED_VALUE"""),31.0)</f>
        <v>31</v>
      </c>
      <c r="F643" s="4">
        <f>IFERROR(__xludf.DUMMYFUNCTION("split(C643,""-"")"),31.0)</f>
        <v>31</v>
      </c>
      <c r="G643" s="4">
        <f>IFERROR(__xludf.DUMMYFUNCTION("""COMPUTED_VALUE"""),76.0)</f>
        <v>76</v>
      </c>
      <c r="H643" s="4">
        <f t="shared" si="1"/>
        <v>0</v>
      </c>
      <c r="J643" s="4">
        <f>IFERROR(__xludf.DUMMYFUNCTION("IFS(
ISBETWEEN(D643,F643,G643,TRUE,TRUE),1,
ISBETWEEN(E643,F643,G643,TRUE,TRUE),1,
ISBETWEEN(F643,D643,E643,TRUE,TRUE),1,
ISBETWEEN(G643,D643,E643,TRUE,TRUE),1,
1,0)"),1.0)</f>
        <v>1</v>
      </c>
    </row>
    <row r="644">
      <c r="A644" s="2" t="s">
        <v>643</v>
      </c>
      <c r="B644" s="1" t="str">
        <f>IFERROR(__xludf.DUMMYFUNCTION("SPLIT(A644,"","",)"),"37-37")</f>
        <v>37-37</v>
      </c>
      <c r="C644" s="1" t="str">
        <f>IFERROR(__xludf.DUMMYFUNCTION("""COMPUTED_VALUE"""),"32-42")</f>
        <v>32-42</v>
      </c>
      <c r="D644" s="4">
        <f>IFERROR(__xludf.DUMMYFUNCTION("split(B644,""-"")"),37.0)</f>
        <v>37</v>
      </c>
      <c r="E644" s="4">
        <f>IFERROR(__xludf.DUMMYFUNCTION("""COMPUTED_VALUE"""),37.0)</f>
        <v>37</v>
      </c>
      <c r="F644" s="4">
        <f>IFERROR(__xludf.DUMMYFUNCTION("split(C644,""-"")"),32.0)</f>
        <v>32</v>
      </c>
      <c r="G644" s="4">
        <f>IFERROR(__xludf.DUMMYFUNCTION("""COMPUTED_VALUE"""),42.0)</f>
        <v>42</v>
      </c>
      <c r="H644" s="4">
        <f t="shared" si="1"/>
        <v>1</v>
      </c>
      <c r="J644" s="4">
        <f>IFERROR(__xludf.DUMMYFUNCTION("IFS(
ISBETWEEN(D644,F644,G644,TRUE,TRUE),1,
ISBETWEEN(E644,F644,G644,TRUE,TRUE),1,
ISBETWEEN(F644,D644,E644,TRUE,TRUE),1,
ISBETWEEN(G644,D644,E644,TRUE,TRUE),1,
1,0)"),1.0)</f>
        <v>1</v>
      </c>
    </row>
    <row r="645">
      <c r="A645" s="2" t="s">
        <v>644</v>
      </c>
      <c r="B645" s="1" t="str">
        <f>IFERROR(__xludf.DUMMYFUNCTION("SPLIT(A645,"","",)"),"7-92")</f>
        <v>7-92</v>
      </c>
      <c r="C645" s="1" t="str">
        <f>IFERROR(__xludf.DUMMYFUNCTION("""COMPUTED_VALUE"""),"8-91")</f>
        <v>8-91</v>
      </c>
      <c r="D645" s="4">
        <f>IFERROR(__xludf.DUMMYFUNCTION("split(B645,""-"")"),7.0)</f>
        <v>7</v>
      </c>
      <c r="E645" s="4">
        <f>IFERROR(__xludf.DUMMYFUNCTION("""COMPUTED_VALUE"""),92.0)</f>
        <v>92</v>
      </c>
      <c r="F645" s="4">
        <f>IFERROR(__xludf.DUMMYFUNCTION("split(C645,""-"")"),8.0)</f>
        <v>8</v>
      </c>
      <c r="G645" s="4">
        <f>IFERROR(__xludf.DUMMYFUNCTION("""COMPUTED_VALUE"""),91.0)</f>
        <v>91</v>
      </c>
      <c r="H645" s="4">
        <f t="shared" si="1"/>
        <v>1</v>
      </c>
      <c r="J645" s="4">
        <f>IFERROR(__xludf.DUMMYFUNCTION("IFS(
ISBETWEEN(D645,F645,G645,TRUE,TRUE),1,
ISBETWEEN(E645,F645,G645,TRUE,TRUE),1,
ISBETWEEN(F645,D645,E645,TRUE,TRUE),1,
ISBETWEEN(G645,D645,E645,TRUE,TRUE),1,
1,0)"),1.0)</f>
        <v>1</v>
      </c>
    </row>
    <row r="646">
      <c r="A646" s="2" t="s">
        <v>645</v>
      </c>
      <c r="B646" s="1" t="str">
        <f>IFERROR(__xludf.DUMMYFUNCTION("SPLIT(A646,"","",)"),"35-83")</f>
        <v>35-83</v>
      </c>
      <c r="C646" s="1" t="str">
        <f>IFERROR(__xludf.DUMMYFUNCTION("""COMPUTED_VALUE"""),"27-82")</f>
        <v>27-82</v>
      </c>
      <c r="D646" s="4">
        <f>IFERROR(__xludf.DUMMYFUNCTION("split(B646,""-"")"),35.0)</f>
        <v>35</v>
      </c>
      <c r="E646" s="4">
        <f>IFERROR(__xludf.DUMMYFUNCTION("""COMPUTED_VALUE"""),83.0)</f>
        <v>83</v>
      </c>
      <c r="F646" s="4">
        <f>IFERROR(__xludf.DUMMYFUNCTION("split(C646,""-"")"),27.0)</f>
        <v>27</v>
      </c>
      <c r="G646" s="4">
        <f>IFERROR(__xludf.DUMMYFUNCTION("""COMPUTED_VALUE"""),82.0)</f>
        <v>82</v>
      </c>
      <c r="H646" s="4">
        <f t="shared" si="1"/>
        <v>0</v>
      </c>
      <c r="J646" s="4">
        <f>IFERROR(__xludf.DUMMYFUNCTION("IFS(
ISBETWEEN(D646,F646,G646,TRUE,TRUE),1,
ISBETWEEN(E646,F646,G646,TRUE,TRUE),1,
ISBETWEEN(F646,D646,E646,TRUE,TRUE),1,
ISBETWEEN(G646,D646,E646,TRUE,TRUE),1,
1,0)"),1.0)</f>
        <v>1</v>
      </c>
    </row>
    <row r="647">
      <c r="A647" s="2" t="s">
        <v>646</v>
      </c>
      <c r="B647" s="1" t="str">
        <f>IFERROR(__xludf.DUMMYFUNCTION("SPLIT(A647,"","",)"),"27-90")</f>
        <v>27-90</v>
      </c>
      <c r="C647" s="1" t="str">
        <f>IFERROR(__xludf.DUMMYFUNCTION("""COMPUTED_VALUE"""),"27-90")</f>
        <v>27-90</v>
      </c>
      <c r="D647" s="4">
        <f>IFERROR(__xludf.DUMMYFUNCTION("split(B647,""-"")"),27.0)</f>
        <v>27</v>
      </c>
      <c r="E647" s="4">
        <f>IFERROR(__xludf.DUMMYFUNCTION("""COMPUTED_VALUE"""),90.0)</f>
        <v>90</v>
      </c>
      <c r="F647" s="4">
        <f>IFERROR(__xludf.DUMMYFUNCTION("split(C647,""-"")"),27.0)</f>
        <v>27</v>
      </c>
      <c r="G647" s="4">
        <f>IFERROR(__xludf.DUMMYFUNCTION("""COMPUTED_VALUE"""),90.0)</f>
        <v>90</v>
      </c>
      <c r="H647" s="4">
        <f t="shared" si="1"/>
        <v>1</v>
      </c>
      <c r="J647" s="4">
        <f>IFERROR(__xludf.DUMMYFUNCTION("IFS(
ISBETWEEN(D647,F647,G647,TRUE,TRUE),1,
ISBETWEEN(E647,F647,G647,TRUE,TRUE),1,
ISBETWEEN(F647,D647,E647,TRUE,TRUE),1,
ISBETWEEN(G647,D647,E647,TRUE,TRUE),1,
1,0)"),1.0)</f>
        <v>1</v>
      </c>
    </row>
    <row r="648">
      <c r="A648" s="2" t="s">
        <v>647</v>
      </c>
      <c r="B648" s="1" t="str">
        <f>IFERROR(__xludf.DUMMYFUNCTION("SPLIT(A648,"","",)"),"24-46")</f>
        <v>24-46</v>
      </c>
      <c r="C648" s="1" t="str">
        <f>IFERROR(__xludf.DUMMYFUNCTION("""COMPUTED_VALUE"""),"25-46")</f>
        <v>25-46</v>
      </c>
      <c r="D648" s="4">
        <f>IFERROR(__xludf.DUMMYFUNCTION("split(B648,""-"")"),24.0)</f>
        <v>24</v>
      </c>
      <c r="E648" s="4">
        <f>IFERROR(__xludf.DUMMYFUNCTION("""COMPUTED_VALUE"""),46.0)</f>
        <v>46</v>
      </c>
      <c r="F648" s="4">
        <f>IFERROR(__xludf.DUMMYFUNCTION("split(C648,""-"")"),25.0)</f>
        <v>25</v>
      </c>
      <c r="G648" s="4">
        <f>IFERROR(__xludf.DUMMYFUNCTION("""COMPUTED_VALUE"""),46.0)</f>
        <v>46</v>
      </c>
      <c r="H648" s="4">
        <f t="shared" si="1"/>
        <v>1</v>
      </c>
      <c r="J648" s="4">
        <f>IFERROR(__xludf.DUMMYFUNCTION("IFS(
ISBETWEEN(D648,F648,G648,TRUE,TRUE),1,
ISBETWEEN(E648,F648,G648,TRUE,TRUE),1,
ISBETWEEN(F648,D648,E648,TRUE,TRUE),1,
ISBETWEEN(G648,D648,E648,TRUE,TRUE),1,
1,0)"),1.0)</f>
        <v>1</v>
      </c>
    </row>
    <row r="649">
      <c r="A649" s="2" t="s">
        <v>648</v>
      </c>
      <c r="B649" s="1" t="str">
        <f>IFERROR(__xludf.DUMMYFUNCTION("SPLIT(A649,"","",)"),"57-78")</f>
        <v>57-78</v>
      </c>
      <c r="C649" s="1" t="str">
        <f>IFERROR(__xludf.DUMMYFUNCTION("""COMPUTED_VALUE"""),"58-58")</f>
        <v>58-58</v>
      </c>
      <c r="D649" s="4">
        <f>IFERROR(__xludf.DUMMYFUNCTION("split(B649,""-"")"),57.0)</f>
        <v>57</v>
      </c>
      <c r="E649" s="4">
        <f>IFERROR(__xludf.DUMMYFUNCTION("""COMPUTED_VALUE"""),78.0)</f>
        <v>78</v>
      </c>
      <c r="F649" s="4">
        <f>IFERROR(__xludf.DUMMYFUNCTION("split(C649,""-"")"),58.0)</f>
        <v>58</v>
      </c>
      <c r="G649" s="4">
        <f>IFERROR(__xludf.DUMMYFUNCTION("""COMPUTED_VALUE"""),58.0)</f>
        <v>58</v>
      </c>
      <c r="H649" s="4">
        <f t="shared" si="1"/>
        <v>1</v>
      </c>
      <c r="J649" s="4">
        <f>IFERROR(__xludf.DUMMYFUNCTION("IFS(
ISBETWEEN(D649,F649,G649,TRUE,TRUE),1,
ISBETWEEN(E649,F649,G649,TRUE,TRUE),1,
ISBETWEEN(F649,D649,E649,TRUE,TRUE),1,
ISBETWEEN(G649,D649,E649,TRUE,TRUE),1,
1,0)"),1.0)</f>
        <v>1</v>
      </c>
    </row>
    <row r="650">
      <c r="A650" s="2" t="s">
        <v>649</v>
      </c>
      <c r="B650" s="1" t="str">
        <f>IFERROR(__xludf.DUMMYFUNCTION("SPLIT(A650,"","",)"),"14-67")</f>
        <v>14-67</v>
      </c>
      <c r="C650" s="1" t="str">
        <f>IFERROR(__xludf.DUMMYFUNCTION("""COMPUTED_VALUE"""),"2-34")</f>
        <v>2-34</v>
      </c>
      <c r="D650" s="4">
        <f>IFERROR(__xludf.DUMMYFUNCTION("split(B650,""-"")"),14.0)</f>
        <v>14</v>
      </c>
      <c r="E650" s="4">
        <f>IFERROR(__xludf.DUMMYFUNCTION("""COMPUTED_VALUE"""),67.0)</f>
        <v>67</v>
      </c>
      <c r="F650" s="4">
        <f>IFERROR(__xludf.DUMMYFUNCTION("split(C650,""-"")"),2.0)</f>
        <v>2</v>
      </c>
      <c r="G650" s="4">
        <f>IFERROR(__xludf.DUMMYFUNCTION("""COMPUTED_VALUE"""),34.0)</f>
        <v>34</v>
      </c>
      <c r="H650" s="4">
        <f t="shared" si="1"/>
        <v>0</v>
      </c>
      <c r="J650" s="4">
        <f>IFERROR(__xludf.DUMMYFUNCTION("IFS(
ISBETWEEN(D650,F650,G650,TRUE,TRUE),1,
ISBETWEEN(E650,F650,G650,TRUE,TRUE),1,
ISBETWEEN(F650,D650,E650,TRUE,TRUE),1,
ISBETWEEN(G650,D650,E650,TRUE,TRUE),1,
1,0)"),1.0)</f>
        <v>1</v>
      </c>
    </row>
    <row r="651">
      <c r="A651" s="2" t="s">
        <v>650</v>
      </c>
      <c r="B651" s="1" t="str">
        <f>IFERROR(__xludf.DUMMYFUNCTION("SPLIT(A651,"","",)"),"70-81")</f>
        <v>70-81</v>
      </c>
      <c r="C651" s="1" t="str">
        <f>IFERROR(__xludf.DUMMYFUNCTION("""COMPUTED_VALUE"""),"24-82")</f>
        <v>24-82</v>
      </c>
      <c r="D651" s="4">
        <f>IFERROR(__xludf.DUMMYFUNCTION("split(B651,""-"")"),70.0)</f>
        <v>70</v>
      </c>
      <c r="E651" s="4">
        <f>IFERROR(__xludf.DUMMYFUNCTION("""COMPUTED_VALUE"""),81.0)</f>
        <v>81</v>
      </c>
      <c r="F651" s="4">
        <f>IFERROR(__xludf.DUMMYFUNCTION("split(C651,""-"")"),24.0)</f>
        <v>24</v>
      </c>
      <c r="G651" s="4">
        <f>IFERROR(__xludf.DUMMYFUNCTION("""COMPUTED_VALUE"""),82.0)</f>
        <v>82</v>
      </c>
      <c r="H651" s="4">
        <f t="shared" si="1"/>
        <v>1</v>
      </c>
      <c r="J651" s="4">
        <f>IFERROR(__xludf.DUMMYFUNCTION("IFS(
ISBETWEEN(D651,F651,G651,TRUE,TRUE),1,
ISBETWEEN(E651,F651,G651,TRUE,TRUE),1,
ISBETWEEN(F651,D651,E651,TRUE,TRUE),1,
ISBETWEEN(G651,D651,E651,TRUE,TRUE),1,
1,0)"),1.0)</f>
        <v>1</v>
      </c>
    </row>
    <row r="652">
      <c r="A652" s="2" t="s">
        <v>651</v>
      </c>
      <c r="B652" s="1" t="str">
        <f>IFERROR(__xludf.DUMMYFUNCTION("SPLIT(A652,"","",)"),"85-85")</f>
        <v>85-85</v>
      </c>
      <c r="C652" s="1" t="str">
        <f>IFERROR(__xludf.DUMMYFUNCTION("""COMPUTED_VALUE"""),"72-86")</f>
        <v>72-86</v>
      </c>
      <c r="D652" s="4">
        <f>IFERROR(__xludf.DUMMYFUNCTION("split(B652,""-"")"),85.0)</f>
        <v>85</v>
      </c>
      <c r="E652" s="4">
        <f>IFERROR(__xludf.DUMMYFUNCTION("""COMPUTED_VALUE"""),85.0)</f>
        <v>85</v>
      </c>
      <c r="F652" s="4">
        <f>IFERROR(__xludf.DUMMYFUNCTION("split(C652,""-"")"),72.0)</f>
        <v>72</v>
      </c>
      <c r="G652" s="4">
        <f>IFERROR(__xludf.DUMMYFUNCTION("""COMPUTED_VALUE"""),86.0)</f>
        <v>86</v>
      </c>
      <c r="H652" s="4">
        <f t="shared" si="1"/>
        <v>1</v>
      </c>
      <c r="J652" s="4">
        <f>IFERROR(__xludf.DUMMYFUNCTION("IFS(
ISBETWEEN(D652,F652,G652,TRUE,TRUE),1,
ISBETWEEN(E652,F652,G652,TRUE,TRUE),1,
ISBETWEEN(F652,D652,E652,TRUE,TRUE),1,
ISBETWEEN(G652,D652,E652,TRUE,TRUE),1,
1,0)"),1.0)</f>
        <v>1</v>
      </c>
    </row>
    <row r="653">
      <c r="A653" s="2" t="s">
        <v>652</v>
      </c>
      <c r="B653" s="1" t="str">
        <f>IFERROR(__xludf.DUMMYFUNCTION("SPLIT(A653,"","",)"),"8-29")</f>
        <v>8-29</v>
      </c>
      <c r="C653" s="1" t="str">
        <f>IFERROR(__xludf.DUMMYFUNCTION("""COMPUTED_VALUE"""),"7-13")</f>
        <v>7-13</v>
      </c>
      <c r="D653" s="4">
        <f>IFERROR(__xludf.DUMMYFUNCTION("split(B653,""-"")"),8.0)</f>
        <v>8</v>
      </c>
      <c r="E653" s="4">
        <f>IFERROR(__xludf.DUMMYFUNCTION("""COMPUTED_VALUE"""),29.0)</f>
        <v>29</v>
      </c>
      <c r="F653" s="4">
        <f>IFERROR(__xludf.DUMMYFUNCTION("split(C653,""-"")"),7.0)</f>
        <v>7</v>
      </c>
      <c r="G653" s="4">
        <f>IFERROR(__xludf.DUMMYFUNCTION("""COMPUTED_VALUE"""),13.0)</f>
        <v>13</v>
      </c>
      <c r="H653" s="4">
        <f t="shared" si="1"/>
        <v>0</v>
      </c>
      <c r="J653" s="4">
        <f>IFERROR(__xludf.DUMMYFUNCTION("IFS(
ISBETWEEN(D653,F653,G653,TRUE,TRUE),1,
ISBETWEEN(E653,F653,G653,TRUE,TRUE),1,
ISBETWEEN(F653,D653,E653,TRUE,TRUE),1,
ISBETWEEN(G653,D653,E653,TRUE,TRUE),1,
1,0)"),1.0)</f>
        <v>1</v>
      </c>
    </row>
    <row r="654">
      <c r="A654" s="2" t="s">
        <v>653</v>
      </c>
      <c r="B654" s="1" t="str">
        <f>IFERROR(__xludf.DUMMYFUNCTION("SPLIT(A654,"","",)"),"19-90")</f>
        <v>19-90</v>
      </c>
      <c r="C654" s="1" t="str">
        <f>IFERROR(__xludf.DUMMYFUNCTION("""COMPUTED_VALUE"""),"20-89")</f>
        <v>20-89</v>
      </c>
      <c r="D654" s="4">
        <f>IFERROR(__xludf.DUMMYFUNCTION("split(B654,""-"")"),19.0)</f>
        <v>19</v>
      </c>
      <c r="E654" s="4">
        <f>IFERROR(__xludf.DUMMYFUNCTION("""COMPUTED_VALUE"""),90.0)</f>
        <v>90</v>
      </c>
      <c r="F654" s="4">
        <f>IFERROR(__xludf.DUMMYFUNCTION("split(C654,""-"")"),20.0)</f>
        <v>20</v>
      </c>
      <c r="G654" s="4">
        <f>IFERROR(__xludf.DUMMYFUNCTION("""COMPUTED_VALUE"""),89.0)</f>
        <v>89</v>
      </c>
      <c r="H654" s="4">
        <f t="shared" si="1"/>
        <v>1</v>
      </c>
      <c r="J654" s="4">
        <f>IFERROR(__xludf.DUMMYFUNCTION("IFS(
ISBETWEEN(D654,F654,G654,TRUE,TRUE),1,
ISBETWEEN(E654,F654,G654,TRUE,TRUE),1,
ISBETWEEN(F654,D654,E654,TRUE,TRUE),1,
ISBETWEEN(G654,D654,E654,TRUE,TRUE),1,
1,0)"),1.0)</f>
        <v>1</v>
      </c>
    </row>
    <row r="655">
      <c r="A655" s="2" t="s">
        <v>654</v>
      </c>
      <c r="B655" s="1" t="str">
        <f>IFERROR(__xludf.DUMMYFUNCTION("SPLIT(A655,"","",)"),"30-90")</f>
        <v>30-90</v>
      </c>
      <c r="C655" s="1" t="str">
        <f>IFERROR(__xludf.DUMMYFUNCTION("""COMPUTED_VALUE"""),"29-98")</f>
        <v>29-98</v>
      </c>
      <c r="D655" s="4">
        <f>IFERROR(__xludf.DUMMYFUNCTION("split(B655,""-"")"),30.0)</f>
        <v>30</v>
      </c>
      <c r="E655" s="4">
        <f>IFERROR(__xludf.DUMMYFUNCTION("""COMPUTED_VALUE"""),90.0)</f>
        <v>90</v>
      </c>
      <c r="F655" s="4">
        <f>IFERROR(__xludf.DUMMYFUNCTION("split(C655,""-"")"),29.0)</f>
        <v>29</v>
      </c>
      <c r="G655" s="4">
        <f>IFERROR(__xludf.DUMMYFUNCTION("""COMPUTED_VALUE"""),98.0)</f>
        <v>98</v>
      </c>
      <c r="H655" s="4">
        <f t="shared" si="1"/>
        <v>1</v>
      </c>
      <c r="J655" s="4">
        <f>IFERROR(__xludf.DUMMYFUNCTION("IFS(
ISBETWEEN(D655,F655,G655,TRUE,TRUE),1,
ISBETWEEN(E655,F655,G655,TRUE,TRUE),1,
ISBETWEEN(F655,D655,E655,TRUE,TRUE),1,
ISBETWEEN(G655,D655,E655,TRUE,TRUE),1,
1,0)"),1.0)</f>
        <v>1</v>
      </c>
    </row>
    <row r="656">
      <c r="A656" s="2" t="s">
        <v>655</v>
      </c>
      <c r="B656" s="1" t="str">
        <f>IFERROR(__xludf.DUMMYFUNCTION("SPLIT(A656,"","",)"),"92-95")</f>
        <v>92-95</v>
      </c>
      <c r="C656" s="1" t="str">
        <f>IFERROR(__xludf.DUMMYFUNCTION("""COMPUTED_VALUE"""),"8-93")</f>
        <v>8-93</v>
      </c>
      <c r="D656" s="4">
        <f>IFERROR(__xludf.DUMMYFUNCTION("split(B656,""-"")"),92.0)</f>
        <v>92</v>
      </c>
      <c r="E656" s="4">
        <f>IFERROR(__xludf.DUMMYFUNCTION("""COMPUTED_VALUE"""),95.0)</f>
        <v>95</v>
      </c>
      <c r="F656" s="4">
        <f>IFERROR(__xludf.DUMMYFUNCTION("split(C656,""-"")"),8.0)</f>
        <v>8</v>
      </c>
      <c r="G656" s="4">
        <f>IFERROR(__xludf.DUMMYFUNCTION("""COMPUTED_VALUE"""),93.0)</f>
        <v>93</v>
      </c>
      <c r="H656" s="4">
        <f t="shared" si="1"/>
        <v>0</v>
      </c>
      <c r="J656" s="4">
        <f>IFERROR(__xludf.DUMMYFUNCTION("IFS(
ISBETWEEN(D656,F656,G656,TRUE,TRUE),1,
ISBETWEEN(E656,F656,G656,TRUE,TRUE),1,
ISBETWEEN(F656,D656,E656,TRUE,TRUE),1,
ISBETWEEN(G656,D656,E656,TRUE,TRUE),1,
1,0)"),1.0)</f>
        <v>1</v>
      </c>
    </row>
    <row r="657">
      <c r="A657" s="2" t="s">
        <v>656</v>
      </c>
      <c r="B657" s="1" t="str">
        <f>IFERROR(__xludf.DUMMYFUNCTION("SPLIT(A657,"","",)"),"60-99")</f>
        <v>60-99</v>
      </c>
      <c r="C657" s="1" t="str">
        <f>IFERROR(__xludf.DUMMYFUNCTION("""COMPUTED_VALUE"""),"34-96")</f>
        <v>34-96</v>
      </c>
      <c r="D657" s="4">
        <f>IFERROR(__xludf.DUMMYFUNCTION("split(B657,""-"")"),60.0)</f>
        <v>60</v>
      </c>
      <c r="E657" s="4">
        <f>IFERROR(__xludf.DUMMYFUNCTION("""COMPUTED_VALUE"""),99.0)</f>
        <v>99</v>
      </c>
      <c r="F657" s="4">
        <f>IFERROR(__xludf.DUMMYFUNCTION("split(C657,""-"")"),34.0)</f>
        <v>34</v>
      </c>
      <c r="G657" s="4">
        <f>IFERROR(__xludf.DUMMYFUNCTION("""COMPUTED_VALUE"""),96.0)</f>
        <v>96</v>
      </c>
      <c r="H657" s="4">
        <f t="shared" si="1"/>
        <v>0</v>
      </c>
      <c r="J657" s="4">
        <f>IFERROR(__xludf.DUMMYFUNCTION("IFS(
ISBETWEEN(D657,F657,G657,TRUE,TRUE),1,
ISBETWEEN(E657,F657,G657,TRUE,TRUE),1,
ISBETWEEN(F657,D657,E657,TRUE,TRUE),1,
ISBETWEEN(G657,D657,E657,TRUE,TRUE),1,
1,0)"),1.0)</f>
        <v>1</v>
      </c>
    </row>
    <row r="658">
      <c r="A658" s="2" t="s">
        <v>657</v>
      </c>
      <c r="B658" s="3">
        <f>IFERROR(__xludf.DUMMYFUNCTION("SPLIT(A658,"","",)"),44655.0)</f>
        <v>44655</v>
      </c>
      <c r="C658" s="1" t="str">
        <f>IFERROR(__xludf.DUMMYFUNCTION("""COMPUTED_VALUE"""),"3-46")</f>
        <v>3-46</v>
      </c>
      <c r="D658" s="4">
        <f>IFERROR(__xludf.DUMMYFUNCTION("split(B658,""-"")"),4.0)</f>
        <v>4</v>
      </c>
      <c r="E658" s="4">
        <f>IFERROR(__xludf.DUMMYFUNCTION("""COMPUTED_VALUE"""),4.0)</f>
        <v>4</v>
      </c>
      <c r="F658" s="4">
        <f>IFERROR(__xludf.DUMMYFUNCTION("split(C658,""-"")"),3.0)</f>
        <v>3</v>
      </c>
      <c r="G658" s="4">
        <f>IFERROR(__xludf.DUMMYFUNCTION("""COMPUTED_VALUE"""),46.0)</f>
        <v>46</v>
      </c>
      <c r="H658" s="4">
        <f t="shared" si="1"/>
        <v>1</v>
      </c>
      <c r="J658" s="4">
        <f>IFERROR(__xludf.DUMMYFUNCTION("IFS(
ISBETWEEN(D658,F658,G658,TRUE,TRUE),1,
ISBETWEEN(E658,F658,G658,TRUE,TRUE),1,
ISBETWEEN(F658,D658,E658,TRUE,TRUE),1,
ISBETWEEN(G658,D658,E658,TRUE,TRUE),1,
1,0)"),1.0)</f>
        <v>1</v>
      </c>
    </row>
    <row r="659">
      <c r="A659" s="2" t="s">
        <v>658</v>
      </c>
      <c r="B659" s="1" t="str">
        <f>IFERROR(__xludf.DUMMYFUNCTION("SPLIT(A659,"","",)"),"8-85")</f>
        <v>8-85</v>
      </c>
      <c r="C659" s="1" t="str">
        <f>IFERROR(__xludf.DUMMYFUNCTION("""COMPUTED_VALUE"""),"9-84")</f>
        <v>9-84</v>
      </c>
      <c r="D659" s="4">
        <f>IFERROR(__xludf.DUMMYFUNCTION("split(B659,""-"")"),8.0)</f>
        <v>8</v>
      </c>
      <c r="E659" s="4">
        <f>IFERROR(__xludf.DUMMYFUNCTION("""COMPUTED_VALUE"""),85.0)</f>
        <v>85</v>
      </c>
      <c r="F659" s="4">
        <f>IFERROR(__xludf.DUMMYFUNCTION("split(C659,""-"")"),9.0)</f>
        <v>9</v>
      </c>
      <c r="G659" s="4">
        <f>IFERROR(__xludf.DUMMYFUNCTION("""COMPUTED_VALUE"""),84.0)</f>
        <v>84</v>
      </c>
      <c r="H659" s="4">
        <f t="shared" si="1"/>
        <v>1</v>
      </c>
      <c r="J659" s="4">
        <f>IFERROR(__xludf.DUMMYFUNCTION("IFS(
ISBETWEEN(D659,F659,G659,TRUE,TRUE),1,
ISBETWEEN(E659,F659,G659,TRUE,TRUE),1,
ISBETWEEN(F659,D659,E659,TRUE,TRUE),1,
ISBETWEEN(G659,D659,E659,TRUE,TRUE),1,
1,0)"),1.0)</f>
        <v>1</v>
      </c>
    </row>
    <row r="660">
      <c r="A660" s="2" t="s">
        <v>659</v>
      </c>
      <c r="B660" s="1" t="str">
        <f>IFERROR(__xludf.DUMMYFUNCTION("SPLIT(A660,"","",)"),"7-53")</f>
        <v>7-53</v>
      </c>
      <c r="C660" s="1" t="str">
        <f>IFERROR(__xludf.DUMMYFUNCTION("""COMPUTED_VALUE"""),"8-38")</f>
        <v>8-38</v>
      </c>
      <c r="D660" s="4">
        <f>IFERROR(__xludf.DUMMYFUNCTION("split(B660,""-"")"),7.0)</f>
        <v>7</v>
      </c>
      <c r="E660" s="4">
        <f>IFERROR(__xludf.DUMMYFUNCTION("""COMPUTED_VALUE"""),53.0)</f>
        <v>53</v>
      </c>
      <c r="F660" s="4">
        <f>IFERROR(__xludf.DUMMYFUNCTION("split(C660,""-"")"),8.0)</f>
        <v>8</v>
      </c>
      <c r="G660" s="4">
        <f>IFERROR(__xludf.DUMMYFUNCTION("""COMPUTED_VALUE"""),38.0)</f>
        <v>38</v>
      </c>
      <c r="H660" s="4">
        <f t="shared" si="1"/>
        <v>1</v>
      </c>
      <c r="J660" s="4">
        <f>IFERROR(__xludf.DUMMYFUNCTION("IFS(
ISBETWEEN(D660,F660,G660,TRUE,TRUE),1,
ISBETWEEN(E660,F660,G660,TRUE,TRUE),1,
ISBETWEEN(F660,D660,E660,TRUE,TRUE),1,
ISBETWEEN(G660,D660,E660,TRUE,TRUE),1,
1,0)"),1.0)</f>
        <v>1</v>
      </c>
    </row>
    <row r="661">
      <c r="A661" s="2" t="s">
        <v>660</v>
      </c>
      <c r="B661" s="1" t="str">
        <f>IFERROR(__xludf.DUMMYFUNCTION("SPLIT(A661,"","",)"),"18-97")</f>
        <v>18-97</v>
      </c>
      <c r="C661" s="1" t="str">
        <f>IFERROR(__xludf.DUMMYFUNCTION("""COMPUTED_VALUE"""),"62-99")</f>
        <v>62-99</v>
      </c>
      <c r="D661" s="4">
        <f>IFERROR(__xludf.DUMMYFUNCTION("split(B661,""-"")"),18.0)</f>
        <v>18</v>
      </c>
      <c r="E661" s="4">
        <f>IFERROR(__xludf.DUMMYFUNCTION("""COMPUTED_VALUE"""),97.0)</f>
        <v>97</v>
      </c>
      <c r="F661" s="4">
        <f>IFERROR(__xludf.DUMMYFUNCTION("split(C661,""-"")"),62.0)</f>
        <v>62</v>
      </c>
      <c r="G661" s="4">
        <f>IFERROR(__xludf.DUMMYFUNCTION("""COMPUTED_VALUE"""),99.0)</f>
        <v>99</v>
      </c>
      <c r="H661" s="4">
        <f t="shared" si="1"/>
        <v>0</v>
      </c>
      <c r="J661" s="4">
        <f>IFERROR(__xludf.DUMMYFUNCTION("IFS(
ISBETWEEN(D661,F661,G661,TRUE,TRUE),1,
ISBETWEEN(E661,F661,G661,TRUE,TRUE),1,
ISBETWEEN(F661,D661,E661,TRUE,TRUE),1,
ISBETWEEN(G661,D661,E661,TRUE,TRUE),1,
1,0)"),1.0)</f>
        <v>1</v>
      </c>
    </row>
    <row r="662">
      <c r="A662" s="2" t="s">
        <v>661</v>
      </c>
      <c r="B662" s="1" t="str">
        <f>IFERROR(__xludf.DUMMYFUNCTION("SPLIT(A662,"","",)"),"29-80")</f>
        <v>29-80</v>
      </c>
      <c r="C662" s="1" t="str">
        <f>IFERROR(__xludf.DUMMYFUNCTION("""COMPUTED_VALUE"""),"28-38")</f>
        <v>28-38</v>
      </c>
      <c r="D662" s="4">
        <f>IFERROR(__xludf.DUMMYFUNCTION("split(B662,""-"")"),29.0)</f>
        <v>29</v>
      </c>
      <c r="E662" s="4">
        <f>IFERROR(__xludf.DUMMYFUNCTION("""COMPUTED_VALUE"""),80.0)</f>
        <v>80</v>
      </c>
      <c r="F662" s="4">
        <f>IFERROR(__xludf.DUMMYFUNCTION("split(C662,""-"")"),28.0)</f>
        <v>28</v>
      </c>
      <c r="G662" s="4">
        <f>IFERROR(__xludf.DUMMYFUNCTION("""COMPUTED_VALUE"""),38.0)</f>
        <v>38</v>
      </c>
      <c r="H662" s="4">
        <f t="shared" si="1"/>
        <v>0</v>
      </c>
      <c r="J662" s="4">
        <f>IFERROR(__xludf.DUMMYFUNCTION("IFS(
ISBETWEEN(D662,F662,G662,TRUE,TRUE),1,
ISBETWEEN(E662,F662,G662,TRUE,TRUE),1,
ISBETWEEN(F662,D662,E662,TRUE,TRUE),1,
ISBETWEEN(G662,D662,E662,TRUE,TRUE),1,
1,0)"),1.0)</f>
        <v>1</v>
      </c>
    </row>
    <row r="663">
      <c r="A663" s="2" t="s">
        <v>662</v>
      </c>
      <c r="B663" s="1" t="str">
        <f>IFERROR(__xludf.DUMMYFUNCTION("SPLIT(A663,"","",)"),"47-50")</f>
        <v>47-50</v>
      </c>
      <c r="C663" s="1" t="str">
        <f>IFERROR(__xludf.DUMMYFUNCTION("""COMPUTED_VALUE"""),"49-75")</f>
        <v>49-75</v>
      </c>
      <c r="D663" s="4">
        <f>IFERROR(__xludf.DUMMYFUNCTION("split(B663,""-"")"),47.0)</f>
        <v>47</v>
      </c>
      <c r="E663" s="4">
        <f>IFERROR(__xludf.DUMMYFUNCTION("""COMPUTED_VALUE"""),50.0)</f>
        <v>50</v>
      </c>
      <c r="F663" s="4">
        <f>IFERROR(__xludf.DUMMYFUNCTION("split(C663,""-"")"),49.0)</f>
        <v>49</v>
      </c>
      <c r="G663" s="4">
        <f>IFERROR(__xludf.DUMMYFUNCTION("""COMPUTED_VALUE"""),75.0)</f>
        <v>75</v>
      </c>
      <c r="H663" s="4">
        <f t="shared" si="1"/>
        <v>0</v>
      </c>
      <c r="J663" s="4">
        <f>IFERROR(__xludf.DUMMYFUNCTION("IFS(
ISBETWEEN(D663,F663,G663,TRUE,TRUE),1,
ISBETWEEN(E663,F663,G663,TRUE,TRUE),1,
ISBETWEEN(F663,D663,E663,TRUE,TRUE),1,
ISBETWEEN(G663,D663,E663,TRUE,TRUE),1,
1,0)"),1.0)</f>
        <v>1</v>
      </c>
    </row>
    <row r="664">
      <c r="A664" s="2" t="s">
        <v>663</v>
      </c>
      <c r="B664" s="1" t="str">
        <f>IFERROR(__xludf.DUMMYFUNCTION("SPLIT(A664,"","",)"),"50-70")</f>
        <v>50-70</v>
      </c>
      <c r="C664" s="1" t="str">
        <f>IFERROR(__xludf.DUMMYFUNCTION("""COMPUTED_VALUE"""),"51-51")</f>
        <v>51-51</v>
      </c>
      <c r="D664" s="4">
        <f>IFERROR(__xludf.DUMMYFUNCTION("split(B664,""-"")"),50.0)</f>
        <v>50</v>
      </c>
      <c r="E664" s="4">
        <f>IFERROR(__xludf.DUMMYFUNCTION("""COMPUTED_VALUE"""),70.0)</f>
        <v>70</v>
      </c>
      <c r="F664" s="4">
        <f>IFERROR(__xludf.DUMMYFUNCTION("split(C664,""-"")"),51.0)</f>
        <v>51</v>
      </c>
      <c r="G664" s="4">
        <f>IFERROR(__xludf.DUMMYFUNCTION("""COMPUTED_VALUE"""),51.0)</f>
        <v>51</v>
      </c>
      <c r="H664" s="4">
        <f t="shared" si="1"/>
        <v>1</v>
      </c>
      <c r="J664" s="4">
        <f>IFERROR(__xludf.DUMMYFUNCTION("IFS(
ISBETWEEN(D664,F664,G664,TRUE,TRUE),1,
ISBETWEEN(E664,F664,G664,TRUE,TRUE),1,
ISBETWEEN(F664,D664,E664,TRUE,TRUE),1,
ISBETWEEN(G664,D664,E664,TRUE,TRUE),1,
1,0)"),1.0)</f>
        <v>1</v>
      </c>
    </row>
    <row r="665">
      <c r="A665" s="2" t="s">
        <v>664</v>
      </c>
      <c r="B665" s="1" t="str">
        <f>IFERROR(__xludf.DUMMYFUNCTION("SPLIT(A665,"","",)"),"36-54")</f>
        <v>36-54</v>
      </c>
      <c r="C665" s="1" t="str">
        <f>IFERROR(__xludf.DUMMYFUNCTION("""COMPUTED_VALUE"""),"35-37")</f>
        <v>35-37</v>
      </c>
      <c r="D665" s="4">
        <f>IFERROR(__xludf.DUMMYFUNCTION("split(B665,""-"")"),36.0)</f>
        <v>36</v>
      </c>
      <c r="E665" s="4">
        <f>IFERROR(__xludf.DUMMYFUNCTION("""COMPUTED_VALUE"""),54.0)</f>
        <v>54</v>
      </c>
      <c r="F665" s="4">
        <f>IFERROR(__xludf.DUMMYFUNCTION("split(C665,""-"")"),35.0)</f>
        <v>35</v>
      </c>
      <c r="G665" s="4">
        <f>IFERROR(__xludf.DUMMYFUNCTION("""COMPUTED_VALUE"""),37.0)</f>
        <v>37</v>
      </c>
      <c r="H665" s="4">
        <f t="shared" si="1"/>
        <v>0</v>
      </c>
      <c r="J665" s="4">
        <f>IFERROR(__xludf.DUMMYFUNCTION("IFS(
ISBETWEEN(D665,F665,G665,TRUE,TRUE),1,
ISBETWEEN(E665,F665,G665,TRUE,TRUE),1,
ISBETWEEN(F665,D665,E665,TRUE,TRUE),1,
ISBETWEEN(G665,D665,E665,TRUE,TRUE),1,
1,0)"),1.0)</f>
        <v>1</v>
      </c>
    </row>
    <row r="666">
      <c r="A666" s="2" t="s">
        <v>665</v>
      </c>
      <c r="B666" s="1" t="str">
        <f>IFERROR(__xludf.DUMMYFUNCTION("SPLIT(A666,"","",)"),"13-71")</f>
        <v>13-71</v>
      </c>
      <c r="C666" s="1" t="str">
        <f>IFERROR(__xludf.DUMMYFUNCTION("""COMPUTED_VALUE"""),"49-91")</f>
        <v>49-91</v>
      </c>
      <c r="D666" s="4">
        <f>IFERROR(__xludf.DUMMYFUNCTION("split(B666,""-"")"),13.0)</f>
        <v>13</v>
      </c>
      <c r="E666" s="4">
        <f>IFERROR(__xludf.DUMMYFUNCTION("""COMPUTED_VALUE"""),71.0)</f>
        <v>71</v>
      </c>
      <c r="F666" s="4">
        <f>IFERROR(__xludf.DUMMYFUNCTION("split(C666,""-"")"),49.0)</f>
        <v>49</v>
      </c>
      <c r="G666" s="4">
        <f>IFERROR(__xludf.DUMMYFUNCTION("""COMPUTED_VALUE"""),91.0)</f>
        <v>91</v>
      </c>
      <c r="H666" s="4">
        <f t="shared" si="1"/>
        <v>0</v>
      </c>
      <c r="J666" s="4">
        <f>IFERROR(__xludf.DUMMYFUNCTION("IFS(
ISBETWEEN(D666,F666,G666,TRUE,TRUE),1,
ISBETWEEN(E666,F666,G666,TRUE,TRUE),1,
ISBETWEEN(F666,D666,E666,TRUE,TRUE),1,
ISBETWEEN(G666,D666,E666,TRUE,TRUE),1,
1,0)"),1.0)</f>
        <v>1</v>
      </c>
    </row>
    <row r="667">
      <c r="A667" s="2" t="s">
        <v>666</v>
      </c>
      <c r="B667" s="1" t="str">
        <f>IFERROR(__xludf.DUMMYFUNCTION("SPLIT(A667,"","",)"),"15-83")</f>
        <v>15-83</v>
      </c>
      <c r="C667" s="1" t="str">
        <f>IFERROR(__xludf.DUMMYFUNCTION("""COMPUTED_VALUE"""),"83-84")</f>
        <v>83-84</v>
      </c>
      <c r="D667" s="4">
        <f>IFERROR(__xludf.DUMMYFUNCTION("split(B667,""-"")"),15.0)</f>
        <v>15</v>
      </c>
      <c r="E667" s="4">
        <f>IFERROR(__xludf.DUMMYFUNCTION("""COMPUTED_VALUE"""),83.0)</f>
        <v>83</v>
      </c>
      <c r="F667" s="4">
        <f>IFERROR(__xludf.DUMMYFUNCTION("split(C667,""-"")"),83.0)</f>
        <v>83</v>
      </c>
      <c r="G667" s="4">
        <f>IFERROR(__xludf.DUMMYFUNCTION("""COMPUTED_VALUE"""),84.0)</f>
        <v>84</v>
      </c>
      <c r="H667" s="4">
        <f t="shared" si="1"/>
        <v>0</v>
      </c>
      <c r="J667" s="4">
        <f>IFERROR(__xludf.DUMMYFUNCTION("IFS(
ISBETWEEN(D667,F667,G667,TRUE,TRUE),1,
ISBETWEEN(E667,F667,G667,TRUE,TRUE),1,
ISBETWEEN(F667,D667,E667,TRUE,TRUE),1,
ISBETWEEN(G667,D667,E667,TRUE,TRUE),1,
1,0)"),1.0)</f>
        <v>1</v>
      </c>
    </row>
    <row r="668">
      <c r="A668" s="2" t="s">
        <v>667</v>
      </c>
      <c r="B668" s="1" t="str">
        <f>IFERROR(__xludf.DUMMYFUNCTION("SPLIT(A668,"","",)"),"27-27")</f>
        <v>27-27</v>
      </c>
      <c r="C668" s="1" t="str">
        <f>IFERROR(__xludf.DUMMYFUNCTION("""COMPUTED_VALUE"""),"26-93")</f>
        <v>26-93</v>
      </c>
      <c r="D668" s="4">
        <f>IFERROR(__xludf.DUMMYFUNCTION("split(B668,""-"")"),27.0)</f>
        <v>27</v>
      </c>
      <c r="E668" s="4">
        <f>IFERROR(__xludf.DUMMYFUNCTION("""COMPUTED_VALUE"""),27.0)</f>
        <v>27</v>
      </c>
      <c r="F668" s="4">
        <f>IFERROR(__xludf.DUMMYFUNCTION("split(C668,""-"")"),26.0)</f>
        <v>26</v>
      </c>
      <c r="G668" s="4">
        <f>IFERROR(__xludf.DUMMYFUNCTION("""COMPUTED_VALUE"""),93.0)</f>
        <v>93</v>
      </c>
      <c r="H668" s="4">
        <f t="shared" si="1"/>
        <v>1</v>
      </c>
      <c r="J668" s="4">
        <f>IFERROR(__xludf.DUMMYFUNCTION("IFS(
ISBETWEEN(D668,F668,G668,TRUE,TRUE),1,
ISBETWEEN(E668,F668,G668,TRUE,TRUE),1,
ISBETWEEN(F668,D668,E668,TRUE,TRUE),1,
ISBETWEEN(G668,D668,E668,TRUE,TRUE),1,
1,0)"),1.0)</f>
        <v>1</v>
      </c>
    </row>
    <row r="669">
      <c r="A669" s="2" t="s">
        <v>668</v>
      </c>
      <c r="B669" s="1" t="str">
        <f>IFERROR(__xludf.DUMMYFUNCTION("SPLIT(A669,"","",)"),"14-28")</f>
        <v>14-28</v>
      </c>
      <c r="C669" s="1" t="str">
        <f>IFERROR(__xludf.DUMMYFUNCTION("""COMPUTED_VALUE"""),"13-27")</f>
        <v>13-27</v>
      </c>
      <c r="D669" s="4">
        <f>IFERROR(__xludf.DUMMYFUNCTION("split(B669,""-"")"),14.0)</f>
        <v>14</v>
      </c>
      <c r="E669" s="4">
        <f>IFERROR(__xludf.DUMMYFUNCTION("""COMPUTED_VALUE"""),28.0)</f>
        <v>28</v>
      </c>
      <c r="F669" s="4">
        <f>IFERROR(__xludf.DUMMYFUNCTION("split(C669,""-"")"),13.0)</f>
        <v>13</v>
      </c>
      <c r="G669" s="4">
        <f>IFERROR(__xludf.DUMMYFUNCTION("""COMPUTED_VALUE"""),27.0)</f>
        <v>27</v>
      </c>
      <c r="H669" s="4">
        <f t="shared" si="1"/>
        <v>0</v>
      </c>
      <c r="J669" s="4">
        <f>IFERROR(__xludf.DUMMYFUNCTION("IFS(
ISBETWEEN(D669,F669,G669,TRUE,TRUE),1,
ISBETWEEN(E669,F669,G669,TRUE,TRUE),1,
ISBETWEEN(F669,D669,E669,TRUE,TRUE),1,
ISBETWEEN(G669,D669,E669,TRUE,TRUE),1,
1,0)"),1.0)</f>
        <v>1</v>
      </c>
    </row>
    <row r="670">
      <c r="A670" s="2" t="s">
        <v>669</v>
      </c>
      <c r="B670" s="1" t="str">
        <f>IFERROR(__xludf.DUMMYFUNCTION("SPLIT(A670,"","",)"),"40-57")</f>
        <v>40-57</v>
      </c>
      <c r="C670" s="1" t="str">
        <f>IFERROR(__xludf.DUMMYFUNCTION("""COMPUTED_VALUE"""),"39-57")</f>
        <v>39-57</v>
      </c>
      <c r="D670" s="4">
        <f>IFERROR(__xludf.DUMMYFUNCTION("split(B670,""-"")"),40.0)</f>
        <v>40</v>
      </c>
      <c r="E670" s="4">
        <f>IFERROR(__xludf.DUMMYFUNCTION("""COMPUTED_VALUE"""),57.0)</f>
        <v>57</v>
      </c>
      <c r="F670" s="4">
        <f>IFERROR(__xludf.DUMMYFUNCTION("split(C670,""-"")"),39.0)</f>
        <v>39</v>
      </c>
      <c r="G670" s="4">
        <f>IFERROR(__xludf.DUMMYFUNCTION("""COMPUTED_VALUE"""),57.0)</f>
        <v>57</v>
      </c>
      <c r="H670" s="4">
        <f t="shared" si="1"/>
        <v>1</v>
      </c>
      <c r="J670" s="4">
        <f>IFERROR(__xludf.DUMMYFUNCTION("IFS(
ISBETWEEN(D670,F670,G670,TRUE,TRUE),1,
ISBETWEEN(E670,F670,G670,TRUE,TRUE),1,
ISBETWEEN(F670,D670,E670,TRUE,TRUE),1,
ISBETWEEN(G670,D670,E670,TRUE,TRUE),1,
1,0)"),1.0)</f>
        <v>1</v>
      </c>
    </row>
    <row r="671">
      <c r="A671" s="2" t="s">
        <v>670</v>
      </c>
      <c r="B671" s="1" t="str">
        <f>IFERROR(__xludf.DUMMYFUNCTION("SPLIT(A671,"","",)"),"55-57")</f>
        <v>55-57</v>
      </c>
      <c r="C671" s="1" t="str">
        <f>IFERROR(__xludf.DUMMYFUNCTION("""COMPUTED_VALUE"""),"56-92")</f>
        <v>56-92</v>
      </c>
      <c r="D671" s="4">
        <f>IFERROR(__xludf.DUMMYFUNCTION("split(B671,""-"")"),55.0)</f>
        <v>55</v>
      </c>
      <c r="E671" s="4">
        <f>IFERROR(__xludf.DUMMYFUNCTION("""COMPUTED_VALUE"""),57.0)</f>
        <v>57</v>
      </c>
      <c r="F671" s="4">
        <f>IFERROR(__xludf.DUMMYFUNCTION("split(C671,""-"")"),56.0)</f>
        <v>56</v>
      </c>
      <c r="G671" s="4">
        <f>IFERROR(__xludf.DUMMYFUNCTION("""COMPUTED_VALUE"""),92.0)</f>
        <v>92</v>
      </c>
      <c r="H671" s="4">
        <f t="shared" si="1"/>
        <v>0</v>
      </c>
      <c r="J671" s="4">
        <f>IFERROR(__xludf.DUMMYFUNCTION("IFS(
ISBETWEEN(D671,F671,G671,TRUE,TRUE),1,
ISBETWEEN(E671,F671,G671,TRUE,TRUE),1,
ISBETWEEN(F671,D671,E671,TRUE,TRUE),1,
ISBETWEEN(G671,D671,E671,TRUE,TRUE),1,
1,0)"),1.0)</f>
        <v>1</v>
      </c>
    </row>
    <row r="672">
      <c r="A672" s="2" t="s">
        <v>671</v>
      </c>
      <c r="B672" s="1" t="str">
        <f>IFERROR(__xludf.DUMMYFUNCTION("SPLIT(A672,"","",)"),"13-56")</f>
        <v>13-56</v>
      </c>
      <c r="C672" s="1" t="str">
        <f>IFERROR(__xludf.DUMMYFUNCTION("""COMPUTED_VALUE"""),"12-57")</f>
        <v>12-57</v>
      </c>
      <c r="D672" s="4">
        <f>IFERROR(__xludf.DUMMYFUNCTION("split(B672,""-"")"),13.0)</f>
        <v>13</v>
      </c>
      <c r="E672" s="4">
        <f>IFERROR(__xludf.DUMMYFUNCTION("""COMPUTED_VALUE"""),56.0)</f>
        <v>56</v>
      </c>
      <c r="F672" s="4">
        <f>IFERROR(__xludf.DUMMYFUNCTION("split(C672,""-"")"),12.0)</f>
        <v>12</v>
      </c>
      <c r="G672" s="4">
        <f>IFERROR(__xludf.DUMMYFUNCTION("""COMPUTED_VALUE"""),57.0)</f>
        <v>57</v>
      </c>
      <c r="H672" s="4">
        <f t="shared" si="1"/>
        <v>1</v>
      </c>
      <c r="J672" s="4">
        <f>IFERROR(__xludf.DUMMYFUNCTION("IFS(
ISBETWEEN(D672,F672,G672,TRUE,TRUE),1,
ISBETWEEN(E672,F672,G672,TRUE,TRUE),1,
ISBETWEEN(F672,D672,E672,TRUE,TRUE),1,
ISBETWEEN(G672,D672,E672,TRUE,TRUE),1,
1,0)"),1.0)</f>
        <v>1</v>
      </c>
    </row>
    <row r="673">
      <c r="A673" s="2" t="s">
        <v>672</v>
      </c>
      <c r="B673" s="1" t="str">
        <f>IFERROR(__xludf.DUMMYFUNCTION("SPLIT(A673,"","",)"),"76-99")</f>
        <v>76-99</v>
      </c>
      <c r="C673" s="1" t="str">
        <f>IFERROR(__xludf.DUMMYFUNCTION("""COMPUTED_VALUE"""),"63-89")</f>
        <v>63-89</v>
      </c>
      <c r="D673" s="4">
        <f>IFERROR(__xludf.DUMMYFUNCTION("split(B673,""-"")"),76.0)</f>
        <v>76</v>
      </c>
      <c r="E673" s="4">
        <f>IFERROR(__xludf.DUMMYFUNCTION("""COMPUTED_VALUE"""),99.0)</f>
        <v>99</v>
      </c>
      <c r="F673" s="4">
        <f>IFERROR(__xludf.DUMMYFUNCTION("split(C673,""-"")"),63.0)</f>
        <v>63</v>
      </c>
      <c r="G673" s="4">
        <f>IFERROR(__xludf.DUMMYFUNCTION("""COMPUTED_VALUE"""),89.0)</f>
        <v>89</v>
      </c>
      <c r="H673" s="4">
        <f t="shared" si="1"/>
        <v>0</v>
      </c>
      <c r="J673" s="4">
        <f>IFERROR(__xludf.DUMMYFUNCTION("IFS(
ISBETWEEN(D673,F673,G673,TRUE,TRUE),1,
ISBETWEEN(E673,F673,G673,TRUE,TRUE),1,
ISBETWEEN(F673,D673,E673,TRUE,TRUE),1,
ISBETWEEN(G673,D673,E673,TRUE,TRUE),1,
1,0)"),1.0)</f>
        <v>1</v>
      </c>
    </row>
    <row r="674">
      <c r="A674" s="2" t="s">
        <v>673</v>
      </c>
      <c r="B674" s="1" t="str">
        <f>IFERROR(__xludf.DUMMYFUNCTION("SPLIT(A674,"","",)"),"61-61")</f>
        <v>61-61</v>
      </c>
      <c r="C674" s="1" t="str">
        <f>IFERROR(__xludf.DUMMYFUNCTION("""COMPUTED_VALUE"""),"61-65")</f>
        <v>61-65</v>
      </c>
      <c r="D674" s="4">
        <f>IFERROR(__xludf.DUMMYFUNCTION("split(B674,""-"")"),61.0)</f>
        <v>61</v>
      </c>
      <c r="E674" s="4">
        <f>IFERROR(__xludf.DUMMYFUNCTION("""COMPUTED_VALUE"""),61.0)</f>
        <v>61</v>
      </c>
      <c r="F674" s="4">
        <f>IFERROR(__xludf.DUMMYFUNCTION("split(C674,""-"")"),61.0)</f>
        <v>61</v>
      </c>
      <c r="G674" s="4">
        <f>IFERROR(__xludf.DUMMYFUNCTION("""COMPUTED_VALUE"""),65.0)</f>
        <v>65</v>
      </c>
      <c r="H674" s="4">
        <f t="shared" si="1"/>
        <v>1</v>
      </c>
      <c r="J674" s="4">
        <f>IFERROR(__xludf.DUMMYFUNCTION("IFS(
ISBETWEEN(D674,F674,G674,TRUE,TRUE),1,
ISBETWEEN(E674,F674,G674,TRUE,TRUE),1,
ISBETWEEN(F674,D674,E674,TRUE,TRUE),1,
ISBETWEEN(G674,D674,E674,TRUE,TRUE),1,
1,0)"),1.0)</f>
        <v>1</v>
      </c>
    </row>
    <row r="675">
      <c r="A675" s="2" t="s">
        <v>674</v>
      </c>
      <c r="B675" s="1" t="str">
        <f>IFERROR(__xludf.DUMMYFUNCTION("SPLIT(A675,"","",)"),"55-92")</f>
        <v>55-92</v>
      </c>
      <c r="C675" s="1" t="str">
        <f>IFERROR(__xludf.DUMMYFUNCTION("""COMPUTED_VALUE"""),"45-67")</f>
        <v>45-67</v>
      </c>
      <c r="D675" s="4">
        <f>IFERROR(__xludf.DUMMYFUNCTION("split(B675,""-"")"),55.0)</f>
        <v>55</v>
      </c>
      <c r="E675" s="4">
        <f>IFERROR(__xludf.DUMMYFUNCTION("""COMPUTED_VALUE"""),92.0)</f>
        <v>92</v>
      </c>
      <c r="F675" s="4">
        <f>IFERROR(__xludf.DUMMYFUNCTION("split(C675,""-"")"),45.0)</f>
        <v>45</v>
      </c>
      <c r="G675" s="4">
        <f>IFERROR(__xludf.DUMMYFUNCTION("""COMPUTED_VALUE"""),67.0)</f>
        <v>67</v>
      </c>
      <c r="H675" s="4">
        <f t="shared" si="1"/>
        <v>0</v>
      </c>
      <c r="J675" s="4">
        <f>IFERROR(__xludf.DUMMYFUNCTION("IFS(
ISBETWEEN(D675,F675,G675,TRUE,TRUE),1,
ISBETWEEN(E675,F675,G675,TRUE,TRUE),1,
ISBETWEEN(F675,D675,E675,TRUE,TRUE),1,
ISBETWEEN(G675,D675,E675,TRUE,TRUE),1,
1,0)"),1.0)</f>
        <v>1</v>
      </c>
    </row>
    <row r="676">
      <c r="A676" s="2" t="s">
        <v>675</v>
      </c>
      <c r="B676" s="1" t="str">
        <f>IFERROR(__xludf.DUMMYFUNCTION("SPLIT(A676,"","",)"),"22-81")</f>
        <v>22-81</v>
      </c>
      <c r="C676" s="1" t="str">
        <f>IFERROR(__xludf.DUMMYFUNCTION("""COMPUTED_VALUE"""),"22-82")</f>
        <v>22-82</v>
      </c>
      <c r="D676" s="4">
        <f>IFERROR(__xludf.DUMMYFUNCTION("split(B676,""-"")"),22.0)</f>
        <v>22</v>
      </c>
      <c r="E676" s="4">
        <f>IFERROR(__xludf.DUMMYFUNCTION("""COMPUTED_VALUE"""),81.0)</f>
        <v>81</v>
      </c>
      <c r="F676" s="4">
        <f>IFERROR(__xludf.DUMMYFUNCTION("split(C676,""-"")"),22.0)</f>
        <v>22</v>
      </c>
      <c r="G676" s="4">
        <f>IFERROR(__xludf.DUMMYFUNCTION("""COMPUTED_VALUE"""),82.0)</f>
        <v>82</v>
      </c>
      <c r="H676" s="4">
        <f t="shared" si="1"/>
        <v>1</v>
      </c>
      <c r="J676" s="4">
        <f>IFERROR(__xludf.DUMMYFUNCTION("IFS(
ISBETWEEN(D676,F676,G676,TRUE,TRUE),1,
ISBETWEEN(E676,F676,G676,TRUE,TRUE),1,
ISBETWEEN(F676,D676,E676,TRUE,TRUE),1,
ISBETWEEN(G676,D676,E676,TRUE,TRUE),1,
1,0)"),1.0)</f>
        <v>1</v>
      </c>
    </row>
    <row r="677">
      <c r="A677" s="2" t="s">
        <v>676</v>
      </c>
      <c r="B677" s="1" t="str">
        <f>IFERROR(__xludf.DUMMYFUNCTION("SPLIT(A677,"","",)"),"9-69")</f>
        <v>9-69</v>
      </c>
      <c r="C677" s="3">
        <f>IFERROR(__xludf.DUMMYFUNCTION("""COMPUTED_VALUE"""),44842.0)</f>
        <v>44842</v>
      </c>
      <c r="D677" s="4">
        <f>IFERROR(__xludf.DUMMYFUNCTION("split(B677,""-"")"),9.0)</f>
        <v>9</v>
      </c>
      <c r="E677" s="4">
        <f>IFERROR(__xludf.DUMMYFUNCTION("""COMPUTED_VALUE"""),69.0)</f>
        <v>69</v>
      </c>
      <c r="F677" s="4">
        <f>IFERROR(__xludf.DUMMYFUNCTION("split(C677,""-"")"),8.0)</f>
        <v>8</v>
      </c>
      <c r="G677" s="4">
        <f>IFERROR(__xludf.DUMMYFUNCTION("""COMPUTED_VALUE"""),10.0)</f>
        <v>10</v>
      </c>
      <c r="H677" s="4">
        <f t="shared" si="1"/>
        <v>0</v>
      </c>
      <c r="J677" s="4">
        <f>IFERROR(__xludf.DUMMYFUNCTION("IFS(
ISBETWEEN(D677,F677,G677,TRUE,TRUE),1,
ISBETWEEN(E677,F677,G677,TRUE,TRUE),1,
ISBETWEEN(F677,D677,E677,TRUE,TRUE),1,
ISBETWEEN(G677,D677,E677,TRUE,TRUE),1,
1,0)"),1.0)</f>
        <v>1</v>
      </c>
    </row>
    <row r="678">
      <c r="A678" s="2" t="s">
        <v>677</v>
      </c>
      <c r="B678" s="1" t="str">
        <f>IFERROR(__xludf.DUMMYFUNCTION("SPLIT(A678,"","",)"),"6-96")</f>
        <v>6-96</v>
      </c>
      <c r="C678" s="1" t="str">
        <f>IFERROR(__xludf.DUMMYFUNCTION("""COMPUTED_VALUE"""),"9-96")</f>
        <v>9-96</v>
      </c>
      <c r="D678" s="4">
        <f>IFERROR(__xludf.DUMMYFUNCTION("split(B678,""-"")"),6.0)</f>
        <v>6</v>
      </c>
      <c r="E678" s="4">
        <f>IFERROR(__xludf.DUMMYFUNCTION("""COMPUTED_VALUE"""),96.0)</f>
        <v>96</v>
      </c>
      <c r="F678" s="4">
        <f>IFERROR(__xludf.DUMMYFUNCTION("split(C678,""-"")"),9.0)</f>
        <v>9</v>
      </c>
      <c r="G678" s="4">
        <f>IFERROR(__xludf.DUMMYFUNCTION("""COMPUTED_VALUE"""),96.0)</f>
        <v>96</v>
      </c>
      <c r="H678" s="4">
        <f t="shared" si="1"/>
        <v>1</v>
      </c>
      <c r="J678" s="4">
        <f>IFERROR(__xludf.DUMMYFUNCTION("IFS(
ISBETWEEN(D678,F678,G678,TRUE,TRUE),1,
ISBETWEEN(E678,F678,G678,TRUE,TRUE),1,
ISBETWEEN(F678,D678,E678,TRUE,TRUE),1,
ISBETWEEN(G678,D678,E678,TRUE,TRUE),1,
1,0)"),1.0)</f>
        <v>1</v>
      </c>
    </row>
    <row r="679">
      <c r="A679" s="2" t="s">
        <v>678</v>
      </c>
      <c r="B679" s="1" t="str">
        <f>IFERROR(__xludf.DUMMYFUNCTION("SPLIT(A679,"","",)"),"29-73")</f>
        <v>29-73</v>
      </c>
      <c r="C679" s="1" t="str">
        <f>IFERROR(__xludf.DUMMYFUNCTION("""COMPUTED_VALUE"""),"28-67")</f>
        <v>28-67</v>
      </c>
      <c r="D679" s="4">
        <f>IFERROR(__xludf.DUMMYFUNCTION("split(B679,""-"")"),29.0)</f>
        <v>29</v>
      </c>
      <c r="E679" s="4">
        <f>IFERROR(__xludf.DUMMYFUNCTION("""COMPUTED_VALUE"""),73.0)</f>
        <v>73</v>
      </c>
      <c r="F679" s="4">
        <f>IFERROR(__xludf.DUMMYFUNCTION("split(C679,""-"")"),28.0)</f>
        <v>28</v>
      </c>
      <c r="G679" s="4">
        <f>IFERROR(__xludf.DUMMYFUNCTION("""COMPUTED_VALUE"""),67.0)</f>
        <v>67</v>
      </c>
      <c r="H679" s="4">
        <f t="shared" si="1"/>
        <v>0</v>
      </c>
      <c r="J679" s="4">
        <f>IFERROR(__xludf.DUMMYFUNCTION("IFS(
ISBETWEEN(D679,F679,G679,TRUE,TRUE),1,
ISBETWEEN(E679,F679,G679,TRUE,TRUE),1,
ISBETWEEN(F679,D679,E679,TRUE,TRUE),1,
ISBETWEEN(G679,D679,E679,TRUE,TRUE),1,
1,0)"),1.0)</f>
        <v>1</v>
      </c>
    </row>
    <row r="680">
      <c r="A680" s="2" t="s">
        <v>679</v>
      </c>
      <c r="B680" s="1" t="str">
        <f>IFERROR(__xludf.DUMMYFUNCTION("SPLIT(A680,"","",)"),"2-54")</f>
        <v>2-54</v>
      </c>
      <c r="C680" s="1" t="str">
        <f>IFERROR(__xludf.DUMMYFUNCTION("""COMPUTED_VALUE"""),"10-70")</f>
        <v>10-70</v>
      </c>
      <c r="D680" s="4">
        <f>IFERROR(__xludf.DUMMYFUNCTION("split(B680,""-"")"),2.0)</f>
        <v>2</v>
      </c>
      <c r="E680" s="4">
        <f>IFERROR(__xludf.DUMMYFUNCTION("""COMPUTED_VALUE"""),54.0)</f>
        <v>54</v>
      </c>
      <c r="F680" s="4">
        <f>IFERROR(__xludf.DUMMYFUNCTION("split(C680,""-"")"),10.0)</f>
        <v>10</v>
      </c>
      <c r="G680" s="4">
        <f>IFERROR(__xludf.DUMMYFUNCTION("""COMPUTED_VALUE"""),70.0)</f>
        <v>70</v>
      </c>
      <c r="H680" s="4">
        <f t="shared" si="1"/>
        <v>0</v>
      </c>
      <c r="J680" s="4">
        <f>IFERROR(__xludf.DUMMYFUNCTION("IFS(
ISBETWEEN(D680,F680,G680,TRUE,TRUE),1,
ISBETWEEN(E680,F680,G680,TRUE,TRUE),1,
ISBETWEEN(F680,D680,E680,TRUE,TRUE),1,
ISBETWEEN(G680,D680,E680,TRUE,TRUE),1,
1,0)"),1.0)</f>
        <v>1</v>
      </c>
    </row>
    <row r="681">
      <c r="A681" s="2" t="s">
        <v>680</v>
      </c>
      <c r="B681" s="1" t="str">
        <f>IFERROR(__xludf.DUMMYFUNCTION("SPLIT(A681,"","",)"),"17-95")</f>
        <v>17-95</v>
      </c>
      <c r="C681" s="1" t="str">
        <f>IFERROR(__xludf.DUMMYFUNCTION("""COMPUTED_VALUE"""),"16-94")</f>
        <v>16-94</v>
      </c>
      <c r="D681" s="4">
        <f>IFERROR(__xludf.DUMMYFUNCTION("split(B681,""-"")"),17.0)</f>
        <v>17</v>
      </c>
      <c r="E681" s="4">
        <f>IFERROR(__xludf.DUMMYFUNCTION("""COMPUTED_VALUE"""),95.0)</f>
        <v>95</v>
      </c>
      <c r="F681" s="4">
        <f>IFERROR(__xludf.DUMMYFUNCTION("split(C681,""-"")"),16.0)</f>
        <v>16</v>
      </c>
      <c r="G681" s="4">
        <f>IFERROR(__xludf.DUMMYFUNCTION("""COMPUTED_VALUE"""),94.0)</f>
        <v>94</v>
      </c>
      <c r="H681" s="4">
        <f t="shared" si="1"/>
        <v>0</v>
      </c>
      <c r="J681" s="4">
        <f>IFERROR(__xludf.DUMMYFUNCTION("IFS(
ISBETWEEN(D681,F681,G681,TRUE,TRUE),1,
ISBETWEEN(E681,F681,G681,TRUE,TRUE),1,
ISBETWEEN(F681,D681,E681,TRUE,TRUE),1,
ISBETWEEN(G681,D681,E681,TRUE,TRUE),1,
1,0)"),1.0)</f>
        <v>1</v>
      </c>
    </row>
    <row r="682">
      <c r="A682" s="2" t="s">
        <v>681</v>
      </c>
      <c r="B682" s="1" t="str">
        <f>IFERROR(__xludf.DUMMYFUNCTION("SPLIT(A682,"","",)"),"7-84")</f>
        <v>7-84</v>
      </c>
      <c r="C682" s="1" t="str">
        <f>IFERROR(__xludf.DUMMYFUNCTION("""COMPUTED_VALUE"""),"8-84")</f>
        <v>8-84</v>
      </c>
      <c r="D682" s="4">
        <f>IFERROR(__xludf.DUMMYFUNCTION("split(B682,""-"")"),7.0)</f>
        <v>7</v>
      </c>
      <c r="E682" s="4">
        <f>IFERROR(__xludf.DUMMYFUNCTION("""COMPUTED_VALUE"""),84.0)</f>
        <v>84</v>
      </c>
      <c r="F682" s="4">
        <f>IFERROR(__xludf.DUMMYFUNCTION("split(C682,""-"")"),8.0)</f>
        <v>8</v>
      </c>
      <c r="G682" s="4">
        <f>IFERROR(__xludf.DUMMYFUNCTION("""COMPUTED_VALUE"""),84.0)</f>
        <v>84</v>
      </c>
      <c r="H682" s="4">
        <f t="shared" si="1"/>
        <v>1</v>
      </c>
      <c r="J682" s="4">
        <f>IFERROR(__xludf.DUMMYFUNCTION("IFS(
ISBETWEEN(D682,F682,G682,TRUE,TRUE),1,
ISBETWEEN(E682,F682,G682,TRUE,TRUE),1,
ISBETWEEN(F682,D682,E682,TRUE,TRUE),1,
ISBETWEEN(G682,D682,E682,TRUE,TRUE),1,
1,0)"),1.0)</f>
        <v>1</v>
      </c>
    </row>
    <row r="683">
      <c r="A683" s="2" t="s">
        <v>682</v>
      </c>
      <c r="B683" s="1" t="str">
        <f>IFERROR(__xludf.DUMMYFUNCTION("SPLIT(A683,"","",)"),"22-23")</f>
        <v>22-23</v>
      </c>
      <c r="C683" s="1" t="str">
        <f>IFERROR(__xludf.DUMMYFUNCTION("""COMPUTED_VALUE"""),"23-23")</f>
        <v>23-23</v>
      </c>
      <c r="D683" s="4">
        <f>IFERROR(__xludf.DUMMYFUNCTION("split(B683,""-"")"),22.0)</f>
        <v>22</v>
      </c>
      <c r="E683" s="4">
        <f>IFERROR(__xludf.DUMMYFUNCTION("""COMPUTED_VALUE"""),23.0)</f>
        <v>23</v>
      </c>
      <c r="F683" s="4">
        <f>IFERROR(__xludf.DUMMYFUNCTION("split(C683,""-"")"),23.0)</f>
        <v>23</v>
      </c>
      <c r="G683" s="4">
        <f>IFERROR(__xludf.DUMMYFUNCTION("""COMPUTED_VALUE"""),23.0)</f>
        <v>23</v>
      </c>
      <c r="H683" s="4">
        <f t="shared" si="1"/>
        <v>1</v>
      </c>
      <c r="J683" s="4">
        <f>IFERROR(__xludf.DUMMYFUNCTION("IFS(
ISBETWEEN(D683,F683,G683,TRUE,TRUE),1,
ISBETWEEN(E683,F683,G683,TRUE,TRUE),1,
ISBETWEEN(F683,D683,E683,TRUE,TRUE),1,
ISBETWEEN(G683,D683,E683,TRUE,TRUE),1,
1,0)"),1.0)</f>
        <v>1</v>
      </c>
    </row>
    <row r="684">
      <c r="A684" s="2" t="s">
        <v>683</v>
      </c>
      <c r="B684" s="1" t="str">
        <f>IFERROR(__xludf.DUMMYFUNCTION("SPLIT(A684,"","",)"),"3-99")</f>
        <v>3-99</v>
      </c>
      <c r="C684" s="1" t="str">
        <f>IFERROR(__xludf.DUMMYFUNCTION("""COMPUTED_VALUE"""),"98-98")</f>
        <v>98-98</v>
      </c>
      <c r="D684" s="4">
        <f>IFERROR(__xludf.DUMMYFUNCTION("split(B684,""-"")"),3.0)</f>
        <v>3</v>
      </c>
      <c r="E684" s="4">
        <f>IFERROR(__xludf.DUMMYFUNCTION("""COMPUTED_VALUE"""),99.0)</f>
        <v>99</v>
      </c>
      <c r="F684" s="4">
        <f>IFERROR(__xludf.DUMMYFUNCTION("split(C684,""-"")"),98.0)</f>
        <v>98</v>
      </c>
      <c r="G684" s="4">
        <f>IFERROR(__xludf.DUMMYFUNCTION("""COMPUTED_VALUE"""),98.0)</f>
        <v>98</v>
      </c>
      <c r="H684" s="4">
        <f t="shared" si="1"/>
        <v>1</v>
      </c>
      <c r="J684" s="4">
        <f>IFERROR(__xludf.DUMMYFUNCTION("IFS(
ISBETWEEN(D684,F684,G684,TRUE,TRUE),1,
ISBETWEEN(E684,F684,G684,TRUE,TRUE),1,
ISBETWEEN(F684,D684,E684,TRUE,TRUE),1,
ISBETWEEN(G684,D684,E684,TRUE,TRUE),1,
1,0)"),1.0)</f>
        <v>1</v>
      </c>
    </row>
    <row r="685">
      <c r="A685" s="2" t="s">
        <v>684</v>
      </c>
      <c r="B685" s="1" t="str">
        <f>IFERROR(__xludf.DUMMYFUNCTION("SPLIT(A685,"","",)"),"1-80")</f>
        <v>1-80</v>
      </c>
      <c r="C685" s="1" t="str">
        <f>IFERROR(__xludf.DUMMYFUNCTION("""COMPUTED_VALUE"""),"1-81")</f>
        <v>1-81</v>
      </c>
      <c r="D685" s="4">
        <f>IFERROR(__xludf.DUMMYFUNCTION("split(B685,""-"")"),1.0)</f>
        <v>1</v>
      </c>
      <c r="E685" s="4">
        <f>IFERROR(__xludf.DUMMYFUNCTION("""COMPUTED_VALUE"""),80.0)</f>
        <v>80</v>
      </c>
      <c r="F685" s="4">
        <f>IFERROR(__xludf.DUMMYFUNCTION("split(C685,""-"")"),1.0)</f>
        <v>1</v>
      </c>
      <c r="G685" s="4">
        <f>IFERROR(__xludf.DUMMYFUNCTION("""COMPUTED_VALUE"""),81.0)</f>
        <v>81</v>
      </c>
      <c r="H685" s="4">
        <f t="shared" si="1"/>
        <v>1</v>
      </c>
      <c r="J685" s="4">
        <f>IFERROR(__xludf.DUMMYFUNCTION("IFS(
ISBETWEEN(D685,F685,G685,TRUE,TRUE),1,
ISBETWEEN(E685,F685,G685,TRUE,TRUE),1,
ISBETWEEN(F685,D685,E685,TRUE,TRUE),1,
ISBETWEEN(G685,D685,E685,TRUE,TRUE),1,
1,0)"),1.0)</f>
        <v>1</v>
      </c>
    </row>
    <row r="686">
      <c r="A686" s="2" t="s">
        <v>685</v>
      </c>
      <c r="B686" s="1" t="str">
        <f>IFERROR(__xludf.DUMMYFUNCTION("SPLIT(A686,"","",)"),"44-55")</f>
        <v>44-55</v>
      </c>
      <c r="C686" s="1" t="str">
        <f>IFERROR(__xludf.DUMMYFUNCTION("""COMPUTED_VALUE"""),"38-44")</f>
        <v>38-44</v>
      </c>
      <c r="D686" s="4">
        <f>IFERROR(__xludf.DUMMYFUNCTION("split(B686,""-"")"),44.0)</f>
        <v>44</v>
      </c>
      <c r="E686" s="4">
        <f>IFERROR(__xludf.DUMMYFUNCTION("""COMPUTED_VALUE"""),55.0)</f>
        <v>55</v>
      </c>
      <c r="F686" s="4">
        <f>IFERROR(__xludf.DUMMYFUNCTION("split(C686,""-"")"),38.0)</f>
        <v>38</v>
      </c>
      <c r="G686" s="4">
        <f>IFERROR(__xludf.DUMMYFUNCTION("""COMPUTED_VALUE"""),44.0)</f>
        <v>44</v>
      </c>
      <c r="H686" s="4">
        <f t="shared" si="1"/>
        <v>0</v>
      </c>
      <c r="J686" s="4">
        <f>IFERROR(__xludf.DUMMYFUNCTION("IFS(
ISBETWEEN(D686,F686,G686,TRUE,TRUE),1,
ISBETWEEN(E686,F686,G686,TRUE,TRUE),1,
ISBETWEEN(F686,D686,E686,TRUE,TRUE),1,
ISBETWEEN(G686,D686,E686,TRUE,TRUE),1,
1,0)"),1.0)</f>
        <v>1</v>
      </c>
    </row>
    <row r="687">
      <c r="A687" s="2" t="s">
        <v>686</v>
      </c>
      <c r="B687" s="1" t="str">
        <f>IFERROR(__xludf.DUMMYFUNCTION("SPLIT(A687,"","",)"),"4-83")</f>
        <v>4-83</v>
      </c>
      <c r="C687" s="1" t="str">
        <f>IFERROR(__xludf.DUMMYFUNCTION("""COMPUTED_VALUE"""),"5-97")</f>
        <v>5-97</v>
      </c>
      <c r="D687" s="4">
        <f>IFERROR(__xludf.DUMMYFUNCTION("split(B687,""-"")"),4.0)</f>
        <v>4</v>
      </c>
      <c r="E687" s="4">
        <f>IFERROR(__xludf.DUMMYFUNCTION("""COMPUTED_VALUE"""),83.0)</f>
        <v>83</v>
      </c>
      <c r="F687" s="4">
        <f>IFERROR(__xludf.DUMMYFUNCTION("split(C687,""-"")"),5.0)</f>
        <v>5</v>
      </c>
      <c r="G687" s="4">
        <f>IFERROR(__xludf.DUMMYFUNCTION("""COMPUTED_VALUE"""),97.0)</f>
        <v>97</v>
      </c>
      <c r="H687" s="4">
        <f t="shared" si="1"/>
        <v>0</v>
      </c>
      <c r="J687" s="4">
        <f>IFERROR(__xludf.DUMMYFUNCTION("IFS(
ISBETWEEN(D687,F687,G687,TRUE,TRUE),1,
ISBETWEEN(E687,F687,G687,TRUE,TRUE),1,
ISBETWEEN(F687,D687,E687,TRUE,TRUE),1,
ISBETWEEN(G687,D687,E687,TRUE,TRUE),1,
1,0)"),1.0)</f>
        <v>1</v>
      </c>
    </row>
    <row r="688">
      <c r="A688" s="2" t="s">
        <v>687</v>
      </c>
      <c r="B688" s="1" t="str">
        <f>IFERROR(__xludf.DUMMYFUNCTION("SPLIT(A688,"","",)"),"4-87")</f>
        <v>4-87</v>
      </c>
      <c r="C688" s="1" t="str">
        <f>IFERROR(__xludf.DUMMYFUNCTION("""COMPUTED_VALUE"""),"2-47")</f>
        <v>2-47</v>
      </c>
      <c r="D688" s="4">
        <f>IFERROR(__xludf.DUMMYFUNCTION("split(B688,""-"")"),4.0)</f>
        <v>4</v>
      </c>
      <c r="E688" s="4">
        <f>IFERROR(__xludf.DUMMYFUNCTION("""COMPUTED_VALUE"""),87.0)</f>
        <v>87</v>
      </c>
      <c r="F688" s="4">
        <f>IFERROR(__xludf.DUMMYFUNCTION("split(C688,""-"")"),2.0)</f>
        <v>2</v>
      </c>
      <c r="G688" s="4">
        <f>IFERROR(__xludf.DUMMYFUNCTION("""COMPUTED_VALUE"""),47.0)</f>
        <v>47</v>
      </c>
      <c r="H688" s="4">
        <f t="shared" si="1"/>
        <v>0</v>
      </c>
      <c r="J688" s="4">
        <f>IFERROR(__xludf.DUMMYFUNCTION("IFS(
ISBETWEEN(D688,F688,G688,TRUE,TRUE),1,
ISBETWEEN(E688,F688,G688,TRUE,TRUE),1,
ISBETWEEN(F688,D688,E688,TRUE,TRUE),1,
ISBETWEEN(G688,D688,E688,TRUE,TRUE),1,
1,0)"),1.0)</f>
        <v>1</v>
      </c>
    </row>
    <row r="689">
      <c r="A689" s="2" t="s">
        <v>688</v>
      </c>
      <c r="B689" s="1" t="str">
        <f>IFERROR(__xludf.DUMMYFUNCTION("SPLIT(A689,"","",)"),"28-93")</f>
        <v>28-93</v>
      </c>
      <c r="C689" s="1" t="str">
        <f>IFERROR(__xludf.DUMMYFUNCTION("""COMPUTED_VALUE"""),"28-74")</f>
        <v>28-74</v>
      </c>
      <c r="D689" s="4">
        <f>IFERROR(__xludf.DUMMYFUNCTION("split(B689,""-"")"),28.0)</f>
        <v>28</v>
      </c>
      <c r="E689" s="4">
        <f>IFERROR(__xludf.DUMMYFUNCTION("""COMPUTED_VALUE"""),93.0)</f>
        <v>93</v>
      </c>
      <c r="F689" s="4">
        <f>IFERROR(__xludf.DUMMYFUNCTION("split(C689,""-"")"),28.0)</f>
        <v>28</v>
      </c>
      <c r="G689" s="4">
        <f>IFERROR(__xludf.DUMMYFUNCTION("""COMPUTED_VALUE"""),74.0)</f>
        <v>74</v>
      </c>
      <c r="H689" s="4">
        <f t="shared" si="1"/>
        <v>1</v>
      </c>
      <c r="J689" s="4">
        <f>IFERROR(__xludf.DUMMYFUNCTION("IFS(
ISBETWEEN(D689,F689,G689,TRUE,TRUE),1,
ISBETWEEN(E689,F689,G689,TRUE,TRUE),1,
ISBETWEEN(F689,D689,E689,TRUE,TRUE),1,
ISBETWEEN(G689,D689,E689,TRUE,TRUE),1,
1,0)"),1.0)</f>
        <v>1</v>
      </c>
    </row>
    <row r="690">
      <c r="A690" s="2" t="s">
        <v>689</v>
      </c>
      <c r="B690" s="1" t="str">
        <f>IFERROR(__xludf.DUMMYFUNCTION("SPLIT(A690,"","",)"),"90-91")</f>
        <v>90-91</v>
      </c>
      <c r="C690" s="1" t="str">
        <f>IFERROR(__xludf.DUMMYFUNCTION("""COMPUTED_VALUE"""),"76-89")</f>
        <v>76-89</v>
      </c>
      <c r="D690" s="4">
        <f>IFERROR(__xludf.DUMMYFUNCTION("split(B690,""-"")"),90.0)</f>
        <v>90</v>
      </c>
      <c r="E690" s="4">
        <f>IFERROR(__xludf.DUMMYFUNCTION("""COMPUTED_VALUE"""),91.0)</f>
        <v>91</v>
      </c>
      <c r="F690" s="4">
        <f>IFERROR(__xludf.DUMMYFUNCTION("split(C690,""-"")"),76.0)</f>
        <v>76</v>
      </c>
      <c r="G690" s="4">
        <f>IFERROR(__xludf.DUMMYFUNCTION("""COMPUTED_VALUE"""),89.0)</f>
        <v>89</v>
      </c>
      <c r="H690" s="4">
        <f t="shared" si="1"/>
        <v>0</v>
      </c>
      <c r="J690" s="4">
        <f>IFERROR(__xludf.DUMMYFUNCTION("IFS(
ISBETWEEN(D690,F690,G690,TRUE,TRUE),1,
ISBETWEEN(E690,F690,G690,TRUE,TRUE),1,
ISBETWEEN(F690,D690,E690,TRUE,TRUE),1,
ISBETWEEN(G690,D690,E690,TRUE,TRUE),1,
1,0)"),0.0)</f>
        <v>0</v>
      </c>
    </row>
    <row r="691">
      <c r="A691" s="2" t="s">
        <v>690</v>
      </c>
      <c r="B691" s="1" t="str">
        <f>IFERROR(__xludf.DUMMYFUNCTION("SPLIT(A691,"","",)"),"22-80")</f>
        <v>22-80</v>
      </c>
      <c r="C691" s="1" t="str">
        <f>IFERROR(__xludf.DUMMYFUNCTION("""COMPUTED_VALUE"""),"23-81")</f>
        <v>23-81</v>
      </c>
      <c r="D691" s="4">
        <f>IFERROR(__xludf.DUMMYFUNCTION("split(B691,""-"")"),22.0)</f>
        <v>22</v>
      </c>
      <c r="E691" s="4">
        <f>IFERROR(__xludf.DUMMYFUNCTION("""COMPUTED_VALUE"""),80.0)</f>
        <v>80</v>
      </c>
      <c r="F691" s="4">
        <f>IFERROR(__xludf.DUMMYFUNCTION("split(C691,""-"")"),23.0)</f>
        <v>23</v>
      </c>
      <c r="G691" s="4">
        <f>IFERROR(__xludf.DUMMYFUNCTION("""COMPUTED_VALUE"""),81.0)</f>
        <v>81</v>
      </c>
      <c r="H691" s="4">
        <f t="shared" si="1"/>
        <v>0</v>
      </c>
      <c r="J691" s="4">
        <f>IFERROR(__xludf.DUMMYFUNCTION("IFS(
ISBETWEEN(D691,F691,G691,TRUE,TRUE),1,
ISBETWEEN(E691,F691,G691,TRUE,TRUE),1,
ISBETWEEN(F691,D691,E691,TRUE,TRUE),1,
ISBETWEEN(G691,D691,E691,TRUE,TRUE),1,
1,0)"),1.0)</f>
        <v>1</v>
      </c>
    </row>
    <row r="692">
      <c r="A692" s="2" t="s">
        <v>691</v>
      </c>
      <c r="B692" s="1" t="str">
        <f>IFERROR(__xludf.DUMMYFUNCTION("SPLIT(A692,"","",)"),"32-93")</f>
        <v>32-93</v>
      </c>
      <c r="C692" s="1" t="str">
        <f>IFERROR(__xludf.DUMMYFUNCTION("""COMPUTED_VALUE"""),"8-60")</f>
        <v>8-60</v>
      </c>
      <c r="D692" s="4">
        <f>IFERROR(__xludf.DUMMYFUNCTION("split(B692,""-"")"),32.0)</f>
        <v>32</v>
      </c>
      <c r="E692" s="4">
        <f>IFERROR(__xludf.DUMMYFUNCTION("""COMPUTED_VALUE"""),93.0)</f>
        <v>93</v>
      </c>
      <c r="F692" s="4">
        <f>IFERROR(__xludf.DUMMYFUNCTION("split(C692,""-"")"),8.0)</f>
        <v>8</v>
      </c>
      <c r="G692" s="4">
        <f>IFERROR(__xludf.DUMMYFUNCTION("""COMPUTED_VALUE"""),60.0)</f>
        <v>60</v>
      </c>
      <c r="H692" s="4">
        <f t="shared" si="1"/>
        <v>0</v>
      </c>
      <c r="J692" s="4">
        <f>IFERROR(__xludf.DUMMYFUNCTION("IFS(
ISBETWEEN(D692,F692,G692,TRUE,TRUE),1,
ISBETWEEN(E692,F692,G692,TRUE,TRUE),1,
ISBETWEEN(F692,D692,E692,TRUE,TRUE),1,
ISBETWEEN(G692,D692,E692,TRUE,TRUE),1,
1,0)"),1.0)</f>
        <v>1</v>
      </c>
    </row>
    <row r="693">
      <c r="A693" s="2" t="s">
        <v>692</v>
      </c>
      <c r="B693" s="1" t="str">
        <f>IFERROR(__xludf.DUMMYFUNCTION("SPLIT(A693,"","",)"),"46-57")</f>
        <v>46-57</v>
      </c>
      <c r="C693" s="1" t="str">
        <f>IFERROR(__xludf.DUMMYFUNCTION("""COMPUTED_VALUE"""),"47-57")</f>
        <v>47-57</v>
      </c>
      <c r="D693" s="4">
        <f>IFERROR(__xludf.DUMMYFUNCTION("split(B693,""-"")"),46.0)</f>
        <v>46</v>
      </c>
      <c r="E693" s="4">
        <f>IFERROR(__xludf.DUMMYFUNCTION("""COMPUTED_VALUE"""),57.0)</f>
        <v>57</v>
      </c>
      <c r="F693" s="4">
        <f>IFERROR(__xludf.DUMMYFUNCTION("split(C693,""-"")"),47.0)</f>
        <v>47</v>
      </c>
      <c r="G693" s="4">
        <f>IFERROR(__xludf.DUMMYFUNCTION("""COMPUTED_VALUE"""),57.0)</f>
        <v>57</v>
      </c>
      <c r="H693" s="4">
        <f t="shared" si="1"/>
        <v>1</v>
      </c>
      <c r="J693" s="4">
        <f>IFERROR(__xludf.DUMMYFUNCTION("IFS(
ISBETWEEN(D693,F693,G693,TRUE,TRUE),1,
ISBETWEEN(E693,F693,G693,TRUE,TRUE),1,
ISBETWEEN(F693,D693,E693,TRUE,TRUE),1,
ISBETWEEN(G693,D693,E693,TRUE,TRUE),1,
1,0)"),1.0)</f>
        <v>1</v>
      </c>
    </row>
    <row r="694">
      <c r="A694" s="2" t="s">
        <v>693</v>
      </c>
      <c r="B694" s="1" t="str">
        <f>IFERROR(__xludf.DUMMYFUNCTION("SPLIT(A694,"","",)"),"4-69")</f>
        <v>4-69</v>
      </c>
      <c r="C694" s="1" t="str">
        <f>IFERROR(__xludf.DUMMYFUNCTION("""COMPUTED_VALUE"""),"69-69")</f>
        <v>69-69</v>
      </c>
      <c r="D694" s="4">
        <f>IFERROR(__xludf.DUMMYFUNCTION("split(B694,""-"")"),4.0)</f>
        <v>4</v>
      </c>
      <c r="E694" s="4">
        <f>IFERROR(__xludf.DUMMYFUNCTION("""COMPUTED_VALUE"""),69.0)</f>
        <v>69</v>
      </c>
      <c r="F694" s="4">
        <f>IFERROR(__xludf.DUMMYFUNCTION("split(C694,""-"")"),69.0)</f>
        <v>69</v>
      </c>
      <c r="G694" s="4">
        <f>IFERROR(__xludf.DUMMYFUNCTION("""COMPUTED_VALUE"""),69.0)</f>
        <v>69</v>
      </c>
      <c r="H694" s="4">
        <f t="shared" si="1"/>
        <v>1</v>
      </c>
      <c r="J694" s="4">
        <f>IFERROR(__xludf.DUMMYFUNCTION("IFS(
ISBETWEEN(D694,F694,G694,TRUE,TRUE),1,
ISBETWEEN(E694,F694,G694,TRUE,TRUE),1,
ISBETWEEN(F694,D694,E694,TRUE,TRUE),1,
ISBETWEEN(G694,D694,E694,TRUE,TRUE),1,
1,0)"),1.0)</f>
        <v>1</v>
      </c>
    </row>
    <row r="695">
      <c r="A695" s="2" t="s">
        <v>694</v>
      </c>
      <c r="B695" s="1" t="str">
        <f>IFERROR(__xludf.DUMMYFUNCTION("SPLIT(A695,"","",)"),"41-41")</f>
        <v>41-41</v>
      </c>
      <c r="C695" s="1" t="str">
        <f>IFERROR(__xludf.DUMMYFUNCTION("""COMPUTED_VALUE"""),"40-70")</f>
        <v>40-70</v>
      </c>
      <c r="D695" s="4">
        <f>IFERROR(__xludf.DUMMYFUNCTION("split(B695,""-"")"),41.0)</f>
        <v>41</v>
      </c>
      <c r="E695" s="4">
        <f>IFERROR(__xludf.DUMMYFUNCTION("""COMPUTED_VALUE"""),41.0)</f>
        <v>41</v>
      </c>
      <c r="F695" s="4">
        <f>IFERROR(__xludf.DUMMYFUNCTION("split(C695,""-"")"),40.0)</f>
        <v>40</v>
      </c>
      <c r="G695" s="4">
        <f>IFERROR(__xludf.DUMMYFUNCTION("""COMPUTED_VALUE"""),70.0)</f>
        <v>70</v>
      </c>
      <c r="H695" s="4">
        <f t="shared" si="1"/>
        <v>1</v>
      </c>
      <c r="J695" s="4">
        <f>IFERROR(__xludf.DUMMYFUNCTION("IFS(
ISBETWEEN(D695,F695,G695,TRUE,TRUE),1,
ISBETWEEN(E695,F695,G695,TRUE,TRUE),1,
ISBETWEEN(F695,D695,E695,TRUE,TRUE),1,
ISBETWEEN(G695,D695,E695,TRUE,TRUE),1,
1,0)"),1.0)</f>
        <v>1</v>
      </c>
    </row>
    <row r="696">
      <c r="A696" s="2" t="s">
        <v>695</v>
      </c>
      <c r="B696" s="1" t="str">
        <f>IFERROR(__xludf.DUMMYFUNCTION("SPLIT(A696,"","",)"),"21-61")</f>
        <v>21-61</v>
      </c>
      <c r="C696" s="1" t="str">
        <f>IFERROR(__xludf.DUMMYFUNCTION("""COMPUTED_VALUE"""),"60-61")</f>
        <v>60-61</v>
      </c>
      <c r="D696" s="4">
        <f>IFERROR(__xludf.DUMMYFUNCTION("split(B696,""-"")"),21.0)</f>
        <v>21</v>
      </c>
      <c r="E696" s="4">
        <f>IFERROR(__xludf.DUMMYFUNCTION("""COMPUTED_VALUE"""),61.0)</f>
        <v>61</v>
      </c>
      <c r="F696" s="4">
        <f>IFERROR(__xludf.DUMMYFUNCTION("split(C696,""-"")"),60.0)</f>
        <v>60</v>
      </c>
      <c r="G696" s="4">
        <f>IFERROR(__xludf.DUMMYFUNCTION("""COMPUTED_VALUE"""),61.0)</f>
        <v>61</v>
      </c>
      <c r="H696" s="4">
        <f t="shared" si="1"/>
        <v>1</v>
      </c>
      <c r="J696" s="4">
        <f>IFERROR(__xludf.DUMMYFUNCTION("IFS(
ISBETWEEN(D696,F696,G696,TRUE,TRUE),1,
ISBETWEEN(E696,F696,G696,TRUE,TRUE),1,
ISBETWEEN(F696,D696,E696,TRUE,TRUE),1,
ISBETWEEN(G696,D696,E696,TRUE,TRUE),1,
1,0)"),1.0)</f>
        <v>1</v>
      </c>
    </row>
    <row r="697">
      <c r="A697" s="2" t="s">
        <v>696</v>
      </c>
      <c r="B697" s="1" t="str">
        <f>IFERROR(__xludf.DUMMYFUNCTION("SPLIT(A697,"","",)"),"42-48")</f>
        <v>42-48</v>
      </c>
      <c r="C697" s="1" t="str">
        <f>IFERROR(__xludf.DUMMYFUNCTION("""COMPUTED_VALUE"""),"52-91")</f>
        <v>52-91</v>
      </c>
      <c r="D697" s="4">
        <f>IFERROR(__xludf.DUMMYFUNCTION("split(B697,""-"")"),42.0)</f>
        <v>42</v>
      </c>
      <c r="E697" s="4">
        <f>IFERROR(__xludf.DUMMYFUNCTION("""COMPUTED_VALUE"""),48.0)</f>
        <v>48</v>
      </c>
      <c r="F697" s="4">
        <f>IFERROR(__xludf.DUMMYFUNCTION("split(C697,""-"")"),52.0)</f>
        <v>52</v>
      </c>
      <c r="G697" s="4">
        <f>IFERROR(__xludf.DUMMYFUNCTION("""COMPUTED_VALUE"""),91.0)</f>
        <v>91</v>
      </c>
      <c r="H697" s="4">
        <f t="shared" si="1"/>
        <v>0</v>
      </c>
      <c r="J697" s="4">
        <f>IFERROR(__xludf.DUMMYFUNCTION("IFS(
ISBETWEEN(D697,F697,G697,TRUE,TRUE),1,
ISBETWEEN(E697,F697,G697,TRUE,TRUE),1,
ISBETWEEN(F697,D697,E697,TRUE,TRUE),1,
ISBETWEEN(G697,D697,E697,TRUE,TRUE),1,
1,0)"),0.0)</f>
        <v>0</v>
      </c>
    </row>
    <row r="698">
      <c r="A698" s="2" t="s">
        <v>697</v>
      </c>
      <c r="B698" s="1" t="str">
        <f>IFERROR(__xludf.DUMMYFUNCTION("SPLIT(A698,"","",)"),"91-92")</f>
        <v>91-92</v>
      </c>
      <c r="C698" s="1" t="str">
        <f>IFERROR(__xludf.DUMMYFUNCTION("""COMPUTED_VALUE"""),"32-59")</f>
        <v>32-59</v>
      </c>
      <c r="D698" s="4">
        <f>IFERROR(__xludf.DUMMYFUNCTION("split(B698,""-"")"),91.0)</f>
        <v>91</v>
      </c>
      <c r="E698" s="4">
        <f>IFERROR(__xludf.DUMMYFUNCTION("""COMPUTED_VALUE"""),92.0)</f>
        <v>92</v>
      </c>
      <c r="F698" s="4">
        <f>IFERROR(__xludf.DUMMYFUNCTION("split(C698,""-"")"),32.0)</f>
        <v>32</v>
      </c>
      <c r="G698" s="4">
        <f>IFERROR(__xludf.DUMMYFUNCTION("""COMPUTED_VALUE"""),59.0)</f>
        <v>59</v>
      </c>
      <c r="H698" s="4">
        <f t="shared" si="1"/>
        <v>0</v>
      </c>
      <c r="J698" s="4">
        <f>IFERROR(__xludf.DUMMYFUNCTION("IFS(
ISBETWEEN(D698,F698,G698,TRUE,TRUE),1,
ISBETWEEN(E698,F698,G698,TRUE,TRUE),1,
ISBETWEEN(F698,D698,E698,TRUE,TRUE),1,
ISBETWEEN(G698,D698,E698,TRUE,TRUE),1,
1,0)"),0.0)</f>
        <v>0</v>
      </c>
    </row>
    <row r="699">
      <c r="A699" s="2" t="s">
        <v>698</v>
      </c>
      <c r="B699" s="1" t="str">
        <f>IFERROR(__xludf.DUMMYFUNCTION("SPLIT(A699,"","",)"),"26-38")</f>
        <v>26-38</v>
      </c>
      <c r="C699" s="1" t="str">
        <f>IFERROR(__xludf.DUMMYFUNCTION("""COMPUTED_VALUE"""),"16-16")</f>
        <v>16-16</v>
      </c>
      <c r="D699" s="4">
        <f>IFERROR(__xludf.DUMMYFUNCTION("split(B699,""-"")"),26.0)</f>
        <v>26</v>
      </c>
      <c r="E699" s="4">
        <f>IFERROR(__xludf.DUMMYFUNCTION("""COMPUTED_VALUE"""),38.0)</f>
        <v>38</v>
      </c>
      <c r="F699" s="4">
        <f>IFERROR(__xludf.DUMMYFUNCTION("split(C699,""-"")"),16.0)</f>
        <v>16</v>
      </c>
      <c r="G699" s="4">
        <f>IFERROR(__xludf.DUMMYFUNCTION("""COMPUTED_VALUE"""),16.0)</f>
        <v>16</v>
      </c>
      <c r="H699" s="4">
        <f t="shared" si="1"/>
        <v>0</v>
      </c>
      <c r="J699" s="4">
        <f>IFERROR(__xludf.DUMMYFUNCTION("IFS(
ISBETWEEN(D699,F699,G699,TRUE,TRUE),1,
ISBETWEEN(E699,F699,G699,TRUE,TRUE),1,
ISBETWEEN(F699,D699,E699,TRUE,TRUE),1,
ISBETWEEN(G699,D699,E699,TRUE,TRUE),1,
1,0)"),0.0)</f>
        <v>0</v>
      </c>
    </row>
    <row r="700">
      <c r="A700" s="2" t="s">
        <v>699</v>
      </c>
      <c r="B700" s="1" t="str">
        <f>IFERROR(__xludf.DUMMYFUNCTION("SPLIT(A700,"","",)"),"89-94")</f>
        <v>89-94</v>
      </c>
      <c r="C700" s="1" t="str">
        <f>IFERROR(__xludf.DUMMYFUNCTION("""COMPUTED_VALUE"""),"89-93")</f>
        <v>89-93</v>
      </c>
      <c r="D700" s="4">
        <f>IFERROR(__xludf.DUMMYFUNCTION("split(B700,""-"")"),89.0)</f>
        <v>89</v>
      </c>
      <c r="E700" s="4">
        <f>IFERROR(__xludf.DUMMYFUNCTION("""COMPUTED_VALUE"""),94.0)</f>
        <v>94</v>
      </c>
      <c r="F700" s="4">
        <f>IFERROR(__xludf.DUMMYFUNCTION("split(C700,""-"")"),89.0)</f>
        <v>89</v>
      </c>
      <c r="G700" s="4">
        <f>IFERROR(__xludf.DUMMYFUNCTION("""COMPUTED_VALUE"""),93.0)</f>
        <v>93</v>
      </c>
      <c r="H700" s="4">
        <f t="shared" si="1"/>
        <v>1</v>
      </c>
      <c r="J700" s="4">
        <f>IFERROR(__xludf.DUMMYFUNCTION("IFS(
ISBETWEEN(D700,F700,G700,TRUE,TRUE),1,
ISBETWEEN(E700,F700,G700,TRUE,TRUE),1,
ISBETWEEN(F700,D700,E700,TRUE,TRUE),1,
ISBETWEEN(G700,D700,E700,TRUE,TRUE),1,
1,0)"),1.0)</f>
        <v>1</v>
      </c>
    </row>
    <row r="701">
      <c r="A701" s="2" t="s">
        <v>700</v>
      </c>
      <c r="B701" s="1" t="str">
        <f>IFERROR(__xludf.DUMMYFUNCTION("SPLIT(A701,"","",)"),"29-62")</f>
        <v>29-62</v>
      </c>
      <c r="C701" s="1" t="str">
        <f>IFERROR(__xludf.DUMMYFUNCTION("""COMPUTED_VALUE"""),"29-61")</f>
        <v>29-61</v>
      </c>
      <c r="D701" s="4">
        <f>IFERROR(__xludf.DUMMYFUNCTION("split(B701,""-"")"),29.0)</f>
        <v>29</v>
      </c>
      <c r="E701" s="4">
        <f>IFERROR(__xludf.DUMMYFUNCTION("""COMPUTED_VALUE"""),62.0)</f>
        <v>62</v>
      </c>
      <c r="F701" s="4">
        <f>IFERROR(__xludf.DUMMYFUNCTION("split(C701,""-"")"),29.0)</f>
        <v>29</v>
      </c>
      <c r="G701" s="4">
        <f>IFERROR(__xludf.DUMMYFUNCTION("""COMPUTED_VALUE"""),61.0)</f>
        <v>61</v>
      </c>
      <c r="H701" s="4">
        <f t="shared" si="1"/>
        <v>1</v>
      </c>
      <c r="J701" s="4">
        <f>IFERROR(__xludf.DUMMYFUNCTION("IFS(
ISBETWEEN(D701,F701,G701,TRUE,TRUE),1,
ISBETWEEN(E701,F701,G701,TRUE,TRUE),1,
ISBETWEEN(F701,D701,E701,TRUE,TRUE),1,
ISBETWEEN(G701,D701,E701,TRUE,TRUE),1,
1,0)"),1.0)</f>
        <v>1</v>
      </c>
    </row>
    <row r="702">
      <c r="A702" s="2" t="s">
        <v>701</v>
      </c>
      <c r="B702" s="1" t="str">
        <f>IFERROR(__xludf.DUMMYFUNCTION("SPLIT(A702,"","",)"),"12-31")</f>
        <v>12-31</v>
      </c>
      <c r="C702" s="1" t="str">
        <f>IFERROR(__xludf.DUMMYFUNCTION("""COMPUTED_VALUE"""),"31-77")</f>
        <v>31-77</v>
      </c>
      <c r="D702" s="4">
        <f>IFERROR(__xludf.DUMMYFUNCTION("split(B702,""-"")"),12.0)</f>
        <v>12</v>
      </c>
      <c r="E702" s="4">
        <f>IFERROR(__xludf.DUMMYFUNCTION("""COMPUTED_VALUE"""),31.0)</f>
        <v>31</v>
      </c>
      <c r="F702" s="4">
        <f>IFERROR(__xludf.DUMMYFUNCTION("split(C702,""-"")"),31.0)</f>
        <v>31</v>
      </c>
      <c r="G702" s="4">
        <f>IFERROR(__xludf.DUMMYFUNCTION("""COMPUTED_VALUE"""),77.0)</f>
        <v>77</v>
      </c>
      <c r="H702" s="4">
        <f t="shared" si="1"/>
        <v>0</v>
      </c>
      <c r="J702" s="4">
        <f>IFERROR(__xludf.DUMMYFUNCTION("IFS(
ISBETWEEN(D702,F702,G702,TRUE,TRUE),1,
ISBETWEEN(E702,F702,G702,TRUE,TRUE),1,
ISBETWEEN(F702,D702,E702,TRUE,TRUE),1,
ISBETWEEN(G702,D702,E702,TRUE,TRUE),1,
1,0)"),1.0)</f>
        <v>1</v>
      </c>
    </row>
    <row r="703">
      <c r="A703" s="2" t="s">
        <v>702</v>
      </c>
      <c r="B703" s="1" t="str">
        <f>IFERROR(__xludf.DUMMYFUNCTION("SPLIT(A703,"","",)"),"21-74")</f>
        <v>21-74</v>
      </c>
      <c r="C703" s="1" t="str">
        <f>IFERROR(__xludf.DUMMYFUNCTION("""COMPUTED_VALUE"""),"4-21")</f>
        <v>4-21</v>
      </c>
      <c r="D703" s="4">
        <f>IFERROR(__xludf.DUMMYFUNCTION("split(B703,""-"")"),21.0)</f>
        <v>21</v>
      </c>
      <c r="E703" s="4">
        <f>IFERROR(__xludf.DUMMYFUNCTION("""COMPUTED_VALUE"""),74.0)</f>
        <v>74</v>
      </c>
      <c r="F703" s="4">
        <f>IFERROR(__xludf.DUMMYFUNCTION("split(C703,""-"")"),4.0)</f>
        <v>4</v>
      </c>
      <c r="G703" s="4">
        <f>IFERROR(__xludf.DUMMYFUNCTION("""COMPUTED_VALUE"""),21.0)</f>
        <v>21</v>
      </c>
      <c r="H703" s="4">
        <f t="shared" si="1"/>
        <v>0</v>
      </c>
      <c r="J703" s="4">
        <f>IFERROR(__xludf.DUMMYFUNCTION("IFS(
ISBETWEEN(D703,F703,G703,TRUE,TRUE),1,
ISBETWEEN(E703,F703,G703,TRUE,TRUE),1,
ISBETWEEN(F703,D703,E703,TRUE,TRUE),1,
ISBETWEEN(G703,D703,E703,TRUE,TRUE),1,
1,0)"),1.0)</f>
        <v>1</v>
      </c>
    </row>
    <row r="704">
      <c r="A704" s="2" t="s">
        <v>703</v>
      </c>
      <c r="B704" s="1" t="str">
        <f>IFERROR(__xludf.DUMMYFUNCTION("SPLIT(A704,"","",)"),"1-89")</f>
        <v>1-89</v>
      </c>
      <c r="C704" s="1" t="str">
        <f>IFERROR(__xludf.DUMMYFUNCTION("""COMPUTED_VALUE"""),"2-88")</f>
        <v>2-88</v>
      </c>
      <c r="D704" s="4">
        <f>IFERROR(__xludf.DUMMYFUNCTION("split(B704,""-"")"),1.0)</f>
        <v>1</v>
      </c>
      <c r="E704" s="4">
        <f>IFERROR(__xludf.DUMMYFUNCTION("""COMPUTED_VALUE"""),89.0)</f>
        <v>89</v>
      </c>
      <c r="F704" s="4">
        <f>IFERROR(__xludf.DUMMYFUNCTION("split(C704,""-"")"),2.0)</f>
        <v>2</v>
      </c>
      <c r="G704" s="4">
        <f>IFERROR(__xludf.DUMMYFUNCTION("""COMPUTED_VALUE"""),88.0)</f>
        <v>88</v>
      </c>
      <c r="H704" s="4">
        <f t="shared" si="1"/>
        <v>1</v>
      </c>
      <c r="J704" s="4">
        <f>IFERROR(__xludf.DUMMYFUNCTION("IFS(
ISBETWEEN(D704,F704,G704,TRUE,TRUE),1,
ISBETWEEN(E704,F704,G704,TRUE,TRUE),1,
ISBETWEEN(F704,D704,E704,TRUE,TRUE),1,
ISBETWEEN(G704,D704,E704,TRUE,TRUE),1,
1,0)"),1.0)</f>
        <v>1</v>
      </c>
    </row>
    <row r="705">
      <c r="A705" s="2" t="s">
        <v>704</v>
      </c>
      <c r="B705" s="1" t="str">
        <f>IFERROR(__xludf.DUMMYFUNCTION("SPLIT(A705,"","",)"),"66-89")</f>
        <v>66-89</v>
      </c>
      <c r="C705" s="1" t="str">
        <f>IFERROR(__xludf.DUMMYFUNCTION("""COMPUTED_VALUE"""),"99-99")</f>
        <v>99-99</v>
      </c>
      <c r="D705" s="4">
        <f>IFERROR(__xludf.DUMMYFUNCTION("split(B705,""-"")"),66.0)</f>
        <v>66</v>
      </c>
      <c r="E705" s="4">
        <f>IFERROR(__xludf.DUMMYFUNCTION("""COMPUTED_VALUE"""),89.0)</f>
        <v>89</v>
      </c>
      <c r="F705" s="4">
        <f>IFERROR(__xludf.DUMMYFUNCTION("split(C705,""-"")"),99.0)</f>
        <v>99</v>
      </c>
      <c r="G705" s="4">
        <f>IFERROR(__xludf.DUMMYFUNCTION("""COMPUTED_VALUE"""),99.0)</f>
        <v>99</v>
      </c>
      <c r="H705" s="4">
        <f t="shared" si="1"/>
        <v>0</v>
      </c>
      <c r="J705" s="4">
        <f>IFERROR(__xludf.DUMMYFUNCTION("IFS(
ISBETWEEN(D705,F705,G705,TRUE,TRUE),1,
ISBETWEEN(E705,F705,G705,TRUE,TRUE),1,
ISBETWEEN(F705,D705,E705,TRUE,TRUE),1,
ISBETWEEN(G705,D705,E705,TRUE,TRUE),1,
1,0)"),0.0)</f>
        <v>0</v>
      </c>
    </row>
    <row r="706">
      <c r="A706" s="2" t="s">
        <v>705</v>
      </c>
      <c r="B706" s="1" t="str">
        <f>IFERROR(__xludf.DUMMYFUNCTION("SPLIT(A706,"","",)"),"42-51")</f>
        <v>42-51</v>
      </c>
      <c r="C706" s="1" t="str">
        <f>IFERROR(__xludf.DUMMYFUNCTION("""COMPUTED_VALUE"""),"41-52")</f>
        <v>41-52</v>
      </c>
      <c r="D706" s="4">
        <f>IFERROR(__xludf.DUMMYFUNCTION("split(B706,""-"")"),42.0)</f>
        <v>42</v>
      </c>
      <c r="E706" s="4">
        <f>IFERROR(__xludf.DUMMYFUNCTION("""COMPUTED_VALUE"""),51.0)</f>
        <v>51</v>
      </c>
      <c r="F706" s="4">
        <f>IFERROR(__xludf.DUMMYFUNCTION("split(C706,""-"")"),41.0)</f>
        <v>41</v>
      </c>
      <c r="G706" s="4">
        <f>IFERROR(__xludf.DUMMYFUNCTION("""COMPUTED_VALUE"""),52.0)</f>
        <v>52</v>
      </c>
      <c r="H706" s="4">
        <f t="shared" si="1"/>
        <v>1</v>
      </c>
      <c r="J706" s="4">
        <f>IFERROR(__xludf.DUMMYFUNCTION("IFS(
ISBETWEEN(D706,F706,G706,TRUE,TRUE),1,
ISBETWEEN(E706,F706,G706,TRUE,TRUE),1,
ISBETWEEN(F706,D706,E706,TRUE,TRUE),1,
ISBETWEEN(G706,D706,E706,TRUE,TRUE),1,
1,0)"),1.0)</f>
        <v>1</v>
      </c>
    </row>
    <row r="707">
      <c r="A707" s="2" t="s">
        <v>706</v>
      </c>
      <c r="B707" s="1" t="str">
        <f>IFERROR(__xludf.DUMMYFUNCTION("SPLIT(A707,"","",)"),"48-70")</f>
        <v>48-70</v>
      </c>
      <c r="C707" s="1" t="str">
        <f>IFERROR(__xludf.DUMMYFUNCTION("""COMPUTED_VALUE"""),"49-59")</f>
        <v>49-59</v>
      </c>
      <c r="D707" s="4">
        <f>IFERROR(__xludf.DUMMYFUNCTION("split(B707,""-"")"),48.0)</f>
        <v>48</v>
      </c>
      <c r="E707" s="4">
        <f>IFERROR(__xludf.DUMMYFUNCTION("""COMPUTED_VALUE"""),70.0)</f>
        <v>70</v>
      </c>
      <c r="F707" s="4">
        <f>IFERROR(__xludf.DUMMYFUNCTION("split(C707,""-"")"),49.0)</f>
        <v>49</v>
      </c>
      <c r="G707" s="4">
        <f>IFERROR(__xludf.DUMMYFUNCTION("""COMPUTED_VALUE"""),59.0)</f>
        <v>59</v>
      </c>
      <c r="H707" s="4">
        <f t="shared" si="1"/>
        <v>1</v>
      </c>
      <c r="J707" s="4">
        <f>IFERROR(__xludf.DUMMYFUNCTION("IFS(
ISBETWEEN(D707,F707,G707,TRUE,TRUE),1,
ISBETWEEN(E707,F707,G707,TRUE,TRUE),1,
ISBETWEEN(F707,D707,E707,TRUE,TRUE),1,
ISBETWEEN(G707,D707,E707,TRUE,TRUE),1,
1,0)"),1.0)</f>
        <v>1</v>
      </c>
    </row>
    <row r="708">
      <c r="A708" s="2" t="s">
        <v>707</v>
      </c>
      <c r="B708" s="1" t="str">
        <f>IFERROR(__xludf.DUMMYFUNCTION("SPLIT(A708,"","",)"),"27-80")</f>
        <v>27-80</v>
      </c>
      <c r="C708" s="1" t="str">
        <f>IFERROR(__xludf.DUMMYFUNCTION("""COMPUTED_VALUE"""),"49-69")</f>
        <v>49-69</v>
      </c>
      <c r="D708" s="4">
        <f>IFERROR(__xludf.DUMMYFUNCTION("split(B708,""-"")"),27.0)</f>
        <v>27</v>
      </c>
      <c r="E708" s="4">
        <f>IFERROR(__xludf.DUMMYFUNCTION("""COMPUTED_VALUE"""),80.0)</f>
        <v>80</v>
      </c>
      <c r="F708" s="4">
        <f>IFERROR(__xludf.DUMMYFUNCTION("split(C708,""-"")"),49.0)</f>
        <v>49</v>
      </c>
      <c r="G708" s="4">
        <f>IFERROR(__xludf.DUMMYFUNCTION("""COMPUTED_VALUE"""),69.0)</f>
        <v>69</v>
      </c>
      <c r="H708" s="4">
        <f t="shared" si="1"/>
        <v>1</v>
      </c>
      <c r="J708" s="4">
        <f>IFERROR(__xludf.DUMMYFUNCTION("IFS(
ISBETWEEN(D708,F708,G708,TRUE,TRUE),1,
ISBETWEEN(E708,F708,G708,TRUE,TRUE),1,
ISBETWEEN(F708,D708,E708,TRUE,TRUE),1,
ISBETWEEN(G708,D708,E708,TRUE,TRUE),1,
1,0)"),1.0)</f>
        <v>1</v>
      </c>
    </row>
    <row r="709">
      <c r="A709" s="2" t="s">
        <v>708</v>
      </c>
      <c r="B709" s="1" t="str">
        <f>IFERROR(__xludf.DUMMYFUNCTION("SPLIT(A709,"","",)"),"36-95")</f>
        <v>36-95</v>
      </c>
      <c r="C709" s="1" t="str">
        <f>IFERROR(__xludf.DUMMYFUNCTION("""COMPUTED_VALUE"""),"36-83")</f>
        <v>36-83</v>
      </c>
      <c r="D709" s="4">
        <f>IFERROR(__xludf.DUMMYFUNCTION("split(B709,""-"")"),36.0)</f>
        <v>36</v>
      </c>
      <c r="E709" s="4">
        <f>IFERROR(__xludf.DUMMYFUNCTION("""COMPUTED_VALUE"""),95.0)</f>
        <v>95</v>
      </c>
      <c r="F709" s="4">
        <f>IFERROR(__xludf.DUMMYFUNCTION("split(C709,""-"")"),36.0)</f>
        <v>36</v>
      </c>
      <c r="G709" s="4">
        <f>IFERROR(__xludf.DUMMYFUNCTION("""COMPUTED_VALUE"""),83.0)</f>
        <v>83</v>
      </c>
      <c r="H709" s="4">
        <f t="shared" si="1"/>
        <v>1</v>
      </c>
      <c r="J709" s="4">
        <f>IFERROR(__xludf.DUMMYFUNCTION("IFS(
ISBETWEEN(D709,F709,G709,TRUE,TRUE),1,
ISBETWEEN(E709,F709,G709,TRUE,TRUE),1,
ISBETWEEN(F709,D709,E709,TRUE,TRUE),1,
ISBETWEEN(G709,D709,E709,TRUE,TRUE),1,
1,0)"),1.0)</f>
        <v>1</v>
      </c>
    </row>
    <row r="710">
      <c r="A710" s="2" t="s">
        <v>709</v>
      </c>
      <c r="B710" s="1" t="str">
        <f>IFERROR(__xludf.DUMMYFUNCTION("SPLIT(A710,"","",)"),"79-89")</f>
        <v>79-89</v>
      </c>
      <c r="C710" s="1" t="str">
        <f>IFERROR(__xludf.DUMMYFUNCTION("""COMPUTED_VALUE"""),"86-89")</f>
        <v>86-89</v>
      </c>
      <c r="D710" s="4">
        <f>IFERROR(__xludf.DUMMYFUNCTION("split(B710,""-"")"),79.0)</f>
        <v>79</v>
      </c>
      <c r="E710" s="4">
        <f>IFERROR(__xludf.DUMMYFUNCTION("""COMPUTED_VALUE"""),89.0)</f>
        <v>89</v>
      </c>
      <c r="F710" s="4">
        <f>IFERROR(__xludf.DUMMYFUNCTION("split(C710,""-"")"),86.0)</f>
        <v>86</v>
      </c>
      <c r="G710" s="4">
        <f>IFERROR(__xludf.DUMMYFUNCTION("""COMPUTED_VALUE"""),89.0)</f>
        <v>89</v>
      </c>
      <c r="H710" s="4">
        <f t="shared" si="1"/>
        <v>1</v>
      </c>
      <c r="J710" s="4">
        <f>IFERROR(__xludf.DUMMYFUNCTION("IFS(
ISBETWEEN(D710,F710,G710,TRUE,TRUE),1,
ISBETWEEN(E710,F710,G710,TRUE,TRUE),1,
ISBETWEEN(F710,D710,E710,TRUE,TRUE),1,
ISBETWEEN(G710,D710,E710,TRUE,TRUE),1,
1,0)"),1.0)</f>
        <v>1</v>
      </c>
    </row>
    <row r="711">
      <c r="A711" s="2" t="s">
        <v>710</v>
      </c>
      <c r="B711" s="1" t="str">
        <f>IFERROR(__xludf.DUMMYFUNCTION("SPLIT(A711,"","",)"),"4-91")</f>
        <v>4-91</v>
      </c>
      <c r="C711" s="1" t="str">
        <f>IFERROR(__xludf.DUMMYFUNCTION("""COMPUTED_VALUE"""),"4-92")</f>
        <v>4-92</v>
      </c>
      <c r="D711" s="4">
        <f>IFERROR(__xludf.DUMMYFUNCTION("split(B711,""-"")"),4.0)</f>
        <v>4</v>
      </c>
      <c r="E711" s="4">
        <f>IFERROR(__xludf.DUMMYFUNCTION("""COMPUTED_VALUE"""),91.0)</f>
        <v>91</v>
      </c>
      <c r="F711" s="4">
        <f>IFERROR(__xludf.DUMMYFUNCTION("split(C711,""-"")"),4.0)</f>
        <v>4</v>
      </c>
      <c r="G711" s="4">
        <f>IFERROR(__xludf.DUMMYFUNCTION("""COMPUTED_VALUE"""),92.0)</f>
        <v>92</v>
      </c>
      <c r="H711" s="4">
        <f t="shared" si="1"/>
        <v>1</v>
      </c>
      <c r="J711" s="4">
        <f>IFERROR(__xludf.DUMMYFUNCTION("IFS(
ISBETWEEN(D711,F711,G711,TRUE,TRUE),1,
ISBETWEEN(E711,F711,G711,TRUE,TRUE),1,
ISBETWEEN(F711,D711,E711,TRUE,TRUE),1,
ISBETWEEN(G711,D711,E711,TRUE,TRUE),1,
1,0)"),1.0)</f>
        <v>1</v>
      </c>
    </row>
    <row r="712">
      <c r="A712" s="2" t="s">
        <v>711</v>
      </c>
      <c r="B712" s="1" t="str">
        <f>IFERROR(__xludf.DUMMYFUNCTION("SPLIT(A712,"","",)"),"66-77")</f>
        <v>66-77</v>
      </c>
      <c r="C712" s="1" t="str">
        <f>IFERROR(__xludf.DUMMYFUNCTION("""COMPUTED_VALUE"""),"65-78")</f>
        <v>65-78</v>
      </c>
      <c r="D712" s="4">
        <f>IFERROR(__xludf.DUMMYFUNCTION("split(B712,""-"")"),66.0)</f>
        <v>66</v>
      </c>
      <c r="E712" s="4">
        <f>IFERROR(__xludf.DUMMYFUNCTION("""COMPUTED_VALUE"""),77.0)</f>
        <v>77</v>
      </c>
      <c r="F712" s="4">
        <f>IFERROR(__xludf.DUMMYFUNCTION("split(C712,""-"")"),65.0)</f>
        <v>65</v>
      </c>
      <c r="G712" s="4">
        <f>IFERROR(__xludf.DUMMYFUNCTION("""COMPUTED_VALUE"""),78.0)</f>
        <v>78</v>
      </c>
      <c r="H712" s="4">
        <f t="shared" si="1"/>
        <v>1</v>
      </c>
      <c r="J712" s="4">
        <f>IFERROR(__xludf.DUMMYFUNCTION("IFS(
ISBETWEEN(D712,F712,G712,TRUE,TRUE),1,
ISBETWEEN(E712,F712,G712,TRUE,TRUE),1,
ISBETWEEN(F712,D712,E712,TRUE,TRUE),1,
ISBETWEEN(G712,D712,E712,TRUE,TRUE),1,
1,0)"),1.0)</f>
        <v>1</v>
      </c>
    </row>
    <row r="713">
      <c r="A713" s="2" t="s">
        <v>712</v>
      </c>
      <c r="B713" s="1" t="str">
        <f>IFERROR(__xludf.DUMMYFUNCTION("SPLIT(A713,"","",)"),"4-99")</f>
        <v>4-99</v>
      </c>
      <c r="C713" s="1" t="str">
        <f>IFERROR(__xludf.DUMMYFUNCTION("""COMPUTED_VALUE"""),"5-99")</f>
        <v>5-99</v>
      </c>
      <c r="D713" s="4">
        <f>IFERROR(__xludf.DUMMYFUNCTION("split(B713,""-"")"),4.0)</f>
        <v>4</v>
      </c>
      <c r="E713" s="4">
        <f>IFERROR(__xludf.DUMMYFUNCTION("""COMPUTED_VALUE"""),99.0)</f>
        <v>99</v>
      </c>
      <c r="F713" s="4">
        <f>IFERROR(__xludf.DUMMYFUNCTION("split(C713,""-"")"),5.0)</f>
        <v>5</v>
      </c>
      <c r="G713" s="4">
        <f>IFERROR(__xludf.DUMMYFUNCTION("""COMPUTED_VALUE"""),99.0)</f>
        <v>99</v>
      </c>
      <c r="H713" s="4">
        <f t="shared" si="1"/>
        <v>1</v>
      </c>
      <c r="J713" s="4">
        <f>IFERROR(__xludf.DUMMYFUNCTION("IFS(
ISBETWEEN(D713,F713,G713,TRUE,TRUE),1,
ISBETWEEN(E713,F713,G713,TRUE,TRUE),1,
ISBETWEEN(F713,D713,E713,TRUE,TRUE),1,
ISBETWEEN(G713,D713,E713,TRUE,TRUE),1,
1,0)"),1.0)</f>
        <v>1</v>
      </c>
    </row>
    <row r="714">
      <c r="A714" s="2" t="s">
        <v>713</v>
      </c>
      <c r="B714" s="1" t="str">
        <f>IFERROR(__xludf.DUMMYFUNCTION("SPLIT(A714,"","",)"),"54-79")</f>
        <v>54-79</v>
      </c>
      <c r="C714" s="1" t="str">
        <f>IFERROR(__xludf.DUMMYFUNCTION("""COMPUTED_VALUE"""),"53-80")</f>
        <v>53-80</v>
      </c>
      <c r="D714" s="4">
        <f>IFERROR(__xludf.DUMMYFUNCTION("split(B714,""-"")"),54.0)</f>
        <v>54</v>
      </c>
      <c r="E714" s="4">
        <f>IFERROR(__xludf.DUMMYFUNCTION("""COMPUTED_VALUE"""),79.0)</f>
        <v>79</v>
      </c>
      <c r="F714" s="4">
        <f>IFERROR(__xludf.DUMMYFUNCTION("split(C714,""-"")"),53.0)</f>
        <v>53</v>
      </c>
      <c r="G714" s="4">
        <f>IFERROR(__xludf.DUMMYFUNCTION("""COMPUTED_VALUE"""),80.0)</f>
        <v>80</v>
      </c>
      <c r="H714" s="4">
        <f t="shared" si="1"/>
        <v>1</v>
      </c>
      <c r="J714" s="4">
        <f>IFERROR(__xludf.DUMMYFUNCTION("IFS(
ISBETWEEN(D714,F714,G714,TRUE,TRUE),1,
ISBETWEEN(E714,F714,G714,TRUE,TRUE),1,
ISBETWEEN(F714,D714,E714,TRUE,TRUE),1,
ISBETWEEN(G714,D714,E714,TRUE,TRUE),1,
1,0)"),1.0)</f>
        <v>1</v>
      </c>
    </row>
    <row r="715">
      <c r="A715" s="2" t="s">
        <v>714</v>
      </c>
      <c r="B715" s="1" t="str">
        <f>IFERROR(__xludf.DUMMYFUNCTION("SPLIT(A715,"","",)"),"15-19")</f>
        <v>15-19</v>
      </c>
      <c r="C715" s="1" t="str">
        <f>IFERROR(__xludf.DUMMYFUNCTION("""COMPUTED_VALUE"""),"16-20")</f>
        <v>16-20</v>
      </c>
      <c r="D715" s="4">
        <f>IFERROR(__xludf.DUMMYFUNCTION("split(B715,""-"")"),15.0)</f>
        <v>15</v>
      </c>
      <c r="E715" s="4">
        <f>IFERROR(__xludf.DUMMYFUNCTION("""COMPUTED_VALUE"""),19.0)</f>
        <v>19</v>
      </c>
      <c r="F715" s="4">
        <f>IFERROR(__xludf.DUMMYFUNCTION("split(C715,""-"")"),16.0)</f>
        <v>16</v>
      </c>
      <c r="G715" s="4">
        <f>IFERROR(__xludf.DUMMYFUNCTION("""COMPUTED_VALUE"""),20.0)</f>
        <v>20</v>
      </c>
      <c r="H715" s="4">
        <f t="shared" si="1"/>
        <v>0</v>
      </c>
      <c r="J715" s="4">
        <f>IFERROR(__xludf.DUMMYFUNCTION("IFS(
ISBETWEEN(D715,F715,G715,TRUE,TRUE),1,
ISBETWEEN(E715,F715,G715,TRUE,TRUE),1,
ISBETWEEN(F715,D715,E715,TRUE,TRUE),1,
ISBETWEEN(G715,D715,E715,TRUE,TRUE),1,
1,0)"),1.0)</f>
        <v>1</v>
      </c>
    </row>
    <row r="716">
      <c r="A716" s="2" t="s">
        <v>715</v>
      </c>
      <c r="B716" s="1" t="str">
        <f>IFERROR(__xludf.DUMMYFUNCTION("SPLIT(A716,"","",)"),"29-37")</f>
        <v>29-37</v>
      </c>
      <c r="C716" s="1" t="str">
        <f>IFERROR(__xludf.DUMMYFUNCTION("""COMPUTED_VALUE"""),"29-30")</f>
        <v>29-30</v>
      </c>
      <c r="D716" s="4">
        <f>IFERROR(__xludf.DUMMYFUNCTION("split(B716,""-"")"),29.0)</f>
        <v>29</v>
      </c>
      <c r="E716" s="4">
        <f>IFERROR(__xludf.DUMMYFUNCTION("""COMPUTED_VALUE"""),37.0)</f>
        <v>37</v>
      </c>
      <c r="F716" s="4">
        <f>IFERROR(__xludf.DUMMYFUNCTION("split(C716,""-"")"),29.0)</f>
        <v>29</v>
      </c>
      <c r="G716" s="4">
        <f>IFERROR(__xludf.DUMMYFUNCTION("""COMPUTED_VALUE"""),30.0)</f>
        <v>30</v>
      </c>
      <c r="H716" s="4">
        <f t="shared" si="1"/>
        <v>1</v>
      </c>
      <c r="J716" s="4">
        <f>IFERROR(__xludf.DUMMYFUNCTION("IFS(
ISBETWEEN(D716,F716,G716,TRUE,TRUE),1,
ISBETWEEN(E716,F716,G716,TRUE,TRUE),1,
ISBETWEEN(F716,D716,E716,TRUE,TRUE),1,
ISBETWEEN(G716,D716,E716,TRUE,TRUE),1,
1,0)"),1.0)</f>
        <v>1</v>
      </c>
    </row>
    <row r="717">
      <c r="A717" s="2" t="s">
        <v>716</v>
      </c>
      <c r="B717" s="1" t="str">
        <f>IFERROR(__xludf.DUMMYFUNCTION("SPLIT(A717,"","",)"),"8-57")</f>
        <v>8-57</v>
      </c>
      <c r="C717" s="1" t="str">
        <f>IFERROR(__xludf.DUMMYFUNCTION("""COMPUTED_VALUE"""),"57-57")</f>
        <v>57-57</v>
      </c>
      <c r="D717" s="4">
        <f>IFERROR(__xludf.DUMMYFUNCTION("split(B717,""-"")"),8.0)</f>
        <v>8</v>
      </c>
      <c r="E717" s="4">
        <f>IFERROR(__xludf.DUMMYFUNCTION("""COMPUTED_VALUE"""),57.0)</f>
        <v>57</v>
      </c>
      <c r="F717" s="4">
        <f>IFERROR(__xludf.DUMMYFUNCTION("split(C717,""-"")"),57.0)</f>
        <v>57</v>
      </c>
      <c r="G717" s="4">
        <f>IFERROR(__xludf.DUMMYFUNCTION("""COMPUTED_VALUE"""),57.0)</f>
        <v>57</v>
      </c>
      <c r="H717" s="4">
        <f t="shared" si="1"/>
        <v>1</v>
      </c>
      <c r="J717" s="4">
        <f>IFERROR(__xludf.DUMMYFUNCTION("IFS(
ISBETWEEN(D717,F717,G717,TRUE,TRUE),1,
ISBETWEEN(E717,F717,G717,TRUE,TRUE),1,
ISBETWEEN(F717,D717,E717,TRUE,TRUE),1,
ISBETWEEN(G717,D717,E717,TRUE,TRUE),1,
1,0)"),1.0)</f>
        <v>1</v>
      </c>
    </row>
    <row r="718">
      <c r="A718" s="2" t="s">
        <v>717</v>
      </c>
      <c r="B718" s="1" t="str">
        <f>IFERROR(__xludf.DUMMYFUNCTION("SPLIT(A718,"","",)"),"16-18")</f>
        <v>16-18</v>
      </c>
      <c r="C718" s="1" t="str">
        <f>IFERROR(__xludf.DUMMYFUNCTION("""COMPUTED_VALUE"""),"17-48")</f>
        <v>17-48</v>
      </c>
      <c r="D718" s="4">
        <f>IFERROR(__xludf.DUMMYFUNCTION("split(B718,""-"")"),16.0)</f>
        <v>16</v>
      </c>
      <c r="E718" s="4">
        <f>IFERROR(__xludf.DUMMYFUNCTION("""COMPUTED_VALUE"""),18.0)</f>
        <v>18</v>
      </c>
      <c r="F718" s="4">
        <f>IFERROR(__xludf.DUMMYFUNCTION("split(C718,""-"")"),17.0)</f>
        <v>17</v>
      </c>
      <c r="G718" s="4">
        <f>IFERROR(__xludf.DUMMYFUNCTION("""COMPUTED_VALUE"""),48.0)</f>
        <v>48</v>
      </c>
      <c r="H718" s="4">
        <f t="shared" si="1"/>
        <v>0</v>
      </c>
      <c r="J718" s="4">
        <f>IFERROR(__xludf.DUMMYFUNCTION("IFS(
ISBETWEEN(D718,F718,G718,TRUE,TRUE),1,
ISBETWEEN(E718,F718,G718,TRUE,TRUE),1,
ISBETWEEN(F718,D718,E718,TRUE,TRUE),1,
ISBETWEEN(G718,D718,E718,TRUE,TRUE),1,
1,0)"),1.0)</f>
        <v>1</v>
      </c>
    </row>
    <row r="719">
      <c r="A719" s="2" t="s">
        <v>718</v>
      </c>
      <c r="B719" s="1" t="str">
        <f>IFERROR(__xludf.DUMMYFUNCTION("SPLIT(A719,"","",)"),"20-46")</f>
        <v>20-46</v>
      </c>
      <c r="C719" s="1" t="str">
        <f>IFERROR(__xludf.DUMMYFUNCTION("""COMPUTED_VALUE"""),"21-66")</f>
        <v>21-66</v>
      </c>
      <c r="D719" s="4">
        <f>IFERROR(__xludf.DUMMYFUNCTION("split(B719,""-"")"),20.0)</f>
        <v>20</v>
      </c>
      <c r="E719" s="4">
        <f>IFERROR(__xludf.DUMMYFUNCTION("""COMPUTED_VALUE"""),46.0)</f>
        <v>46</v>
      </c>
      <c r="F719" s="4">
        <f>IFERROR(__xludf.DUMMYFUNCTION("split(C719,""-"")"),21.0)</f>
        <v>21</v>
      </c>
      <c r="G719" s="4">
        <f>IFERROR(__xludf.DUMMYFUNCTION("""COMPUTED_VALUE"""),66.0)</f>
        <v>66</v>
      </c>
      <c r="H719" s="4">
        <f t="shared" si="1"/>
        <v>0</v>
      </c>
      <c r="J719" s="4">
        <f>IFERROR(__xludf.DUMMYFUNCTION("IFS(
ISBETWEEN(D719,F719,G719,TRUE,TRUE),1,
ISBETWEEN(E719,F719,G719,TRUE,TRUE),1,
ISBETWEEN(F719,D719,E719,TRUE,TRUE),1,
ISBETWEEN(G719,D719,E719,TRUE,TRUE),1,
1,0)"),1.0)</f>
        <v>1</v>
      </c>
    </row>
    <row r="720">
      <c r="A720" s="2" t="s">
        <v>719</v>
      </c>
      <c r="B720" s="1" t="str">
        <f>IFERROR(__xludf.DUMMYFUNCTION("SPLIT(A720,"","",)"),"10-93")</f>
        <v>10-93</v>
      </c>
      <c r="C720" s="1" t="str">
        <f>IFERROR(__xludf.DUMMYFUNCTION("""COMPUTED_VALUE"""),"3-98")</f>
        <v>3-98</v>
      </c>
      <c r="D720" s="4">
        <f>IFERROR(__xludf.DUMMYFUNCTION("split(B720,""-"")"),10.0)</f>
        <v>10</v>
      </c>
      <c r="E720" s="4">
        <f>IFERROR(__xludf.DUMMYFUNCTION("""COMPUTED_VALUE"""),93.0)</f>
        <v>93</v>
      </c>
      <c r="F720" s="4">
        <f>IFERROR(__xludf.DUMMYFUNCTION("split(C720,""-"")"),3.0)</f>
        <v>3</v>
      </c>
      <c r="G720" s="4">
        <f>IFERROR(__xludf.DUMMYFUNCTION("""COMPUTED_VALUE"""),98.0)</f>
        <v>98</v>
      </c>
      <c r="H720" s="4">
        <f t="shared" si="1"/>
        <v>1</v>
      </c>
      <c r="J720" s="4">
        <f>IFERROR(__xludf.DUMMYFUNCTION("IFS(
ISBETWEEN(D720,F720,G720,TRUE,TRUE),1,
ISBETWEEN(E720,F720,G720,TRUE,TRUE),1,
ISBETWEEN(F720,D720,E720,TRUE,TRUE),1,
ISBETWEEN(G720,D720,E720,TRUE,TRUE),1,
1,0)"),1.0)</f>
        <v>1</v>
      </c>
    </row>
    <row r="721">
      <c r="A721" s="2" t="s">
        <v>720</v>
      </c>
      <c r="B721" s="1" t="str">
        <f>IFERROR(__xludf.DUMMYFUNCTION("SPLIT(A721,"","",)"),"63-95")</f>
        <v>63-95</v>
      </c>
      <c r="C721" s="1" t="str">
        <f>IFERROR(__xludf.DUMMYFUNCTION("""COMPUTED_VALUE"""),"14-72")</f>
        <v>14-72</v>
      </c>
      <c r="D721" s="4">
        <f>IFERROR(__xludf.DUMMYFUNCTION("split(B721,""-"")"),63.0)</f>
        <v>63</v>
      </c>
      <c r="E721" s="4">
        <f>IFERROR(__xludf.DUMMYFUNCTION("""COMPUTED_VALUE"""),95.0)</f>
        <v>95</v>
      </c>
      <c r="F721" s="4">
        <f>IFERROR(__xludf.DUMMYFUNCTION("split(C721,""-"")"),14.0)</f>
        <v>14</v>
      </c>
      <c r="G721" s="4">
        <f>IFERROR(__xludf.DUMMYFUNCTION("""COMPUTED_VALUE"""),72.0)</f>
        <v>72</v>
      </c>
      <c r="H721" s="4">
        <f t="shared" si="1"/>
        <v>0</v>
      </c>
      <c r="J721" s="4">
        <f>IFERROR(__xludf.DUMMYFUNCTION("IFS(
ISBETWEEN(D721,F721,G721,TRUE,TRUE),1,
ISBETWEEN(E721,F721,G721,TRUE,TRUE),1,
ISBETWEEN(F721,D721,E721,TRUE,TRUE),1,
ISBETWEEN(G721,D721,E721,TRUE,TRUE),1,
1,0)"),1.0)</f>
        <v>1</v>
      </c>
    </row>
    <row r="722">
      <c r="A722" s="2" t="s">
        <v>721</v>
      </c>
      <c r="B722" s="1" t="str">
        <f>IFERROR(__xludf.DUMMYFUNCTION("SPLIT(A722,"","",)"),"97-97")</f>
        <v>97-97</v>
      </c>
      <c r="C722" s="1" t="str">
        <f>IFERROR(__xludf.DUMMYFUNCTION("""COMPUTED_VALUE"""),"22-90")</f>
        <v>22-90</v>
      </c>
      <c r="D722" s="4">
        <f>IFERROR(__xludf.DUMMYFUNCTION("split(B722,""-"")"),97.0)</f>
        <v>97</v>
      </c>
      <c r="E722" s="4">
        <f>IFERROR(__xludf.DUMMYFUNCTION("""COMPUTED_VALUE"""),97.0)</f>
        <v>97</v>
      </c>
      <c r="F722" s="4">
        <f>IFERROR(__xludf.DUMMYFUNCTION("split(C722,""-"")"),22.0)</f>
        <v>22</v>
      </c>
      <c r="G722" s="4">
        <f>IFERROR(__xludf.DUMMYFUNCTION("""COMPUTED_VALUE"""),90.0)</f>
        <v>90</v>
      </c>
      <c r="H722" s="4">
        <f t="shared" si="1"/>
        <v>0</v>
      </c>
      <c r="J722" s="4">
        <f>IFERROR(__xludf.DUMMYFUNCTION("IFS(
ISBETWEEN(D722,F722,G722,TRUE,TRUE),1,
ISBETWEEN(E722,F722,G722,TRUE,TRUE),1,
ISBETWEEN(F722,D722,E722,TRUE,TRUE),1,
ISBETWEEN(G722,D722,E722,TRUE,TRUE),1,
1,0)"),0.0)</f>
        <v>0</v>
      </c>
    </row>
    <row r="723">
      <c r="A723" s="2" t="s">
        <v>722</v>
      </c>
      <c r="B723" s="1" t="str">
        <f>IFERROR(__xludf.DUMMYFUNCTION("SPLIT(A723,"","",)"),"38-78")</f>
        <v>38-78</v>
      </c>
      <c r="C723" s="1" t="str">
        <f>IFERROR(__xludf.DUMMYFUNCTION("""COMPUTED_VALUE"""),"37-89")</f>
        <v>37-89</v>
      </c>
      <c r="D723" s="4">
        <f>IFERROR(__xludf.DUMMYFUNCTION("split(B723,""-"")"),38.0)</f>
        <v>38</v>
      </c>
      <c r="E723" s="4">
        <f>IFERROR(__xludf.DUMMYFUNCTION("""COMPUTED_VALUE"""),78.0)</f>
        <v>78</v>
      </c>
      <c r="F723" s="4">
        <f>IFERROR(__xludf.DUMMYFUNCTION("split(C723,""-"")"),37.0)</f>
        <v>37</v>
      </c>
      <c r="G723" s="4">
        <f>IFERROR(__xludf.DUMMYFUNCTION("""COMPUTED_VALUE"""),89.0)</f>
        <v>89</v>
      </c>
      <c r="H723" s="4">
        <f t="shared" si="1"/>
        <v>1</v>
      </c>
      <c r="J723" s="4">
        <f>IFERROR(__xludf.DUMMYFUNCTION("IFS(
ISBETWEEN(D723,F723,G723,TRUE,TRUE),1,
ISBETWEEN(E723,F723,G723,TRUE,TRUE),1,
ISBETWEEN(F723,D723,E723,TRUE,TRUE),1,
ISBETWEEN(G723,D723,E723,TRUE,TRUE),1,
1,0)"),1.0)</f>
        <v>1</v>
      </c>
    </row>
    <row r="724">
      <c r="A724" s="2" t="s">
        <v>723</v>
      </c>
      <c r="B724" s="1" t="str">
        <f>IFERROR(__xludf.DUMMYFUNCTION("SPLIT(A724,"","",)"),"96-96")</f>
        <v>96-96</v>
      </c>
      <c r="C724" s="1" t="str">
        <f>IFERROR(__xludf.DUMMYFUNCTION("""COMPUTED_VALUE"""),"55-97")</f>
        <v>55-97</v>
      </c>
      <c r="D724" s="4">
        <f>IFERROR(__xludf.DUMMYFUNCTION("split(B724,""-"")"),96.0)</f>
        <v>96</v>
      </c>
      <c r="E724" s="4">
        <f>IFERROR(__xludf.DUMMYFUNCTION("""COMPUTED_VALUE"""),96.0)</f>
        <v>96</v>
      </c>
      <c r="F724" s="4">
        <f>IFERROR(__xludf.DUMMYFUNCTION("split(C724,""-"")"),55.0)</f>
        <v>55</v>
      </c>
      <c r="G724" s="4">
        <f>IFERROR(__xludf.DUMMYFUNCTION("""COMPUTED_VALUE"""),97.0)</f>
        <v>97</v>
      </c>
      <c r="H724" s="4">
        <f t="shared" si="1"/>
        <v>1</v>
      </c>
      <c r="J724" s="4">
        <f>IFERROR(__xludf.DUMMYFUNCTION("IFS(
ISBETWEEN(D724,F724,G724,TRUE,TRUE),1,
ISBETWEEN(E724,F724,G724,TRUE,TRUE),1,
ISBETWEEN(F724,D724,E724,TRUE,TRUE),1,
ISBETWEEN(G724,D724,E724,TRUE,TRUE),1,
1,0)"),1.0)</f>
        <v>1</v>
      </c>
    </row>
    <row r="725">
      <c r="A725" s="2" t="s">
        <v>724</v>
      </c>
      <c r="B725" s="1" t="str">
        <f>IFERROR(__xludf.DUMMYFUNCTION("SPLIT(A725,"","",)"),"30-69")</f>
        <v>30-69</v>
      </c>
      <c r="C725" s="1" t="str">
        <f>IFERROR(__xludf.DUMMYFUNCTION("""COMPUTED_VALUE"""),"31-70")</f>
        <v>31-70</v>
      </c>
      <c r="D725" s="4">
        <f>IFERROR(__xludf.DUMMYFUNCTION("split(B725,""-"")"),30.0)</f>
        <v>30</v>
      </c>
      <c r="E725" s="4">
        <f>IFERROR(__xludf.DUMMYFUNCTION("""COMPUTED_VALUE"""),69.0)</f>
        <v>69</v>
      </c>
      <c r="F725" s="4">
        <f>IFERROR(__xludf.DUMMYFUNCTION("split(C725,""-"")"),31.0)</f>
        <v>31</v>
      </c>
      <c r="G725" s="4">
        <f>IFERROR(__xludf.DUMMYFUNCTION("""COMPUTED_VALUE"""),70.0)</f>
        <v>70</v>
      </c>
      <c r="H725" s="4">
        <f t="shared" si="1"/>
        <v>0</v>
      </c>
      <c r="J725" s="4">
        <f>IFERROR(__xludf.DUMMYFUNCTION("IFS(
ISBETWEEN(D725,F725,G725,TRUE,TRUE),1,
ISBETWEEN(E725,F725,G725,TRUE,TRUE),1,
ISBETWEEN(F725,D725,E725,TRUE,TRUE),1,
ISBETWEEN(G725,D725,E725,TRUE,TRUE),1,
1,0)"),1.0)</f>
        <v>1</v>
      </c>
    </row>
    <row r="726">
      <c r="A726" s="2" t="s">
        <v>725</v>
      </c>
      <c r="B726" s="1" t="str">
        <f>IFERROR(__xludf.DUMMYFUNCTION("SPLIT(A726,"","",)"),"41-90")</f>
        <v>41-90</v>
      </c>
      <c r="C726" s="1" t="str">
        <f>IFERROR(__xludf.DUMMYFUNCTION("""COMPUTED_VALUE"""),"40-90")</f>
        <v>40-90</v>
      </c>
      <c r="D726" s="4">
        <f>IFERROR(__xludf.DUMMYFUNCTION("split(B726,""-"")"),41.0)</f>
        <v>41</v>
      </c>
      <c r="E726" s="4">
        <f>IFERROR(__xludf.DUMMYFUNCTION("""COMPUTED_VALUE"""),90.0)</f>
        <v>90</v>
      </c>
      <c r="F726" s="4">
        <f>IFERROR(__xludf.DUMMYFUNCTION("split(C726,""-"")"),40.0)</f>
        <v>40</v>
      </c>
      <c r="G726" s="4">
        <f>IFERROR(__xludf.DUMMYFUNCTION("""COMPUTED_VALUE"""),90.0)</f>
        <v>90</v>
      </c>
      <c r="H726" s="4">
        <f t="shared" si="1"/>
        <v>1</v>
      </c>
      <c r="J726" s="4">
        <f>IFERROR(__xludf.DUMMYFUNCTION("IFS(
ISBETWEEN(D726,F726,G726,TRUE,TRUE),1,
ISBETWEEN(E726,F726,G726,TRUE,TRUE),1,
ISBETWEEN(F726,D726,E726,TRUE,TRUE),1,
ISBETWEEN(G726,D726,E726,TRUE,TRUE),1,
1,0)"),1.0)</f>
        <v>1</v>
      </c>
    </row>
    <row r="727">
      <c r="A727" s="2" t="s">
        <v>726</v>
      </c>
      <c r="B727" s="1" t="str">
        <f>IFERROR(__xludf.DUMMYFUNCTION("SPLIT(A727,"","",)"),"17-93")</f>
        <v>17-93</v>
      </c>
      <c r="C727" s="1" t="str">
        <f>IFERROR(__xludf.DUMMYFUNCTION("""COMPUTED_VALUE"""),"32-95")</f>
        <v>32-95</v>
      </c>
      <c r="D727" s="4">
        <f>IFERROR(__xludf.DUMMYFUNCTION("split(B727,""-"")"),17.0)</f>
        <v>17</v>
      </c>
      <c r="E727" s="4">
        <f>IFERROR(__xludf.DUMMYFUNCTION("""COMPUTED_VALUE"""),93.0)</f>
        <v>93</v>
      </c>
      <c r="F727" s="4">
        <f>IFERROR(__xludf.DUMMYFUNCTION("split(C727,""-"")"),32.0)</f>
        <v>32</v>
      </c>
      <c r="G727" s="4">
        <f>IFERROR(__xludf.DUMMYFUNCTION("""COMPUTED_VALUE"""),95.0)</f>
        <v>95</v>
      </c>
      <c r="H727" s="4">
        <f t="shared" si="1"/>
        <v>0</v>
      </c>
      <c r="J727" s="4">
        <f>IFERROR(__xludf.DUMMYFUNCTION("IFS(
ISBETWEEN(D727,F727,G727,TRUE,TRUE),1,
ISBETWEEN(E727,F727,G727,TRUE,TRUE),1,
ISBETWEEN(F727,D727,E727,TRUE,TRUE),1,
ISBETWEEN(G727,D727,E727,TRUE,TRUE),1,
1,0)"),1.0)</f>
        <v>1</v>
      </c>
    </row>
    <row r="728">
      <c r="A728" s="2" t="s">
        <v>727</v>
      </c>
      <c r="B728" s="1" t="str">
        <f>IFERROR(__xludf.DUMMYFUNCTION("SPLIT(A728,"","",)"),"50-88")</f>
        <v>50-88</v>
      </c>
      <c r="C728" s="1" t="str">
        <f>IFERROR(__xludf.DUMMYFUNCTION("""COMPUTED_VALUE"""),"49-88")</f>
        <v>49-88</v>
      </c>
      <c r="D728" s="4">
        <f>IFERROR(__xludf.DUMMYFUNCTION("split(B728,""-"")"),50.0)</f>
        <v>50</v>
      </c>
      <c r="E728" s="4">
        <f>IFERROR(__xludf.DUMMYFUNCTION("""COMPUTED_VALUE"""),88.0)</f>
        <v>88</v>
      </c>
      <c r="F728" s="4">
        <f>IFERROR(__xludf.DUMMYFUNCTION("split(C728,""-"")"),49.0)</f>
        <v>49</v>
      </c>
      <c r="G728" s="4">
        <f>IFERROR(__xludf.DUMMYFUNCTION("""COMPUTED_VALUE"""),88.0)</f>
        <v>88</v>
      </c>
      <c r="H728" s="4">
        <f t="shared" si="1"/>
        <v>1</v>
      </c>
      <c r="J728" s="4">
        <f>IFERROR(__xludf.DUMMYFUNCTION("IFS(
ISBETWEEN(D728,F728,G728,TRUE,TRUE),1,
ISBETWEEN(E728,F728,G728,TRUE,TRUE),1,
ISBETWEEN(F728,D728,E728,TRUE,TRUE),1,
ISBETWEEN(G728,D728,E728,TRUE,TRUE),1,
1,0)"),1.0)</f>
        <v>1</v>
      </c>
    </row>
    <row r="729">
      <c r="A729" s="2" t="s">
        <v>728</v>
      </c>
      <c r="B729" s="1" t="str">
        <f>IFERROR(__xludf.DUMMYFUNCTION("SPLIT(A729,"","",)"),"23-67")</f>
        <v>23-67</v>
      </c>
      <c r="C729" s="1" t="str">
        <f>IFERROR(__xludf.DUMMYFUNCTION("""COMPUTED_VALUE"""),"66-67")</f>
        <v>66-67</v>
      </c>
      <c r="D729" s="4">
        <f>IFERROR(__xludf.DUMMYFUNCTION("split(B729,""-"")"),23.0)</f>
        <v>23</v>
      </c>
      <c r="E729" s="4">
        <f>IFERROR(__xludf.DUMMYFUNCTION("""COMPUTED_VALUE"""),67.0)</f>
        <v>67</v>
      </c>
      <c r="F729" s="4">
        <f>IFERROR(__xludf.DUMMYFUNCTION("split(C729,""-"")"),66.0)</f>
        <v>66</v>
      </c>
      <c r="G729" s="4">
        <f>IFERROR(__xludf.DUMMYFUNCTION("""COMPUTED_VALUE"""),67.0)</f>
        <v>67</v>
      </c>
      <c r="H729" s="4">
        <f t="shared" si="1"/>
        <v>1</v>
      </c>
      <c r="J729" s="4">
        <f>IFERROR(__xludf.DUMMYFUNCTION("IFS(
ISBETWEEN(D729,F729,G729,TRUE,TRUE),1,
ISBETWEEN(E729,F729,G729,TRUE,TRUE),1,
ISBETWEEN(F729,D729,E729,TRUE,TRUE),1,
ISBETWEEN(G729,D729,E729,TRUE,TRUE),1,
1,0)"),1.0)</f>
        <v>1</v>
      </c>
    </row>
    <row r="730">
      <c r="A730" s="2" t="s">
        <v>729</v>
      </c>
      <c r="B730" s="1" t="str">
        <f>IFERROR(__xludf.DUMMYFUNCTION("SPLIT(A730,"","",)"),"5-84")</f>
        <v>5-84</v>
      </c>
      <c r="C730" s="1" t="str">
        <f>IFERROR(__xludf.DUMMYFUNCTION("""COMPUTED_VALUE"""),"5-84")</f>
        <v>5-84</v>
      </c>
      <c r="D730" s="4">
        <f>IFERROR(__xludf.DUMMYFUNCTION("split(B730,""-"")"),5.0)</f>
        <v>5</v>
      </c>
      <c r="E730" s="4">
        <f>IFERROR(__xludf.DUMMYFUNCTION("""COMPUTED_VALUE"""),84.0)</f>
        <v>84</v>
      </c>
      <c r="F730" s="4">
        <f>IFERROR(__xludf.DUMMYFUNCTION("split(C730,""-"")"),5.0)</f>
        <v>5</v>
      </c>
      <c r="G730" s="4">
        <f>IFERROR(__xludf.DUMMYFUNCTION("""COMPUTED_VALUE"""),84.0)</f>
        <v>84</v>
      </c>
      <c r="H730" s="4">
        <f t="shared" si="1"/>
        <v>1</v>
      </c>
      <c r="J730" s="4">
        <f>IFERROR(__xludf.DUMMYFUNCTION("IFS(
ISBETWEEN(D730,F730,G730,TRUE,TRUE),1,
ISBETWEEN(E730,F730,G730,TRUE,TRUE),1,
ISBETWEEN(F730,D730,E730,TRUE,TRUE),1,
ISBETWEEN(G730,D730,E730,TRUE,TRUE),1,
1,0)"),1.0)</f>
        <v>1</v>
      </c>
    </row>
    <row r="731">
      <c r="A731" s="2" t="s">
        <v>301</v>
      </c>
      <c r="B731" s="1" t="str">
        <f>IFERROR(__xludf.DUMMYFUNCTION("SPLIT(A731,"","",)"),"8-96")</f>
        <v>8-96</v>
      </c>
      <c r="C731" s="3">
        <f>IFERROR(__xludf.DUMMYFUNCTION("""COMPUTED_VALUE"""),44811.0)</f>
        <v>44811</v>
      </c>
      <c r="D731" s="4">
        <f>IFERROR(__xludf.DUMMYFUNCTION("split(B731,""-"")"),8.0)</f>
        <v>8</v>
      </c>
      <c r="E731" s="4">
        <f>IFERROR(__xludf.DUMMYFUNCTION("""COMPUTED_VALUE"""),96.0)</f>
        <v>96</v>
      </c>
      <c r="F731" s="4">
        <f>IFERROR(__xludf.DUMMYFUNCTION("split(C731,""-"")"),7.0)</f>
        <v>7</v>
      </c>
      <c r="G731" s="4">
        <f>IFERROR(__xludf.DUMMYFUNCTION("""COMPUTED_VALUE"""),9.0)</f>
        <v>9</v>
      </c>
      <c r="H731" s="4">
        <f t="shared" si="1"/>
        <v>0</v>
      </c>
      <c r="J731" s="4">
        <f>IFERROR(__xludf.DUMMYFUNCTION("IFS(
ISBETWEEN(D731,F731,G731,TRUE,TRUE),1,
ISBETWEEN(E731,F731,G731,TRUE,TRUE),1,
ISBETWEEN(F731,D731,E731,TRUE,TRUE),1,
ISBETWEEN(G731,D731,E731,TRUE,TRUE),1,
1,0)"),1.0)</f>
        <v>1</v>
      </c>
    </row>
    <row r="732">
      <c r="A732" s="2" t="s">
        <v>730</v>
      </c>
      <c r="B732" s="1" t="str">
        <f>IFERROR(__xludf.DUMMYFUNCTION("SPLIT(A732,"","",)"),"66-94")</f>
        <v>66-94</v>
      </c>
      <c r="C732" s="1" t="str">
        <f>IFERROR(__xludf.DUMMYFUNCTION("""COMPUTED_VALUE"""),"16-65")</f>
        <v>16-65</v>
      </c>
      <c r="D732" s="4">
        <f>IFERROR(__xludf.DUMMYFUNCTION("split(B732,""-"")"),66.0)</f>
        <v>66</v>
      </c>
      <c r="E732" s="4">
        <f>IFERROR(__xludf.DUMMYFUNCTION("""COMPUTED_VALUE"""),94.0)</f>
        <v>94</v>
      </c>
      <c r="F732" s="4">
        <f>IFERROR(__xludf.DUMMYFUNCTION("split(C732,""-"")"),16.0)</f>
        <v>16</v>
      </c>
      <c r="G732" s="4">
        <f>IFERROR(__xludf.DUMMYFUNCTION("""COMPUTED_VALUE"""),65.0)</f>
        <v>65</v>
      </c>
      <c r="H732" s="4">
        <f t="shared" si="1"/>
        <v>0</v>
      </c>
      <c r="J732" s="4">
        <f>IFERROR(__xludf.DUMMYFUNCTION("IFS(
ISBETWEEN(D732,F732,G732,TRUE,TRUE),1,
ISBETWEEN(E732,F732,G732,TRUE,TRUE),1,
ISBETWEEN(F732,D732,E732,TRUE,TRUE),1,
ISBETWEEN(G732,D732,E732,TRUE,TRUE),1,
1,0)"),0.0)</f>
        <v>0</v>
      </c>
    </row>
    <row r="733">
      <c r="A733" s="2" t="s">
        <v>731</v>
      </c>
      <c r="B733" s="1" t="str">
        <f>IFERROR(__xludf.DUMMYFUNCTION("SPLIT(A733,"","",)"),"7-87")</f>
        <v>7-87</v>
      </c>
      <c r="C733" s="1" t="str">
        <f>IFERROR(__xludf.DUMMYFUNCTION("""COMPUTED_VALUE"""),"8-87")</f>
        <v>8-87</v>
      </c>
      <c r="D733" s="4">
        <f>IFERROR(__xludf.DUMMYFUNCTION("split(B733,""-"")"),7.0)</f>
        <v>7</v>
      </c>
      <c r="E733" s="4">
        <f>IFERROR(__xludf.DUMMYFUNCTION("""COMPUTED_VALUE"""),87.0)</f>
        <v>87</v>
      </c>
      <c r="F733" s="4">
        <f>IFERROR(__xludf.DUMMYFUNCTION("split(C733,""-"")"),8.0)</f>
        <v>8</v>
      </c>
      <c r="G733" s="4">
        <f>IFERROR(__xludf.DUMMYFUNCTION("""COMPUTED_VALUE"""),87.0)</f>
        <v>87</v>
      </c>
      <c r="H733" s="4">
        <f t="shared" si="1"/>
        <v>1</v>
      </c>
      <c r="J733" s="4">
        <f>IFERROR(__xludf.DUMMYFUNCTION("IFS(
ISBETWEEN(D733,F733,G733,TRUE,TRUE),1,
ISBETWEEN(E733,F733,G733,TRUE,TRUE),1,
ISBETWEEN(F733,D733,E733,TRUE,TRUE),1,
ISBETWEEN(G733,D733,E733,TRUE,TRUE),1,
1,0)"),1.0)</f>
        <v>1</v>
      </c>
    </row>
    <row r="734">
      <c r="A734" s="2" t="s">
        <v>732</v>
      </c>
      <c r="B734" s="1" t="str">
        <f>IFERROR(__xludf.DUMMYFUNCTION("SPLIT(A734,"","",)"),"29-30")</f>
        <v>29-30</v>
      </c>
      <c r="C734" s="1" t="str">
        <f>IFERROR(__xludf.DUMMYFUNCTION("""COMPUTED_VALUE"""),"29-99")</f>
        <v>29-99</v>
      </c>
      <c r="D734" s="4">
        <f>IFERROR(__xludf.DUMMYFUNCTION("split(B734,""-"")"),29.0)</f>
        <v>29</v>
      </c>
      <c r="E734" s="4">
        <f>IFERROR(__xludf.DUMMYFUNCTION("""COMPUTED_VALUE"""),30.0)</f>
        <v>30</v>
      </c>
      <c r="F734" s="4">
        <f>IFERROR(__xludf.DUMMYFUNCTION("split(C734,""-"")"),29.0)</f>
        <v>29</v>
      </c>
      <c r="G734" s="4">
        <f>IFERROR(__xludf.DUMMYFUNCTION("""COMPUTED_VALUE"""),99.0)</f>
        <v>99</v>
      </c>
      <c r="H734" s="4">
        <f t="shared" si="1"/>
        <v>1</v>
      </c>
      <c r="J734" s="4">
        <f>IFERROR(__xludf.DUMMYFUNCTION("IFS(
ISBETWEEN(D734,F734,G734,TRUE,TRUE),1,
ISBETWEEN(E734,F734,G734,TRUE,TRUE),1,
ISBETWEEN(F734,D734,E734,TRUE,TRUE),1,
ISBETWEEN(G734,D734,E734,TRUE,TRUE),1,
1,0)"),1.0)</f>
        <v>1</v>
      </c>
    </row>
    <row r="735">
      <c r="A735" s="2" t="s">
        <v>733</v>
      </c>
      <c r="B735" s="1" t="str">
        <f>IFERROR(__xludf.DUMMYFUNCTION("SPLIT(A735,"","",)"),"12-13")</f>
        <v>12-13</v>
      </c>
      <c r="C735" s="1" t="str">
        <f>IFERROR(__xludf.DUMMYFUNCTION("""COMPUTED_VALUE"""),"12-99")</f>
        <v>12-99</v>
      </c>
      <c r="D735" s="4">
        <f>IFERROR(__xludf.DUMMYFUNCTION("split(B735,""-"")"),12.0)</f>
        <v>12</v>
      </c>
      <c r="E735" s="4">
        <f>IFERROR(__xludf.DUMMYFUNCTION("""COMPUTED_VALUE"""),13.0)</f>
        <v>13</v>
      </c>
      <c r="F735" s="4">
        <f>IFERROR(__xludf.DUMMYFUNCTION("split(C735,""-"")"),12.0)</f>
        <v>12</v>
      </c>
      <c r="G735" s="4">
        <f>IFERROR(__xludf.DUMMYFUNCTION("""COMPUTED_VALUE"""),99.0)</f>
        <v>99</v>
      </c>
      <c r="H735" s="4">
        <f t="shared" si="1"/>
        <v>1</v>
      </c>
      <c r="J735" s="4">
        <f>IFERROR(__xludf.DUMMYFUNCTION("IFS(
ISBETWEEN(D735,F735,G735,TRUE,TRUE),1,
ISBETWEEN(E735,F735,G735,TRUE,TRUE),1,
ISBETWEEN(F735,D735,E735,TRUE,TRUE),1,
ISBETWEEN(G735,D735,E735,TRUE,TRUE),1,
1,0)"),1.0)</f>
        <v>1</v>
      </c>
    </row>
    <row r="736">
      <c r="A736" s="2" t="s">
        <v>734</v>
      </c>
      <c r="B736" s="3">
        <f>IFERROR(__xludf.DUMMYFUNCTION("SPLIT(A736,"","",)"),44905.0)</f>
        <v>44905</v>
      </c>
      <c r="C736" s="1" t="str">
        <f>IFERROR(__xludf.DUMMYFUNCTION("""COMPUTED_VALUE"""),"11-96")</f>
        <v>11-96</v>
      </c>
      <c r="D736" s="4">
        <f>IFERROR(__xludf.DUMMYFUNCTION("split(B736,""-"")"),10.0)</f>
        <v>10</v>
      </c>
      <c r="E736" s="4">
        <f>IFERROR(__xludf.DUMMYFUNCTION("""COMPUTED_VALUE"""),12.0)</f>
        <v>12</v>
      </c>
      <c r="F736" s="4">
        <f>IFERROR(__xludf.DUMMYFUNCTION("split(C736,""-"")"),11.0)</f>
        <v>11</v>
      </c>
      <c r="G736" s="4">
        <f>IFERROR(__xludf.DUMMYFUNCTION("""COMPUTED_VALUE"""),96.0)</f>
        <v>96</v>
      </c>
      <c r="H736" s="4">
        <f t="shared" si="1"/>
        <v>0</v>
      </c>
      <c r="J736" s="4">
        <f>IFERROR(__xludf.DUMMYFUNCTION("IFS(
ISBETWEEN(D736,F736,G736,TRUE,TRUE),1,
ISBETWEEN(E736,F736,G736,TRUE,TRUE),1,
ISBETWEEN(F736,D736,E736,TRUE,TRUE),1,
ISBETWEEN(G736,D736,E736,TRUE,TRUE),1,
1,0)"),1.0)</f>
        <v>1</v>
      </c>
    </row>
    <row r="737">
      <c r="A737" s="2" t="s">
        <v>735</v>
      </c>
      <c r="B737" s="1" t="str">
        <f>IFERROR(__xludf.DUMMYFUNCTION("SPLIT(A737,"","",)"),"68-69")</f>
        <v>68-69</v>
      </c>
      <c r="C737" s="1" t="str">
        <f>IFERROR(__xludf.DUMMYFUNCTION("""COMPUTED_VALUE"""),"23-68")</f>
        <v>23-68</v>
      </c>
      <c r="D737" s="4">
        <f>IFERROR(__xludf.DUMMYFUNCTION("split(B737,""-"")"),68.0)</f>
        <v>68</v>
      </c>
      <c r="E737" s="4">
        <f>IFERROR(__xludf.DUMMYFUNCTION("""COMPUTED_VALUE"""),69.0)</f>
        <v>69</v>
      </c>
      <c r="F737" s="4">
        <f>IFERROR(__xludf.DUMMYFUNCTION("split(C737,""-"")"),23.0)</f>
        <v>23</v>
      </c>
      <c r="G737" s="4">
        <f>IFERROR(__xludf.DUMMYFUNCTION("""COMPUTED_VALUE"""),68.0)</f>
        <v>68</v>
      </c>
      <c r="H737" s="4">
        <f t="shared" si="1"/>
        <v>0</v>
      </c>
      <c r="J737" s="4">
        <f>IFERROR(__xludf.DUMMYFUNCTION("IFS(
ISBETWEEN(D737,F737,G737,TRUE,TRUE),1,
ISBETWEEN(E737,F737,G737,TRUE,TRUE),1,
ISBETWEEN(F737,D737,E737,TRUE,TRUE),1,
ISBETWEEN(G737,D737,E737,TRUE,TRUE),1,
1,0)"),1.0)</f>
        <v>1</v>
      </c>
    </row>
    <row r="738">
      <c r="A738" s="2" t="s">
        <v>736</v>
      </c>
      <c r="B738" s="3">
        <f>IFERROR(__xludf.DUMMYFUNCTION("SPLIT(A738,"","",)"),44623.0)</f>
        <v>44623</v>
      </c>
      <c r="C738" s="1" t="str">
        <f>IFERROR(__xludf.DUMMYFUNCTION("""COMPUTED_VALUE"""),"2-98")</f>
        <v>2-98</v>
      </c>
      <c r="D738" s="4">
        <f>IFERROR(__xludf.DUMMYFUNCTION("split(B738,""-"")"),3.0)</f>
        <v>3</v>
      </c>
      <c r="E738" s="4">
        <f>IFERROR(__xludf.DUMMYFUNCTION("""COMPUTED_VALUE"""),3.0)</f>
        <v>3</v>
      </c>
      <c r="F738" s="4">
        <f>IFERROR(__xludf.DUMMYFUNCTION("split(C738,""-"")"),2.0)</f>
        <v>2</v>
      </c>
      <c r="G738" s="4">
        <f>IFERROR(__xludf.DUMMYFUNCTION("""COMPUTED_VALUE"""),98.0)</f>
        <v>98</v>
      </c>
      <c r="H738" s="4">
        <f t="shared" si="1"/>
        <v>1</v>
      </c>
      <c r="J738" s="4">
        <f>IFERROR(__xludf.DUMMYFUNCTION("IFS(
ISBETWEEN(D738,F738,G738,TRUE,TRUE),1,
ISBETWEEN(E738,F738,G738,TRUE,TRUE),1,
ISBETWEEN(F738,D738,E738,TRUE,TRUE),1,
ISBETWEEN(G738,D738,E738,TRUE,TRUE),1,
1,0)"),1.0)</f>
        <v>1</v>
      </c>
    </row>
    <row r="739">
      <c r="A739" s="2" t="s">
        <v>737</v>
      </c>
      <c r="B739" s="1" t="str">
        <f>IFERROR(__xludf.DUMMYFUNCTION("SPLIT(A739,"","",)"),"6-84")</f>
        <v>6-84</v>
      </c>
      <c r="C739" s="1" t="str">
        <f>IFERROR(__xludf.DUMMYFUNCTION("""COMPUTED_VALUE"""),"7-84")</f>
        <v>7-84</v>
      </c>
      <c r="D739" s="4">
        <f>IFERROR(__xludf.DUMMYFUNCTION("split(B739,""-"")"),6.0)</f>
        <v>6</v>
      </c>
      <c r="E739" s="4">
        <f>IFERROR(__xludf.DUMMYFUNCTION("""COMPUTED_VALUE"""),84.0)</f>
        <v>84</v>
      </c>
      <c r="F739" s="4">
        <f>IFERROR(__xludf.DUMMYFUNCTION("split(C739,""-"")"),7.0)</f>
        <v>7</v>
      </c>
      <c r="G739" s="4">
        <f>IFERROR(__xludf.DUMMYFUNCTION("""COMPUTED_VALUE"""),84.0)</f>
        <v>84</v>
      </c>
      <c r="H739" s="4">
        <f t="shared" si="1"/>
        <v>1</v>
      </c>
      <c r="J739" s="4">
        <f>IFERROR(__xludf.DUMMYFUNCTION("IFS(
ISBETWEEN(D739,F739,G739,TRUE,TRUE),1,
ISBETWEEN(E739,F739,G739,TRUE,TRUE),1,
ISBETWEEN(F739,D739,E739,TRUE,TRUE),1,
ISBETWEEN(G739,D739,E739,TRUE,TRUE),1,
1,0)"),1.0)</f>
        <v>1</v>
      </c>
    </row>
    <row r="740">
      <c r="A740" s="2" t="s">
        <v>738</v>
      </c>
      <c r="B740" s="1" t="str">
        <f>IFERROR(__xludf.DUMMYFUNCTION("SPLIT(A740,"","",)"),"46-96")</f>
        <v>46-96</v>
      </c>
      <c r="C740" s="1" t="str">
        <f>IFERROR(__xludf.DUMMYFUNCTION("""COMPUTED_VALUE"""),"4-46")</f>
        <v>4-46</v>
      </c>
      <c r="D740" s="4">
        <f>IFERROR(__xludf.DUMMYFUNCTION("split(B740,""-"")"),46.0)</f>
        <v>46</v>
      </c>
      <c r="E740" s="4">
        <f>IFERROR(__xludf.DUMMYFUNCTION("""COMPUTED_VALUE"""),96.0)</f>
        <v>96</v>
      </c>
      <c r="F740" s="4">
        <f>IFERROR(__xludf.DUMMYFUNCTION("split(C740,""-"")"),4.0)</f>
        <v>4</v>
      </c>
      <c r="G740" s="4">
        <f>IFERROR(__xludf.DUMMYFUNCTION("""COMPUTED_VALUE"""),46.0)</f>
        <v>46</v>
      </c>
      <c r="H740" s="4">
        <f t="shared" si="1"/>
        <v>0</v>
      </c>
      <c r="J740" s="4">
        <f>IFERROR(__xludf.DUMMYFUNCTION("IFS(
ISBETWEEN(D740,F740,G740,TRUE,TRUE),1,
ISBETWEEN(E740,F740,G740,TRUE,TRUE),1,
ISBETWEEN(F740,D740,E740,TRUE,TRUE),1,
ISBETWEEN(G740,D740,E740,TRUE,TRUE),1,
1,0)"),1.0)</f>
        <v>1</v>
      </c>
    </row>
    <row r="741">
      <c r="A741" s="2" t="s">
        <v>739</v>
      </c>
      <c r="B741" s="1" t="str">
        <f>IFERROR(__xludf.DUMMYFUNCTION("SPLIT(A741,"","",)"),"4-86")</f>
        <v>4-86</v>
      </c>
      <c r="C741" s="1" t="str">
        <f>IFERROR(__xludf.DUMMYFUNCTION("""COMPUTED_VALUE"""),"4-25")</f>
        <v>4-25</v>
      </c>
      <c r="D741" s="4">
        <f>IFERROR(__xludf.DUMMYFUNCTION("split(B741,""-"")"),4.0)</f>
        <v>4</v>
      </c>
      <c r="E741" s="4">
        <f>IFERROR(__xludf.DUMMYFUNCTION("""COMPUTED_VALUE"""),86.0)</f>
        <v>86</v>
      </c>
      <c r="F741" s="4">
        <f>IFERROR(__xludf.DUMMYFUNCTION("split(C741,""-"")"),4.0)</f>
        <v>4</v>
      </c>
      <c r="G741" s="4">
        <f>IFERROR(__xludf.DUMMYFUNCTION("""COMPUTED_VALUE"""),25.0)</f>
        <v>25</v>
      </c>
      <c r="H741" s="4">
        <f t="shared" si="1"/>
        <v>1</v>
      </c>
      <c r="J741" s="4">
        <f>IFERROR(__xludf.DUMMYFUNCTION("IFS(
ISBETWEEN(D741,F741,G741,TRUE,TRUE),1,
ISBETWEEN(E741,F741,G741,TRUE,TRUE),1,
ISBETWEEN(F741,D741,E741,TRUE,TRUE),1,
ISBETWEEN(G741,D741,E741,TRUE,TRUE),1,
1,0)"),1.0)</f>
        <v>1</v>
      </c>
    </row>
    <row r="742">
      <c r="A742" s="2" t="s">
        <v>740</v>
      </c>
      <c r="B742" s="1" t="str">
        <f>IFERROR(__xludf.DUMMYFUNCTION("SPLIT(A742,"","",)"),"4-96")</f>
        <v>4-96</v>
      </c>
      <c r="C742" s="1" t="str">
        <f>IFERROR(__xludf.DUMMYFUNCTION("""COMPUTED_VALUE"""),"5-36")</f>
        <v>5-36</v>
      </c>
      <c r="D742" s="4">
        <f>IFERROR(__xludf.DUMMYFUNCTION("split(B742,""-"")"),4.0)</f>
        <v>4</v>
      </c>
      <c r="E742" s="4">
        <f>IFERROR(__xludf.DUMMYFUNCTION("""COMPUTED_VALUE"""),96.0)</f>
        <v>96</v>
      </c>
      <c r="F742" s="4">
        <f>IFERROR(__xludf.DUMMYFUNCTION("split(C742,""-"")"),5.0)</f>
        <v>5</v>
      </c>
      <c r="G742" s="4">
        <f>IFERROR(__xludf.DUMMYFUNCTION("""COMPUTED_VALUE"""),36.0)</f>
        <v>36</v>
      </c>
      <c r="H742" s="4">
        <f t="shared" si="1"/>
        <v>1</v>
      </c>
      <c r="J742" s="4">
        <f>IFERROR(__xludf.DUMMYFUNCTION("IFS(
ISBETWEEN(D742,F742,G742,TRUE,TRUE),1,
ISBETWEEN(E742,F742,G742,TRUE,TRUE),1,
ISBETWEEN(F742,D742,E742,TRUE,TRUE),1,
ISBETWEEN(G742,D742,E742,TRUE,TRUE),1,
1,0)"),1.0)</f>
        <v>1</v>
      </c>
    </row>
    <row r="743">
      <c r="A743" s="2" t="s">
        <v>741</v>
      </c>
      <c r="B743" s="1" t="str">
        <f>IFERROR(__xludf.DUMMYFUNCTION("SPLIT(A743,"","",)"),"21-39")</f>
        <v>21-39</v>
      </c>
      <c r="C743" s="1" t="str">
        <f>IFERROR(__xludf.DUMMYFUNCTION("""COMPUTED_VALUE"""),"22-40")</f>
        <v>22-40</v>
      </c>
      <c r="D743" s="4">
        <f>IFERROR(__xludf.DUMMYFUNCTION("split(B743,""-"")"),21.0)</f>
        <v>21</v>
      </c>
      <c r="E743" s="4">
        <f>IFERROR(__xludf.DUMMYFUNCTION("""COMPUTED_VALUE"""),39.0)</f>
        <v>39</v>
      </c>
      <c r="F743" s="4">
        <f>IFERROR(__xludf.DUMMYFUNCTION("split(C743,""-"")"),22.0)</f>
        <v>22</v>
      </c>
      <c r="G743" s="4">
        <f>IFERROR(__xludf.DUMMYFUNCTION("""COMPUTED_VALUE"""),40.0)</f>
        <v>40</v>
      </c>
      <c r="H743" s="4">
        <f t="shared" si="1"/>
        <v>0</v>
      </c>
      <c r="J743" s="4">
        <f>IFERROR(__xludf.DUMMYFUNCTION("IFS(
ISBETWEEN(D743,F743,G743,TRUE,TRUE),1,
ISBETWEEN(E743,F743,G743,TRUE,TRUE),1,
ISBETWEEN(F743,D743,E743,TRUE,TRUE),1,
ISBETWEEN(G743,D743,E743,TRUE,TRUE),1,
1,0)"),1.0)</f>
        <v>1</v>
      </c>
    </row>
    <row r="744">
      <c r="A744" s="2" t="s">
        <v>742</v>
      </c>
      <c r="B744" s="1" t="str">
        <f>IFERROR(__xludf.DUMMYFUNCTION("SPLIT(A744,"","",)"),"3-99")</f>
        <v>3-99</v>
      </c>
      <c r="C744" s="3">
        <f>IFERROR(__xludf.DUMMYFUNCTION("""COMPUTED_VALUE"""),44562.0)</f>
        <v>44562</v>
      </c>
      <c r="D744" s="4">
        <f>IFERROR(__xludf.DUMMYFUNCTION("split(B744,""-"")"),3.0)</f>
        <v>3</v>
      </c>
      <c r="E744" s="4">
        <f>IFERROR(__xludf.DUMMYFUNCTION("""COMPUTED_VALUE"""),99.0)</f>
        <v>99</v>
      </c>
      <c r="F744" s="4">
        <f>IFERROR(__xludf.DUMMYFUNCTION("split(C744,""-"")"),1.0)</f>
        <v>1</v>
      </c>
      <c r="G744" s="4">
        <f>IFERROR(__xludf.DUMMYFUNCTION("""COMPUTED_VALUE"""),1.0)</f>
        <v>1</v>
      </c>
      <c r="H744" s="4">
        <f t="shared" si="1"/>
        <v>0</v>
      </c>
      <c r="J744" s="4">
        <f>IFERROR(__xludf.DUMMYFUNCTION("IFS(
ISBETWEEN(D744,F744,G744,TRUE,TRUE),1,
ISBETWEEN(E744,F744,G744,TRUE,TRUE),1,
ISBETWEEN(F744,D744,E744,TRUE,TRUE),1,
ISBETWEEN(G744,D744,E744,TRUE,TRUE),1,
1,0)"),0.0)</f>
        <v>0</v>
      </c>
    </row>
    <row r="745">
      <c r="A745" s="2" t="s">
        <v>743</v>
      </c>
      <c r="B745" s="1" t="str">
        <f>IFERROR(__xludf.DUMMYFUNCTION("SPLIT(A745,"","",)"),"19-21")</f>
        <v>19-21</v>
      </c>
      <c r="C745" s="1" t="str">
        <f>IFERROR(__xludf.DUMMYFUNCTION("""COMPUTED_VALUE"""),"20-62")</f>
        <v>20-62</v>
      </c>
      <c r="D745" s="4">
        <f>IFERROR(__xludf.DUMMYFUNCTION("split(B745,""-"")"),19.0)</f>
        <v>19</v>
      </c>
      <c r="E745" s="4">
        <f>IFERROR(__xludf.DUMMYFUNCTION("""COMPUTED_VALUE"""),21.0)</f>
        <v>21</v>
      </c>
      <c r="F745" s="4">
        <f>IFERROR(__xludf.DUMMYFUNCTION("split(C745,""-"")"),20.0)</f>
        <v>20</v>
      </c>
      <c r="G745" s="4">
        <f>IFERROR(__xludf.DUMMYFUNCTION("""COMPUTED_VALUE"""),62.0)</f>
        <v>62</v>
      </c>
      <c r="H745" s="4">
        <f t="shared" si="1"/>
        <v>0</v>
      </c>
      <c r="J745" s="4">
        <f>IFERROR(__xludf.DUMMYFUNCTION("IFS(
ISBETWEEN(D745,F745,G745,TRUE,TRUE),1,
ISBETWEEN(E745,F745,G745,TRUE,TRUE),1,
ISBETWEEN(F745,D745,E745,TRUE,TRUE),1,
ISBETWEEN(G745,D745,E745,TRUE,TRUE),1,
1,0)"),1.0)</f>
        <v>1</v>
      </c>
    </row>
    <row r="746">
      <c r="A746" s="2" t="s">
        <v>744</v>
      </c>
      <c r="B746" s="1" t="str">
        <f>IFERROR(__xludf.DUMMYFUNCTION("SPLIT(A746,"","",)"),"49-96")</f>
        <v>49-96</v>
      </c>
      <c r="C746" s="1" t="str">
        <f>IFERROR(__xludf.DUMMYFUNCTION("""COMPUTED_VALUE"""),"95-95")</f>
        <v>95-95</v>
      </c>
      <c r="D746" s="4">
        <f>IFERROR(__xludf.DUMMYFUNCTION("split(B746,""-"")"),49.0)</f>
        <v>49</v>
      </c>
      <c r="E746" s="4">
        <f>IFERROR(__xludf.DUMMYFUNCTION("""COMPUTED_VALUE"""),96.0)</f>
        <v>96</v>
      </c>
      <c r="F746" s="4">
        <f>IFERROR(__xludf.DUMMYFUNCTION("split(C746,""-"")"),95.0)</f>
        <v>95</v>
      </c>
      <c r="G746" s="4">
        <f>IFERROR(__xludf.DUMMYFUNCTION("""COMPUTED_VALUE"""),95.0)</f>
        <v>95</v>
      </c>
      <c r="H746" s="4">
        <f t="shared" si="1"/>
        <v>1</v>
      </c>
      <c r="J746" s="4">
        <f>IFERROR(__xludf.DUMMYFUNCTION("IFS(
ISBETWEEN(D746,F746,G746,TRUE,TRUE),1,
ISBETWEEN(E746,F746,G746,TRUE,TRUE),1,
ISBETWEEN(F746,D746,E746,TRUE,TRUE),1,
ISBETWEEN(G746,D746,E746,TRUE,TRUE),1,
1,0)"),1.0)</f>
        <v>1</v>
      </c>
    </row>
    <row r="747">
      <c r="A747" s="2" t="s">
        <v>745</v>
      </c>
      <c r="B747" s="1" t="str">
        <f>IFERROR(__xludf.DUMMYFUNCTION("SPLIT(A747,"","",)"),"49-51")</f>
        <v>49-51</v>
      </c>
      <c r="C747" s="1" t="str">
        <f>IFERROR(__xludf.DUMMYFUNCTION("""COMPUTED_VALUE"""),"51-52")</f>
        <v>51-52</v>
      </c>
      <c r="D747" s="4">
        <f>IFERROR(__xludf.DUMMYFUNCTION("split(B747,""-"")"),49.0)</f>
        <v>49</v>
      </c>
      <c r="E747" s="4">
        <f>IFERROR(__xludf.DUMMYFUNCTION("""COMPUTED_VALUE"""),51.0)</f>
        <v>51</v>
      </c>
      <c r="F747" s="4">
        <f>IFERROR(__xludf.DUMMYFUNCTION("split(C747,""-"")"),51.0)</f>
        <v>51</v>
      </c>
      <c r="G747" s="4">
        <f>IFERROR(__xludf.DUMMYFUNCTION("""COMPUTED_VALUE"""),52.0)</f>
        <v>52</v>
      </c>
      <c r="H747" s="4">
        <f t="shared" si="1"/>
        <v>0</v>
      </c>
      <c r="J747" s="4">
        <f>IFERROR(__xludf.DUMMYFUNCTION("IFS(
ISBETWEEN(D747,F747,G747,TRUE,TRUE),1,
ISBETWEEN(E747,F747,G747,TRUE,TRUE),1,
ISBETWEEN(F747,D747,E747,TRUE,TRUE),1,
ISBETWEEN(G747,D747,E747,TRUE,TRUE),1,
1,0)"),1.0)</f>
        <v>1</v>
      </c>
    </row>
    <row r="748">
      <c r="A748" s="2" t="s">
        <v>746</v>
      </c>
      <c r="B748" s="1" t="str">
        <f>IFERROR(__xludf.DUMMYFUNCTION("SPLIT(A748,"","",)"),"41-62")</f>
        <v>41-62</v>
      </c>
      <c r="C748" s="1" t="str">
        <f>IFERROR(__xludf.DUMMYFUNCTION("""COMPUTED_VALUE"""),"6-61")</f>
        <v>6-61</v>
      </c>
      <c r="D748" s="4">
        <f>IFERROR(__xludf.DUMMYFUNCTION("split(B748,""-"")"),41.0)</f>
        <v>41</v>
      </c>
      <c r="E748" s="4">
        <f>IFERROR(__xludf.DUMMYFUNCTION("""COMPUTED_VALUE"""),62.0)</f>
        <v>62</v>
      </c>
      <c r="F748" s="4">
        <f>IFERROR(__xludf.DUMMYFUNCTION("split(C748,""-"")"),6.0)</f>
        <v>6</v>
      </c>
      <c r="G748" s="4">
        <f>IFERROR(__xludf.DUMMYFUNCTION("""COMPUTED_VALUE"""),61.0)</f>
        <v>61</v>
      </c>
      <c r="H748" s="4">
        <f t="shared" si="1"/>
        <v>0</v>
      </c>
      <c r="J748" s="4">
        <f>IFERROR(__xludf.DUMMYFUNCTION("IFS(
ISBETWEEN(D748,F748,G748,TRUE,TRUE),1,
ISBETWEEN(E748,F748,G748,TRUE,TRUE),1,
ISBETWEEN(F748,D748,E748,TRUE,TRUE),1,
ISBETWEEN(G748,D748,E748,TRUE,TRUE),1,
1,0)"),1.0)</f>
        <v>1</v>
      </c>
    </row>
    <row r="749">
      <c r="A749" s="2" t="s">
        <v>747</v>
      </c>
      <c r="B749" s="1" t="str">
        <f>IFERROR(__xludf.DUMMYFUNCTION("SPLIT(A749,"","",)"),"7-16")</f>
        <v>7-16</v>
      </c>
      <c r="C749" s="1" t="str">
        <f>IFERROR(__xludf.DUMMYFUNCTION("""COMPUTED_VALUE"""),"26-39")</f>
        <v>26-39</v>
      </c>
      <c r="D749" s="4">
        <f>IFERROR(__xludf.DUMMYFUNCTION("split(B749,""-"")"),7.0)</f>
        <v>7</v>
      </c>
      <c r="E749" s="4">
        <f>IFERROR(__xludf.DUMMYFUNCTION("""COMPUTED_VALUE"""),16.0)</f>
        <v>16</v>
      </c>
      <c r="F749" s="4">
        <f>IFERROR(__xludf.DUMMYFUNCTION("split(C749,""-"")"),26.0)</f>
        <v>26</v>
      </c>
      <c r="G749" s="4">
        <f>IFERROR(__xludf.DUMMYFUNCTION("""COMPUTED_VALUE"""),39.0)</f>
        <v>39</v>
      </c>
      <c r="H749" s="4">
        <f t="shared" si="1"/>
        <v>0</v>
      </c>
      <c r="J749" s="4">
        <f>IFERROR(__xludf.DUMMYFUNCTION("IFS(
ISBETWEEN(D749,F749,G749,TRUE,TRUE),1,
ISBETWEEN(E749,F749,G749,TRUE,TRUE),1,
ISBETWEEN(F749,D749,E749,TRUE,TRUE),1,
ISBETWEEN(G749,D749,E749,TRUE,TRUE),1,
1,0)"),0.0)</f>
        <v>0</v>
      </c>
    </row>
    <row r="750">
      <c r="A750" s="2" t="s">
        <v>748</v>
      </c>
      <c r="B750" s="1" t="str">
        <f>IFERROR(__xludf.DUMMYFUNCTION("SPLIT(A750,"","",)"),"17-86")</f>
        <v>17-86</v>
      </c>
      <c r="C750" s="1" t="str">
        <f>IFERROR(__xludf.DUMMYFUNCTION("""COMPUTED_VALUE"""),"17-18")</f>
        <v>17-18</v>
      </c>
      <c r="D750" s="4">
        <f>IFERROR(__xludf.DUMMYFUNCTION("split(B750,""-"")"),17.0)</f>
        <v>17</v>
      </c>
      <c r="E750" s="4">
        <f>IFERROR(__xludf.DUMMYFUNCTION("""COMPUTED_VALUE"""),86.0)</f>
        <v>86</v>
      </c>
      <c r="F750" s="4">
        <f>IFERROR(__xludf.DUMMYFUNCTION("split(C750,""-"")"),17.0)</f>
        <v>17</v>
      </c>
      <c r="G750" s="4">
        <f>IFERROR(__xludf.DUMMYFUNCTION("""COMPUTED_VALUE"""),18.0)</f>
        <v>18</v>
      </c>
      <c r="H750" s="4">
        <f t="shared" si="1"/>
        <v>1</v>
      </c>
      <c r="J750" s="4">
        <f>IFERROR(__xludf.DUMMYFUNCTION("IFS(
ISBETWEEN(D750,F750,G750,TRUE,TRUE),1,
ISBETWEEN(E750,F750,G750,TRUE,TRUE),1,
ISBETWEEN(F750,D750,E750,TRUE,TRUE),1,
ISBETWEEN(G750,D750,E750,TRUE,TRUE),1,
1,0)"),1.0)</f>
        <v>1</v>
      </c>
    </row>
    <row r="751">
      <c r="A751" s="2" t="s">
        <v>749</v>
      </c>
      <c r="B751" s="1" t="str">
        <f>IFERROR(__xludf.DUMMYFUNCTION("SPLIT(A751,"","",)"),"22-45")</f>
        <v>22-45</v>
      </c>
      <c r="C751" s="1" t="str">
        <f>IFERROR(__xludf.DUMMYFUNCTION("""COMPUTED_VALUE"""),"23-44")</f>
        <v>23-44</v>
      </c>
      <c r="D751" s="4">
        <f>IFERROR(__xludf.DUMMYFUNCTION("split(B751,""-"")"),22.0)</f>
        <v>22</v>
      </c>
      <c r="E751" s="4">
        <f>IFERROR(__xludf.DUMMYFUNCTION("""COMPUTED_VALUE"""),45.0)</f>
        <v>45</v>
      </c>
      <c r="F751" s="4">
        <f>IFERROR(__xludf.DUMMYFUNCTION("split(C751,""-"")"),23.0)</f>
        <v>23</v>
      </c>
      <c r="G751" s="4">
        <f>IFERROR(__xludf.DUMMYFUNCTION("""COMPUTED_VALUE"""),44.0)</f>
        <v>44</v>
      </c>
      <c r="H751" s="4">
        <f t="shared" si="1"/>
        <v>1</v>
      </c>
      <c r="J751" s="4">
        <f>IFERROR(__xludf.DUMMYFUNCTION("IFS(
ISBETWEEN(D751,F751,G751,TRUE,TRUE),1,
ISBETWEEN(E751,F751,G751,TRUE,TRUE),1,
ISBETWEEN(F751,D751,E751,TRUE,TRUE),1,
ISBETWEEN(G751,D751,E751,TRUE,TRUE),1,
1,0)"),1.0)</f>
        <v>1</v>
      </c>
    </row>
    <row r="752">
      <c r="A752" s="2" t="s">
        <v>750</v>
      </c>
      <c r="B752" s="1" t="str">
        <f>IFERROR(__xludf.DUMMYFUNCTION("SPLIT(A752,"","",)"),"33-39")</f>
        <v>33-39</v>
      </c>
      <c r="C752" s="1" t="str">
        <f>IFERROR(__xludf.DUMMYFUNCTION("""COMPUTED_VALUE"""),"39-39")</f>
        <v>39-39</v>
      </c>
      <c r="D752" s="4">
        <f>IFERROR(__xludf.DUMMYFUNCTION("split(B752,""-"")"),33.0)</f>
        <v>33</v>
      </c>
      <c r="E752" s="4">
        <f>IFERROR(__xludf.DUMMYFUNCTION("""COMPUTED_VALUE"""),39.0)</f>
        <v>39</v>
      </c>
      <c r="F752" s="4">
        <f>IFERROR(__xludf.DUMMYFUNCTION("split(C752,""-"")"),39.0)</f>
        <v>39</v>
      </c>
      <c r="G752" s="4">
        <f>IFERROR(__xludf.DUMMYFUNCTION("""COMPUTED_VALUE"""),39.0)</f>
        <v>39</v>
      </c>
      <c r="H752" s="4">
        <f t="shared" si="1"/>
        <v>1</v>
      </c>
      <c r="J752" s="4">
        <f>IFERROR(__xludf.DUMMYFUNCTION("IFS(
ISBETWEEN(D752,F752,G752,TRUE,TRUE),1,
ISBETWEEN(E752,F752,G752,TRUE,TRUE),1,
ISBETWEEN(F752,D752,E752,TRUE,TRUE),1,
ISBETWEEN(G752,D752,E752,TRUE,TRUE),1,
1,0)"),1.0)</f>
        <v>1</v>
      </c>
    </row>
    <row r="753">
      <c r="A753" s="2" t="s">
        <v>751</v>
      </c>
      <c r="B753" s="1" t="str">
        <f>IFERROR(__xludf.DUMMYFUNCTION("SPLIT(A753,"","",)"),"40-81")</f>
        <v>40-81</v>
      </c>
      <c r="C753" s="1" t="str">
        <f>IFERROR(__xludf.DUMMYFUNCTION("""COMPUTED_VALUE"""),"41-81")</f>
        <v>41-81</v>
      </c>
      <c r="D753" s="4">
        <f>IFERROR(__xludf.DUMMYFUNCTION("split(B753,""-"")"),40.0)</f>
        <v>40</v>
      </c>
      <c r="E753" s="4">
        <f>IFERROR(__xludf.DUMMYFUNCTION("""COMPUTED_VALUE"""),81.0)</f>
        <v>81</v>
      </c>
      <c r="F753" s="4">
        <f>IFERROR(__xludf.DUMMYFUNCTION("split(C753,""-"")"),41.0)</f>
        <v>41</v>
      </c>
      <c r="G753" s="4">
        <f>IFERROR(__xludf.DUMMYFUNCTION("""COMPUTED_VALUE"""),81.0)</f>
        <v>81</v>
      </c>
      <c r="H753" s="4">
        <f t="shared" si="1"/>
        <v>1</v>
      </c>
      <c r="J753" s="4">
        <f>IFERROR(__xludf.DUMMYFUNCTION("IFS(
ISBETWEEN(D753,F753,G753,TRUE,TRUE),1,
ISBETWEEN(E753,F753,G753,TRUE,TRUE),1,
ISBETWEEN(F753,D753,E753,TRUE,TRUE),1,
ISBETWEEN(G753,D753,E753,TRUE,TRUE),1,
1,0)"),1.0)</f>
        <v>1</v>
      </c>
    </row>
    <row r="754">
      <c r="A754" s="2" t="s">
        <v>752</v>
      </c>
      <c r="B754" s="1" t="str">
        <f>IFERROR(__xludf.DUMMYFUNCTION("SPLIT(A754,"","",)"),"63-86")</f>
        <v>63-86</v>
      </c>
      <c r="C754" s="1" t="str">
        <f>IFERROR(__xludf.DUMMYFUNCTION("""COMPUTED_VALUE"""),"65-83")</f>
        <v>65-83</v>
      </c>
      <c r="D754" s="4">
        <f>IFERROR(__xludf.DUMMYFUNCTION("split(B754,""-"")"),63.0)</f>
        <v>63</v>
      </c>
      <c r="E754" s="4">
        <f>IFERROR(__xludf.DUMMYFUNCTION("""COMPUTED_VALUE"""),86.0)</f>
        <v>86</v>
      </c>
      <c r="F754" s="4">
        <f>IFERROR(__xludf.DUMMYFUNCTION("split(C754,""-"")"),65.0)</f>
        <v>65</v>
      </c>
      <c r="G754" s="4">
        <f>IFERROR(__xludf.DUMMYFUNCTION("""COMPUTED_VALUE"""),83.0)</f>
        <v>83</v>
      </c>
      <c r="H754" s="4">
        <f t="shared" si="1"/>
        <v>1</v>
      </c>
      <c r="J754" s="4">
        <f>IFERROR(__xludf.DUMMYFUNCTION("IFS(
ISBETWEEN(D754,F754,G754,TRUE,TRUE),1,
ISBETWEEN(E754,F754,G754,TRUE,TRUE),1,
ISBETWEEN(F754,D754,E754,TRUE,TRUE),1,
ISBETWEEN(G754,D754,E754,TRUE,TRUE),1,
1,0)"),1.0)</f>
        <v>1</v>
      </c>
    </row>
    <row r="755">
      <c r="A755" s="2" t="s">
        <v>753</v>
      </c>
      <c r="B755" s="1" t="str">
        <f>IFERROR(__xludf.DUMMYFUNCTION("SPLIT(A755,"","",)"),"17-35")</f>
        <v>17-35</v>
      </c>
      <c r="C755" s="1" t="str">
        <f>IFERROR(__xludf.DUMMYFUNCTION("""COMPUTED_VALUE"""),"18-97")</f>
        <v>18-97</v>
      </c>
      <c r="D755" s="4">
        <f>IFERROR(__xludf.DUMMYFUNCTION("split(B755,""-"")"),17.0)</f>
        <v>17</v>
      </c>
      <c r="E755" s="4">
        <f>IFERROR(__xludf.DUMMYFUNCTION("""COMPUTED_VALUE"""),35.0)</f>
        <v>35</v>
      </c>
      <c r="F755" s="4">
        <f>IFERROR(__xludf.DUMMYFUNCTION("split(C755,""-"")"),18.0)</f>
        <v>18</v>
      </c>
      <c r="G755" s="4">
        <f>IFERROR(__xludf.DUMMYFUNCTION("""COMPUTED_VALUE"""),97.0)</f>
        <v>97</v>
      </c>
      <c r="H755" s="4">
        <f t="shared" si="1"/>
        <v>0</v>
      </c>
      <c r="J755" s="4">
        <f>IFERROR(__xludf.DUMMYFUNCTION("IFS(
ISBETWEEN(D755,F755,G755,TRUE,TRUE),1,
ISBETWEEN(E755,F755,G755,TRUE,TRUE),1,
ISBETWEEN(F755,D755,E755,TRUE,TRUE),1,
ISBETWEEN(G755,D755,E755,TRUE,TRUE),1,
1,0)"),1.0)</f>
        <v>1</v>
      </c>
    </row>
    <row r="756">
      <c r="A756" s="2" t="s">
        <v>754</v>
      </c>
      <c r="B756" s="1" t="str">
        <f>IFERROR(__xludf.DUMMYFUNCTION("SPLIT(A756,"","",)"),"13-21")</f>
        <v>13-21</v>
      </c>
      <c r="C756" s="1" t="str">
        <f>IFERROR(__xludf.DUMMYFUNCTION("""COMPUTED_VALUE"""),"14-75")</f>
        <v>14-75</v>
      </c>
      <c r="D756" s="4">
        <f>IFERROR(__xludf.DUMMYFUNCTION("split(B756,""-"")"),13.0)</f>
        <v>13</v>
      </c>
      <c r="E756" s="4">
        <f>IFERROR(__xludf.DUMMYFUNCTION("""COMPUTED_VALUE"""),21.0)</f>
        <v>21</v>
      </c>
      <c r="F756" s="4">
        <f>IFERROR(__xludf.DUMMYFUNCTION("split(C756,""-"")"),14.0)</f>
        <v>14</v>
      </c>
      <c r="G756" s="4">
        <f>IFERROR(__xludf.DUMMYFUNCTION("""COMPUTED_VALUE"""),75.0)</f>
        <v>75</v>
      </c>
      <c r="H756" s="4">
        <f t="shared" si="1"/>
        <v>0</v>
      </c>
      <c r="J756" s="4">
        <f>IFERROR(__xludf.DUMMYFUNCTION("IFS(
ISBETWEEN(D756,F756,G756,TRUE,TRUE),1,
ISBETWEEN(E756,F756,G756,TRUE,TRUE),1,
ISBETWEEN(F756,D756,E756,TRUE,TRUE),1,
ISBETWEEN(G756,D756,E756,TRUE,TRUE),1,
1,0)"),1.0)</f>
        <v>1</v>
      </c>
    </row>
    <row r="757">
      <c r="A757" s="2" t="s">
        <v>755</v>
      </c>
      <c r="B757" s="1" t="str">
        <f>IFERROR(__xludf.DUMMYFUNCTION("SPLIT(A757,"","",)"),"11-91")</f>
        <v>11-91</v>
      </c>
      <c r="C757" s="1" t="str">
        <f>IFERROR(__xludf.DUMMYFUNCTION("""COMPUTED_VALUE"""),"8-90")</f>
        <v>8-90</v>
      </c>
      <c r="D757" s="4">
        <f>IFERROR(__xludf.DUMMYFUNCTION("split(B757,""-"")"),11.0)</f>
        <v>11</v>
      </c>
      <c r="E757" s="4">
        <f>IFERROR(__xludf.DUMMYFUNCTION("""COMPUTED_VALUE"""),91.0)</f>
        <v>91</v>
      </c>
      <c r="F757" s="4">
        <f>IFERROR(__xludf.DUMMYFUNCTION("split(C757,""-"")"),8.0)</f>
        <v>8</v>
      </c>
      <c r="G757" s="4">
        <f>IFERROR(__xludf.DUMMYFUNCTION("""COMPUTED_VALUE"""),90.0)</f>
        <v>90</v>
      </c>
      <c r="H757" s="4">
        <f t="shared" si="1"/>
        <v>0</v>
      </c>
      <c r="J757" s="4">
        <f>IFERROR(__xludf.DUMMYFUNCTION("IFS(
ISBETWEEN(D757,F757,G757,TRUE,TRUE),1,
ISBETWEEN(E757,F757,G757,TRUE,TRUE),1,
ISBETWEEN(F757,D757,E757,TRUE,TRUE),1,
ISBETWEEN(G757,D757,E757,TRUE,TRUE),1,
1,0)"),1.0)</f>
        <v>1</v>
      </c>
    </row>
    <row r="758">
      <c r="A758" s="2" t="s">
        <v>756</v>
      </c>
      <c r="B758" s="1" t="str">
        <f>IFERROR(__xludf.DUMMYFUNCTION("SPLIT(A758,"","",)"),"9-20")</f>
        <v>9-20</v>
      </c>
      <c r="C758" s="1" t="str">
        <f>IFERROR(__xludf.DUMMYFUNCTION("""COMPUTED_VALUE"""),"20-21")</f>
        <v>20-21</v>
      </c>
      <c r="D758" s="4">
        <f>IFERROR(__xludf.DUMMYFUNCTION("split(B758,""-"")"),9.0)</f>
        <v>9</v>
      </c>
      <c r="E758" s="4">
        <f>IFERROR(__xludf.DUMMYFUNCTION("""COMPUTED_VALUE"""),20.0)</f>
        <v>20</v>
      </c>
      <c r="F758" s="4">
        <f>IFERROR(__xludf.DUMMYFUNCTION("split(C758,""-"")"),20.0)</f>
        <v>20</v>
      </c>
      <c r="G758" s="4">
        <f>IFERROR(__xludf.DUMMYFUNCTION("""COMPUTED_VALUE"""),21.0)</f>
        <v>21</v>
      </c>
      <c r="H758" s="4">
        <f t="shared" si="1"/>
        <v>0</v>
      </c>
      <c r="J758" s="4">
        <f>IFERROR(__xludf.DUMMYFUNCTION("IFS(
ISBETWEEN(D758,F758,G758,TRUE,TRUE),1,
ISBETWEEN(E758,F758,G758,TRUE,TRUE),1,
ISBETWEEN(F758,D758,E758,TRUE,TRUE),1,
ISBETWEEN(G758,D758,E758,TRUE,TRUE),1,
1,0)"),1.0)</f>
        <v>1</v>
      </c>
    </row>
    <row r="759">
      <c r="A759" s="2" t="s">
        <v>757</v>
      </c>
      <c r="B759" s="1" t="str">
        <f>IFERROR(__xludf.DUMMYFUNCTION("SPLIT(A759,"","",)"),"77-80")</f>
        <v>77-80</v>
      </c>
      <c r="C759" s="1" t="str">
        <f>IFERROR(__xludf.DUMMYFUNCTION("""COMPUTED_VALUE"""),"76-81")</f>
        <v>76-81</v>
      </c>
      <c r="D759" s="4">
        <f>IFERROR(__xludf.DUMMYFUNCTION("split(B759,""-"")"),77.0)</f>
        <v>77</v>
      </c>
      <c r="E759" s="4">
        <f>IFERROR(__xludf.DUMMYFUNCTION("""COMPUTED_VALUE"""),80.0)</f>
        <v>80</v>
      </c>
      <c r="F759" s="4">
        <f>IFERROR(__xludf.DUMMYFUNCTION("split(C759,""-"")"),76.0)</f>
        <v>76</v>
      </c>
      <c r="G759" s="4">
        <f>IFERROR(__xludf.DUMMYFUNCTION("""COMPUTED_VALUE"""),81.0)</f>
        <v>81</v>
      </c>
      <c r="H759" s="4">
        <f t="shared" si="1"/>
        <v>1</v>
      </c>
      <c r="J759" s="4">
        <f>IFERROR(__xludf.DUMMYFUNCTION("IFS(
ISBETWEEN(D759,F759,G759,TRUE,TRUE),1,
ISBETWEEN(E759,F759,G759,TRUE,TRUE),1,
ISBETWEEN(F759,D759,E759,TRUE,TRUE),1,
ISBETWEEN(G759,D759,E759,TRUE,TRUE),1,
1,0)"),1.0)</f>
        <v>1</v>
      </c>
    </row>
    <row r="760">
      <c r="A760" s="2" t="s">
        <v>758</v>
      </c>
      <c r="B760" s="3">
        <f>IFERROR(__xludf.DUMMYFUNCTION("SPLIT(A760,"","",)"),44806.0)</f>
        <v>44806</v>
      </c>
      <c r="C760" s="1" t="str">
        <f>IFERROR(__xludf.DUMMYFUNCTION("""COMPUTED_VALUE"""),"4-96")</f>
        <v>4-96</v>
      </c>
      <c r="D760" s="4">
        <f>IFERROR(__xludf.DUMMYFUNCTION("split(B760,""-"")"),2.0)</f>
        <v>2</v>
      </c>
      <c r="E760" s="4">
        <f>IFERROR(__xludf.DUMMYFUNCTION("""COMPUTED_VALUE"""),9.0)</f>
        <v>9</v>
      </c>
      <c r="F760" s="4">
        <f>IFERROR(__xludf.DUMMYFUNCTION("split(C760,""-"")"),4.0)</f>
        <v>4</v>
      </c>
      <c r="G760" s="4">
        <f>IFERROR(__xludf.DUMMYFUNCTION("""COMPUTED_VALUE"""),96.0)</f>
        <v>96</v>
      </c>
      <c r="H760" s="4">
        <f t="shared" si="1"/>
        <v>0</v>
      </c>
      <c r="J760" s="4">
        <f>IFERROR(__xludf.DUMMYFUNCTION("IFS(
ISBETWEEN(D760,F760,G760,TRUE,TRUE),1,
ISBETWEEN(E760,F760,G760,TRUE,TRUE),1,
ISBETWEEN(F760,D760,E760,TRUE,TRUE),1,
ISBETWEEN(G760,D760,E760,TRUE,TRUE),1,
1,0)"),1.0)</f>
        <v>1</v>
      </c>
    </row>
    <row r="761">
      <c r="A761" s="2" t="s">
        <v>759</v>
      </c>
      <c r="B761" s="1" t="str">
        <f>IFERROR(__xludf.DUMMYFUNCTION("SPLIT(A761,"","",)"),"14-59")</f>
        <v>14-59</v>
      </c>
      <c r="C761" s="1" t="str">
        <f>IFERROR(__xludf.DUMMYFUNCTION("""COMPUTED_VALUE"""),"60-91")</f>
        <v>60-91</v>
      </c>
      <c r="D761" s="4">
        <f>IFERROR(__xludf.DUMMYFUNCTION("split(B761,""-"")"),14.0)</f>
        <v>14</v>
      </c>
      <c r="E761" s="4">
        <f>IFERROR(__xludf.DUMMYFUNCTION("""COMPUTED_VALUE"""),59.0)</f>
        <v>59</v>
      </c>
      <c r="F761" s="4">
        <f>IFERROR(__xludf.DUMMYFUNCTION("split(C761,""-"")"),60.0)</f>
        <v>60</v>
      </c>
      <c r="G761" s="4">
        <f>IFERROR(__xludf.DUMMYFUNCTION("""COMPUTED_VALUE"""),91.0)</f>
        <v>91</v>
      </c>
      <c r="H761" s="4">
        <f t="shared" si="1"/>
        <v>0</v>
      </c>
      <c r="J761" s="4">
        <f>IFERROR(__xludf.DUMMYFUNCTION("IFS(
ISBETWEEN(D761,F761,G761,TRUE,TRUE),1,
ISBETWEEN(E761,F761,G761,TRUE,TRUE),1,
ISBETWEEN(F761,D761,E761,TRUE,TRUE),1,
ISBETWEEN(G761,D761,E761,TRUE,TRUE),1,
1,0)"),0.0)</f>
        <v>0</v>
      </c>
    </row>
    <row r="762">
      <c r="A762" s="2" t="s">
        <v>760</v>
      </c>
      <c r="B762" s="1" t="str">
        <f>IFERROR(__xludf.DUMMYFUNCTION("SPLIT(A762,"","",)"),"18-18")</f>
        <v>18-18</v>
      </c>
      <c r="C762" s="1" t="str">
        <f>IFERROR(__xludf.DUMMYFUNCTION("""COMPUTED_VALUE"""),"17-97")</f>
        <v>17-97</v>
      </c>
      <c r="D762" s="4">
        <f>IFERROR(__xludf.DUMMYFUNCTION("split(B762,""-"")"),18.0)</f>
        <v>18</v>
      </c>
      <c r="E762" s="4">
        <f>IFERROR(__xludf.DUMMYFUNCTION("""COMPUTED_VALUE"""),18.0)</f>
        <v>18</v>
      </c>
      <c r="F762" s="4">
        <f>IFERROR(__xludf.DUMMYFUNCTION("split(C762,""-"")"),17.0)</f>
        <v>17</v>
      </c>
      <c r="G762" s="4">
        <f>IFERROR(__xludf.DUMMYFUNCTION("""COMPUTED_VALUE"""),97.0)</f>
        <v>97</v>
      </c>
      <c r="H762" s="4">
        <f t="shared" si="1"/>
        <v>1</v>
      </c>
      <c r="J762" s="4">
        <f>IFERROR(__xludf.DUMMYFUNCTION("IFS(
ISBETWEEN(D762,F762,G762,TRUE,TRUE),1,
ISBETWEEN(E762,F762,G762,TRUE,TRUE),1,
ISBETWEEN(F762,D762,E762,TRUE,TRUE),1,
ISBETWEEN(G762,D762,E762,TRUE,TRUE),1,
1,0)"),1.0)</f>
        <v>1</v>
      </c>
    </row>
    <row r="763">
      <c r="A763" s="2" t="s">
        <v>761</v>
      </c>
      <c r="B763" s="1" t="str">
        <f>IFERROR(__xludf.DUMMYFUNCTION("SPLIT(A763,"","",)"),"15-41")</f>
        <v>15-41</v>
      </c>
      <c r="C763" s="1" t="str">
        <f>IFERROR(__xludf.DUMMYFUNCTION("""COMPUTED_VALUE"""),"42-61")</f>
        <v>42-61</v>
      </c>
      <c r="D763" s="4">
        <f>IFERROR(__xludf.DUMMYFUNCTION("split(B763,""-"")"),15.0)</f>
        <v>15</v>
      </c>
      <c r="E763" s="4">
        <f>IFERROR(__xludf.DUMMYFUNCTION("""COMPUTED_VALUE"""),41.0)</f>
        <v>41</v>
      </c>
      <c r="F763" s="4">
        <f>IFERROR(__xludf.DUMMYFUNCTION("split(C763,""-"")"),42.0)</f>
        <v>42</v>
      </c>
      <c r="G763" s="4">
        <f>IFERROR(__xludf.DUMMYFUNCTION("""COMPUTED_VALUE"""),61.0)</f>
        <v>61</v>
      </c>
      <c r="H763" s="4">
        <f t="shared" si="1"/>
        <v>0</v>
      </c>
      <c r="J763" s="4">
        <f>IFERROR(__xludf.DUMMYFUNCTION("IFS(
ISBETWEEN(D763,F763,G763,TRUE,TRUE),1,
ISBETWEEN(E763,F763,G763,TRUE,TRUE),1,
ISBETWEEN(F763,D763,E763,TRUE,TRUE),1,
ISBETWEEN(G763,D763,E763,TRUE,TRUE),1,
1,0)"),0.0)</f>
        <v>0</v>
      </c>
    </row>
    <row r="764">
      <c r="A764" s="2" t="s">
        <v>762</v>
      </c>
      <c r="B764" s="1" t="str">
        <f>IFERROR(__xludf.DUMMYFUNCTION("SPLIT(A764,"","",)"),"27-80")</f>
        <v>27-80</v>
      </c>
      <c r="C764" s="1" t="str">
        <f>IFERROR(__xludf.DUMMYFUNCTION("""COMPUTED_VALUE"""),"38-80")</f>
        <v>38-80</v>
      </c>
      <c r="D764" s="4">
        <f>IFERROR(__xludf.DUMMYFUNCTION("split(B764,""-"")"),27.0)</f>
        <v>27</v>
      </c>
      <c r="E764" s="4">
        <f>IFERROR(__xludf.DUMMYFUNCTION("""COMPUTED_VALUE"""),80.0)</f>
        <v>80</v>
      </c>
      <c r="F764" s="4">
        <f>IFERROR(__xludf.DUMMYFUNCTION("split(C764,""-"")"),38.0)</f>
        <v>38</v>
      </c>
      <c r="G764" s="4">
        <f>IFERROR(__xludf.DUMMYFUNCTION("""COMPUTED_VALUE"""),80.0)</f>
        <v>80</v>
      </c>
      <c r="H764" s="4">
        <f t="shared" si="1"/>
        <v>1</v>
      </c>
      <c r="J764" s="4">
        <f>IFERROR(__xludf.DUMMYFUNCTION("IFS(
ISBETWEEN(D764,F764,G764,TRUE,TRUE),1,
ISBETWEEN(E764,F764,G764,TRUE,TRUE),1,
ISBETWEEN(F764,D764,E764,TRUE,TRUE),1,
ISBETWEEN(G764,D764,E764,TRUE,TRUE),1,
1,0)"),1.0)</f>
        <v>1</v>
      </c>
    </row>
    <row r="765">
      <c r="A765" s="2" t="s">
        <v>763</v>
      </c>
      <c r="B765" s="1" t="str">
        <f>IFERROR(__xludf.DUMMYFUNCTION("SPLIT(A765,"","",)"),"46-69")</f>
        <v>46-69</v>
      </c>
      <c r="C765" s="1" t="str">
        <f>IFERROR(__xludf.DUMMYFUNCTION("""COMPUTED_VALUE"""),"46-70")</f>
        <v>46-70</v>
      </c>
      <c r="D765" s="4">
        <f>IFERROR(__xludf.DUMMYFUNCTION("split(B765,""-"")"),46.0)</f>
        <v>46</v>
      </c>
      <c r="E765" s="4">
        <f>IFERROR(__xludf.DUMMYFUNCTION("""COMPUTED_VALUE"""),69.0)</f>
        <v>69</v>
      </c>
      <c r="F765" s="4">
        <f>IFERROR(__xludf.DUMMYFUNCTION("split(C765,""-"")"),46.0)</f>
        <v>46</v>
      </c>
      <c r="G765" s="4">
        <f>IFERROR(__xludf.DUMMYFUNCTION("""COMPUTED_VALUE"""),70.0)</f>
        <v>70</v>
      </c>
      <c r="H765" s="4">
        <f t="shared" si="1"/>
        <v>1</v>
      </c>
      <c r="J765" s="4">
        <f>IFERROR(__xludf.DUMMYFUNCTION("IFS(
ISBETWEEN(D765,F765,G765,TRUE,TRUE),1,
ISBETWEEN(E765,F765,G765,TRUE,TRUE),1,
ISBETWEEN(F765,D765,E765,TRUE,TRUE),1,
ISBETWEEN(G765,D765,E765,TRUE,TRUE),1,
1,0)"),1.0)</f>
        <v>1</v>
      </c>
    </row>
    <row r="766">
      <c r="A766" s="2" t="s">
        <v>764</v>
      </c>
      <c r="B766" s="1" t="str">
        <f>IFERROR(__xludf.DUMMYFUNCTION("SPLIT(A766,"","",)"),"7-83")</f>
        <v>7-83</v>
      </c>
      <c r="C766" s="1" t="str">
        <f>IFERROR(__xludf.DUMMYFUNCTION("""COMPUTED_VALUE"""),"96-98")</f>
        <v>96-98</v>
      </c>
      <c r="D766" s="4">
        <f>IFERROR(__xludf.DUMMYFUNCTION("split(B766,""-"")"),7.0)</f>
        <v>7</v>
      </c>
      <c r="E766" s="4">
        <f>IFERROR(__xludf.DUMMYFUNCTION("""COMPUTED_VALUE"""),83.0)</f>
        <v>83</v>
      </c>
      <c r="F766" s="4">
        <f>IFERROR(__xludf.DUMMYFUNCTION("split(C766,""-"")"),96.0)</f>
        <v>96</v>
      </c>
      <c r="G766" s="4">
        <f>IFERROR(__xludf.DUMMYFUNCTION("""COMPUTED_VALUE"""),98.0)</f>
        <v>98</v>
      </c>
      <c r="H766" s="4">
        <f t="shared" si="1"/>
        <v>0</v>
      </c>
      <c r="J766" s="4">
        <f>IFERROR(__xludf.DUMMYFUNCTION("IFS(
ISBETWEEN(D766,F766,G766,TRUE,TRUE),1,
ISBETWEEN(E766,F766,G766,TRUE,TRUE),1,
ISBETWEEN(F766,D766,E766,TRUE,TRUE),1,
ISBETWEEN(G766,D766,E766,TRUE,TRUE),1,
1,0)"),0.0)</f>
        <v>0</v>
      </c>
    </row>
    <row r="767">
      <c r="A767" s="2" t="s">
        <v>765</v>
      </c>
      <c r="B767" s="1" t="str">
        <f>IFERROR(__xludf.DUMMYFUNCTION("SPLIT(A767,"","",)"),"16-96")</f>
        <v>16-96</v>
      </c>
      <c r="C767" s="3">
        <f>IFERROR(__xludf.DUMMYFUNCTION("""COMPUTED_VALUE"""),44903.0)</f>
        <v>44903</v>
      </c>
      <c r="D767" s="4">
        <f>IFERROR(__xludf.DUMMYFUNCTION("split(B767,""-"")"),16.0)</f>
        <v>16</v>
      </c>
      <c r="E767" s="4">
        <f>IFERROR(__xludf.DUMMYFUNCTION("""COMPUTED_VALUE"""),96.0)</f>
        <v>96</v>
      </c>
      <c r="F767" s="4">
        <f>IFERROR(__xludf.DUMMYFUNCTION("split(C767,""-"")"),8.0)</f>
        <v>8</v>
      </c>
      <c r="G767" s="4">
        <f>IFERROR(__xludf.DUMMYFUNCTION("""COMPUTED_VALUE"""),12.0)</f>
        <v>12</v>
      </c>
      <c r="H767" s="4">
        <f t="shared" si="1"/>
        <v>0</v>
      </c>
      <c r="J767" s="4">
        <f>IFERROR(__xludf.DUMMYFUNCTION("IFS(
ISBETWEEN(D767,F767,G767,TRUE,TRUE),1,
ISBETWEEN(E767,F767,G767,TRUE,TRUE),1,
ISBETWEEN(F767,D767,E767,TRUE,TRUE),1,
ISBETWEEN(G767,D767,E767,TRUE,TRUE),1,
1,0)"),0.0)</f>
        <v>0</v>
      </c>
    </row>
    <row r="768">
      <c r="A768" s="2" t="s">
        <v>766</v>
      </c>
      <c r="B768" s="1" t="str">
        <f>IFERROR(__xludf.DUMMYFUNCTION("SPLIT(A768,"","",)"),"5-56")</f>
        <v>5-56</v>
      </c>
      <c r="C768" s="3">
        <f>IFERROR(__xludf.DUMMYFUNCTION("""COMPUTED_VALUE"""),44809.0)</f>
        <v>44809</v>
      </c>
      <c r="D768" s="4">
        <f>IFERROR(__xludf.DUMMYFUNCTION("split(B768,""-"")"),5.0)</f>
        <v>5</v>
      </c>
      <c r="E768" s="4">
        <f>IFERROR(__xludf.DUMMYFUNCTION("""COMPUTED_VALUE"""),56.0)</f>
        <v>56</v>
      </c>
      <c r="F768" s="4">
        <f>IFERROR(__xludf.DUMMYFUNCTION("split(C768,""-"")"),5.0)</f>
        <v>5</v>
      </c>
      <c r="G768" s="4">
        <f>IFERROR(__xludf.DUMMYFUNCTION("""COMPUTED_VALUE"""),9.0)</f>
        <v>9</v>
      </c>
      <c r="H768" s="4">
        <f t="shared" si="1"/>
        <v>1</v>
      </c>
      <c r="J768" s="4">
        <f>IFERROR(__xludf.DUMMYFUNCTION("IFS(
ISBETWEEN(D768,F768,G768,TRUE,TRUE),1,
ISBETWEEN(E768,F768,G768,TRUE,TRUE),1,
ISBETWEEN(F768,D768,E768,TRUE,TRUE),1,
ISBETWEEN(G768,D768,E768,TRUE,TRUE),1,
1,0)"),1.0)</f>
        <v>1</v>
      </c>
    </row>
    <row r="769">
      <c r="A769" s="2" t="s">
        <v>767</v>
      </c>
      <c r="B769" s="1" t="str">
        <f>IFERROR(__xludf.DUMMYFUNCTION("SPLIT(A769,"","",)"),"1-96")</f>
        <v>1-96</v>
      </c>
      <c r="C769" s="1" t="str">
        <f>IFERROR(__xludf.DUMMYFUNCTION("""COMPUTED_VALUE"""),"2-97")</f>
        <v>2-97</v>
      </c>
      <c r="D769" s="4">
        <f>IFERROR(__xludf.DUMMYFUNCTION("split(B769,""-"")"),1.0)</f>
        <v>1</v>
      </c>
      <c r="E769" s="4">
        <f>IFERROR(__xludf.DUMMYFUNCTION("""COMPUTED_VALUE"""),96.0)</f>
        <v>96</v>
      </c>
      <c r="F769" s="4">
        <f>IFERROR(__xludf.DUMMYFUNCTION("split(C769,""-"")"),2.0)</f>
        <v>2</v>
      </c>
      <c r="G769" s="4">
        <f>IFERROR(__xludf.DUMMYFUNCTION("""COMPUTED_VALUE"""),97.0)</f>
        <v>97</v>
      </c>
      <c r="H769" s="4">
        <f t="shared" si="1"/>
        <v>0</v>
      </c>
      <c r="J769" s="4">
        <f>IFERROR(__xludf.DUMMYFUNCTION("IFS(
ISBETWEEN(D769,F769,G769,TRUE,TRUE),1,
ISBETWEEN(E769,F769,G769,TRUE,TRUE),1,
ISBETWEEN(F769,D769,E769,TRUE,TRUE),1,
ISBETWEEN(G769,D769,E769,TRUE,TRUE),1,
1,0)"),1.0)</f>
        <v>1</v>
      </c>
    </row>
    <row r="770">
      <c r="A770" s="2" t="s">
        <v>768</v>
      </c>
      <c r="B770" s="1" t="str">
        <f>IFERROR(__xludf.DUMMYFUNCTION("SPLIT(A770,"","",)"),"12-97")</f>
        <v>12-97</v>
      </c>
      <c r="C770" s="1" t="str">
        <f>IFERROR(__xludf.DUMMYFUNCTION("""COMPUTED_VALUE"""),"12-96")</f>
        <v>12-96</v>
      </c>
      <c r="D770" s="4">
        <f>IFERROR(__xludf.DUMMYFUNCTION("split(B770,""-"")"),12.0)</f>
        <v>12</v>
      </c>
      <c r="E770" s="4">
        <f>IFERROR(__xludf.DUMMYFUNCTION("""COMPUTED_VALUE"""),97.0)</f>
        <v>97</v>
      </c>
      <c r="F770" s="4">
        <f>IFERROR(__xludf.DUMMYFUNCTION("split(C770,""-"")"),12.0)</f>
        <v>12</v>
      </c>
      <c r="G770" s="4">
        <f>IFERROR(__xludf.DUMMYFUNCTION("""COMPUTED_VALUE"""),96.0)</f>
        <v>96</v>
      </c>
      <c r="H770" s="4">
        <f t="shared" si="1"/>
        <v>1</v>
      </c>
      <c r="J770" s="4">
        <f>IFERROR(__xludf.DUMMYFUNCTION("IFS(
ISBETWEEN(D770,F770,G770,TRUE,TRUE),1,
ISBETWEEN(E770,F770,G770,TRUE,TRUE),1,
ISBETWEEN(F770,D770,E770,TRUE,TRUE),1,
ISBETWEEN(G770,D770,E770,TRUE,TRUE),1,
1,0)"),1.0)</f>
        <v>1</v>
      </c>
    </row>
    <row r="771">
      <c r="A771" s="2" t="s">
        <v>769</v>
      </c>
      <c r="B771" s="1" t="str">
        <f>IFERROR(__xludf.DUMMYFUNCTION("SPLIT(A771,"","",)"),"78-83")</f>
        <v>78-83</v>
      </c>
      <c r="C771" s="1" t="str">
        <f>IFERROR(__xludf.DUMMYFUNCTION("""COMPUTED_VALUE"""),"78-82")</f>
        <v>78-82</v>
      </c>
      <c r="D771" s="4">
        <f>IFERROR(__xludf.DUMMYFUNCTION("split(B771,""-"")"),78.0)</f>
        <v>78</v>
      </c>
      <c r="E771" s="4">
        <f>IFERROR(__xludf.DUMMYFUNCTION("""COMPUTED_VALUE"""),83.0)</f>
        <v>83</v>
      </c>
      <c r="F771" s="4">
        <f>IFERROR(__xludf.DUMMYFUNCTION("split(C771,""-"")"),78.0)</f>
        <v>78</v>
      </c>
      <c r="G771" s="4">
        <f>IFERROR(__xludf.DUMMYFUNCTION("""COMPUTED_VALUE"""),82.0)</f>
        <v>82</v>
      </c>
      <c r="H771" s="4">
        <f t="shared" si="1"/>
        <v>1</v>
      </c>
      <c r="J771" s="4">
        <f>IFERROR(__xludf.DUMMYFUNCTION("IFS(
ISBETWEEN(D771,F771,G771,TRUE,TRUE),1,
ISBETWEEN(E771,F771,G771,TRUE,TRUE),1,
ISBETWEEN(F771,D771,E771,TRUE,TRUE),1,
ISBETWEEN(G771,D771,E771,TRUE,TRUE),1,
1,0)"),1.0)</f>
        <v>1</v>
      </c>
    </row>
    <row r="772">
      <c r="A772" s="2" t="s">
        <v>770</v>
      </c>
      <c r="B772" s="1" t="str">
        <f>IFERROR(__xludf.DUMMYFUNCTION("SPLIT(A772,"","",)"),"3-63")</f>
        <v>3-63</v>
      </c>
      <c r="C772" s="3">
        <f>IFERROR(__xludf.DUMMYFUNCTION("""COMPUTED_VALUE"""),44621.0)</f>
        <v>44621</v>
      </c>
      <c r="D772" s="4">
        <f>IFERROR(__xludf.DUMMYFUNCTION("split(B772,""-"")"),3.0)</f>
        <v>3</v>
      </c>
      <c r="E772" s="4">
        <f>IFERROR(__xludf.DUMMYFUNCTION("""COMPUTED_VALUE"""),63.0)</f>
        <v>63</v>
      </c>
      <c r="F772" s="4">
        <f>IFERROR(__xludf.DUMMYFUNCTION("split(C772,""-"")"),1.0)</f>
        <v>1</v>
      </c>
      <c r="G772" s="4">
        <f>IFERROR(__xludf.DUMMYFUNCTION("""COMPUTED_VALUE"""),3.0)</f>
        <v>3</v>
      </c>
      <c r="H772" s="4">
        <f t="shared" si="1"/>
        <v>0</v>
      </c>
      <c r="J772" s="4">
        <f>IFERROR(__xludf.DUMMYFUNCTION("IFS(
ISBETWEEN(D772,F772,G772,TRUE,TRUE),1,
ISBETWEEN(E772,F772,G772,TRUE,TRUE),1,
ISBETWEEN(F772,D772,E772,TRUE,TRUE),1,
ISBETWEEN(G772,D772,E772,TRUE,TRUE),1,
1,0)"),1.0)</f>
        <v>1</v>
      </c>
    </row>
    <row r="773">
      <c r="A773" s="2" t="s">
        <v>771</v>
      </c>
      <c r="B773" s="1" t="str">
        <f>IFERROR(__xludf.DUMMYFUNCTION("SPLIT(A773,"","",)"),"4-76")</f>
        <v>4-76</v>
      </c>
      <c r="C773" s="3">
        <f>IFERROR(__xludf.DUMMYFUNCTION("""COMPUTED_VALUE"""),44683.0)</f>
        <v>44683</v>
      </c>
      <c r="D773" s="4">
        <f>IFERROR(__xludf.DUMMYFUNCTION("split(B773,""-"")"),4.0)</f>
        <v>4</v>
      </c>
      <c r="E773" s="4">
        <f>IFERROR(__xludf.DUMMYFUNCTION("""COMPUTED_VALUE"""),76.0)</f>
        <v>76</v>
      </c>
      <c r="F773" s="4">
        <f>IFERROR(__xludf.DUMMYFUNCTION("split(C773,""-"")"),2.0)</f>
        <v>2</v>
      </c>
      <c r="G773" s="4">
        <f>IFERROR(__xludf.DUMMYFUNCTION("""COMPUTED_VALUE"""),5.0)</f>
        <v>5</v>
      </c>
      <c r="H773" s="4">
        <f t="shared" si="1"/>
        <v>0</v>
      </c>
      <c r="J773" s="4">
        <f>IFERROR(__xludf.DUMMYFUNCTION("IFS(
ISBETWEEN(D773,F773,G773,TRUE,TRUE),1,
ISBETWEEN(E773,F773,G773,TRUE,TRUE),1,
ISBETWEEN(F773,D773,E773,TRUE,TRUE),1,
ISBETWEEN(G773,D773,E773,TRUE,TRUE),1,
1,0)"),1.0)</f>
        <v>1</v>
      </c>
    </row>
    <row r="774">
      <c r="A774" s="2" t="s">
        <v>772</v>
      </c>
      <c r="B774" s="1" t="str">
        <f>IFERROR(__xludf.DUMMYFUNCTION("SPLIT(A774,"","",)"),"68-96")</f>
        <v>68-96</v>
      </c>
      <c r="C774" s="1" t="str">
        <f>IFERROR(__xludf.DUMMYFUNCTION("""COMPUTED_VALUE"""),"69-81")</f>
        <v>69-81</v>
      </c>
      <c r="D774" s="4">
        <f>IFERROR(__xludf.DUMMYFUNCTION("split(B774,""-"")"),68.0)</f>
        <v>68</v>
      </c>
      <c r="E774" s="4">
        <f>IFERROR(__xludf.DUMMYFUNCTION("""COMPUTED_VALUE"""),96.0)</f>
        <v>96</v>
      </c>
      <c r="F774" s="4">
        <f>IFERROR(__xludf.DUMMYFUNCTION("split(C774,""-"")"),69.0)</f>
        <v>69</v>
      </c>
      <c r="G774" s="4">
        <f>IFERROR(__xludf.DUMMYFUNCTION("""COMPUTED_VALUE"""),81.0)</f>
        <v>81</v>
      </c>
      <c r="H774" s="4">
        <f t="shared" si="1"/>
        <v>1</v>
      </c>
      <c r="J774" s="4">
        <f>IFERROR(__xludf.DUMMYFUNCTION("IFS(
ISBETWEEN(D774,F774,G774,TRUE,TRUE),1,
ISBETWEEN(E774,F774,G774,TRUE,TRUE),1,
ISBETWEEN(F774,D774,E774,TRUE,TRUE),1,
ISBETWEEN(G774,D774,E774,TRUE,TRUE),1,
1,0)"),1.0)</f>
        <v>1</v>
      </c>
    </row>
    <row r="775">
      <c r="A775" s="2" t="s">
        <v>773</v>
      </c>
      <c r="B775" s="1" t="str">
        <f>IFERROR(__xludf.DUMMYFUNCTION("SPLIT(A775,"","",)"),"19-84")</f>
        <v>19-84</v>
      </c>
      <c r="C775" s="1" t="str">
        <f>IFERROR(__xludf.DUMMYFUNCTION("""COMPUTED_VALUE"""),"14-20")</f>
        <v>14-20</v>
      </c>
      <c r="D775" s="4">
        <f>IFERROR(__xludf.DUMMYFUNCTION("split(B775,""-"")"),19.0)</f>
        <v>19</v>
      </c>
      <c r="E775" s="4">
        <f>IFERROR(__xludf.DUMMYFUNCTION("""COMPUTED_VALUE"""),84.0)</f>
        <v>84</v>
      </c>
      <c r="F775" s="4">
        <f>IFERROR(__xludf.DUMMYFUNCTION("split(C775,""-"")"),14.0)</f>
        <v>14</v>
      </c>
      <c r="G775" s="4">
        <f>IFERROR(__xludf.DUMMYFUNCTION("""COMPUTED_VALUE"""),20.0)</f>
        <v>20</v>
      </c>
      <c r="H775" s="4">
        <f t="shared" si="1"/>
        <v>0</v>
      </c>
      <c r="J775" s="4">
        <f>IFERROR(__xludf.DUMMYFUNCTION("IFS(
ISBETWEEN(D775,F775,G775,TRUE,TRUE),1,
ISBETWEEN(E775,F775,G775,TRUE,TRUE),1,
ISBETWEEN(F775,D775,E775,TRUE,TRUE),1,
ISBETWEEN(G775,D775,E775,TRUE,TRUE),1,
1,0)"),1.0)</f>
        <v>1</v>
      </c>
    </row>
    <row r="776">
      <c r="A776" s="2" t="s">
        <v>774</v>
      </c>
      <c r="B776" s="1" t="str">
        <f>IFERROR(__xludf.DUMMYFUNCTION("SPLIT(A776,"","",)"),"35-78")</f>
        <v>35-78</v>
      </c>
      <c r="C776" s="1" t="str">
        <f>IFERROR(__xludf.DUMMYFUNCTION("""COMPUTED_VALUE"""),"34-78")</f>
        <v>34-78</v>
      </c>
      <c r="D776" s="4">
        <f>IFERROR(__xludf.DUMMYFUNCTION("split(B776,""-"")"),35.0)</f>
        <v>35</v>
      </c>
      <c r="E776" s="4">
        <f>IFERROR(__xludf.DUMMYFUNCTION("""COMPUTED_VALUE"""),78.0)</f>
        <v>78</v>
      </c>
      <c r="F776" s="4">
        <f>IFERROR(__xludf.DUMMYFUNCTION("split(C776,""-"")"),34.0)</f>
        <v>34</v>
      </c>
      <c r="G776" s="4">
        <f>IFERROR(__xludf.DUMMYFUNCTION("""COMPUTED_VALUE"""),78.0)</f>
        <v>78</v>
      </c>
      <c r="H776" s="4">
        <f t="shared" si="1"/>
        <v>1</v>
      </c>
      <c r="J776" s="4">
        <f>IFERROR(__xludf.DUMMYFUNCTION("IFS(
ISBETWEEN(D776,F776,G776,TRUE,TRUE),1,
ISBETWEEN(E776,F776,G776,TRUE,TRUE),1,
ISBETWEEN(F776,D776,E776,TRUE,TRUE),1,
ISBETWEEN(G776,D776,E776,TRUE,TRUE),1,
1,0)"),1.0)</f>
        <v>1</v>
      </c>
    </row>
    <row r="777">
      <c r="A777" s="2" t="s">
        <v>775</v>
      </c>
      <c r="B777" s="1" t="str">
        <f>IFERROR(__xludf.DUMMYFUNCTION("SPLIT(A777,"","",)"),"41-66")</f>
        <v>41-66</v>
      </c>
      <c r="C777" s="1" t="str">
        <f>IFERROR(__xludf.DUMMYFUNCTION("""COMPUTED_VALUE"""),"42-65")</f>
        <v>42-65</v>
      </c>
      <c r="D777" s="4">
        <f>IFERROR(__xludf.DUMMYFUNCTION("split(B777,""-"")"),41.0)</f>
        <v>41</v>
      </c>
      <c r="E777" s="4">
        <f>IFERROR(__xludf.DUMMYFUNCTION("""COMPUTED_VALUE"""),66.0)</f>
        <v>66</v>
      </c>
      <c r="F777" s="4">
        <f>IFERROR(__xludf.DUMMYFUNCTION("split(C777,""-"")"),42.0)</f>
        <v>42</v>
      </c>
      <c r="G777" s="4">
        <f>IFERROR(__xludf.DUMMYFUNCTION("""COMPUTED_VALUE"""),65.0)</f>
        <v>65</v>
      </c>
      <c r="H777" s="4">
        <f t="shared" si="1"/>
        <v>1</v>
      </c>
      <c r="J777" s="4">
        <f>IFERROR(__xludf.DUMMYFUNCTION("IFS(
ISBETWEEN(D777,F777,G777,TRUE,TRUE),1,
ISBETWEEN(E777,F777,G777,TRUE,TRUE),1,
ISBETWEEN(F777,D777,E777,TRUE,TRUE),1,
ISBETWEEN(G777,D777,E777,TRUE,TRUE),1,
1,0)"),1.0)</f>
        <v>1</v>
      </c>
    </row>
    <row r="778">
      <c r="A778" s="2" t="s">
        <v>776</v>
      </c>
      <c r="B778" s="1" t="str">
        <f>IFERROR(__xludf.DUMMYFUNCTION("SPLIT(A778,"","",)"),"18-96")</f>
        <v>18-96</v>
      </c>
      <c r="C778" s="1" t="str">
        <f>IFERROR(__xludf.DUMMYFUNCTION("""COMPUTED_VALUE"""),"46-56")</f>
        <v>46-56</v>
      </c>
      <c r="D778" s="4">
        <f>IFERROR(__xludf.DUMMYFUNCTION("split(B778,""-"")"),18.0)</f>
        <v>18</v>
      </c>
      <c r="E778" s="4">
        <f>IFERROR(__xludf.DUMMYFUNCTION("""COMPUTED_VALUE"""),96.0)</f>
        <v>96</v>
      </c>
      <c r="F778" s="4">
        <f>IFERROR(__xludf.DUMMYFUNCTION("split(C778,""-"")"),46.0)</f>
        <v>46</v>
      </c>
      <c r="G778" s="4">
        <f>IFERROR(__xludf.DUMMYFUNCTION("""COMPUTED_VALUE"""),56.0)</f>
        <v>56</v>
      </c>
      <c r="H778" s="4">
        <f t="shared" si="1"/>
        <v>1</v>
      </c>
      <c r="J778" s="4">
        <f>IFERROR(__xludf.DUMMYFUNCTION("IFS(
ISBETWEEN(D778,F778,G778,TRUE,TRUE),1,
ISBETWEEN(E778,F778,G778,TRUE,TRUE),1,
ISBETWEEN(F778,D778,E778,TRUE,TRUE),1,
ISBETWEEN(G778,D778,E778,TRUE,TRUE),1,
1,0)"),1.0)</f>
        <v>1</v>
      </c>
    </row>
    <row r="779">
      <c r="A779" s="2" t="s">
        <v>777</v>
      </c>
      <c r="B779" s="1" t="str">
        <f>IFERROR(__xludf.DUMMYFUNCTION("SPLIT(A779,"","",)"),"37-94")</f>
        <v>37-94</v>
      </c>
      <c r="C779" s="1" t="str">
        <f>IFERROR(__xludf.DUMMYFUNCTION("""COMPUTED_VALUE"""),"15-37")</f>
        <v>15-37</v>
      </c>
      <c r="D779" s="4">
        <f>IFERROR(__xludf.DUMMYFUNCTION("split(B779,""-"")"),37.0)</f>
        <v>37</v>
      </c>
      <c r="E779" s="4">
        <f>IFERROR(__xludf.DUMMYFUNCTION("""COMPUTED_VALUE"""),94.0)</f>
        <v>94</v>
      </c>
      <c r="F779" s="4">
        <f>IFERROR(__xludf.DUMMYFUNCTION("split(C779,""-"")"),15.0)</f>
        <v>15</v>
      </c>
      <c r="G779" s="4">
        <f>IFERROR(__xludf.DUMMYFUNCTION("""COMPUTED_VALUE"""),37.0)</f>
        <v>37</v>
      </c>
      <c r="H779" s="4">
        <f t="shared" si="1"/>
        <v>0</v>
      </c>
      <c r="J779" s="4">
        <f>IFERROR(__xludf.DUMMYFUNCTION("IFS(
ISBETWEEN(D779,F779,G779,TRUE,TRUE),1,
ISBETWEEN(E779,F779,G779,TRUE,TRUE),1,
ISBETWEEN(F779,D779,E779,TRUE,TRUE),1,
ISBETWEEN(G779,D779,E779,TRUE,TRUE),1,
1,0)"),1.0)</f>
        <v>1</v>
      </c>
    </row>
    <row r="780">
      <c r="A780" s="2" t="s">
        <v>778</v>
      </c>
      <c r="B780" s="1" t="str">
        <f>IFERROR(__xludf.DUMMYFUNCTION("SPLIT(A780,"","",)"),"69-94")</f>
        <v>69-94</v>
      </c>
      <c r="C780" s="1" t="str">
        <f>IFERROR(__xludf.DUMMYFUNCTION("""COMPUTED_VALUE"""),"69-93")</f>
        <v>69-93</v>
      </c>
      <c r="D780" s="4">
        <f>IFERROR(__xludf.DUMMYFUNCTION("split(B780,""-"")"),69.0)</f>
        <v>69</v>
      </c>
      <c r="E780" s="4">
        <f>IFERROR(__xludf.DUMMYFUNCTION("""COMPUTED_VALUE"""),94.0)</f>
        <v>94</v>
      </c>
      <c r="F780" s="4">
        <f>IFERROR(__xludf.DUMMYFUNCTION("split(C780,""-"")"),69.0)</f>
        <v>69</v>
      </c>
      <c r="G780" s="4">
        <f>IFERROR(__xludf.DUMMYFUNCTION("""COMPUTED_VALUE"""),93.0)</f>
        <v>93</v>
      </c>
      <c r="H780" s="4">
        <f t="shared" si="1"/>
        <v>1</v>
      </c>
      <c r="J780" s="4">
        <f>IFERROR(__xludf.DUMMYFUNCTION("IFS(
ISBETWEEN(D780,F780,G780,TRUE,TRUE),1,
ISBETWEEN(E780,F780,G780,TRUE,TRUE),1,
ISBETWEEN(F780,D780,E780,TRUE,TRUE),1,
ISBETWEEN(G780,D780,E780,TRUE,TRUE),1,
1,0)"),1.0)</f>
        <v>1</v>
      </c>
    </row>
    <row r="781">
      <c r="A781" s="2" t="s">
        <v>779</v>
      </c>
      <c r="B781" s="1" t="str">
        <f>IFERROR(__xludf.DUMMYFUNCTION("SPLIT(A781,"","",)"),"22-24")</f>
        <v>22-24</v>
      </c>
      <c r="C781" s="1" t="str">
        <f>IFERROR(__xludf.DUMMYFUNCTION("""COMPUTED_VALUE"""),"23-97")</f>
        <v>23-97</v>
      </c>
      <c r="D781" s="4">
        <f>IFERROR(__xludf.DUMMYFUNCTION("split(B781,""-"")"),22.0)</f>
        <v>22</v>
      </c>
      <c r="E781" s="4">
        <f>IFERROR(__xludf.DUMMYFUNCTION("""COMPUTED_VALUE"""),24.0)</f>
        <v>24</v>
      </c>
      <c r="F781" s="4">
        <f>IFERROR(__xludf.DUMMYFUNCTION("split(C781,""-"")"),23.0)</f>
        <v>23</v>
      </c>
      <c r="G781" s="4">
        <f>IFERROR(__xludf.DUMMYFUNCTION("""COMPUTED_VALUE"""),97.0)</f>
        <v>97</v>
      </c>
      <c r="H781" s="4">
        <f t="shared" si="1"/>
        <v>0</v>
      </c>
      <c r="J781" s="4">
        <f>IFERROR(__xludf.DUMMYFUNCTION("IFS(
ISBETWEEN(D781,F781,G781,TRUE,TRUE),1,
ISBETWEEN(E781,F781,G781,TRUE,TRUE),1,
ISBETWEEN(F781,D781,E781,TRUE,TRUE),1,
ISBETWEEN(G781,D781,E781,TRUE,TRUE),1,
1,0)"),1.0)</f>
        <v>1</v>
      </c>
    </row>
    <row r="782">
      <c r="A782" s="2" t="s">
        <v>780</v>
      </c>
      <c r="B782" s="1" t="str">
        <f>IFERROR(__xludf.DUMMYFUNCTION("SPLIT(A782,"","",)"),"25-47")</f>
        <v>25-47</v>
      </c>
      <c r="C782" s="1" t="str">
        <f>IFERROR(__xludf.DUMMYFUNCTION("""COMPUTED_VALUE"""),"19-25")</f>
        <v>19-25</v>
      </c>
      <c r="D782" s="4">
        <f>IFERROR(__xludf.DUMMYFUNCTION("split(B782,""-"")"),25.0)</f>
        <v>25</v>
      </c>
      <c r="E782" s="4">
        <f>IFERROR(__xludf.DUMMYFUNCTION("""COMPUTED_VALUE"""),47.0)</f>
        <v>47</v>
      </c>
      <c r="F782" s="4">
        <f>IFERROR(__xludf.DUMMYFUNCTION("split(C782,""-"")"),19.0)</f>
        <v>19</v>
      </c>
      <c r="G782" s="4">
        <f>IFERROR(__xludf.DUMMYFUNCTION("""COMPUTED_VALUE"""),25.0)</f>
        <v>25</v>
      </c>
      <c r="H782" s="4">
        <f t="shared" si="1"/>
        <v>0</v>
      </c>
      <c r="J782" s="4">
        <f>IFERROR(__xludf.DUMMYFUNCTION("IFS(
ISBETWEEN(D782,F782,G782,TRUE,TRUE),1,
ISBETWEEN(E782,F782,G782,TRUE,TRUE),1,
ISBETWEEN(F782,D782,E782,TRUE,TRUE),1,
ISBETWEEN(G782,D782,E782,TRUE,TRUE),1,
1,0)"),1.0)</f>
        <v>1</v>
      </c>
    </row>
    <row r="783">
      <c r="A783" s="2" t="s">
        <v>781</v>
      </c>
      <c r="B783" s="1" t="str">
        <f>IFERROR(__xludf.DUMMYFUNCTION("SPLIT(A783,"","",)"),"4-40")</f>
        <v>4-40</v>
      </c>
      <c r="C783" s="1" t="str">
        <f>IFERROR(__xludf.DUMMYFUNCTION("""COMPUTED_VALUE"""),"7-98")</f>
        <v>7-98</v>
      </c>
      <c r="D783" s="4">
        <f>IFERROR(__xludf.DUMMYFUNCTION("split(B783,""-"")"),4.0)</f>
        <v>4</v>
      </c>
      <c r="E783" s="4">
        <f>IFERROR(__xludf.DUMMYFUNCTION("""COMPUTED_VALUE"""),40.0)</f>
        <v>40</v>
      </c>
      <c r="F783" s="4">
        <f>IFERROR(__xludf.DUMMYFUNCTION("split(C783,""-"")"),7.0)</f>
        <v>7</v>
      </c>
      <c r="G783" s="4">
        <f>IFERROR(__xludf.DUMMYFUNCTION("""COMPUTED_VALUE"""),98.0)</f>
        <v>98</v>
      </c>
      <c r="H783" s="4">
        <f t="shared" si="1"/>
        <v>0</v>
      </c>
      <c r="J783" s="4">
        <f>IFERROR(__xludf.DUMMYFUNCTION("IFS(
ISBETWEEN(D783,F783,G783,TRUE,TRUE),1,
ISBETWEEN(E783,F783,G783,TRUE,TRUE),1,
ISBETWEEN(F783,D783,E783,TRUE,TRUE),1,
ISBETWEEN(G783,D783,E783,TRUE,TRUE),1,
1,0)"),1.0)</f>
        <v>1</v>
      </c>
    </row>
    <row r="784">
      <c r="A784" s="2" t="s">
        <v>782</v>
      </c>
      <c r="B784" s="1" t="str">
        <f>IFERROR(__xludf.DUMMYFUNCTION("SPLIT(A784,"","",)"),"67-96")</f>
        <v>67-96</v>
      </c>
      <c r="C784" s="1" t="str">
        <f>IFERROR(__xludf.DUMMYFUNCTION("""COMPUTED_VALUE"""),"68-95")</f>
        <v>68-95</v>
      </c>
      <c r="D784" s="4">
        <f>IFERROR(__xludf.DUMMYFUNCTION("split(B784,""-"")"),67.0)</f>
        <v>67</v>
      </c>
      <c r="E784" s="4">
        <f>IFERROR(__xludf.DUMMYFUNCTION("""COMPUTED_VALUE"""),96.0)</f>
        <v>96</v>
      </c>
      <c r="F784" s="4">
        <f>IFERROR(__xludf.DUMMYFUNCTION("split(C784,""-"")"),68.0)</f>
        <v>68</v>
      </c>
      <c r="G784" s="4">
        <f>IFERROR(__xludf.DUMMYFUNCTION("""COMPUTED_VALUE"""),95.0)</f>
        <v>95</v>
      </c>
      <c r="H784" s="4">
        <f t="shared" si="1"/>
        <v>1</v>
      </c>
      <c r="J784" s="4">
        <f>IFERROR(__xludf.DUMMYFUNCTION("IFS(
ISBETWEEN(D784,F784,G784,TRUE,TRUE),1,
ISBETWEEN(E784,F784,G784,TRUE,TRUE),1,
ISBETWEEN(F784,D784,E784,TRUE,TRUE),1,
ISBETWEEN(G784,D784,E784,TRUE,TRUE),1,
1,0)"),1.0)</f>
        <v>1</v>
      </c>
    </row>
    <row r="785">
      <c r="A785" s="2" t="s">
        <v>783</v>
      </c>
      <c r="B785" s="1" t="str">
        <f>IFERROR(__xludf.DUMMYFUNCTION("SPLIT(A785,"","",)"),"43-75")</f>
        <v>43-75</v>
      </c>
      <c r="C785" s="1" t="str">
        <f>IFERROR(__xludf.DUMMYFUNCTION("""COMPUTED_VALUE"""),"31-74")</f>
        <v>31-74</v>
      </c>
      <c r="D785" s="4">
        <f>IFERROR(__xludf.DUMMYFUNCTION("split(B785,""-"")"),43.0)</f>
        <v>43</v>
      </c>
      <c r="E785" s="4">
        <f>IFERROR(__xludf.DUMMYFUNCTION("""COMPUTED_VALUE"""),75.0)</f>
        <v>75</v>
      </c>
      <c r="F785" s="4">
        <f>IFERROR(__xludf.DUMMYFUNCTION("split(C785,""-"")"),31.0)</f>
        <v>31</v>
      </c>
      <c r="G785" s="4">
        <f>IFERROR(__xludf.DUMMYFUNCTION("""COMPUTED_VALUE"""),74.0)</f>
        <v>74</v>
      </c>
      <c r="H785" s="4">
        <f t="shared" si="1"/>
        <v>0</v>
      </c>
      <c r="J785" s="4">
        <f>IFERROR(__xludf.DUMMYFUNCTION("IFS(
ISBETWEEN(D785,F785,G785,TRUE,TRUE),1,
ISBETWEEN(E785,F785,G785,TRUE,TRUE),1,
ISBETWEEN(F785,D785,E785,TRUE,TRUE),1,
ISBETWEEN(G785,D785,E785,TRUE,TRUE),1,
1,0)"),1.0)</f>
        <v>1</v>
      </c>
    </row>
    <row r="786">
      <c r="A786" s="2" t="s">
        <v>784</v>
      </c>
      <c r="B786" s="1" t="str">
        <f>IFERROR(__xludf.DUMMYFUNCTION("SPLIT(A786,"","",)"),"51-77")</f>
        <v>51-77</v>
      </c>
      <c r="C786" s="1" t="str">
        <f>IFERROR(__xludf.DUMMYFUNCTION("""COMPUTED_VALUE"""),"50-51")</f>
        <v>50-51</v>
      </c>
      <c r="D786" s="4">
        <f>IFERROR(__xludf.DUMMYFUNCTION("split(B786,""-"")"),51.0)</f>
        <v>51</v>
      </c>
      <c r="E786" s="4">
        <f>IFERROR(__xludf.DUMMYFUNCTION("""COMPUTED_VALUE"""),77.0)</f>
        <v>77</v>
      </c>
      <c r="F786" s="4">
        <f>IFERROR(__xludf.DUMMYFUNCTION("split(C786,""-"")"),50.0)</f>
        <v>50</v>
      </c>
      <c r="G786" s="4">
        <f>IFERROR(__xludf.DUMMYFUNCTION("""COMPUTED_VALUE"""),51.0)</f>
        <v>51</v>
      </c>
      <c r="H786" s="4">
        <f t="shared" si="1"/>
        <v>0</v>
      </c>
      <c r="J786" s="4">
        <f>IFERROR(__xludf.DUMMYFUNCTION("IFS(
ISBETWEEN(D786,F786,G786,TRUE,TRUE),1,
ISBETWEEN(E786,F786,G786,TRUE,TRUE),1,
ISBETWEEN(F786,D786,E786,TRUE,TRUE),1,
ISBETWEEN(G786,D786,E786,TRUE,TRUE),1,
1,0)"),1.0)</f>
        <v>1</v>
      </c>
    </row>
    <row r="787">
      <c r="A787" s="2" t="s">
        <v>785</v>
      </c>
      <c r="B787" s="1" t="str">
        <f>IFERROR(__xludf.DUMMYFUNCTION("SPLIT(A787,"","",)"),"6-76")</f>
        <v>6-76</v>
      </c>
      <c r="C787" s="1" t="str">
        <f>IFERROR(__xludf.DUMMYFUNCTION("""COMPUTED_VALUE"""),"77-77")</f>
        <v>77-77</v>
      </c>
      <c r="D787" s="4">
        <f>IFERROR(__xludf.DUMMYFUNCTION("split(B787,""-"")"),6.0)</f>
        <v>6</v>
      </c>
      <c r="E787" s="4">
        <f>IFERROR(__xludf.DUMMYFUNCTION("""COMPUTED_VALUE"""),76.0)</f>
        <v>76</v>
      </c>
      <c r="F787" s="4">
        <f>IFERROR(__xludf.DUMMYFUNCTION("split(C787,""-"")"),77.0)</f>
        <v>77</v>
      </c>
      <c r="G787" s="4">
        <f>IFERROR(__xludf.DUMMYFUNCTION("""COMPUTED_VALUE"""),77.0)</f>
        <v>77</v>
      </c>
      <c r="H787" s="4">
        <f t="shared" si="1"/>
        <v>0</v>
      </c>
      <c r="J787" s="4">
        <f>IFERROR(__xludf.DUMMYFUNCTION("IFS(
ISBETWEEN(D787,F787,G787,TRUE,TRUE),1,
ISBETWEEN(E787,F787,G787,TRUE,TRUE),1,
ISBETWEEN(F787,D787,E787,TRUE,TRUE),1,
ISBETWEEN(G787,D787,E787,TRUE,TRUE),1,
1,0)"),0.0)</f>
        <v>0</v>
      </c>
    </row>
    <row r="788">
      <c r="A788" s="2" t="s">
        <v>786</v>
      </c>
      <c r="B788" s="1" t="str">
        <f>IFERROR(__xludf.DUMMYFUNCTION("SPLIT(A788,"","",)"),"8-96")</f>
        <v>8-96</v>
      </c>
      <c r="C788" s="1" t="str">
        <f>IFERROR(__xludf.DUMMYFUNCTION("""COMPUTED_VALUE"""),"7-97")</f>
        <v>7-97</v>
      </c>
      <c r="D788" s="4">
        <f>IFERROR(__xludf.DUMMYFUNCTION("split(B788,""-"")"),8.0)</f>
        <v>8</v>
      </c>
      <c r="E788" s="4">
        <f>IFERROR(__xludf.DUMMYFUNCTION("""COMPUTED_VALUE"""),96.0)</f>
        <v>96</v>
      </c>
      <c r="F788" s="4">
        <f>IFERROR(__xludf.DUMMYFUNCTION("split(C788,""-"")"),7.0)</f>
        <v>7</v>
      </c>
      <c r="G788" s="4">
        <f>IFERROR(__xludf.DUMMYFUNCTION("""COMPUTED_VALUE"""),97.0)</f>
        <v>97</v>
      </c>
      <c r="H788" s="4">
        <f t="shared" si="1"/>
        <v>1</v>
      </c>
      <c r="J788" s="4">
        <f>IFERROR(__xludf.DUMMYFUNCTION("IFS(
ISBETWEEN(D788,F788,G788,TRUE,TRUE),1,
ISBETWEEN(E788,F788,G788,TRUE,TRUE),1,
ISBETWEEN(F788,D788,E788,TRUE,TRUE),1,
ISBETWEEN(G788,D788,E788,TRUE,TRUE),1,
1,0)"),1.0)</f>
        <v>1</v>
      </c>
    </row>
    <row r="789">
      <c r="A789" s="2" t="s">
        <v>787</v>
      </c>
      <c r="B789" s="1" t="str">
        <f>IFERROR(__xludf.DUMMYFUNCTION("SPLIT(A789,"","",)"),"45-85")</f>
        <v>45-85</v>
      </c>
      <c r="C789" s="1" t="str">
        <f>IFERROR(__xludf.DUMMYFUNCTION("""COMPUTED_VALUE"""),"85-85")</f>
        <v>85-85</v>
      </c>
      <c r="D789" s="4">
        <f>IFERROR(__xludf.DUMMYFUNCTION("split(B789,""-"")"),45.0)</f>
        <v>45</v>
      </c>
      <c r="E789" s="4">
        <f>IFERROR(__xludf.DUMMYFUNCTION("""COMPUTED_VALUE"""),85.0)</f>
        <v>85</v>
      </c>
      <c r="F789" s="4">
        <f>IFERROR(__xludf.DUMMYFUNCTION("split(C789,""-"")"),85.0)</f>
        <v>85</v>
      </c>
      <c r="G789" s="4">
        <f>IFERROR(__xludf.DUMMYFUNCTION("""COMPUTED_VALUE"""),85.0)</f>
        <v>85</v>
      </c>
      <c r="H789" s="4">
        <f t="shared" si="1"/>
        <v>1</v>
      </c>
      <c r="J789" s="4">
        <f>IFERROR(__xludf.DUMMYFUNCTION("IFS(
ISBETWEEN(D789,F789,G789,TRUE,TRUE),1,
ISBETWEEN(E789,F789,G789,TRUE,TRUE),1,
ISBETWEEN(F789,D789,E789,TRUE,TRUE),1,
ISBETWEEN(G789,D789,E789,TRUE,TRUE),1,
1,0)"),1.0)</f>
        <v>1</v>
      </c>
    </row>
    <row r="790">
      <c r="A790" s="2" t="s">
        <v>788</v>
      </c>
      <c r="B790" s="1" t="str">
        <f>IFERROR(__xludf.DUMMYFUNCTION("SPLIT(A790,"","",)"),"37-62")</f>
        <v>37-62</v>
      </c>
      <c r="C790" s="1" t="str">
        <f>IFERROR(__xludf.DUMMYFUNCTION("""COMPUTED_VALUE"""),"37-61")</f>
        <v>37-61</v>
      </c>
      <c r="D790" s="4">
        <f>IFERROR(__xludf.DUMMYFUNCTION("split(B790,""-"")"),37.0)</f>
        <v>37</v>
      </c>
      <c r="E790" s="4">
        <f>IFERROR(__xludf.DUMMYFUNCTION("""COMPUTED_VALUE"""),62.0)</f>
        <v>62</v>
      </c>
      <c r="F790" s="4">
        <f>IFERROR(__xludf.DUMMYFUNCTION("split(C790,""-"")"),37.0)</f>
        <v>37</v>
      </c>
      <c r="G790" s="4">
        <f>IFERROR(__xludf.DUMMYFUNCTION("""COMPUTED_VALUE"""),61.0)</f>
        <v>61</v>
      </c>
      <c r="H790" s="4">
        <f t="shared" si="1"/>
        <v>1</v>
      </c>
      <c r="J790" s="4">
        <f>IFERROR(__xludf.DUMMYFUNCTION("IFS(
ISBETWEEN(D790,F790,G790,TRUE,TRUE),1,
ISBETWEEN(E790,F790,G790,TRUE,TRUE),1,
ISBETWEEN(F790,D790,E790,TRUE,TRUE),1,
ISBETWEEN(G790,D790,E790,TRUE,TRUE),1,
1,0)"),1.0)</f>
        <v>1</v>
      </c>
    </row>
    <row r="791">
      <c r="A791" s="2" t="s">
        <v>789</v>
      </c>
      <c r="B791" s="1" t="str">
        <f>IFERROR(__xludf.DUMMYFUNCTION("SPLIT(A791,"","",)"),"25-59")</f>
        <v>25-59</v>
      </c>
      <c r="C791" s="1" t="str">
        <f>IFERROR(__xludf.DUMMYFUNCTION("""COMPUTED_VALUE"""),"24-58")</f>
        <v>24-58</v>
      </c>
      <c r="D791" s="4">
        <f>IFERROR(__xludf.DUMMYFUNCTION("split(B791,""-"")"),25.0)</f>
        <v>25</v>
      </c>
      <c r="E791" s="4">
        <f>IFERROR(__xludf.DUMMYFUNCTION("""COMPUTED_VALUE"""),59.0)</f>
        <v>59</v>
      </c>
      <c r="F791" s="4">
        <f>IFERROR(__xludf.DUMMYFUNCTION("split(C791,""-"")"),24.0)</f>
        <v>24</v>
      </c>
      <c r="G791" s="4">
        <f>IFERROR(__xludf.DUMMYFUNCTION("""COMPUTED_VALUE"""),58.0)</f>
        <v>58</v>
      </c>
      <c r="H791" s="4">
        <f t="shared" si="1"/>
        <v>0</v>
      </c>
      <c r="J791" s="4">
        <f>IFERROR(__xludf.DUMMYFUNCTION("IFS(
ISBETWEEN(D791,F791,G791,TRUE,TRUE),1,
ISBETWEEN(E791,F791,G791,TRUE,TRUE),1,
ISBETWEEN(F791,D791,E791,TRUE,TRUE),1,
ISBETWEEN(G791,D791,E791,TRUE,TRUE),1,
1,0)"),1.0)</f>
        <v>1</v>
      </c>
    </row>
    <row r="792">
      <c r="A792" s="2" t="s">
        <v>790</v>
      </c>
      <c r="B792" s="1" t="str">
        <f>IFERROR(__xludf.DUMMYFUNCTION("SPLIT(A792,"","",)"),"22-79")</f>
        <v>22-79</v>
      </c>
      <c r="C792" s="1" t="str">
        <f>IFERROR(__xludf.DUMMYFUNCTION("""COMPUTED_VALUE"""),"78-78")</f>
        <v>78-78</v>
      </c>
      <c r="D792" s="4">
        <f>IFERROR(__xludf.DUMMYFUNCTION("split(B792,""-"")"),22.0)</f>
        <v>22</v>
      </c>
      <c r="E792" s="4">
        <f>IFERROR(__xludf.DUMMYFUNCTION("""COMPUTED_VALUE"""),79.0)</f>
        <v>79</v>
      </c>
      <c r="F792" s="4">
        <f>IFERROR(__xludf.DUMMYFUNCTION("split(C792,""-"")"),78.0)</f>
        <v>78</v>
      </c>
      <c r="G792" s="4">
        <f>IFERROR(__xludf.DUMMYFUNCTION("""COMPUTED_VALUE"""),78.0)</f>
        <v>78</v>
      </c>
      <c r="H792" s="4">
        <f t="shared" si="1"/>
        <v>1</v>
      </c>
      <c r="J792" s="4">
        <f>IFERROR(__xludf.DUMMYFUNCTION("IFS(
ISBETWEEN(D792,F792,G792,TRUE,TRUE),1,
ISBETWEEN(E792,F792,G792,TRUE,TRUE),1,
ISBETWEEN(F792,D792,E792,TRUE,TRUE),1,
ISBETWEEN(G792,D792,E792,TRUE,TRUE),1,
1,0)"),1.0)</f>
        <v>1</v>
      </c>
    </row>
    <row r="793">
      <c r="A793" s="2" t="s">
        <v>791</v>
      </c>
      <c r="B793" s="1" t="str">
        <f>IFERROR(__xludf.DUMMYFUNCTION("SPLIT(A793,"","",)"),"79-79")</f>
        <v>79-79</v>
      </c>
      <c r="C793" s="1" t="str">
        <f>IFERROR(__xludf.DUMMYFUNCTION("""COMPUTED_VALUE"""),"6-80")</f>
        <v>6-80</v>
      </c>
      <c r="D793" s="4">
        <f>IFERROR(__xludf.DUMMYFUNCTION("split(B793,""-"")"),79.0)</f>
        <v>79</v>
      </c>
      <c r="E793" s="4">
        <f>IFERROR(__xludf.DUMMYFUNCTION("""COMPUTED_VALUE"""),79.0)</f>
        <v>79</v>
      </c>
      <c r="F793" s="4">
        <f>IFERROR(__xludf.DUMMYFUNCTION("split(C793,""-"")"),6.0)</f>
        <v>6</v>
      </c>
      <c r="G793" s="4">
        <f>IFERROR(__xludf.DUMMYFUNCTION("""COMPUTED_VALUE"""),80.0)</f>
        <v>80</v>
      </c>
      <c r="H793" s="4">
        <f t="shared" si="1"/>
        <v>1</v>
      </c>
      <c r="J793" s="4">
        <f>IFERROR(__xludf.DUMMYFUNCTION("IFS(
ISBETWEEN(D793,F793,G793,TRUE,TRUE),1,
ISBETWEEN(E793,F793,G793,TRUE,TRUE),1,
ISBETWEEN(F793,D793,E793,TRUE,TRUE),1,
ISBETWEEN(G793,D793,E793,TRUE,TRUE),1,
1,0)"),1.0)</f>
        <v>1</v>
      </c>
    </row>
    <row r="794">
      <c r="A794" s="2" t="s">
        <v>792</v>
      </c>
      <c r="B794" s="1" t="str">
        <f>IFERROR(__xludf.DUMMYFUNCTION("SPLIT(A794,"","",)"),"39-97")</f>
        <v>39-97</v>
      </c>
      <c r="C794" s="1" t="str">
        <f>IFERROR(__xludf.DUMMYFUNCTION("""COMPUTED_VALUE"""),"40-82")</f>
        <v>40-82</v>
      </c>
      <c r="D794" s="4">
        <f>IFERROR(__xludf.DUMMYFUNCTION("split(B794,""-"")"),39.0)</f>
        <v>39</v>
      </c>
      <c r="E794" s="4">
        <f>IFERROR(__xludf.DUMMYFUNCTION("""COMPUTED_VALUE"""),97.0)</f>
        <v>97</v>
      </c>
      <c r="F794" s="4">
        <f>IFERROR(__xludf.DUMMYFUNCTION("split(C794,""-"")"),40.0)</f>
        <v>40</v>
      </c>
      <c r="G794" s="4">
        <f>IFERROR(__xludf.DUMMYFUNCTION("""COMPUTED_VALUE"""),82.0)</f>
        <v>82</v>
      </c>
      <c r="H794" s="4">
        <f t="shared" si="1"/>
        <v>1</v>
      </c>
      <c r="J794" s="4">
        <f>IFERROR(__xludf.DUMMYFUNCTION("IFS(
ISBETWEEN(D794,F794,G794,TRUE,TRUE),1,
ISBETWEEN(E794,F794,G794,TRUE,TRUE),1,
ISBETWEEN(F794,D794,E794,TRUE,TRUE),1,
ISBETWEEN(G794,D794,E794,TRUE,TRUE),1,
1,0)"),1.0)</f>
        <v>1</v>
      </c>
    </row>
    <row r="795">
      <c r="A795" s="2" t="s">
        <v>793</v>
      </c>
      <c r="B795" s="1" t="str">
        <f>IFERROR(__xludf.DUMMYFUNCTION("SPLIT(A795,"","",)"),"22-88")</f>
        <v>22-88</v>
      </c>
      <c r="C795" s="1" t="str">
        <f>IFERROR(__xludf.DUMMYFUNCTION("""COMPUTED_VALUE"""),"21-88")</f>
        <v>21-88</v>
      </c>
      <c r="D795" s="4">
        <f>IFERROR(__xludf.DUMMYFUNCTION("split(B795,""-"")"),22.0)</f>
        <v>22</v>
      </c>
      <c r="E795" s="4">
        <f>IFERROR(__xludf.DUMMYFUNCTION("""COMPUTED_VALUE"""),88.0)</f>
        <v>88</v>
      </c>
      <c r="F795" s="4">
        <f>IFERROR(__xludf.DUMMYFUNCTION("split(C795,""-"")"),21.0)</f>
        <v>21</v>
      </c>
      <c r="G795" s="4">
        <f>IFERROR(__xludf.DUMMYFUNCTION("""COMPUTED_VALUE"""),88.0)</f>
        <v>88</v>
      </c>
      <c r="H795" s="4">
        <f t="shared" si="1"/>
        <v>1</v>
      </c>
      <c r="J795" s="4">
        <f>IFERROR(__xludf.DUMMYFUNCTION("IFS(
ISBETWEEN(D795,F795,G795,TRUE,TRUE),1,
ISBETWEEN(E795,F795,G795,TRUE,TRUE),1,
ISBETWEEN(F795,D795,E795,TRUE,TRUE),1,
ISBETWEEN(G795,D795,E795,TRUE,TRUE),1,
1,0)"),1.0)</f>
        <v>1</v>
      </c>
    </row>
    <row r="796">
      <c r="A796" s="2" t="s">
        <v>794</v>
      </c>
      <c r="B796" s="1" t="str">
        <f>IFERROR(__xludf.DUMMYFUNCTION("SPLIT(A796,"","",)"),"4-91")</f>
        <v>4-91</v>
      </c>
      <c r="C796" s="1" t="str">
        <f>IFERROR(__xludf.DUMMYFUNCTION("""COMPUTED_VALUE"""),"58-96")</f>
        <v>58-96</v>
      </c>
      <c r="D796" s="4">
        <f>IFERROR(__xludf.DUMMYFUNCTION("split(B796,""-"")"),4.0)</f>
        <v>4</v>
      </c>
      <c r="E796" s="4">
        <f>IFERROR(__xludf.DUMMYFUNCTION("""COMPUTED_VALUE"""),91.0)</f>
        <v>91</v>
      </c>
      <c r="F796" s="4">
        <f>IFERROR(__xludf.DUMMYFUNCTION("split(C796,""-"")"),58.0)</f>
        <v>58</v>
      </c>
      <c r="G796" s="4">
        <f>IFERROR(__xludf.DUMMYFUNCTION("""COMPUTED_VALUE"""),96.0)</f>
        <v>96</v>
      </c>
      <c r="H796" s="4">
        <f t="shared" si="1"/>
        <v>0</v>
      </c>
      <c r="J796" s="4">
        <f>IFERROR(__xludf.DUMMYFUNCTION("IFS(
ISBETWEEN(D796,F796,G796,TRUE,TRUE),1,
ISBETWEEN(E796,F796,G796,TRUE,TRUE),1,
ISBETWEEN(F796,D796,E796,TRUE,TRUE),1,
ISBETWEEN(G796,D796,E796,TRUE,TRUE),1,
1,0)"),1.0)</f>
        <v>1</v>
      </c>
    </row>
    <row r="797">
      <c r="A797" s="2" t="s">
        <v>795</v>
      </c>
      <c r="B797" s="1" t="str">
        <f>IFERROR(__xludf.DUMMYFUNCTION("SPLIT(A797,"","",)"),"23-90")</f>
        <v>23-90</v>
      </c>
      <c r="C797" s="1" t="str">
        <f>IFERROR(__xludf.DUMMYFUNCTION("""COMPUTED_VALUE"""),"24-90")</f>
        <v>24-90</v>
      </c>
      <c r="D797" s="4">
        <f>IFERROR(__xludf.DUMMYFUNCTION("split(B797,""-"")"),23.0)</f>
        <v>23</v>
      </c>
      <c r="E797" s="4">
        <f>IFERROR(__xludf.DUMMYFUNCTION("""COMPUTED_VALUE"""),90.0)</f>
        <v>90</v>
      </c>
      <c r="F797" s="4">
        <f>IFERROR(__xludf.DUMMYFUNCTION("split(C797,""-"")"),24.0)</f>
        <v>24</v>
      </c>
      <c r="G797" s="4">
        <f>IFERROR(__xludf.DUMMYFUNCTION("""COMPUTED_VALUE"""),90.0)</f>
        <v>90</v>
      </c>
      <c r="H797" s="4">
        <f t="shared" si="1"/>
        <v>1</v>
      </c>
      <c r="J797" s="4">
        <f>IFERROR(__xludf.DUMMYFUNCTION("IFS(
ISBETWEEN(D797,F797,G797,TRUE,TRUE),1,
ISBETWEEN(E797,F797,G797,TRUE,TRUE),1,
ISBETWEEN(F797,D797,E797,TRUE,TRUE),1,
ISBETWEEN(G797,D797,E797,TRUE,TRUE),1,
1,0)"),1.0)</f>
        <v>1</v>
      </c>
    </row>
    <row r="798">
      <c r="A798" s="2" t="s">
        <v>796</v>
      </c>
      <c r="B798" s="1" t="str">
        <f>IFERROR(__xludf.DUMMYFUNCTION("SPLIT(A798,"","",)"),"14-86")</f>
        <v>14-86</v>
      </c>
      <c r="C798" s="1" t="str">
        <f>IFERROR(__xludf.DUMMYFUNCTION("""COMPUTED_VALUE"""),"15-86")</f>
        <v>15-86</v>
      </c>
      <c r="D798" s="4">
        <f>IFERROR(__xludf.DUMMYFUNCTION("split(B798,""-"")"),14.0)</f>
        <v>14</v>
      </c>
      <c r="E798" s="4">
        <f>IFERROR(__xludf.DUMMYFUNCTION("""COMPUTED_VALUE"""),86.0)</f>
        <v>86</v>
      </c>
      <c r="F798" s="4">
        <f>IFERROR(__xludf.DUMMYFUNCTION("split(C798,""-"")"),15.0)</f>
        <v>15</v>
      </c>
      <c r="G798" s="4">
        <f>IFERROR(__xludf.DUMMYFUNCTION("""COMPUTED_VALUE"""),86.0)</f>
        <v>86</v>
      </c>
      <c r="H798" s="4">
        <f t="shared" si="1"/>
        <v>1</v>
      </c>
      <c r="J798" s="4">
        <f>IFERROR(__xludf.DUMMYFUNCTION("IFS(
ISBETWEEN(D798,F798,G798,TRUE,TRUE),1,
ISBETWEEN(E798,F798,G798,TRUE,TRUE),1,
ISBETWEEN(F798,D798,E798,TRUE,TRUE),1,
ISBETWEEN(G798,D798,E798,TRUE,TRUE),1,
1,0)"),1.0)</f>
        <v>1</v>
      </c>
    </row>
    <row r="799">
      <c r="A799" s="2" t="s">
        <v>797</v>
      </c>
      <c r="B799" s="1" t="str">
        <f>IFERROR(__xludf.DUMMYFUNCTION("SPLIT(A799,"","",)"),"29-44")</f>
        <v>29-44</v>
      </c>
      <c r="C799" s="1" t="str">
        <f>IFERROR(__xludf.DUMMYFUNCTION("""COMPUTED_VALUE"""),"29-43")</f>
        <v>29-43</v>
      </c>
      <c r="D799" s="4">
        <f>IFERROR(__xludf.DUMMYFUNCTION("split(B799,""-"")"),29.0)</f>
        <v>29</v>
      </c>
      <c r="E799" s="4">
        <f>IFERROR(__xludf.DUMMYFUNCTION("""COMPUTED_VALUE"""),44.0)</f>
        <v>44</v>
      </c>
      <c r="F799" s="4">
        <f>IFERROR(__xludf.DUMMYFUNCTION("split(C799,""-"")"),29.0)</f>
        <v>29</v>
      </c>
      <c r="G799" s="4">
        <f>IFERROR(__xludf.DUMMYFUNCTION("""COMPUTED_VALUE"""),43.0)</f>
        <v>43</v>
      </c>
      <c r="H799" s="4">
        <f t="shared" si="1"/>
        <v>1</v>
      </c>
      <c r="J799" s="4">
        <f>IFERROR(__xludf.DUMMYFUNCTION("IFS(
ISBETWEEN(D799,F799,G799,TRUE,TRUE),1,
ISBETWEEN(E799,F799,G799,TRUE,TRUE),1,
ISBETWEEN(F799,D799,E799,TRUE,TRUE),1,
ISBETWEEN(G799,D799,E799,TRUE,TRUE),1,
1,0)"),1.0)</f>
        <v>1</v>
      </c>
    </row>
    <row r="800">
      <c r="A800" s="2" t="s">
        <v>798</v>
      </c>
      <c r="B800" s="1" t="str">
        <f>IFERROR(__xludf.DUMMYFUNCTION("SPLIT(A800,"","",)"),"53-68")</f>
        <v>53-68</v>
      </c>
      <c r="C800" s="1" t="str">
        <f>IFERROR(__xludf.DUMMYFUNCTION("""COMPUTED_VALUE"""),"63-65")</f>
        <v>63-65</v>
      </c>
      <c r="D800" s="4">
        <f>IFERROR(__xludf.DUMMYFUNCTION("split(B800,""-"")"),53.0)</f>
        <v>53</v>
      </c>
      <c r="E800" s="4">
        <f>IFERROR(__xludf.DUMMYFUNCTION("""COMPUTED_VALUE"""),68.0)</f>
        <v>68</v>
      </c>
      <c r="F800" s="4">
        <f>IFERROR(__xludf.DUMMYFUNCTION("split(C800,""-"")"),63.0)</f>
        <v>63</v>
      </c>
      <c r="G800" s="4">
        <f>IFERROR(__xludf.DUMMYFUNCTION("""COMPUTED_VALUE"""),65.0)</f>
        <v>65</v>
      </c>
      <c r="H800" s="4">
        <f t="shared" si="1"/>
        <v>1</v>
      </c>
      <c r="J800" s="4">
        <f>IFERROR(__xludf.DUMMYFUNCTION("IFS(
ISBETWEEN(D800,F800,G800,TRUE,TRUE),1,
ISBETWEEN(E800,F800,G800,TRUE,TRUE),1,
ISBETWEEN(F800,D800,E800,TRUE,TRUE),1,
ISBETWEEN(G800,D800,E800,TRUE,TRUE),1,
1,0)"),1.0)</f>
        <v>1</v>
      </c>
    </row>
    <row r="801">
      <c r="A801" s="2" t="s">
        <v>799</v>
      </c>
      <c r="B801" s="1" t="str">
        <f>IFERROR(__xludf.DUMMYFUNCTION("SPLIT(A801,"","",)"),"4-37")</f>
        <v>4-37</v>
      </c>
      <c r="C801" s="1" t="str">
        <f>IFERROR(__xludf.DUMMYFUNCTION("""COMPUTED_VALUE"""),"3-97")</f>
        <v>3-97</v>
      </c>
      <c r="D801" s="4">
        <f>IFERROR(__xludf.DUMMYFUNCTION("split(B801,""-"")"),4.0)</f>
        <v>4</v>
      </c>
      <c r="E801" s="4">
        <f>IFERROR(__xludf.DUMMYFUNCTION("""COMPUTED_VALUE"""),37.0)</f>
        <v>37</v>
      </c>
      <c r="F801" s="4">
        <f>IFERROR(__xludf.DUMMYFUNCTION("split(C801,""-"")"),3.0)</f>
        <v>3</v>
      </c>
      <c r="G801" s="4">
        <f>IFERROR(__xludf.DUMMYFUNCTION("""COMPUTED_VALUE"""),97.0)</f>
        <v>97</v>
      </c>
      <c r="H801" s="4">
        <f t="shared" si="1"/>
        <v>1</v>
      </c>
      <c r="J801" s="4">
        <f>IFERROR(__xludf.DUMMYFUNCTION("IFS(
ISBETWEEN(D801,F801,G801,TRUE,TRUE),1,
ISBETWEEN(E801,F801,G801,TRUE,TRUE),1,
ISBETWEEN(F801,D801,E801,TRUE,TRUE),1,
ISBETWEEN(G801,D801,E801,TRUE,TRUE),1,
1,0)"),1.0)</f>
        <v>1</v>
      </c>
    </row>
    <row r="802">
      <c r="A802" s="2" t="s">
        <v>800</v>
      </c>
      <c r="B802" s="1" t="str">
        <f>IFERROR(__xludf.DUMMYFUNCTION("SPLIT(A802,"","",)"),"41-85")</f>
        <v>41-85</v>
      </c>
      <c r="C802" s="1" t="str">
        <f>IFERROR(__xludf.DUMMYFUNCTION("""COMPUTED_VALUE"""),"40-59")</f>
        <v>40-59</v>
      </c>
      <c r="D802" s="4">
        <f>IFERROR(__xludf.DUMMYFUNCTION("split(B802,""-"")"),41.0)</f>
        <v>41</v>
      </c>
      <c r="E802" s="4">
        <f>IFERROR(__xludf.DUMMYFUNCTION("""COMPUTED_VALUE"""),85.0)</f>
        <v>85</v>
      </c>
      <c r="F802" s="4">
        <f>IFERROR(__xludf.DUMMYFUNCTION("split(C802,""-"")"),40.0)</f>
        <v>40</v>
      </c>
      <c r="G802" s="4">
        <f>IFERROR(__xludf.DUMMYFUNCTION("""COMPUTED_VALUE"""),59.0)</f>
        <v>59</v>
      </c>
      <c r="H802" s="4">
        <f t="shared" si="1"/>
        <v>0</v>
      </c>
      <c r="J802" s="4">
        <f>IFERROR(__xludf.DUMMYFUNCTION("IFS(
ISBETWEEN(D802,F802,G802,TRUE,TRUE),1,
ISBETWEEN(E802,F802,G802,TRUE,TRUE),1,
ISBETWEEN(F802,D802,E802,TRUE,TRUE),1,
ISBETWEEN(G802,D802,E802,TRUE,TRUE),1,
1,0)"),1.0)</f>
        <v>1</v>
      </c>
    </row>
    <row r="803">
      <c r="A803" s="2" t="s">
        <v>801</v>
      </c>
      <c r="B803" s="3">
        <f>IFERROR(__xludf.DUMMYFUNCTION("SPLIT(A803,"","",)"),44748.0)</f>
        <v>44748</v>
      </c>
      <c r="C803" s="1" t="str">
        <f>IFERROR(__xludf.DUMMYFUNCTION("""COMPUTED_VALUE"""),"7-61")</f>
        <v>7-61</v>
      </c>
      <c r="D803" s="4">
        <f>IFERROR(__xludf.DUMMYFUNCTION("split(B803,""-"")"),6.0)</f>
        <v>6</v>
      </c>
      <c r="E803" s="4">
        <f>IFERROR(__xludf.DUMMYFUNCTION("""COMPUTED_VALUE"""),7.0)</f>
        <v>7</v>
      </c>
      <c r="F803" s="4">
        <f>IFERROR(__xludf.DUMMYFUNCTION("split(C803,""-"")"),7.0)</f>
        <v>7</v>
      </c>
      <c r="G803" s="4">
        <f>IFERROR(__xludf.DUMMYFUNCTION("""COMPUTED_VALUE"""),61.0)</f>
        <v>61</v>
      </c>
      <c r="H803" s="4">
        <f t="shared" si="1"/>
        <v>0</v>
      </c>
      <c r="J803" s="4">
        <f>IFERROR(__xludf.DUMMYFUNCTION("IFS(
ISBETWEEN(D803,F803,G803,TRUE,TRUE),1,
ISBETWEEN(E803,F803,G803,TRUE,TRUE),1,
ISBETWEEN(F803,D803,E803,TRUE,TRUE),1,
ISBETWEEN(G803,D803,E803,TRUE,TRUE),1,
1,0)"),1.0)</f>
        <v>1</v>
      </c>
    </row>
    <row r="804">
      <c r="A804" s="2" t="s">
        <v>802</v>
      </c>
      <c r="B804" s="1" t="str">
        <f>IFERROR(__xludf.DUMMYFUNCTION("SPLIT(A804,"","",)"),"82-96")</f>
        <v>82-96</v>
      </c>
      <c r="C804" s="1" t="str">
        <f>IFERROR(__xludf.DUMMYFUNCTION("""COMPUTED_VALUE"""),"81-83")</f>
        <v>81-83</v>
      </c>
      <c r="D804" s="4">
        <f>IFERROR(__xludf.DUMMYFUNCTION("split(B804,""-"")"),82.0)</f>
        <v>82</v>
      </c>
      <c r="E804" s="4">
        <f>IFERROR(__xludf.DUMMYFUNCTION("""COMPUTED_VALUE"""),96.0)</f>
        <v>96</v>
      </c>
      <c r="F804" s="4">
        <f>IFERROR(__xludf.DUMMYFUNCTION("split(C804,""-"")"),81.0)</f>
        <v>81</v>
      </c>
      <c r="G804" s="4">
        <f>IFERROR(__xludf.DUMMYFUNCTION("""COMPUTED_VALUE"""),83.0)</f>
        <v>83</v>
      </c>
      <c r="H804" s="4">
        <f t="shared" si="1"/>
        <v>0</v>
      </c>
      <c r="J804" s="4">
        <f>IFERROR(__xludf.DUMMYFUNCTION("IFS(
ISBETWEEN(D804,F804,G804,TRUE,TRUE),1,
ISBETWEEN(E804,F804,G804,TRUE,TRUE),1,
ISBETWEEN(F804,D804,E804,TRUE,TRUE),1,
ISBETWEEN(G804,D804,E804,TRUE,TRUE),1,
1,0)"),1.0)</f>
        <v>1</v>
      </c>
    </row>
    <row r="805">
      <c r="A805" s="2" t="s">
        <v>803</v>
      </c>
      <c r="B805" s="1" t="str">
        <f>IFERROR(__xludf.DUMMYFUNCTION("SPLIT(A805,"","",)"),"52-93")</f>
        <v>52-93</v>
      </c>
      <c r="C805" s="1" t="str">
        <f>IFERROR(__xludf.DUMMYFUNCTION("""COMPUTED_VALUE"""),"52-96")</f>
        <v>52-96</v>
      </c>
      <c r="D805" s="4">
        <f>IFERROR(__xludf.DUMMYFUNCTION("split(B805,""-"")"),52.0)</f>
        <v>52</v>
      </c>
      <c r="E805" s="4">
        <f>IFERROR(__xludf.DUMMYFUNCTION("""COMPUTED_VALUE"""),93.0)</f>
        <v>93</v>
      </c>
      <c r="F805" s="4">
        <f>IFERROR(__xludf.DUMMYFUNCTION("split(C805,""-"")"),52.0)</f>
        <v>52</v>
      </c>
      <c r="G805" s="4">
        <f>IFERROR(__xludf.DUMMYFUNCTION("""COMPUTED_VALUE"""),96.0)</f>
        <v>96</v>
      </c>
      <c r="H805" s="4">
        <f t="shared" si="1"/>
        <v>1</v>
      </c>
      <c r="J805" s="4">
        <f>IFERROR(__xludf.DUMMYFUNCTION("IFS(
ISBETWEEN(D805,F805,G805,TRUE,TRUE),1,
ISBETWEEN(E805,F805,G805,TRUE,TRUE),1,
ISBETWEEN(F805,D805,E805,TRUE,TRUE),1,
ISBETWEEN(G805,D805,E805,TRUE,TRUE),1,
1,0)"),1.0)</f>
        <v>1</v>
      </c>
    </row>
    <row r="806">
      <c r="A806" s="2" t="s">
        <v>804</v>
      </c>
      <c r="B806" s="1" t="str">
        <f>IFERROR(__xludf.DUMMYFUNCTION("SPLIT(A806,"","",)"),"4-52")</f>
        <v>4-52</v>
      </c>
      <c r="C806" s="1" t="str">
        <f>IFERROR(__xludf.DUMMYFUNCTION("""COMPUTED_VALUE"""),"4-53")</f>
        <v>4-53</v>
      </c>
      <c r="D806" s="4">
        <f>IFERROR(__xludf.DUMMYFUNCTION("split(B806,""-"")"),4.0)</f>
        <v>4</v>
      </c>
      <c r="E806" s="4">
        <f>IFERROR(__xludf.DUMMYFUNCTION("""COMPUTED_VALUE"""),52.0)</f>
        <v>52</v>
      </c>
      <c r="F806" s="4">
        <f>IFERROR(__xludf.DUMMYFUNCTION("split(C806,""-"")"),4.0)</f>
        <v>4</v>
      </c>
      <c r="G806" s="4">
        <f>IFERROR(__xludf.DUMMYFUNCTION("""COMPUTED_VALUE"""),53.0)</f>
        <v>53</v>
      </c>
      <c r="H806" s="4">
        <f t="shared" si="1"/>
        <v>1</v>
      </c>
      <c r="J806" s="4">
        <f>IFERROR(__xludf.DUMMYFUNCTION("IFS(
ISBETWEEN(D806,F806,G806,TRUE,TRUE),1,
ISBETWEEN(E806,F806,G806,TRUE,TRUE),1,
ISBETWEEN(F806,D806,E806,TRUE,TRUE),1,
ISBETWEEN(G806,D806,E806,TRUE,TRUE),1,
1,0)"),1.0)</f>
        <v>1</v>
      </c>
    </row>
    <row r="807">
      <c r="A807" s="2" t="s">
        <v>805</v>
      </c>
      <c r="B807" s="1" t="str">
        <f>IFERROR(__xludf.DUMMYFUNCTION("SPLIT(A807,"","",)"),"18-52")</f>
        <v>18-52</v>
      </c>
      <c r="C807" s="1" t="str">
        <f>IFERROR(__xludf.DUMMYFUNCTION("""COMPUTED_VALUE"""),"17-36")</f>
        <v>17-36</v>
      </c>
      <c r="D807" s="4">
        <f>IFERROR(__xludf.DUMMYFUNCTION("split(B807,""-"")"),18.0)</f>
        <v>18</v>
      </c>
      <c r="E807" s="4">
        <f>IFERROR(__xludf.DUMMYFUNCTION("""COMPUTED_VALUE"""),52.0)</f>
        <v>52</v>
      </c>
      <c r="F807" s="4">
        <f>IFERROR(__xludf.DUMMYFUNCTION("split(C807,""-"")"),17.0)</f>
        <v>17</v>
      </c>
      <c r="G807" s="4">
        <f>IFERROR(__xludf.DUMMYFUNCTION("""COMPUTED_VALUE"""),36.0)</f>
        <v>36</v>
      </c>
      <c r="H807" s="4">
        <f t="shared" si="1"/>
        <v>0</v>
      </c>
      <c r="J807" s="4">
        <f>IFERROR(__xludf.DUMMYFUNCTION("IFS(
ISBETWEEN(D807,F807,G807,TRUE,TRUE),1,
ISBETWEEN(E807,F807,G807,TRUE,TRUE),1,
ISBETWEEN(F807,D807,E807,TRUE,TRUE),1,
ISBETWEEN(G807,D807,E807,TRUE,TRUE),1,
1,0)"),1.0)</f>
        <v>1</v>
      </c>
    </row>
    <row r="808">
      <c r="A808" s="2" t="s">
        <v>806</v>
      </c>
      <c r="B808" s="1" t="str">
        <f>IFERROR(__xludf.DUMMYFUNCTION("SPLIT(A808,"","",)"),"16-85")</f>
        <v>16-85</v>
      </c>
      <c r="C808" s="1" t="str">
        <f>IFERROR(__xludf.DUMMYFUNCTION("""COMPUTED_VALUE"""),"15-86")</f>
        <v>15-86</v>
      </c>
      <c r="D808" s="4">
        <f>IFERROR(__xludf.DUMMYFUNCTION("split(B808,""-"")"),16.0)</f>
        <v>16</v>
      </c>
      <c r="E808" s="4">
        <f>IFERROR(__xludf.DUMMYFUNCTION("""COMPUTED_VALUE"""),85.0)</f>
        <v>85</v>
      </c>
      <c r="F808" s="4">
        <f>IFERROR(__xludf.DUMMYFUNCTION("split(C808,""-"")"),15.0)</f>
        <v>15</v>
      </c>
      <c r="G808" s="4">
        <f>IFERROR(__xludf.DUMMYFUNCTION("""COMPUTED_VALUE"""),86.0)</f>
        <v>86</v>
      </c>
      <c r="H808" s="4">
        <f t="shared" si="1"/>
        <v>1</v>
      </c>
      <c r="J808" s="4">
        <f>IFERROR(__xludf.DUMMYFUNCTION("IFS(
ISBETWEEN(D808,F808,G808,TRUE,TRUE),1,
ISBETWEEN(E808,F808,G808,TRUE,TRUE),1,
ISBETWEEN(F808,D808,E808,TRUE,TRUE),1,
ISBETWEEN(G808,D808,E808,TRUE,TRUE),1,
1,0)"),1.0)</f>
        <v>1</v>
      </c>
    </row>
    <row r="809">
      <c r="A809" s="2" t="s">
        <v>807</v>
      </c>
      <c r="B809" s="1" t="str">
        <f>IFERROR(__xludf.DUMMYFUNCTION("SPLIT(A809,"","",)"),"19-73")</f>
        <v>19-73</v>
      </c>
      <c r="C809" s="1" t="str">
        <f>IFERROR(__xludf.DUMMYFUNCTION("""COMPUTED_VALUE"""),"73-73")</f>
        <v>73-73</v>
      </c>
      <c r="D809" s="4">
        <f>IFERROR(__xludf.DUMMYFUNCTION("split(B809,""-"")"),19.0)</f>
        <v>19</v>
      </c>
      <c r="E809" s="4">
        <f>IFERROR(__xludf.DUMMYFUNCTION("""COMPUTED_VALUE"""),73.0)</f>
        <v>73</v>
      </c>
      <c r="F809" s="4">
        <f>IFERROR(__xludf.DUMMYFUNCTION("split(C809,""-"")"),73.0)</f>
        <v>73</v>
      </c>
      <c r="G809" s="4">
        <f>IFERROR(__xludf.DUMMYFUNCTION("""COMPUTED_VALUE"""),73.0)</f>
        <v>73</v>
      </c>
      <c r="H809" s="4">
        <f t="shared" si="1"/>
        <v>1</v>
      </c>
      <c r="J809" s="4">
        <f>IFERROR(__xludf.DUMMYFUNCTION("IFS(
ISBETWEEN(D809,F809,G809,TRUE,TRUE),1,
ISBETWEEN(E809,F809,G809,TRUE,TRUE),1,
ISBETWEEN(F809,D809,E809,TRUE,TRUE),1,
ISBETWEEN(G809,D809,E809,TRUE,TRUE),1,
1,0)"),1.0)</f>
        <v>1</v>
      </c>
    </row>
    <row r="810">
      <c r="A810" s="2" t="s">
        <v>808</v>
      </c>
      <c r="B810" s="1" t="str">
        <f>IFERROR(__xludf.DUMMYFUNCTION("SPLIT(A810,"","",)"),"7-88")</f>
        <v>7-88</v>
      </c>
      <c r="C810" s="1" t="str">
        <f>IFERROR(__xludf.DUMMYFUNCTION("""COMPUTED_VALUE"""),"6-89")</f>
        <v>6-89</v>
      </c>
      <c r="D810" s="4">
        <f>IFERROR(__xludf.DUMMYFUNCTION("split(B810,""-"")"),7.0)</f>
        <v>7</v>
      </c>
      <c r="E810" s="4">
        <f>IFERROR(__xludf.DUMMYFUNCTION("""COMPUTED_VALUE"""),88.0)</f>
        <v>88</v>
      </c>
      <c r="F810" s="4">
        <f>IFERROR(__xludf.DUMMYFUNCTION("split(C810,""-"")"),6.0)</f>
        <v>6</v>
      </c>
      <c r="G810" s="4">
        <f>IFERROR(__xludf.DUMMYFUNCTION("""COMPUTED_VALUE"""),89.0)</f>
        <v>89</v>
      </c>
      <c r="H810" s="4">
        <f t="shared" si="1"/>
        <v>1</v>
      </c>
      <c r="J810" s="4">
        <f>IFERROR(__xludf.DUMMYFUNCTION("IFS(
ISBETWEEN(D810,F810,G810,TRUE,TRUE),1,
ISBETWEEN(E810,F810,G810,TRUE,TRUE),1,
ISBETWEEN(F810,D810,E810,TRUE,TRUE),1,
ISBETWEEN(G810,D810,E810,TRUE,TRUE),1,
1,0)"),1.0)</f>
        <v>1</v>
      </c>
    </row>
    <row r="811">
      <c r="A811" s="2" t="s">
        <v>809</v>
      </c>
      <c r="B811" s="1" t="str">
        <f>IFERROR(__xludf.DUMMYFUNCTION("SPLIT(A811,"","",)"),"32-54")</f>
        <v>32-54</v>
      </c>
      <c r="C811" s="1" t="str">
        <f>IFERROR(__xludf.DUMMYFUNCTION("""COMPUTED_VALUE"""),"54-54")</f>
        <v>54-54</v>
      </c>
      <c r="D811" s="4">
        <f>IFERROR(__xludf.DUMMYFUNCTION("split(B811,""-"")"),32.0)</f>
        <v>32</v>
      </c>
      <c r="E811" s="4">
        <f>IFERROR(__xludf.DUMMYFUNCTION("""COMPUTED_VALUE"""),54.0)</f>
        <v>54</v>
      </c>
      <c r="F811" s="4">
        <f>IFERROR(__xludf.DUMMYFUNCTION("split(C811,""-"")"),54.0)</f>
        <v>54</v>
      </c>
      <c r="G811" s="4">
        <f>IFERROR(__xludf.DUMMYFUNCTION("""COMPUTED_VALUE"""),54.0)</f>
        <v>54</v>
      </c>
      <c r="H811" s="4">
        <f t="shared" si="1"/>
        <v>1</v>
      </c>
      <c r="J811" s="4">
        <f>IFERROR(__xludf.DUMMYFUNCTION("IFS(
ISBETWEEN(D811,F811,G811,TRUE,TRUE),1,
ISBETWEEN(E811,F811,G811,TRUE,TRUE),1,
ISBETWEEN(F811,D811,E811,TRUE,TRUE),1,
ISBETWEEN(G811,D811,E811,TRUE,TRUE),1,
1,0)"),1.0)</f>
        <v>1</v>
      </c>
    </row>
    <row r="812">
      <c r="A812" s="2" t="s">
        <v>810</v>
      </c>
      <c r="B812" s="1" t="str">
        <f>IFERROR(__xludf.DUMMYFUNCTION("SPLIT(A812,"","",)"),"30-35")</f>
        <v>30-35</v>
      </c>
      <c r="C812" s="1" t="str">
        <f>IFERROR(__xludf.DUMMYFUNCTION("""COMPUTED_VALUE"""),"29-30")</f>
        <v>29-30</v>
      </c>
      <c r="D812" s="4">
        <f>IFERROR(__xludf.DUMMYFUNCTION("split(B812,""-"")"),30.0)</f>
        <v>30</v>
      </c>
      <c r="E812" s="4">
        <f>IFERROR(__xludf.DUMMYFUNCTION("""COMPUTED_VALUE"""),35.0)</f>
        <v>35</v>
      </c>
      <c r="F812" s="4">
        <f>IFERROR(__xludf.DUMMYFUNCTION("split(C812,""-"")"),29.0)</f>
        <v>29</v>
      </c>
      <c r="G812" s="4">
        <f>IFERROR(__xludf.DUMMYFUNCTION("""COMPUTED_VALUE"""),30.0)</f>
        <v>30</v>
      </c>
      <c r="H812" s="4">
        <f t="shared" si="1"/>
        <v>0</v>
      </c>
      <c r="J812" s="4">
        <f>IFERROR(__xludf.DUMMYFUNCTION("IFS(
ISBETWEEN(D812,F812,G812,TRUE,TRUE),1,
ISBETWEEN(E812,F812,G812,TRUE,TRUE),1,
ISBETWEEN(F812,D812,E812,TRUE,TRUE),1,
ISBETWEEN(G812,D812,E812,TRUE,TRUE),1,
1,0)"),1.0)</f>
        <v>1</v>
      </c>
    </row>
    <row r="813">
      <c r="A813" s="2" t="s">
        <v>811</v>
      </c>
      <c r="B813" s="1" t="str">
        <f>IFERROR(__xludf.DUMMYFUNCTION("SPLIT(A813,"","",)"),"14-95")</f>
        <v>14-95</v>
      </c>
      <c r="C813" s="1" t="str">
        <f>IFERROR(__xludf.DUMMYFUNCTION("""COMPUTED_VALUE"""),"14-15")</f>
        <v>14-15</v>
      </c>
      <c r="D813" s="4">
        <f>IFERROR(__xludf.DUMMYFUNCTION("split(B813,""-"")"),14.0)</f>
        <v>14</v>
      </c>
      <c r="E813" s="4">
        <f>IFERROR(__xludf.DUMMYFUNCTION("""COMPUTED_VALUE"""),95.0)</f>
        <v>95</v>
      </c>
      <c r="F813" s="4">
        <f>IFERROR(__xludf.DUMMYFUNCTION("split(C813,""-"")"),14.0)</f>
        <v>14</v>
      </c>
      <c r="G813" s="4">
        <f>IFERROR(__xludf.DUMMYFUNCTION("""COMPUTED_VALUE"""),15.0)</f>
        <v>15</v>
      </c>
      <c r="H813" s="4">
        <f t="shared" si="1"/>
        <v>1</v>
      </c>
      <c r="J813" s="4">
        <f>IFERROR(__xludf.DUMMYFUNCTION("IFS(
ISBETWEEN(D813,F813,G813,TRUE,TRUE),1,
ISBETWEEN(E813,F813,G813,TRUE,TRUE),1,
ISBETWEEN(F813,D813,E813,TRUE,TRUE),1,
ISBETWEEN(G813,D813,E813,TRUE,TRUE),1,
1,0)"),1.0)</f>
        <v>1</v>
      </c>
    </row>
    <row r="814">
      <c r="A814" s="2" t="s">
        <v>812</v>
      </c>
      <c r="B814" s="1" t="str">
        <f>IFERROR(__xludf.DUMMYFUNCTION("SPLIT(A814,"","",)"),"25-96")</f>
        <v>25-96</v>
      </c>
      <c r="C814" s="1" t="str">
        <f>IFERROR(__xludf.DUMMYFUNCTION("""COMPUTED_VALUE"""),"24-95")</f>
        <v>24-95</v>
      </c>
      <c r="D814" s="4">
        <f>IFERROR(__xludf.DUMMYFUNCTION("split(B814,""-"")"),25.0)</f>
        <v>25</v>
      </c>
      <c r="E814" s="4">
        <f>IFERROR(__xludf.DUMMYFUNCTION("""COMPUTED_VALUE"""),96.0)</f>
        <v>96</v>
      </c>
      <c r="F814" s="4">
        <f>IFERROR(__xludf.DUMMYFUNCTION("split(C814,""-"")"),24.0)</f>
        <v>24</v>
      </c>
      <c r="G814" s="4">
        <f>IFERROR(__xludf.DUMMYFUNCTION("""COMPUTED_VALUE"""),95.0)</f>
        <v>95</v>
      </c>
      <c r="H814" s="4">
        <f t="shared" si="1"/>
        <v>0</v>
      </c>
      <c r="J814" s="4">
        <f>IFERROR(__xludf.DUMMYFUNCTION("IFS(
ISBETWEEN(D814,F814,G814,TRUE,TRUE),1,
ISBETWEEN(E814,F814,G814,TRUE,TRUE),1,
ISBETWEEN(F814,D814,E814,TRUE,TRUE),1,
ISBETWEEN(G814,D814,E814,TRUE,TRUE),1,
1,0)"),1.0)</f>
        <v>1</v>
      </c>
    </row>
    <row r="815">
      <c r="A815" s="2" t="s">
        <v>813</v>
      </c>
      <c r="B815" s="1" t="str">
        <f>IFERROR(__xludf.DUMMYFUNCTION("SPLIT(A815,"","",)"),"16-75")</f>
        <v>16-75</v>
      </c>
      <c r="C815" s="1" t="str">
        <f>IFERROR(__xludf.DUMMYFUNCTION("""COMPUTED_VALUE"""),"15-75")</f>
        <v>15-75</v>
      </c>
      <c r="D815" s="4">
        <f>IFERROR(__xludf.DUMMYFUNCTION("split(B815,""-"")"),16.0)</f>
        <v>16</v>
      </c>
      <c r="E815" s="4">
        <f>IFERROR(__xludf.DUMMYFUNCTION("""COMPUTED_VALUE"""),75.0)</f>
        <v>75</v>
      </c>
      <c r="F815" s="4">
        <f>IFERROR(__xludf.DUMMYFUNCTION("split(C815,""-"")"),15.0)</f>
        <v>15</v>
      </c>
      <c r="G815" s="4">
        <f>IFERROR(__xludf.DUMMYFUNCTION("""COMPUTED_VALUE"""),75.0)</f>
        <v>75</v>
      </c>
      <c r="H815" s="4">
        <f t="shared" si="1"/>
        <v>1</v>
      </c>
      <c r="J815" s="4">
        <f>IFERROR(__xludf.DUMMYFUNCTION("IFS(
ISBETWEEN(D815,F815,G815,TRUE,TRUE),1,
ISBETWEEN(E815,F815,G815,TRUE,TRUE),1,
ISBETWEEN(F815,D815,E815,TRUE,TRUE),1,
ISBETWEEN(G815,D815,E815,TRUE,TRUE),1,
1,0)"),1.0)</f>
        <v>1</v>
      </c>
    </row>
    <row r="816">
      <c r="A816" s="2" t="s">
        <v>814</v>
      </c>
      <c r="B816" s="1" t="str">
        <f>IFERROR(__xludf.DUMMYFUNCTION("SPLIT(A816,"","",)"),"29-66")</f>
        <v>29-66</v>
      </c>
      <c r="C816" s="1" t="str">
        <f>IFERROR(__xludf.DUMMYFUNCTION("""COMPUTED_VALUE"""),"52-66")</f>
        <v>52-66</v>
      </c>
      <c r="D816" s="4">
        <f>IFERROR(__xludf.DUMMYFUNCTION("split(B816,""-"")"),29.0)</f>
        <v>29</v>
      </c>
      <c r="E816" s="4">
        <f>IFERROR(__xludf.DUMMYFUNCTION("""COMPUTED_VALUE"""),66.0)</f>
        <v>66</v>
      </c>
      <c r="F816" s="4">
        <f>IFERROR(__xludf.DUMMYFUNCTION("split(C816,""-"")"),52.0)</f>
        <v>52</v>
      </c>
      <c r="G816" s="4">
        <f>IFERROR(__xludf.DUMMYFUNCTION("""COMPUTED_VALUE"""),66.0)</f>
        <v>66</v>
      </c>
      <c r="H816" s="4">
        <f t="shared" si="1"/>
        <v>1</v>
      </c>
      <c r="J816" s="4">
        <f>IFERROR(__xludf.DUMMYFUNCTION("IFS(
ISBETWEEN(D816,F816,G816,TRUE,TRUE),1,
ISBETWEEN(E816,F816,G816,TRUE,TRUE),1,
ISBETWEEN(F816,D816,E816,TRUE,TRUE),1,
ISBETWEEN(G816,D816,E816,TRUE,TRUE),1,
1,0)"),1.0)</f>
        <v>1</v>
      </c>
    </row>
    <row r="817">
      <c r="A817" s="2" t="s">
        <v>815</v>
      </c>
      <c r="B817" s="3">
        <f>IFERROR(__xludf.DUMMYFUNCTION("SPLIT(A817,"","",)"),44844.0)</f>
        <v>44844</v>
      </c>
      <c r="C817" s="1" t="str">
        <f>IFERROR(__xludf.DUMMYFUNCTION("""COMPUTED_VALUE"""),"11-54")</f>
        <v>11-54</v>
      </c>
      <c r="D817" s="4">
        <f>IFERROR(__xludf.DUMMYFUNCTION("split(B817,""-"")"),10.0)</f>
        <v>10</v>
      </c>
      <c r="E817" s="4">
        <f>IFERROR(__xludf.DUMMYFUNCTION("""COMPUTED_VALUE"""),10.0)</f>
        <v>10</v>
      </c>
      <c r="F817" s="4">
        <f>IFERROR(__xludf.DUMMYFUNCTION("split(C817,""-"")"),11.0)</f>
        <v>11</v>
      </c>
      <c r="G817" s="4">
        <f>IFERROR(__xludf.DUMMYFUNCTION("""COMPUTED_VALUE"""),54.0)</f>
        <v>54</v>
      </c>
      <c r="H817" s="4">
        <f t="shared" si="1"/>
        <v>0</v>
      </c>
      <c r="J817" s="4">
        <f>IFERROR(__xludf.DUMMYFUNCTION("IFS(
ISBETWEEN(D817,F817,G817,TRUE,TRUE),1,
ISBETWEEN(E817,F817,G817,TRUE,TRUE),1,
ISBETWEEN(F817,D817,E817,TRUE,TRUE),1,
ISBETWEEN(G817,D817,E817,TRUE,TRUE),1,
1,0)"),0.0)</f>
        <v>0</v>
      </c>
    </row>
    <row r="818">
      <c r="A818" s="2" t="s">
        <v>816</v>
      </c>
      <c r="B818" s="1" t="str">
        <f>IFERROR(__xludf.DUMMYFUNCTION("SPLIT(A818,"","",)"),"6-67")</f>
        <v>6-67</v>
      </c>
      <c r="C818" s="1" t="str">
        <f>IFERROR(__xludf.DUMMYFUNCTION("""COMPUTED_VALUE"""),"6-58")</f>
        <v>6-58</v>
      </c>
      <c r="D818" s="4">
        <f>IFERROR(__xludf.DUMMYFUNCTION("split(B818,""-"")"),6.0)</f>
        <v>6</v>
      </c>
      <c r="E818" s="4">
        <f>IFERROR(__xludf.DUMMYFUNCTION("""COMPUTED_VALUE"""),67.0)</f>
        <v>67</v>
      </c>
      <c r="F818" s="4">
        <f>IFERROR(__xludf.DUMMYFUNCTION("split(C818,""-"")"),6.0)</f>
        <v>6</v>
      </c>
      <c r="G818" s="4">
        <f>IFERROR(__xludf.DUMMYFUNCTION("""COMPUTED_VALUE"""),58.0)</f>
        <v>58</v>
      </c>
      <c r="H818" s="4">
        <f t="shared" si="1"/>
        <v>1</v>
      </c>
      <c r="J818" s="4">
        <f>IFERROR(__xludf.DUMMYFUNCTION("IFS(
ISBETWEEN(D818,F818,G818,TRUE,TRUE),1,
ISBETWEEN(E818,F818,G818,TRUE,TRUE),1,
ISBETWEEN(F818,D818,E818,TRUE,TRUE),1,
ISBETWEEN(G818,D818,E818,TRUE,TRUE),1,
1,0)"),1.0)</f>
        <v>1</v>
      </c>
    </row>
    <row r="819">
      <c r="A819" s="2" t="s">
        <v>817</v>
      </c>
      <c r="B819" s="1" t="str">
        <f>IFERROR(__xludf.DUMMYFUNCTION("SPLIT(A819,"","",)"),"9-46")</f>
        <v>9-46</v>
      </c>
      <c r="C819" s="3">
        <f>IFERROR(__xludf.DUMMYFUNCTION("""COMPUTED_VALUE"""),44805.0)</f>
        <v>44805</v>
      </c>
      <c r="D819" s="4">
        <f>IFERROR(__xludf.DUMMYFUNCTION("split(B819,""-"")"),9.0)</f>
        <v>9</v>
      </c>
      <c r="E819" s="4">
        <f>IFERROR(__xludf.DUMMYFUNCTION("""COMPUTED_VALUE"""),46.0)</f>
        <v>46</v>
      </c>
      <c r="F819" s="4">
        <f>IFERROR(__xludf.DUMMYFUNCTION("split(C819,""-"")"),1.0)</f>
        <v>1</v>
      </c>
      <c r="G819" s="4">
        <f>IFERROR(__xludf.DUMMYFUNCTION("""COMPUTED_VALUE"""),9.0)</f>
        <v>9</v>
      </c>
      <c r="H819" s="4">
        <f t="shared" si="1"/>
        <v>0</v>
      </c>
      <c r="J819" s="4">
        <f>IFERROR(__xludf.DUMMYFUNCTION("IFS(
ISBETWEEN(D819,F819,G819,TRUE,TRUE),1,
ISBETWEEN(E819,F819,G819,TRUE,TRUE),1,
ISBETWEEN(F819,D819,E819,TRUE,TRUE),1,
ISBETWEEN(G819,D819,E819,TRUE,TRUE),1,
1,0)"),1.0)</f>
        <v>1</v>
      </c>
    </row>
    <row r="820">
      <c r="A820" s="2" t="s">
        <v>818</v>
      </c>
      <c r="B820" s="1" t="str">
        <f>IFERROR(__xludf.DUMMYFUNCTION("SPLIT(A820,"","",)"),"2-53")</f>
        <v>2-53</v>
      </c>
      <c r="C820" s="1" t="str">
        <f>IFERROR(__xludf.DUMMYFUNCTION("""COMPUTED_VALUE"""),"95-98")</f>
        <v>95-98</v>
      </c>
      <c r="D820" s="4">
        <f>IFERROR(__xludf.DUMMYFUNCTION("split(B820,""-"")"),2.0)</f>
        <v>2</v>
      </c>
      <c r="E820" s="4">
        <f>IFERROR(__xludf.DUMMYFUNCTION("""COMPUTED_VALUE"""),53.0)</f>
        <v>53</v>
      </c>
      <c r="F820" s="4">
        <f>IFERROR(__xludf.DUMMYFUNCTION("split(C820,""-"")"),95.0)</f>
        <v>95</v>
      </c>
      <c r="G820" s="4">
        <f>IFERROR(__xludf.DUMMYFUNCTION("""COMPUTED_VALUE"""),98.0)</f>
        <v>98</v>
      </c>
      <c r="H820" s="4">
        <f t="shared" si="1"/>
        <v>0</v>
      </c>
      <c r="J820" s="4">
        <f>IFERROR(__xludf.DUMMYFUNCTION("IFS(
ISBETWEEN(D820,F820,G820,TRUE,TRUE),1,
ISBETWEEN(E820,F820,G820,TRUE,TRUE),1,
ISBETWEEN(F820,D820,E820,TRUE,TRUE),1,
ISBETWEEN(G820,D820,E820,TRUE,TRUE),1,
1,0)"),0.0)</f>
        <v>0</v>
      </c>
    </row>
    <row r="821">
      <c r="A821" s="2" t="s">
        <v>819</v>
      </c>
      <c r="B821" s="1" t="str">
        <f>IFERROR(__xludf.DUMMYFUNCTION("SPLIT(A821,"","",)"),"11-46")</f>
        <v>11-46</v>
      </c>
      <c r="C821" s="1" t="str">
        <f>IFERROR(__xludf.DUMMYFUNCTION("""COMPUTED_VALUE"""),"12-67")</f>
        <v>12-67</v>
      </c>
      <c r="D821" s="4">
        <f>IFERROR(__xludf.DUMMYFUNCTION("split(B821,""-"")"),11.0)</f>
        <v>11</v>
      </c>
      <c r="E821" s="4">
        <f>IFERROR(__xludf.DUMMYFUNCTION("""COMPUTED_VALUE"""),46.0)</f>
        <v>46</v>
      </c>
      <c r="F821" s="4">
        <f>IFERROR(__xludf.DUMMYFUNCTION("split(C821,""-"")"),12.0)</f>
        <v>12</v>
      </c>
      <c r="G821" s="4">
        <f>IFERROR(__xludf.DUMMYFUNCTION("""COMPUTED_VALUE"""),67.0)</f>
        <v>67</v>
      </c>
      <c r="H821" s="4">
        <f t="shared" si="1"/>
        <v>0</v>
      </c>
      <c r="J821" s="4">
        <f>IFERROR(__xludf.DUMMYFUNCTION("IFS(
ISBETWEEN(D821,F821,G821,TRUE,TRUE),1,
ISBETWEEN(E821,F821,G821,TRUE,TRUE),1,
ISBETWEEN(F821,D821,E821,TRUE,TRUE),1,
ISBETWEEN(G821,D821,E821,TRUE,TRUE),1,
1,0)"),1.0)</f>
        <v>1</v>
      </c>
    </row>
    <row r="822">
      <c r="A822" s="2" t="s">
        <v>820</v>
      </c>
      <c r="B822" s="1" t="str">
        <f>IFERROR(__xludf.DUMMYFUNCTION("SPLIT(A822,"","",)"),"64-65")</f>
        <v>64-65</v>
      </c>
      <c r="C822" s="1" t="str">
        <f>IFERROR(__xludf.DUMMYFUNCTION("""COMPUTED_VALUE"""),"39-64")</f>
        <v>39-64</v>
      </c>
      <c r="D822" s="4">
        <f>IFERROR(__xludf.DUMMYFUNCTION("split(B822,""-"")"),64.0)</f>
        <v>64</v>
      </c>
      <c r="E822" s="4">
        <f>IFERROR(__xludf.DUMMYFUNCTION("""COMPUTED_VALUE"""),65.0)</f>
        <v>65</v>
      </c>
      <c r="F822" s="4">
        <f>IFERROR(__xludf.DUMMYFUNCTION("split(C822,""-"")"),39.0)</f>
        <v>39</v>
      </c>
      <c r="G822" s="4">
        <f>IFERROR(__xludf.DUMMYFUNCTION("""COMPUTED_VALUE"""),64.0)</f>
        <v>64</v>
      </c>
      <c r="H822" s="4">
        <f t="shared" si="1"/>
        <v>0</v>
      </c>
      <c r="J822" s="4">
        <f>IFERROR(__xludf.DUMMYFUNCTION("IFS(
ISBETWEEN(D822,F822,G822,TRUE,TRUE),1,
ISBETWEEN(E822,F822,G822,TRUE,TRUE),1,
ISBETWEEN(F822,D822,E822,TRUE,TRUE),1,
ISBETWEEN(G822,D822,E822,TRUE,TRUE),1,
1,0)"),1.0)</f>
        <v>1</v>
      </c>
    </row>
    <row r="823">
      <c r="A823" s="2" t="s">
        <v>821</v>
      </c>
      <c r="B823" s="1" t="str">
        <f>IFERROR(__xludf.DUMMYFUNCTION("SPLIT(A823,"","",)"),"37-48")</f>
        <v>37-48</v>
      </c>
      <c r="C823" s="1" t="str">
        <f>IFERROR(__xludf.DUMMYFUNCTION("""COMPUTED_VALUE"""),"36-48")</f>
        <v>36-48</v>
      </c>
      <c r="D823" s="4">
        <f>IFERROR(__xludf.DUMMYFUNCTION("split(B823,""-"")"),37.0)</f>
        <v>37</v>
      </c>
      <c r="E823" s="4">
        <f>IFERROR(__xludf.DUMMYFUNCTION("""COMPUTED_VALUE"""),48.0)</f>
        <v>48</v>
      </c>
      <c r="F823" s="4">
        <f>IFERROR(__xludf.DUMMYFUNCTION("split(C823,""-"")"),36.0)</f>
        <v>36</v>
      </c>
      <c r="G823" s="4">
        <f>IFERROR(__xludf.DUMMYFUNCTION("""COMPUTED_VALUE"""),48.0)</f>
        <v>48</v>
      </c>
      <c r="H823" s="4">
        <f t="shared" si="1"/>
        <v>1</v>
      </c>
      <c r="J823" s="4">
        <f>IFERROR(__xludf.DUMMYFUNCTION("IFS(
ISBETWEEN(D823,F823,G823,TRUE,TRUE),1,
ISBETWEEN(E823,F823,G823,TRUE,TRUE),1,
ISBETWEEN(F823,D823,E823,TRUE,TRUE),1,
ISBETWEEN(G823,D823,E823,TRUE,TRUE),1,
1,0)"),1.0)</f>
        <v>1</v>
      </c>
    </row>
    <row r="824">
      <c r="A824" s="2" t="s">
        <v>822</v>
      </c>
      <c r="B824" s="1" t="str">
        <f>IFERROR(__xludf.DUMMYFUNCTION("SPLIT(A824,"","",)"),"5-42")</f>
        <v>5-42</v>
      </c>
      <c r="C824" s="1" t="str">
        <f>IFERROR(__xludf.DUMMYFUNCTION("""COMPUTED_VALUE"""),"13-99")</f>
        <v>13-99</v>
      </c>
      <c r="D824" s="4">
        <f>IFERROR(__xludf.DUMMYFUNCTION("split(B824,""-"")"),5.0)</f>
        <v>5</v>
      </c>
      <c r="E824" s="4">
        <f>IFERROR(__xludf.DUMMYFUNCTION("""COMPUTED_VALUE"""),42.0)</f>
        <v>42</v>
      </c>
      <c r="F824" s="4">
        <f>IFERROR(__xludf.DUMMYFUNCTION("split(C824,""-"")"),13.0)</f>
        <v>13</v>
      </c>
      <c r="G824" s="4">
        <f>IFERROR(__xludf.DUMMYFUNCTION("""COMPUTED_VALUE"""),99.0)</f>
        <v>99</v>
      </c>
      <c r="H824" s="4">
        <f t="shared" si="1"/>
        <v>0</v>
      </c>
      <c r="J824" s="4">
        <f>IFERROR(__xludf.DUMMYFUNCTION("IFS(
ISBETWEEN(D824,F824,G824,TRUE,TRUE),1,
ISBETWEEN(E824,F824,G824,TRUE,TRUE),1,
ISBETWEEN(F824,D824,E824,TRUE,TRUE),1,
ISBETWEEN(G824,D824,E824,TRUE,TRUE),1,
1,0)"),1.0)</f>
        <v>1</v>
      </c>
    </row>
    <row r="825">
      <c r="A825" s="2" t="s">
        <v>823</v>
      </c>
      <c r="B825" s="1" t="str">
        <f>IFERROR(__xludf.DUMMYFUNCTION("SPLIT(A825,"","",)"),"16-58")</f>
        <v>16-58</v>
      </c>
      <c r="C825" s="3">
        <f>IFERROR(__xludf.DUMMYFUNCTION("""COMPUTED_VALUE"""),44813.0)</f>
        <v>44813</v>
      </c>
      <c r="D825" s="4">
        <f>IFERROR(__xludf.DUMMYFUNCTION("split(B825,""-"")"),16.0)</f>
        <v>16</v>
      </c>
      <c r="E825" s="4">
        <f>IFERROR(__xludf.DUMMYFUNCTION("""COMPUTED_VALUE"""),58.0)</f>
        <v>58</v>
      </c>
      <c r="F825" s="4">
        <f>IFERROR(__xludf.DUMMYFUNCTION("split(C825,""-"")"),9.0)</f>
        <v>9</v>
      </c>
      <c r="G825" s="4">
        <f>IFERROR(__xludf.DUMMYFUNCTION("""COMPUTED_VALUE"""),9.0)</f>
        <v>9</v>
      </c>
      <c r="H825" s="4">
        <f t="shared" si="1"/>
        <v>0</v>
      </c>
      <c r="J825" s="4">
        <f>IFERROR(__xludf.DUMMYFUNCTION("IFS(
ISBETWEEN(D825,F825,G825,TRUE,TRUE),1,
ISBETWEEN(E825,F825,G825,TRUE,TRUE),1,
ISBETWEEN(F825,D825,E825,TRUE,TRUE),1,
ISBETWEEN(G825,D825,E825,TRUE,TRUE),1,
1,0)"),0.0)</f>
        <v>0</v>
      </c>
    </row>
    <row r="826">
      <c r="A826" s="2" t="s">
        <v>824</v>
      </c>
      <c r="B826" s="1" t="str">
        <f>IFERROR(__xludf.DUMMYFUNCTION("SPLIT(A826,"","",)"),"7-91")</f>
        <v>7-91</v>
      </c>
      <c r="C826" s="1" t="str">
        <f>IFERROR(__xludf.DUMMYFUNCTION("""COMPUTED_VALUE"""),"7-90")</f>
        <v>7-90</v>
      </c>
      <c r="D826" s="4">
        <f>IFERROR(__xludf.DUMMYFUNCTION("split(B826,""-"")"),7.0)</f>
        <v>7</v>
      </c>
      <c r="E826" s="4">
        <f>IFERROR(__xludf.DUMMYFUNCTION("""COMPUTED_VALUE"""),91.0)</f>
        <v>91</v>
      </c>
      <c r="F826" s="4">
        <f>IFERROR(__xludf.DUMMYFUNCTION("split(C826,""-"")"),7.0)</f>
        <v>7</v>
      </c>
      <c r="G826" s="4">
        <f>IFERROR(__xludf.DUMMYFUNCTION("""COMPUTED_VALUE"""),90.0)</f>
        <v>90</v>
      </c>
      <c r="H826" s="4">
        <f t="shared" si="1"/>
        <v>1</v>
      </c>
      <c r="J826" s="4">
        <f>IFERROR(__xludf.DUMMYFUNCTION("IFS(
ISBETWEEN(D826,F826,G826,TRUE,TRUE),1,
ISBETWEEN(E826,F826,G826,TRUE,TRUE),1,
ISBETWEEN(F826,D826,E826,TRUE,TRUE),1,
ISBETWEEN(G826,D826,E826,TRUE,TRUE),1,
1,0)"),1.0)</f>
        <v>1</v>
      </c>
    </row>
    <row r="827">
      <c r="A827" s="2" t="s">
        <v>825</v>
      </c>
      <c r="B827" s="1" t="str">
        <f>IFERROR(__xludf.DUMMYFUNCTION("SPLIT(A827,"","",)"),"50-51")</f>
        <v>50-51</v>
      </c>
      <c r="C827" s="1" t="str">
        <f>IFERROR(__xludf.DUMMYFUNCTION("""COMPUTED_VALUE"""),"50-94")</f>
        <v>50-94</v>
      </c>
      <c r="D827" s="4">
        <f>IFERROR(__xludf.DUMMYFUNCTION("split(B827,""-"")"),50.0)</f>
        <v>50</v>
      </c>
      <c r="E827" s="4">
        <f>IFERROR(__xludf.DUMMYFUNCTION("""COMPUTED_VALUE"""),51.0)</f>
        <v>51</v>
      </c>
      <c r="F827" s="4">
        <f>IFERROR(__xludf.DUMMYFUNCTION("split(C827,""-"")"),50.0)</f>
        <v>50</v>
      </c>
      <c r="G827" s="4">
        <f>IFERROR(__xludf.DUMMYFUNCTION("""COMPUTED_VALUE"""),94.0)</f>
        <v>94</v>
      </c>
      <c r="H827" s="4">
        <f t="shared" si="1"/>
        <v>1</v>
      </c>
      <c r="J827" s="4">
        <f>IFERROR(__xludf.DUMMYFUNCTION("IFS(
ISBETWEEN(D827,F827,G827,TRUE,TRUE),1,
ISBETWEEN(E827,F827,G827,TRUE,TRUE),1,
ISBETWEEN(F827,D827,E827,TRUE,TRUE),1,
ISBETWEEN(G827,D827,E827,TRUE,TRUE),1,
1,0)"),1.0)</f>
        <v>1</v>
      </c>
    </row>
    <row r="828">
      <c r="A828" s="2" t="s">
        <v>826</v>
      </c>
      <c r="B828" s="1" t="str">
        <f>IFERROR(__xludf.DUMMYFUNCTION("SPLIT(A828,"","",)"),"31-76")</f>
        <v>31-76</v>
      </c>
      <c r="C828" s="1" t="str">
        <f>IFERROR(__xludf.DUMMYFUNCTION("""COMPUTED_VALUE"""),"32-75")</f>
        <v>32-75</v>
      </c>
      <c r="D828" s="4">
        <f>IFERROR(__xludf.DUMMYFUNCTION("split(B828,""-"")"),31.0)</f>
        <v>31</v>
      </c>
      <c r="E828" s="4">
        <f>IFERROR(__xludf.DUMMYFUNCTION("""COMPUTED_VALUE"""),76.0)</f>
        <v>76</v>
      </c>
      <c r="F828" s="4">
        <f>IFERROR(__xludf.DUMMYFUNCTION("split(C828,""-"")"),32.0)</f>
        <v>32</v>
      </c>
      <c r="G828" s="4">
        <f>IFERROR(__xludf.DUMMYFUNCTION("""COMPUTED_VALUE"""),75.0)</f>
        <v>75</v>
      </c>
      <c r="H828" s="4">
        <f t="shared" si="1"/>
        <v>1</v>
      </c>
      <c r="J828" s="4">
        <f>IFERROR(__xludf.DUMMYFUNCTION("IFS(
ISBETWEEN(D828,F828,G828,TRUE,TRUE),1,
ISBETWEEN(E828,F828,G828,TRUE,TRUE),1,
ISBETWEEN(F828,D828,E828,TRUE,TRUE),1,
ISBETWEEN(G828,D828,E828,TRUE,TRUE),1,
1,0)"),1.0)</f>
        <v>1</v>
      </c>
    </row>
    <row r="829">
      <c r="A829" s="2" t="s">
        <v>827</v>
      </c>
      <c r="B829" s="1" t="str">
        <f>IFERROR(__xludf.DUMMYFUNCTION("SPLIT(A829,"","",)"),"31-96")</f>
        <v>31-96</v>
      </c>
      <c r="C829" s="1" t="str">
        <f>IFERROR(__xludf.DUMMYFUNCTION("""COMPUTED_VALUE"""),"31-95")</f>
        <v>31-95</v>
      </c>
      <c r="D829" s="4">
        <f>IFERROR(__xludf.DUMMYFUNCTION("split(B829,""-"")"),31.0)</f>
        <v>31</v>
      </c>
      <c r="E829" s="4">
        <f>IFERROR(__xludf.DUMMYFUNCTION("""COMPUTED_VALUE"""),96.0)</f>
        <v>96</v>
      </c>
      <c r="F829" s="4">
        <f>IFERROR(__xludf.DUMMYFUNCTION("split(C829,""-"")"),31.0)</f>
        <v>31</v>
      </c>
      <c r="G829" s="4">
        <f>IFERROR(__xludf.DUMMYFUNCTION("""COMPUTED_VALUE"""),95.0)</f>
        <v>95</v>
      </c>
      <c r="H829" s="4">
        <f t="shared" si="1"/>
        <v>1</v>
      </c>
      <c r="J829" s="4">
        <f>IFERROR(__xludf.DUMMYFUNCTION("IFS(
ISBETWEEN(D829,F829,G829,TRUE,TRUE),1,
ISBETWEEN(E829,F829,G829,TRUE,TRUE),1,
ISBETWEEN(F829,D829,E829,TRUE,TRUE),1,
ISBETWEEN(G829,D829,E829,TRUE,TRUE),1,
1,0)"),1.0)</f>
        <v>1</v>
      </c>
    </row>
    <row r="830">
      <c r="A830" s="2" t="s">
        <v>828</v>
      </c>
      <c r="B830" s="1" t="str">
        <f>IFERROR(__xludf.DUMMYFUNCTION("SPLIT(A830,"","",)"),"10-81")</f>
        <v>10-81</v>
      </c>
      <c r="C830" s="1" t="str">
        <f>IFERROR(__xludf.DUMMYFUNCTION("""COMPUTED_VALUE"""),"11-80")</f>
        <v>11-80</v>
      </c>
      <c r="D830" s="4">
        <f>IFERROR(__xludf.DUMMYFUNCTION("split(B830,""-"")"),10.0)</f>
        <v>10</v>
      </c>
      <c r="E830" s="4">
        <f>IFERROR(__xludf.DUMMYFUNCTION("""COMPUTED_VALUE"""),81.0)</f>
        <v>81</v>
      </c>
      <c r="F830" s="4">
        <f>IFERROR(__xludf.DUMMYFUNCTION("split(C830,""-"")"),11.0)</f>
        <v>11</v>
      </c>
      <c r="G830" s="4">
        <f>IFERROR(__xludf.DUMMYFUNCTION("""COMPUTED_VALUE"""),80.0)</f>
        <v>80</v>
      </c>
      <c r="H830" s="4">
        <f t="shared" si="1"/>
        <v>1</v>
      </c>
      <c r="J830" s="4">
        <f>IFERROR(__xludf.DUMMYFUNCTION("IFS(
ISBETWEEN(D830,F830,G830,TRUE,TRUE),1,
ISBETWEEN(E830,F830,G830,TRUE,TRUE),1,
ISBETWEEN(F830,D830,E830,TRUE,TRUE),1,
ISBETWEEN(G830,D830,E830,TRUE,TRUE),1,
1,0)"),1.0)</f>
        <v>1</v>
      </c>
    </row>
    <row r="831">
      <c r="A831" s="2" t="s">
        <v>829</v>
      </c>
      <c r="B831" s="1" t="str">
        <f>IFERROR(__xludf.DUMMYFUNCTION("SPLIT(A831,"","",)"),"23-76")</f>
        <v>23-76</v>
      </c>
      <c r="C831" s="1" t="str">
        <f>IFERROR(__xludf.DUMMYFUNCTION("""COMPUTED_VALUE"""),"57-81")</f>
        <v>57-81</v>
      </c>
      <c r="D831" s="4">
        <f>IFERROR(__xludf.DUMMYFUNCTION("split(B831,""-"")"),23.0)</f>
        <v>23</v>
      </c>
      <c r="E831" s="4">
        <f>IFERROR(__xludf.DUMMYFUNCTION("""COMPUTED_VALUE"""),76.0)</f>
        <v>76</v>
      </c>
      <c r="F831" s="4">
        <f>IFERROR(__xludf.DUMMYFUNCTION("split(C831,""-"")"),57.0)</f>
        <v>57</v>
      </c>
      <c r="G831" s="4">
        <f>IFERROR(__xludf.DUMMYFUNCTION("""COMPUTED_VALUE"""),81.0)</f>
        <v>81</v>
      </c>
      <c r="H831" s="4">
        <f t="shared" si="1"/>
        <v>0</v>
      </c>
      <c r="J831" s="4">
        <f>IFERROR(__xludf.DUMMYFUNCTION("IFS(
ISBETWEEN(D831,F831,G831,TRUE,TRUE),1,
ISBETWEEN(E831,F831,G831,TRUE,TRUE),1,
ISBETWEEN(F831,D831,E831,TRUE,TRUE),1,
ISBETWEEN(G831,D831,E831,TRUE,TRUE),1,
1,0)"),1.0)</f>
        <v>1</v>
      </c>
    </row>
    <row r="832">
      <c r="A832" s="2" t="s">
        <v>830</v>
      </c>
      <c r="B832" s="1" t="str">
        <f>IFERROR(__xludf.DUMMYFUNCTION("SPLIT(A832,"","",)"),"14-83")</f>
        <v>14-83</v>
      </c>
      <c r="C832" s="1" t="str">
        <f>IFERROR(__xludf.DUMMYFUNCTION("""COMPUTED_VALUE"""),"12-82")</f>
        <v>12-82</v>
      </c>
      <c r="D832" s="4">
        <f>IFERROR(__xludf.DUMMYFUNCTION("split(B832,""-"")"),14.0)</f>
        <v>14</v>
      </c>
      <c r="E832" s="4">
        <f>IFERROR(__xludf.DUMMYFUNCTION("""COMPUTED_VALUE"""),83.0)</f>
        <v>83</v>
      </c>
      <c r="F832" s="4">
        <f>IFERROR(__xludf.DUMMYFUNCTION("split(C832,""-"")"),12.0)</f>
        <v>12</v>
      </c>
      <c r="G832" s="4">
        <f>IFERROR(__xludf.DUMMYFUNCTION("""COMPUTED_VALUE"""),82.0)</f>
        <v>82</v>
      </c>
      <c r="H832" s="4">
        <f t="shared" si="1"/>
        <v>0</v>
      </c>
      <c r="J832" s="4">
        <f>IFERROR(__xludf.DUMMYFUNCTION("IFS(
ISBETWEEN(D832,F832,G832,TRUE,TRUE),1,
ISBETWEEN(E832,F832,G832,TRUE,TRUE),1,
ISBETWEEN(F832,D832,E832,TRUE,TRUE),1,
ISBETWEEN(G832,D832,E832,TRUE,TRUE),1,
1,0)"),1.0)</f>
        <v>1</v>
      </c>
    </row>
    <row r="833">
      <c r="A833" s="2" t="s">
        <v>831</v>
      </c>
      <c r="B833" s="1" t="str">
        <f>IFERROR(__xludf.DUMMYFUNCTION("SPLIT(A833,"","",)"),"3-93")</f>
        <v>3-93</v>
      </c>
      <c r="C833" s="1" t="str">
        <f>IFERROR(__xludf.DUMMYFUNCTION("""COMPUTED_VALUE"""),"2-93")</f>
        <v>2-93</v>
      </c>
      <c r="D833" s="4">
        <f>IFERROR(__xludf.DUMMYFUNCTION("split(B833,""-"")"),3.0)</f>
        <v>3</v>
      </c>
      <c r="E833" s="4">
        <f>IFERROR(__xludf.DUMMYFUNCTION("""COMPUTED_VALUE"""),93.0)</f>
        <v>93</v>
      </c>
      <c r="F833" s="4">
        <f>IFERROR(__xludf.DUMMYFUNCTION("split(C833,""-"")"),2.0)</f>
        <v>2</v>
      </c>
      <c r="G833" s="4">
        <f>IFERROR(__xludf.DUMMYFUNCTION("""COMPUTED_VALUE"""),93.0)</f>
        <v>93</v>
      </c>
      <c r="H833" s="4">
        <f t="shared" si="1"/>
        <v>1</v>
      </c>
      <c r="J833" s="4">
        <f>IFERROR(__xludf.DUMMYFUNCTION("IFS(
ISBETWEEN(D833,F833,G833,TRUE,TRUE),1,
ISBETWEEN(E833,F833,G833,TRUE,TRUE),1,
ISBETWEEN(F833,D833,E833,TRUE,TRUE),1,
ISBETWEEN(G833,D833,E833,TRUE,TRUE),1,
1,0)"),1.0)</f>
        <v>1</v>
      </c>
    </row>
    <row r="834">
      <c r="A834" s="2" t="s">
        <v>832</v>
      </c>
      <c r="B834" s="1" t="str">
        <f>IFERROR(__xludf.DUMMYFUNCTION("SPLIT(A834,"","",)"),"27-27")</f>
        <v>27-27</v>
      </c>
      <c r="C834" s="1" t="str">
        <f>IFERROR(__xludf.DUMMYFUNCTION("""COMPUTED_VALUE"""),"26-73")</f>
        <v>26-73</v>
      </c>
      <c r="D834" s="4">
        <f>IFERROR(__xludf.DUMMYFUNCTION("split(B834,""-"")"),27.0)</f>
        <v>27</v>
      </c>
      <c r="E834" s="4">
        <f>IFERROR(__xludf.DUMMYFUNCTION("""COMPUTED_VALUE"""),27.0)</f>
        <v>27</v>
      </c>
      <c r="F834" s="4">
        <f>IFERROR(__xludf.DUMMYFUNCTION("split(C834,""-"")"),26.0)</f>
        <v>26</v>
      </c>
      <c r="G834" s="4">
        <f>IFERROR(__xludf.DUMMYFUNCTION("""COMPUTED_VALUE"""),73.0)</f>
        <v>73</v>
      </c>
      <c r="H834" s="4">
        <f t="shared" si="1"/>
        <v>1</v>
      </c>
      <c r="J834" s="4">
        <f>IFERROR(__xludf.DUMMYFUNCTION("IFS(
ISBETWEEN(D834,F834,G834,TRUE,TRUE),1,
ISBETWEEN(E834,F834,G834,TRUE,TRUE),1,
ISBETWEEN(F834,D834,E834,TRUE,TRUE),1,
ISBETWEEN(G834,D834,E834,TRUE,TRUE),1,
1,0)"),1.0)</f>
        <v>1</v>
      </c>
    </row>
    <row r="835">
      <c r="A835" s="2" t="s">
        <v>833</v>
      </c>
      <c r="B835" s="1" t="str">
        <f>IFERROR(__xludf.DUMMYFUNCTION("SPLIT(A835,"","",)"),"98-99")</f>
        <v>98-99</v>
      </c>
      <c r="C835" s="1" t="str">
        <f>IFERROR(__xludf.DUMMYFUNCTION("""COMPUTED_VALUE"""),"17-99")</f>
        <v>17-99</v>
      </c>
      <c r="D835" s="4">
        <f>IFERROR(__xludf.DUMMYFUNCTION("split(B835,""-"")"),98.0)</f>
        <v>98</v>
      </c>
      <c r="E835" s="4">
        <f>IFERROR(__xludf.DUMMYFUNCTION("""COMPUTED_VALUE"""),99.0)</f>
        <v>99</v>
      </c>
      <c r="F835" s="4">
        <f>IFERROR(__xludf.DUMMYFUNCTION("split(C835,""-"")"),17.0)</f>
        <v>17</v>
      </c>
      <c r="G835" s="4">
        <f>IFERROR(__xludf.DUMMYFUNCTION("""COMPUTED_VALUE"""),99.0)</f>
        <v>99</v>
      </c>
      <c r="H835" s="4">
        <f t="shared" si="1"/>
        <v>1</v>
      </c>
      <c r="J835" s="4">
        <f>IFERROR(__xludf.DUMMYFUNCTION("IFS(
ISBETWEEN(D835,F835,G835,TRUE,TRUE),1,
ISBETWEEN(E835,F835,G835,TRUE,TRUE),1,
ISBETWEEN(F835,D835,E835,TRUE,TRUE),1,
ISBETWEEN(G835,D835,E835,TRUE,TRUE),1,
1,0)"),1.0)</f>
        <v>1</v>
      </c>
    </row>
    <row r="836">
      <c r="A836" s="2" t="s">
        <v>834</v>
      </c>
      <c r="B836" s="1" t="str">
        <f>IFERROR(__xludf.DUMMYFUNCTION("SPLIT(A836,"","",)"),"13-67")</f>
        <v>13-67</v>
      </c>
      <c r="C836" s="1" t="str">
        <f>IFERROR(__xludf.DUMMYFUNCTION("""COMPUTED_VALUE"""),"14-14")</f>
        <v>14-14</v>
      </c>
      <c r="D836" s="4">
        <f>IFERROR(__xludf.DUMMYFUNCTION("split(B836,""-"")"),13.0)</f>
        <v>13</v>
      </c>
      <c r="E836" s="4">
        <f>IFERROR(__xludf.DUMMYFUNCTION("""COMPUTED_VALUE"""),67.0)</f>
        <v>67</v>
      </c>
      <c r="F836" s="4">
        <f>IFERROR(__xludf.DUMMYFUNCTION("split(C836,""-"")"),14.0)</f>
        <v>14</v>
      </c>
      <c r="G836" s="4">
        <f>IFERROR(__xludf.DUMMYFUNCTION("""COMPUTED_VALUE"""),14.0)</f>
        <v>14</v>
      </c>
      <c r="H836" s="4">
        <f t="shared" si="1"/>
        <v>1</v>
      </c>
      <c r="J836" s="4">
        <f>IFERROR(__xludf.DUMMYFUNCTION("IFS(
ISBETWEEN(D836,F836,G836,TRUE,TRUE),1,
ISBETWEEN(E836,F836,G836,TRUE,TRUE),1,
ISBETWEEN(F836,D836,E836,TRUE,TRUE),1,
ISBETWEEN(G836,D836,E836,TRUE,TRUE),1,
1,0)"),1.0)</f>
        <v>1</v>
      </c>
    </row>
    <row r="837">
      <c r="A837" s="2" t="s">
        <v>835</v>
      </c>
      <c r="B837" s="1" t="str">
        <f>IFERROR(__xludf.DUMMYFUNCTION("SPLIT(A837,"","",)"),"48-48")</f>
        <v>48-48</v>
      </c>
      <c r="C837" s="1" t="str">
        <f>IFERROR(__xludf.DUMMYFUNCTION("""COMPUTED_VALUE"""),"1-49")</f>
        <v>1-49</v>
      </c>
      <c r="D837" s="4">
        <f>IFERROR(__xludf.DUMMYFUNCTION("split(B837,""-"")"),48.0)</f>
        <v>48</v>
      </c>
      <c r="E837" s="4">
        <f>IFERROR(__xludf.DUMMYFUNCTION("""COMPUTED_VALUE"""),48.0)</f>
        <v>48</v>
      </c>
      <c r="F837" s="4">
        <f>IFERROR(__xludf.DUMMYFUNCTION("split(C837,""-"")"),1.0)</f>
        <v>1</v>
      </c>
      <c r="G837" s="4">
        <f>IFERROR(__xludf.DUMMYFUNCTION("""COMPUTED_VALUE"""),49.0)</f>
        <v>49</v>
      </c>
      <c r="H837" s="4">
        <f t="shared" si="1"/>
        <v>1</v>
      </c>
      <c r="J837" s="4">
        <f>IFERROR(__xludf.DUMMYFUNCTION("IFS(
ISBETWEEN(D837,F837,G837,TRUE,TRUE),1,
ISBETWEEN(E837,F837,G837,TRUE,TRUE),1,
ISBETWEEN(F837,D837,E837,TRUE,TRUE),1,
ISBETWEEN(G837,D837,E837,TRUE,TRUE),1,
1,0)"),1.0)</f>
        <v>1</v>
      </c>
    </row>
    <row r="838">
      <c r="A838" s="2" t="s">
        <v>836</v>
      </c>
      <c r="B838" s="1" t="str">
        <f>IFERROR(__xludf.DUMMYFUNCTION("SPLIT(A838,"","",)"),"94-95")</f>
        <v>94-95</v>
      </c>
      <c r="C838" s="1" t="str">
        <f>IFERROR(__xludf.DUMMYFUNCTION("""COMPUTED_VALUE"""),"7-94")</f>
        <v>7-94</v>
      </c>
      <c r="D838" s="4">
        <f>IFERROR(__xludf.DUMMYFUNCTION("split(B838,""-"")"),94.0)</f>
        <v>94</v>
      </c>
      <c r="E838" s="4">
        <f>IFERROR(__xludf.DUMMYFUNCTION("""COMPUTED_VALUE"""),95.0)</f>
        <v>95</v>
      </c>
      <c r="F838" s="4">
        <f>IFERROR(__xludf.DUMMYFUNCTION("split(C838,""-"")"),7.0)</f>
        <v>7</v>
      </c>
      <c r="G838" s="4">
        <f>IFERROR(__xludf.DUMMYFUNCTION("""COMPUTED_VALUE"""),94.0)</f>
        <v>94</v>
      </c>
      <c r="H838" s="4">
        <f t="shared" si="1"/>
        <v>0</v>
      </c>
      <c r="J838" s="4">
        <f>IFERROR(__xludf.DUMMYFUNCTION("IFS(
ISBETWEEN(D838,F838,G838,TRUE,TRUE),1,
ISBETWEEN(E838,F838,G838,TRUE,TRUE),1,
ISBETWEEN(F838,D838,E838,TRUE,TRUE),1,
ISBETWEEN(G838,D838,E838,TRUE,TRUE),1,
1,0)"),1.0)</f>
        <v>1</v>
      </c>
    </row>
    <row r="839">
      <c r="A839" s="2" t="s">
        <v>837</v>
      </c>
      <c r="B839" s="1" t="str">
        <f>IFERROR(__xludf.DUMMYFUNCTION("SPLIT(A839,"","",)"),"42-97")</f>
        <v>42-97</v>
      </c>
      <c r="C839" s="1" t="str">
        <f>IFERROR(__xludf.DUMMYFUNCTION("""COMPUTED_VALUE"""),"43-98")</f>
        <v>43-98</v>
      </c>
      <c r="D839" s="4">
        <f>IFERROR(__xludf.DUMMYFUNCTION("split(B839,""-"")"),42.0)</f>
        <v>42</v>
      </c>
      <c r="E839" s="4">
        <f>IFERROR(__xludf.DUMMYFUNCTION("""COMPUTED_VALUE"""),97.0)</f>
        <v>97</v>
      </c>
      <c r="F839" s="4">
        <f>IFERROR(__xludf.DUMMYFUNCTION("split(C839,""-"")"),43.0)</f>
        <v>43</v>
      </c>
      <c r="G839" s="4">
        <f>IFERROR(__xludf.DUMMYFUNCTION("""COMPUTED_VALUE"""),98.0)</f>
        <v>98</v>
      </c>
      <c r="H839" s="4">
        <f t="shared" si="1"/>
        <v>0</v>
      </c>
      <c r="J839" s="4">
        <f>IFERROR(__xludf.DUMMYFUNCTION("IFS(
ISBETWEEN(D839,F839,G839,TRUE,TRUE),1,
ISBETWEEN(E839,F839,G839,TRUE,TRUE),1,
ISBETWEEN(F839,D839,E839,TRUE,TRUE),1,
ISBETWEEN(G839,D839,E839,TRUE,TRUE),1,
1,0)"),1.0)</f>
        <v>1</v>
      </c>
    </row>
    <row r="840">
      <c r="A840" s="2" t="s">
        <v>838</v>
      </c>
      <c r="B840" s="1" t="str">
        <f>IFERROR(__xludf.DUMMYFUNCTION("SPLIT(A840,"","",)"),"62-81")</f>
        <v>62-81</v>
      </c>
      <c r="C840" s="1" t="str">
        <f>IFERROR(__xludf.DUMMYFUNCTION("""COMPUTED_VALUE"""),"63-82")</f>
        <v>63-82</v>
      </c>
      <c r="D840" s="4">
        <f>IFERROR(__xludf.DUMMYFUNCTION("split(B840,""-"")"),62.0)</f>
        <v>62</v>
      </c>
      <c r="E840" s="4">
        <f>IFERROR(__xludf.DUMMYFUNCTION("""COMPUTED_VALUE"""),81.0)</f>
        <v>81</v>
      </c>
      <c r="F840" s="4">
        <f>IFERROR(__xludf.DUMMYFUNCTION("split(C840,""-"")"),63.0)</f>
        <v>63</v>
      </c>
      <c r="G840" s="4">
        <f>IFERROR(__xludf.DUMMYFUNCTION("""COMPUTED_VALUE"""),82.0)</f>
        <v>82</v>
      </c>
      <c r="H840" s="4">
        <f t="shared" si="1"/>
        <v>0</v>
      </c>
      <c r="J840" s="4">
        <f>IFERROR(__xludf.DUMMYFUNCTION("IFS(
ISBETWEEN(D840,F840,G840,TRUE,TRUE),1,
ISBETWEEN(E840,F840,G840,TRUE,TRUE),1,
ISBETWEEN(F840,D840,E840,TRUE,TRUE),1,
ISBETWEEN(G840,D840,E840,TRUE,TRUE),1,
1,0)"),1.0)</f>
        <v>1</v>
      </c>
    </row>
    <row r="841">
      <c r="A841" s="2" t="s">
        <v>839</v>
      </c>
      <c r="B841" s="1" t="str">
        <f>IFERROR(__xludf.DUMMYFUNCTION("SPLIT(A841,"","",)"),"27-27")</f>
        <v>27-27</v>
      </c>
      <c r="C841" s="1" t="str">
        <f>IFERROR(__xludf.DUMMYFUNCTION("""COMPUTED_VALUE"""),"17-28")</f>
        <v>17-28</v>
      </c>
      <c r="D841" s="4">
        <f>IFERROR(__xludf.DUMMYFUNCTION("split(B841,""-"")"),27.0)</f>
        <v>27</v>
      </c>
      <c r="E841" s="4">
        <f>IFERROR(__xludf.DUMMYFUNCTION("""COMPUTED_VALUE"""),27.0)</f>
        <v>27</v>
      </c>
      <c r="F841" s="4">
        <f>IFERROR(__xludf.DUMMYFUNCTION("split(C841,""-"")"),17.0)</f>
        <v>17</v>
      </c>
      <c r="G841" s="4">
        <f>IFERROR(__xludf.DUMMYFUNCTION("""COMPUTED_VALUE"""),28.0)</f>
        <v>28</v>
      </c>
      <c r="H841" s="4">
        <f t="shared" si="1"/>
        <v>1</v>
      </c>
      <c r="J841" s="4">
        <f>IFERROR(__xludf.DUMMYFUNCTION("IFS(
ISBETWEEN(D841,F841,G841,TRUE,TRUE),1,
ISBETWEEN(E841,F841,G841,TRUE,TRUE),1,
ISBETWEEN(F841,D841,E841,TRUE,TRUE),1,
ISBETWEEN(G841,D841,E841,TRUE,TRUE),1,
1,0)"),1.0)</f>
        <v>1</v>
      </c>
    </row>
    <row r="842">
      <c r="A842" s="2" t="s">
        <v>840</v>
      </c>
      <c r="B842" s="1" t="str">
        <f>IFERROR(__xludf.DUMMYFUNCTION("SPLIT(A842,"","",)"),"20-69")</f>
        <v>20-69</v>
      </c>
      <c r="C842" s="1" t="str">
        <f>IFERROR(__xludf.DUMMYFUNCTION("""COMPUTED_VALUE"""),"59-68")</f>
        <v>59-68</v>
      </c>
      <c r="D842" s="4">
        <f>IFERROR(__xludf.DUMMYFUNCTION("split(B842,""-"")"),20.0)</f>
        <v>20</v>
      </c>
      <c r="E842" s="4">
        <f>IFERROR(__xludf.DUMMYFUNCTION("""COMPUTED_VALUE"""),69.0)</f>
        <v>69</v>
      </c>
      <c r="F842" s="4">
        <f>IFERROR(__xludf.DUMMYFUNCTION("split(C842,""-"")"),59.0)</f>
        <v>59</v>
      </c>
      <c r="G842" s="4">
        <f>IFERROR(__xludf.DUMMYFUNCTION("""COMPUTED_VALUE"""),68.0)</f>
        <v>68</v>
      </c>
      <c r="H842" s="4">
        <f t="shared" si="1"/>
        <v>1</v>
      </c>
      <c r="J842" s="4">
        <f>IFERROR(__xludf.DUMMYFUNCTION("IFS(
ISBETWEEN(D842,F842,G842,TRUE,TRUE),1,
ISBETWEEN(E842,F842,G842,TRUE,TRUE),1,
ISBETWEEN(F842,D842,E842,TRUE,TRUE),1,
ISBETWEEN(G842,D842,E842,TRUE,TRUE),1,
1,0)"),1.0)</f>
        <v>1</v>
      </c>
    </row>
    <row r="843">
      <c r="A843" s="2" t="s">
        <v>841</v>
      </c>
      <c r="B843" s="1" t="str">
        <f>IFERROR(__xludf.DUMMYFUNCTION("SPLIT(A843,"","",)"),"18-67")</f>
        <v>18-67</v>
      </c>
      <c r="C843" s="1" t="str">
        <f>IFERROR(__xludf.DUMMYFUNCTION("""COMPUTED_VALUE"""),"68-68")</f>
        <v>68-68</v>
      </c>
      <c r="D843" s="4">
        <f>IFERROR(__xludf.DUMMYFUNCTION("split(B843,""-"")"),18.0)</f>
        <v>18</v>
      </c>
      <c r="E843" s="4">
        <f>IFERROR(__xludf.DUMMYFUNCTION("""COMPUTED_VALUE"""),67.0)</f>
        <v>67</v>
      </c>
      <c r="F843" s="4">
        <f>IFERROR(__xludf.DUMMYFUNCTION("split(C843,""-"")"),68.0)</f>
        <v>68</v>
      </c>
      <c r="G843" s="4">
        <f>IFERROR(__xludf.DUMMYFUNCTION("""COMPUTED_VALUE"""),68.0)</f>
        <v>68</v>
      </c>
      <c r="H843" s="4">
        <f t="shared" si="1"/>
        <v>0</v>
      </c>
      <c r="J843" s="4">
        <f>IFERROR(__xludf.DUMMYFUNCTION("IFS(
ISBETWEEN(D843,F843,G843,TRUE,TRUE),1,
ISBETWEEN(E843,F843,G843,TRUE,TRUE),1,
ISBETWEEN(F843,D843,E843,TRUE,TRUE),1,
ISBETWEEN(G843,D843,E843,TRUE,TRUE),1,
1,0)"),0.0)</f>
        <v>0</v>
      </c>
    </row>
    <row r="844">
      <c r="A844" s="2" t="s">
        <v>842</v>
      </c>
      <c r="B844" s="1" t="str">
        <f>IFERROR(__xludf.DUMMYFUNCTION("SPLIT(A844,"","",)"),"2-13")</f>
        <v>2-13</v>
      </c>
      <c r="C844" s="3">
        <f>IFERROR(__xludf.DUMMYFUNCTION("""COMPUTED_VALUE"""),44747.0)</f>
        <v>44747</v>
      </c>
      <c r="D844" s="4">
        <f>IFERROR(__xludf.DUMMYFUNCTION("split(B844,""-"")"),2.0)</f>
        <v>2</v>
      </c>
      <c r="E844" s="4">
        <f>IFERROR(__xludf.DUMMYFUNCTION("""COMPUTED_VALUE"""),13.0)</f>
        <v>13</v>
      </c>
      <c r="F844" s="4">
        <f>IFERROR(__xludf.DUMMYFUNCTION("split(C844,""-"")"),5.0)</f>
        <v>5</v>
      </c>
      <c r="G844" s="4">
        <f>IFERROR(__xludf.DUMMYFUNCTION("""COMPUTED_VALUE"""),7.0)</f>
        <v>7</v>
      </c>
      <c r="H844" s="4">
        <f t="shared" si="1"/>
        <v>1</v>
      </c>
      <c r="J844" s="4">
        <f>IFERROR(__xludf.DUMMYFUNCTION("IFS(
ISBETWEEN(D844,F844,G844,TRUE,TRUE),1,
ISBETWEEN(E844,F844,G844,TRUE,TRUE),1,
ISBETWEEN(F844,D844,E844,TRUE,TRUE),1,
ISBETWEEN(G844,D844,E844,TRUE,TRUE),1,
1,0)"),1.0)</f>
        <v>1</v>
      </c>
    </row>
    <row r="845">
      <c r="A845" s="2" t="s">
        <v>843</v>
      </c>
      <c r="B845" s="1" t="str">
        <f>IFERROR(__xludf.DUMMYFUNCTION("SPLIT(A845,"","",)"),"3-98")</f>
        <v>3-98</v>
      </c>
      <c r="C845" s="1" t="str">
        <f>IFERROR(__xludf.DUMMYFUNCTION("""COMPUTED_VALUE"""),"2-97")</f>
        <v>2-97</v>
      </c>
      <c r="D845" s="4">
        <f>IFERROR(__xludf.DUMMYFUNCTION("split(B845,""-"")"),3.0)</f>
        <v>3</v>
      </c>
      <c r="E845" s="4">
        <f>IFERROR(__xludf.DUMMYFUNCTION("""COMPUTED_VALUE"""),98.0)</f>
        <v>98</v>
      </c>
      <c r="F845" s="4">
        <f>IFERROR(__xludf.DUMMYFUNCTION("split(C845,""-"")"),2.0)</f>
        <v>2</v>
      </c>
      <c r="G845" s="4">
        <f>IFERROR(__xludf.DUMMYFUNCTION("""COMPUTED_VALUE"""),97.0)</f>
        <v>97</v>
      </c>
      <c r="H845" s="4">
        <f t="shared" si="1"/>
        <v>0</v>
      </c>
      <c r="J845" s="4">
        <f>IFERROR(__xludf.DUMMYFUNCTION("IFS(
ISBETWEEN(D845,F845,G845,TRUE,TRUE),1,
ISBETWEEN(E845,F845,G845,TRUE,TRUE),1,
ISBETWEEN(F845,D845,E845,TRUE,TRUE),1,
ISBETWEEN(G845,D845,E845,TRUE,TRUE),1,
1,0)"),1.0)</f>
        <v>1</v>
      </c>
    </row>
    <row r="846">
      <c r="A846" s="2" t="s">
        <v>844</v>
      </c>
      <c r="B846" s="1" t="str">
        <f>IFERROR(__xludf.DUMMYFUNCTION("SPLIT(A846,"","",)"),"27-90")</f>
        <v>27-90</v>
      </c>
      <c r="C846" s="1" t="str">
        <f>IFERROR(__xludf.DUMMYFUNCTION("""COMPUTED_VALUE"""),"26-90")</f>
        <v>26-90</v>
      </c>
      <c r="D846" s="4">
        <f>IFERROR(__xludf.DUMMYFUNCTION("split(B846,""-"")"),27.0)</f>
        <v>27</v>
      </c>
      <c r="E846" s="4">
        <f>IFERROR(__xludf.DUMMYFUNCTION("""COMPUTED_VALUE"""),90.0)</f>
        <v>90</v>
      </c>
      <c r="F846" s="4">
        <f>IFERROR(__xludf.DUMMYFUNCTION("split(C846,""-"")"),26.0)</f>
        <v>26</v>
      </c>
      <c r="G846" s="4">
        <f>IFERROR(__xludf.DUMMYFUNCTION("""COMPUTED_VALUE"""),90.0)</f>
        <v>90</v>
      </c>
      <c r="H846" s="4">
        <f t="shared" si="1"/>
        <v>1</v>
      </c>
      <c r="J846" s="4">
        <f>IFERROR(__xludf.DUMMYFUNCTION("IFS(
ISBETWEEN(D846,F846,G846,TRUE,TRUE),1,
ISBETWEEN(E846,F846,G846,TRUE,TRUE),1,
ISBETWEEN(F846,D846,E846,TRUE,TRUE),1,
ISBETWEEN(G846,D846,E846,TRUE,TRUE),1,
1,0)"),1.0)</f>
        <v>1</v>
      </c>
    </row>
    <row r="847">
      <c r="A847" s="2" t="s">
        <v>845</v>
      </c>
      <c r="B847" s="3">
        <f>IFERROR(__xludf.DUMMYFUNCTION("SPLIT(A847,"","",)"),44806.0)</f>
        <v>44806</v>
      </c>
      <c r="C847" s="1" t="str">
        <f>IFERROR(__xludf.DUMMYFUNCTION("""COMPUTED_VALUE"""),"9-48")</f>
        <v>9-48</v>
      </c>
      <c r="D847" s="4">
        <f>IFERROR(__xludf.DUMMYFUNCTION("split(B847,""-"")"),2.0)</f>
        <v>2</v>
      </c>
      <c r="E847" s="4">
        <f>IFERROR(__xludf.DUMMYFUNCTION("""COMPUTED_VALUE"""),9.0)</f>
        <v>9</v>
      </c>
      <c r="F847" s="4">
        <f>IFERROR(__xludf.DUMMYFUNCTION("split(C847,""-"")"),9.0)</f>
        <v>9</v>
      </c>
      <c r="G847" s="4">
        <f>IFERROR(__xludf.DUMMYFUNCTION("""COMPUTED_VALUE"""),48.0)</f>
        <v>48</v>
      </c>
      <c r="H847" s="4">
        <f t="shared" si="1"/>
        <v>0</v>
      </c>
      <c r="J847" s="4">
        <f>IFERROR(__xludf.DUMMYFUNCTION("IFS(
ISBETWEEN(D847,F847,G847,TRUE,TRUE),1,
ISBETWEEN(E847,F847,G847,TRUE,TRUE),1,
ISBETWEEN(F847,D847,E847,TRUE,TRUE),1,
ISBETWEEN(G847,D847,E847,TRUE,TRUE),1,
1,0)"),1.0)</f>
        <v>1</v>
      </c>
    </row>
    <row r="848">
      <c r="A848" s="2" t="s">
        <v>846</v>
      </c>
      <c r="B848" s="1" t="str">
        <f>IFERROR(__xludf.DUMMYFUNCTION("SPLIT(A848,"","",)"),"11-99")</f>
        <v>11-99</v>
      </c>
      <c r="C848" s="1" t="str">
        <f>IFERROR(__xludf.DUMMYFUNCTION("""COMPUTED_VALUE"""),"12-97")</f>
        <v>12-97</v>
      </c>
      <c r="D848" s="4">
        <f>IFERROR(__xludf.DUMMYFUNCTION("split(B848,""-"")"),11.0)</f>
        <v>11</v>
      </c>
      <c r="E848" s="4">
        <f>IFERROR(__xludf.DUMMYFUNCTION("""COMPUTED_VALUE"""),99.0)</f>
        <v>99</v>
      </c>
      <c r="F848" s="4">
        <f>IFERROR(__xludf.DUMMYFUNCTION("split(C848,""-"")"),12.0)</f>
        <v>12</v>
      </c>
      <c r="G848" s="4">
        <f>IFERROR(__xludf.DUMMYFUNCTION("""COMPUTED_VALUE"""),97.0)</f>
        <v>97</v>
      </c>
      <c r="H848" s="4">
        <f t="shared" si="1"/>
        <v>1</v>
      </c>
      <c r="J848" s="4">
        <f>IFERROR(__xludf.DUMMYFUNCTION("IFS(
ISBETWEEN(D848,F848,G848,TRUE,TRUE),1,
ISBETWEEN(E848,F848,G848,TRUE,TRUE),1,
ISBETWEEN(F848,D848,E848,TRUE,TRUE),1,
ISBETWEEN(G848,D848,E848,TRUE,TRUE),1,
1,0)"),1.0)</f>
        <v>1</v>
      </c>
    </row>
    <row r="849">
      <c r="A849" s="2" t="s">
        <v>847</v>
      </c>
      <c r="B849" s="1" t="str">
        <f>IFERROR(__xludf.DUMMYFUNCTION("SPLIT(A849,"","",)"),"3-88")</f>
        <v>3-88</v>
      </c>
      <c r="C849" s="3">
        <f>IFERROR(__xludf.DUMMYFUNCTION("""COMPUTED_VALUE"""),44897.0)</f>
        <v>44897</v>
      </c>
      <c r="D849" s="4">
        <f>IFERROR(__xludf.DUMMYFUNCTION("split(B849,""-"")"),3.0)</f>
        <v>3</v>
      </c>
      <c r="E849" s="4">
        <f>IFERROR(__xludf.DUMMYFUNCTION("""COMPUTED_VALUE"""),88.0)</f>
        <v>88</v>
      </c>
      <c r="F849" s="4">
        <f>IFERROR(__xludf.DUMMYFUNCTION("split(C849,""-"")"),2.0)</f>
        <v>2</v>
      </c>
      <c r="G849" s="4">
        <f>IFERROR(__xludf.DUMMYFUNCTION("""COMPUTED_VALUE"""),12.0)</f>
        <v>12</v>
      </c>
      <c r="H849" s="4">
        <f t="shared" si="1"/>
        <v>0</v>
      </c>
      <c r="J849" s="4">
        <f>IFERROR(__xludf.DUMMYFUNCTION("IFS(
ISBETWEEN(D849,F849,G849,TRUE,TRUE),1,
ISBETWEEN(E849,F849,G849,TRUE,TRUE),1,
ISBETWEEN(F849,D849,E849,TRUE,TRUE),1,
ISBETWEEN(G849,D849,E849,TRUE,TRUE),1,
1,0)"),1.0)</f>
        <v>1</v>
      </c>
    </row>
    <row r="850">
      <c r="A850" s="2" t="s">
        <v>848</v>
      </c>
      <c r="B850" s="1" t="str">
        <f>IFERROR(__xludf.DUMMYFUNCTION("SPLIT(A850,"","",)"),"12-13")</f>
        <v>12-13</v>
      </c>
      <c r="C850" s="1" t="str">
        <f>IFERROR(__xludf.DUMMYFUNCTION("""COMPUTED_VALUE"""),"12-49")</f>
        <v>12-49</v>
      </c>
      <c r="D850" s="4">
        <f>IFERROR(__xludf.DUMMYFUNCTION("split(B850,""-"")"),12.0)</f>
        <v>12</v>
      </c>
      <c r="E850" s="4">
        <f>IFERROR(__xludf.DUMMYFUNCTION("""COMPUTED_VALUE"""),13.0)</f>
        <v>13</v>
      </c>
      <c r="F850" s="4">
        <f>IFERROR(__xludf.DUMMYFUNCTION("split(C850,""-"")"),12.0)</f>
        <v>12</v>
      </c>
      <c r="G850" s="4">
        <f>IFERROR(__xludf.DUMMYFUNCTION("""COMPUTED_VALUE"""),49.0)</f>
        <v>49</v>
      </c>
      <c r="H850" s="4">
        <f t="shared" si="1"/>
        <v>1</v>
      </c>
      <c r="J850" s="4">
        <f>IFERROR(__xludf.DUMMYFUNCTION("IFS(
ISBETWEEN(D850,F850,G850,TRUE,TRUE),1,
ISBETWEEN(E850,F850,G850,TRUE,TRUE),1,
ISBETWEEN(F850,D850,E850,TRUE,TRUE),1,
ISBETWEEN(G850,D850,E850,TRUE,TRUE),1,
1,0)"),1.0)</f>
        <v>1</v>
      </c>
    </row>
    <row r="851">
      <c r="A851" s="2" t="s">
        <v>849</v>
      </c>
      <c r="B851" s="1" t="str">
        <f>IFERROR(__xludf.DUMMYFUNCTION("SPLIT(A851,"","",)"),"5-20")</f>
        <v>5-20</v>
      </c>
      <c r="C851" s="1" t="str">
        <f>IFERROR(__xludf.DUMMYFUNCTION("""COMPUTED_VALUE"""),"20-39")</f>
        <v>20-39</v>
      </c>
      <c r="D851" s="4">
        <f>IFERROR(__xludf.DUMMYFUNCTION("split(B851,""-"")"),5.0)</f>
        <v>5</v>
      </c>
      <c r="E851" s="4">
        <f>IFERROR(__xludf.DUMMYFUNCTION("""COMPUTED_VALUE"""),20.0)</f>
        <v>20</v>
      </c>
      <c r="F851" s="4">
        <f>IFERROR(__xludf.DUMMYFUNCTION("split(C851,""-"")"),20.0)</f>
        <v>20</v>
      </c>
      <c r="G851" s="4">
        <f>IFERROR(__xludf.DUMMYFUNCTION("""COMPUTED_VALUE"""),39.0)</f>
        <v>39</v>
      </c>
      <c r="H851" s="4">
        <f t="shared" si="1"/>
        <v>0</v>
      </c>
      <c r="J851" s="4">
        <f>IFERROR(__xludf.DUMMYFUNCTION("IFS(
ISBETWEEN(D851,F851,G851,TRUE,TRUE),1,
ISBETWEEN(E851,F851,G851,TRUE,TRUE),1,
ISBETWEEN(F851,D851,E851,TRUE,TRUE),1,
ISBETWEEN(G851,D851,E851,TRUE,TRUE),1,
1,0)"),1.0)</f>
        <v>1</v>
      </c>
    </row>
    <row r="852">
      <c r="A852" s="2" t="s">
        <v>850</v>
      </c>
      <c r="B852" s="1" t="str">
        <f>IFERROR(__xludf.DUMMYFUNCTION("SPLIT(A852,"","",)"),"39-98")</f>
        <v>39-98</v>
      </c>
      <c r="C852" s="1" t="str">
        <f>IFERROR(__xludf.DUMMYFUNCTION("""COMPUTED_VALUE"""),"38-75")</f>
        <v>38-75</v>
      </c>
      <c r="D852" s="4">
        <f>IFERROR(__xludf.DUMMYFUNCTION("split(B852,""-"")"),39.0)</f>
        <v>39</v>
      </c>
      <c r="E852" s="4">
        <f>IFERROR(__xludf.DUMMYFUNCTION("""COMPUTED_VALUE"""),98.0)</f>
        <v>98</v>
      </c>
      <c r="F852" s="4">
        <f>IFERROR(__xludf.DUMMYFUNCTION("split(C852,""-"")"),38.0)</f>
        <v>38</v>
      </c>
      <c r="G852" s="4">
        <f>IFERROR(__xludf.DUMMYFUNCTION("""COMPUTED_VALUE"""),75.0)</f>
        <v>75</v>
      </c>
      <c r="H852" s="4">
        <f t="shared" si="1"/>
        <v>0</v>
      </c>
      <c r="J852" s="4">
        <f>IFERROR(__xludf.DUMMYFUNCTION("IFS(
ISBETWEEN(D852,F852,G852,TRUE,TRUE),1,
ISBETWEEN(E852,F852,G852,TRUE,TRUE),1,
ISBETWEEN(F852,D852,E852,TRUE,TRUE),1,
ISBETWEEN(G852,D852,E852,TRUE,TRUE),1,
1,0)"),1.0)</f>
        <v>1</v>
      </c>
    </row>
    <row r="853">
      <c r="A853" s="2" t="s">
        <v>851</v>
      </c>
      <c r="B853" s="1" t="str">
        <f>IFERROR(__xludf.DUMMYFUNCTION("SPLIT(A853,"","",)"),"90-90")</f>
        <v>90-90</v>
      </c>
      <c r="C853" s="1" t="str">
        <f>IFERROR(__xludf.DUMMYFUNCTION("""COMPUTED_VALUE"""),"4-91")</f>
        <v>4-91</v>
      </c>
      <c r="D853" s="4">
        <f>IFERROR(__xludf.DUMMYFUNCTION("split(B853,""-"")"),90.0)</f>
        <v>90</v>
      </c>
      <c r="E853" s="4">
        <f>IFERROR(__xludf.DUMMYFUNCTION("""COMPUTED_VALUE"""),90.0)</f>
        <v>90</v>
      </c>
      <c r="F853" s="4">
        <f>IFERROR(__xludf.DUMMYFUNCTION("split(C853,""-"")"),4.0)</f>
        <v>4</v>
      </c>
      <c r="G853" s="4">
        <f>IFERROR(__xludf.DUMMYFUNCTION("""COMPUTED_VALUE"""),91.0)</f>
        <v>91</v>
      </c>
      <c r="H853" s="4">
        <f t="shared" si="1"/>
        <v>1</v>
      </c>
      <c r="J853" s="4">
        <f>IFERROR(__xludf.DUMMYFUNCTION("IFS(
ISBETWEEN(D853,F853,G853,TRUE,TRUE),1,
ISBETWEEN(E853,F853,G853,TRUE,TRUE),1,
ISBETWEEN(F853,D853,E853,TRUE,TRUE),1,
ISBETWEEN(G853,D853,E853,TRUE,TRUE),1,
1,0)"),1.0)</f>
        <v>1</v>
      </c>
    </row>
    <row r="854">
      <c r="A854" s="2" t="s">
        <v>852</v>
      </c>
      <c r="B854" s="1" t="str">
        <f>IFERROR(__xludf.DUMMYFUNCTION("SPLIT(A854,"","",)"),"64-77")</f>
        <v>64-77</v>
      </c>
      <c r="C854" s="1" t="str">
        <f>IFERROR(__xludf.DUMMYFUNCTION("""COMPUTED_VALUE"""),"64-77")</f>
        <v>64-77</v>
      </c>
      <c r="D854" s="4">
        <f>IFERROR(__xludf.DUMMYFUNCTION("split(B854,""-"")"),64.0)</f>
        <v>64</v>
      </c>
      <c r="E854" s="4">
        <f>IFERROR(__xludf.DUMMYFUNCTION("""COMPUTED_VALUE"""),77.0)</f>
        <v>77</v>
      </c>
      <c r="F854" s="4">
        <f>IFERROR(__xludf.DUMMYFUNCTION("split(C854,""-"")"),64.0)</f>
        <v>64</v>
      </c>
      <c r="G854" s="4">
        <f>IFERROR(__xludf.DUMMYFUNCTION("""COMPUTED_VALUE"""),77.0)</f>
        <v>77</v>
      </c>
      <c r="H854" s="4">
        <f t="shared" si="1"/>
        <v>1</v>
      </c>
      <c r="J854" s="4">
        <f>IFERROR(__xludf.DUMMYFUNCTION("IFS(
ISBETWEEN(D854,F854,G854,TRUE,TRUE),1,
ISBETWEEN(E854,F854,G854,TRUE,TRUE),1,
ISBETWEEN(F854,D854,E854,TRUE,TRUE),1,
ISBETWEEN(G854,D854,E854,TRUE,TRUE),1,
1,0)"),1.0)</f>
        <v>1</v>
      </c>
    </row>
    <row r="855">
      <c r="A855" s="2" t="s">
        <v>853</v>
      </c>
      <c r="B855" s="1" t="str">
        <f>IFERROR(__xludf.DUMMYFUNCTION("SPLIT(A855,"","",)"),"3-51")</f>
        <v>3-51</v>
      </c>
      <c r="C855" s="1" t="str">
        <f>IFERROR(__xludf.DUMMYFUNCTION("""COMPUTED_VALUE"""),"4-51")</f>
        <v>4-51</v>
      </c>
      <c r="D855" s="4">
        <f>IFERROR(__xludf.DUMMYFUNCTION("split(B855,""-"")"),3.0)</f>
        <v>3</v>
      </c>
      <c r="E855" s="4">
        <f>IFERROR(__xludf.DUMMYFUNCTION("""COMPUTED_VALUE"""),51.0)</f>
        <v>51</v>
      </c>
      <c r="F855" s="4">
        <f>IFERROR(__xludf.DUMMYFUNCTION("split(C855,""-"")"),4.0)</f>
        <v>4</v>
      </c>
      <c r="G855" s="4">
        <f>IFERROR(__xludf.DUMMYFUNCTION("""COMPUTED_VALUE"""),51.0)</f>
        <v>51</v>
      </c>
      <c r="H855" s="4">
        <f t="shared" si="1"/>
        <v>1</v>
      </c>
      <c r="J855" s="4">
        <f>IFERROR(__xludf.DUMMYFUNCTION("IFS(
ISBETWEEN(D855,F855,G855,TRUE,TRUE),1,
ISBETWEEN(E855,F855,G855,TRUE,TRUE),1,
ISBETWEEN(F855,D855,E855,TRUE,TRUE),1,
ISBETWEEN(G855,D855,E855,TRUE,TRUE),1,
1,0)"),1.0)</f>
        <v>1</v>
      </c>
    </row>
    <row r="856">
      <c r="A856" s="2" t="s">
        <v>854</v>
      </c>
      <c r="B856" s="3">
        <f>IFERROR(__xludf.DUMMYFUNCTION("SPLIT(A856,"","",)"),44837.0)</f>
        <v>44837</v>
      </c>
      <c r="C856" s="1" t="str">
        <f>IFERROR(__xludf.DUMMYFUNCTION("""COMPUTED_VALUE"""),"10-34")</f>
        <v>10-34</v>
      </c>
      <c r="D856" s="4">
        <f>IFERROR(__xludf.DUMMYFUNCTION("split(B856,""-"")"),3.0)</f>
        <v>3</v>
      </c>
      <c r="E856" s="4">
        <f>IFERROR(__xludf.DUMMYFUNCTION("""COMPUTED_VALUE"""),10.0)</f>
        <v>10</v>
      </c>
      <c r="F856" s="4">
        <f>IFERROR(__xludf.DUMMYFUNCTION("split(C856,""-"")"),10.0)</f>
        <v>10</v>
      </c>
      <c r="G856" s="4">
        <f>IFERROR(__xludf.DUMMYFUNCTION("""COMPUTED_VALUE"""),34.0)</f>
        <v>34</v>
      </c>
      <c r="H856" s="4">
        <f t="shared" si="1"/>
        <v>0</v>
      </c>
      <c r="J856" s="4">
        <f>IFERROR(__xludf.DUMMYFUNCTION("IFS(
ISBETWEEN(D856,F856,G856,TRUE,TRUE),1,
ISBETWEEN(E856,F856,G856,TRUE,TRUE),1,
ISBETWEEN(F856,D856,E856,TRUE,TRUE),1,
ISBETWEEN(G856,D856,E856,TRUE,TRUE),1,
1,0)"),1.0)</f>
        <v>1</v>
      </c>
    </row>
    <row r="857">
      <c r="A857" s="2" t="s">
        <v>855</v>
      </c>
      <c r="B857" s="1" t="str">
        <f>IFERROR(__xludf.DUMMYFUNCTION("SPLIT(A857,"","",)"),"4-29")</f>
        <v>4-29</v>
      </c>
      <c r="C857" s="1" t="str">
        <f>IFERROR(__xludf.DUMMYFUNCTION("""COMPUTED_VALUE"""),"29-96")</f>
        <v>29-96</v>
      </c>
      <c r="D857" s="4">
        <f>IFERROR(__xludf.DUMMYFUNCTION("split(B857,""-"")"),4.0)</f>
        <v>4</v>
      </c>
      <c r="E857" s="4">
        <f>IFERROR(__xludf.DUMMYFUNCTION("""COMPUTED_VALUE"""),29.0)</f>
        <v>29</v>
      </c>
      <c r="F857" s="4">
        <f>IFERROR(__xludf.DUMMYFUNCTION("split(C857,""-"")"),29.0)</f>
        <v>29</v>
      </c>
      <c r="G857" s="4">
        <f>IFERROR(__xludf.DUMMYFUNCTION("""COMPUTED_VALUE"""),96.0)</f>
        <v>96</v>
      </c>
      <c r="H857" s="4">
        <f t="shared" si="1"/>
        <v>0</v>
      </c>
      <c r="J857" s="4">
        <f>IFERROR(__xludf.DUMMYFUNCTION("IFS(
ISBETWEEN(D857,F857,G857,TRUE,TRUE),1,
ISBETWEEN(E857,F857,G857,TRUE,TRUE),1,
ISBETWEEN(F857,D857,E857,TRUE,TRUE),1,
ISBETWEEN(G857,D857,E857,TRUE,TRUE),1,
1,0)"),1.0)</f>
        <v>1</v>
      </c>
    </row>
    <row r="858">
      <c r="A858" s="2" t="s">
        <v>856</v>
      </c>
      <c r="B858" s="1" t="str">
        <f>IFERROR(__xludf.DUMMYFUNCTION("SPLIT(A858,"","",)"),"2-90")</f>
        <v>2-90</v>
      </c>
      <c r="C858" s="1" t="str">
        <f>IFERROR(__xludf.DUMMYFUNCTION("""COMPUTED_VALUE"""),"1-90")</f>
        <v>1-90</v>
      </c>
      <c r="D858" s="4">
        <f>IFERROR(__xludf.DUMMYFUNCTION("split(B858,""-"")"),2.0)</f>
        <v>2</v>
      </c>
      <c r="E858" s="4">
        <f>IFERROR(__xludf.DUMMYFUNCTION("""COMPUTED_VALUE"""),90.0)</f>
        <v>90</v>
      </c>
      <c r="F858" s="4">
        <f>IFERROR(__xludf.DUMMYFUNCTION("split(C858,""-"")"),1.0)</f>
        <v>1</v>
      </c>
      <c r="G858" s="4">
        <f>IFERROR(__xludf.DUMMYFUNCTION("""COMPUTED_VALUE"""),90.0)</f>
        <v>90</v>
      </c>
      <c r="H858" s="4">
        <f t="shared" si="1"/>
        <v>1</v>
      </c>
      <c r="J858" s="4">
        <f>IFERROR(__xludf.DUMMYFUNCTION("IFS(
ISBETWEEN(D858,F858,G858,TRUE,TRUE),1,
ISBETWEEN(E858,F858,G858,TRUE,TRUE),1,
ISBETWEEN(F858,D858,E858,TRUE,TRUE),1,
ISBETWEEN(G858,D858,E858,TRUE,TRUE),1,
1,0)"),1.0)</f>
        <v>1</v>
      </c>
    </row>
    <row r="859">
      <c r="A859" s="2" t="s">
        <v>857</v>
      </c>
      <c r="B859" s="1" t="str">
        <f>IFERROR(__xludf.DUMMYFUNCTION("SPLIT(A859,"","",)"),"55-55")</f>
        <v>55-55</v>
      </c>
      <c r="C859" s="1" t="str">
        <f>IFERROR(__xludf.DUMMYFUNCTION("""COMPUTED_VALUE"""),"9-55")</f>
        <v>9-55</v>
      </c>
      <c r="D859" s="4">
        <f>IFERROR(__xludf.DUMMYFUNCTION("split(B859,""-"")"),55.0)</f>
        <v>55</v>
      </c>
      <c r="E859" s="4">
        <f>IFERROR(__xludf.DUMMYFUNCTION("""COMPUTED_VALUE"""),55.0)</f>
        <v>55</v>
      </c>
      <c r="F859" s="4">
        <f>IFERROR(__xludf.DUMMYFUNCTION("split(C859,""-"")"),9.0)</f>
        <v>9</v>
      </c>
      <c r="G859" s="4">
        <f>IFERROR(__xludf.DUMMYFUNCTION("""COMPUTED_VALUE"""),55.0)</f>
        <v>55</v>
      </c>
      <c r="H859" s="4">
        <f t="shared" si="1"/>
        <v>1</v>
      </c>
      <c r="J859" s="4">
        <f>IFERROR(__xludf.DUMMYFUNCTION("IFS(
ISBETWEEN(D859,F859,G859,TRUE,TRUE),1,
ISBETWEEN(E859,F859,G859,TRUE,TRUE),1,
ISBETWEEN(F859,D859,E859,TRUE,TRUE),1,
ISBETWEEN(G859,D859,E859,TRUE,TRUE),1,
1,0)"),1.0)</f>
        <v>1</v>
      </c>
    </row>
    <row r="860">
      <c r="A860" s="2" t="s">
        <v>858</v>
      </c>
      <c r="B860" s="1" t="str">
        <f>IFERROR(__xludf.DUMMYFUNCTION("SPLIT(A860,"","",)"),"70-79")</f>
        <v>70-79</v>
      </c>
      <c r="C860" s="1" t="str">
        <f>IFERROR(__xludf.DUMMYFUNCTION("""COMPUTED_VALUE"""),"37-71")</f>
        <v>37-71</v>
      </c>
      <c r="D860" s="4">
        <f>IFERROR(__xludf.DUMMYFUNCTION("split(B860,""-"")"),70.0)</f>
        <v>70</v>
      </c>
      <c r="E860" s="4">
        <f>IFERROR(__xludf.DUMMYFUNCTION("""COMPUTED_VALUE"""),79.0)</f>
        <v>79</v>
      </c>
      <c r="F860" s="4">
        <f>IFERROR(__xludf.DUMMYFUNCTION("split(C860,""-"")"),37.0)</f>
        <v>37</v>
      </c>
      <c r="G860" s="4">
        <f>IFERROR(__xludf.DUMMYFUNCTION("""COMPUTED_VALUE"""),71.0)</f>
        <v>71</v>
      </c>
      <c r="H860" s="4">
        <f t="shared" si="1"/>
        <v>0</v>
      </c>
      <c r="J860" s="4">
        <f>IFERROR(__xludf.DUMMYFUNCTION("IFS(
ISBETWEEN(D860,F860,G860,TRUE,TRUE),1,
ISBETWEEN(E860,F860,G860,TRUE,TRUE),1,
ISBETWEEN(F860,D860,E860,TRUE,TRUE),1,
ISBETWEEN(G860,D860,E860,TRUE,TRUE),1,
1,0)"),1.0)</f>
        <v>1</v>
      </c>
    </row>
    <row r="861">
      <c r="A861" s="2" t="s">
        <v>859</v>
      </c>
      <c r="B861" s="1" t="str">
        <f>IFERROR(__xludf.DUMMYFUNCTION("SPLIT(A861,"","",)"),"66-66")</f>
        <v>66-66</v>
      </c>
      <c r="C861" s="1" t="str">
        <f>IFERROR(__xludf.DUMMYFUNCTION("""COMPUTED_VALUE"""),"31-66")</f>
        <v>31-66</v>
      </c>
      <c r="D861" s="4">
        <f>IFERROR(__xludf.DUMMYFUNCTION("split(B861,""-"")"),66.0)</f>
        <v>66</v>
      </c>
      <c r="E861" s="4">
        <f>IFERROR(__xludf.DUMMYFUNCTION("""COMPUTED_VALUE"""),66.0)</f>
        <v>66</v>
      </c>
      <c r="F861" s="4">
        <f>IFERROR(__xludf.DUMMYFUNCTION("split(C861,""-"")"),31.0)</f>
        <v>31</v>
      </c>
      <c r="G861" s="4">
        <f>IFERROR(__xludf.DUMMYFUNCTION("""COMPUTED_VALUE"""),66.0)</f>
        <v>66</v>
      </c>
      <c r="H861" s="4">
        <f t="shared" si="1"/>
        <v>1</v>
      </c>
      <c r="J861" s="4">
        <f>IFERROR(__xludf.DUMMYFUNCTION("IFS(
ISBETWEEN(D861,F861,G861,TRUE,TRUE),1,
ISBETWEEN(E861,F861,G861,TRUE,TRUE),1,
ISBETWEEN(F861,D861,E861,TRUE,TRUE),1,
ISBETWEEN(G861,D861,E861,TRUE,TRUE),1,
1,0)"),1.0)</f>
        <v>1</v>
      </c>
    </row>
    <row r="862">
      <c r="A862" s="2" t="s">
        <v>860</v>
      </c>
      <c r="B862" s="3">
        <f>IFERROR(__xludf.DUMMYFUNCTION("SPLIT(A862,"","",)"),44867.0)</f>
        <v>44867</v>
      </c>
      <c r="C862" s="3">
        <f>IFERROR(__xludf.DUMMYFUNCTION("""COMPUTED_VALUE"""),44896.0)</f>
        <v>44896</v>
      </c>
      <c r="D862" s="4">
        <f>IFERROR(__xludf.DUMMYFUNCTION("split(B862,""-"")"),2.0)</f>
        <v>2</v>
      </c>
      <c r="E862" s="4">
        <f>IFERROR(__xludf.DUMMYFUNCTION("""COMPUTED_VALUE"""),11.0)</f>
        <v>11</v>
      </c>
      <c r="F862" s="4">
        <f>IFERROR(__xludf.DUMMYFUNCTION("split(C862,""-"")"),1.0)</f>
        <v>1</v>
      </c>
      <c r="G862" s="4">
        <f>IFERROR(__xludf.DUMMYFUNCTION("""COMPUTED_VALUE"""),12.0)</f>
        <v>12</v>
      </c>
      <c r="H862" s="4">
        <f t="shared" si="1"/>
        <v>1</v>
      </c>
      <c r="J862" s="4">
        <f>IFERROR(__xludf.DUMMYFUNCTION("IFS(
ISBETWEEN(D862,F862,G862,TRUE,TRUE),1,
ISBETWEEN(E862,F862,G862,TRUE,TRUE),1,
ISBETWEEN(F862,D862,E862,TRUE,TRUE),1,
ISBETWEEN(G862,D862,E862,TRUE,TRUE),1,
1,0)"),1.0)</f>
        <v>1</v>
      </c>
    </row>
    <row r="863">
      <c r="A863" s="2" t="s">
        <v>861</v>
      </c>
      <c r="B863" s="1" t="str">
        <f>IFERROR(__xludf.DUMMYFUNCTION("SPLIT(A863,"","",)"),"72-76")</f>
        <v>72-76</v>
      </c>
      <c r="C863" s="1" t="str">
        <f>IFERROR(__xludf.DUMMYFUNCTION("""COMPUTED_VALUE"""),"72-76")</f>
        <v>72-76</v>
      </c>
      <c r="D863" s="4">
        <f>IFERROR(__xludf.DUMMYFUNCTION("split(B863,""-"")"),72.0)</f>
        <v>72</v>
      </c>
      <c r="E863" s="4">
        <f>IFERROR(__xludf.DUMMYFUNCTION("""COMPUTED_VALUE"""),76.0)</f>
        <v>76</v>
      </c>
      <c r="F863" s="4">
        <f>IFERROR(__xludf.DUMMYFUNCTION("split(C863,""-"")"),72.0)</f>
        <v>72</v>
      </c>
      <c r="G863" s="4">
        <f>IFERROR(__xludf.DUMMYFUNCTION("""COMPUTED_VALUE"""),76.0)</f>
        <v>76</v>
      </c>
      <c r="H863" s="4">
        <f t="shared" si="1"/>
        <v>1</v>
      </c>
      <c r="J863" s="4">
        <f>IFERROR(__xludf.DUMMYFUNCTION("IFS(
ISBETWEEN(D863,F863,G863,TRUE,TRUE),1,
ISBETWEEN(E863,F863,G863,TRUE,TRUE),1,
ISBETWEEN(F863,D863,E863,TRUE,TRUE),1,
ISBETWEEN(G863,D863,E863,TRUE,TRUE),1,
1,0)"),1.0)</f>
        <v>1</v>
      </c>
    </row>
    <row r="864">
      <c r="A864" s="2" t="s">
        <v>862</v>
      </c>
      <c r="B864" s="1" t="str">
        <f>IFERROR(__xludf.DUMMYFUNCTION("SPLIT(A864,"","",)"),"34-87")</f>
        <v>34-87</v>
      </c>
      <c r="C864" s="1" t="str">
        <f>IFERROR(__xludf.DUMMYFUNCTION("""COMPUTED_VALUE"""),"87-99")</f>
        <v>87-99</v>
      </c>
      <c r="D864" s="4">
        <f>IFERROR(__xludf.DUMMYFUNCTION("split(B864,""-"")"),34.0)</f>
        <v>34</v>
      </c>
      <c r="E864" s="4">
        <f>IFERROR(__xludf.DUMMYFUNCTION("""COMPUTED_VALUE"""),87.0)</f>
        <v>87</v>
      </c>
      <c r="F864" s="4">
        <f>IFERROR(__xludf.DUMMYFUNCTION("split(C864,""-"")"),87.0)</f>
        <v>87</v>
      </c>
      <c r="G864" s="4">
        <f>IFERROR(__xludf.DUMMYFUNCTION("""COMPUTED_VALUE"""),99.0)</f>
        <v>99</v>
      </c>
      <c r="H864" s="4">
        <f t="shared" si="1"/>
        <v>0</v>
      </c>
      <c r="J864" s="4">
        <f>IFERROR(__xludf.DUMMYFUNCTION("IFS(
ISBETWEEN(D864,F864,G864,TRUE,TRUE),1,
ISBETWEEN(E864,F864,G864,TRUE,TRUE),1,
ISBETWEEN(F864,D864,E864,TRUE,TRUE),1,
ISBETWEEN(G864,D864,E864,TRUE,TRUE),1,
1,0)"),1.0)</f>
        <v>1</v>
      </c>
    </row>
    <row r="865">
      <c r="A865" s="2" t="s">
        <v>863</v>
      </c>
      <c r="B865" s="1" t="str">
        <f>IFERROR(__xludf.DUMMYFUNCTION("SPLIT(A865,"","",)"),"14-67")</f>
        <v>14-67</v>
      </c>
      <c r="C865" s="1" t="str">
        <f>IFERROR(__xludf.DUMMYFUNCTION("""COMPUTED_VALUE"""),"14-67")</f>
        <v>14-67</v>
      </c>
      <c r="D865" s="4">
        <f>IFERROR(__xludf.DUMMYFUNCTION("split(B865,""-"")"),14.0)</f>
        <v>14</v>
      </c>
      <c r="E865" s="4">
        <f>IFERROR(__xludf.DUMMYFUNCTION("""COMPUTED_VALUE"""),67.0)</f>
        <v>67</v>
      </c>
      <c r="F865" s="4">
        <f>IFERROR(__xludf.DUMMYFUNCTION("split(C865,""-"")"),14.0)</f>
        <v>14</v>
      </c>
      <c r="G865" s="4">
        <f>IFERROR(__xludf.DUMMYFUNCTION("""COMPUTED_VALUE"""),67.0)</f>
        <v>67</v>
      </c>
      <c r="H865" s="4">
        <f t="shared" si="1"/>
        <v>1</v>
      </c>
      <c r="J865" s="4">
        <f>IFERROR(__xludf.DUMMYFUNCTION("IFS(
ISBETWEEN(D865,F865,G865,TRUE,TRUE),1,
ISBETWEEN(E865,F865,G865,TRUE,TRUE),1,
ISBETWEEN(F865,D865,E865,TRUE,TRUE),1,
ISBETWEEN(G865,D865,E865,TRUE,TRUE),1,
1,0)"),1.0)</f>
        <v>1</v>
      </c>
    </row>
    <row r="866">
      <c r="A866" s="2" t="s">
        <v>864</v>
      </c>
      <c r="B866" s="1" t="str">
        <f>IFERROR(__xludf.DUMMYFUNCTION("SPLIT(A866,"","",)"),"73-82")</f>
        <v>73-82</v>
      </c>
      <c r="C866" s="1" t="str">
        <f>IFERROR(__xludf.DUMMYFUNCTION("""COMPUTED_VALUE"""),"74-81")</f>
        <v>74-81</v>
      </c>
      <c r="D866" s="4">
        <f>IFERROR(__xludf.DUMMYFUNCTION("split(B866,""-"")"),73.0)</f>
        <v>73</v>
      </c>
      <c r="E866" s="4">
        <f>IFERROR(__xludf.DUMMYFUNCTION("""COMPUTED_VALUE"""),82.0)</f>
        <v>82</v>
      </c>
      <c r="F866" s="4">
        <f>IFERROR(__xludf.DUMMYFUNCTION("split(C866,""-"")"),74.0)</f>
        <v>74</v>
      </c>
      <c r="G866" s="4">
        <f>IFERROR(__xludf.DUMMYFUNCTION("""COMPUTED_VALUE"""),81.0)</f>
        <v>81</v>
      </c>
      <c r="H866" s="4">
        <f t="shared" si="1"/>
        <v>1</v>
      </c>
      <c r="J866" s="4">
        <f>IFERROR(__xludf.DUMMYFUNCTION("IFS(
ISBETWEEN(D866,F866,G866,TRUE,TRUE),1,
ISBETWEEN(E866,F866,G866,TRUE,TRUE),1,
ISBETWEEN(F866,D866,E866,TRUE,TRUE),1,
ISBETWEEN(G866,D866,E866,TRUE,TRUE),1,
1,0)"),1.0)</f>
        <v>1</v>
      </c>
    </row>
    <row r="867">
      <c r="A867" s="2" t="s">
        <v>865</v>
      </c>
      <c r="B867" s="1" t="str">
        <f>IFERROR(__xludf.DUMMYFUNCTION("SPLIT(A867,"","",)"),"62-62")</f>
        <v>62-62</v>
      </c>
      <c r="C867" s="1" t="str">
        <f>IFERROR(__xludf.DUMMYFUNCTION("""COMPUTED_VALUE"""),"29-62")</f>
        <v>29-62</v>
      </c>
      <c r="D867" s="4">
        <f>IFERROR(__xludf.DUMMYFUNCTION("split(B867,""-"")"),62.0)</f>
        <v>62</v>
      </c>
      <c r="E867" s="4">
        <f>IFERROR(__xludf.DUMMYFUNCTION("""COMPUTED_VALUE"""),62.0)</f>
        <v>62</v>
      </c>
      <c r="F867" s="4">
        <f>IFERROR(__xludf.DUMMYFUNCTION("split(C867,""-"")"),29.0)</f>
        <v>29</v>
      </c>
      <c r="G867" s="4">
        <f>IFERROR(__xludf.DUMMYFUNCTION("""COMPUTED_VALUE"""),62.0)</f>
        <v>62</v>
      </c>
      <c r="H867" s="4">
        <f t="shared" si="1"/>
        <v>1</v>
      </c>
      <c r="J867" s="4">
        <f>IFERROR(__xludf.DUMMYFUNCTION("IFS(
ISBETWEEN(D867,F867,G867,TRUE,TRUE),1,
ISBETWEEN(E867,F867,G867,TRUE,TRUE),1,
ISBETWEEN(F867,D867,E867,TRUE,TRUE),1,
ISBETWEEN(G867,D867,E867,TRUE,TRUE),1,
1,0)"),1.0)</f>
        <v>1</v>
      </c>
    </row>
    <row r="868">
      <c r="A868" s="2" t="s">
        <v>866</v>
      </c>
      <c r="B868" s="1" t="str">
        <f>IFERROR(__xludf.DUMMYFUNCTION("SPLIT(A868,"","",)"),"57-58")</f>
        <v>57-58</v>
      </c>
      <c r="C868" s="1" t="str">
        <f>IFERROR(__xludf.DUMMYFUNCTION("""COMPUTED_VALUE"""),"11-58")</f>
        <v>11-58</v>
      </c>
      <c r="D868" s="4">
        <f>IFERROR(__xludf.DUMMYFUNCTION("split(B868,""-"")"),57.0)</f>
        <v>57</v>
      </c>
      <c r="E868" s="4">
        <f>IFERROR(__xludf.DUMMYFUNCTION("""COMPUTED_VALUE"""),58.0)</f>
        <v>58</v>
      </c>
      <c r="F868" s="4">
        <f>IFERROR(__xludf.DUMMYFUNCTION("split(C868,""-"")"),11.0)</f>
        <v>11</v>
      </c>
      <c r="G868" s="4">
        <f>IFERROR(__xludf.DUMMYFUNCTION("""COMPUTED_VALUE"""),58.0)</f>
        <v>58</v>
      </c>
      <c r="H868" s="4">
        <f t="shared" si="1"/>
        <v>1</v>
      </c>
      <c r="J868" s="4">
        <f>IFERROR(__xludf.DUMMYFUNCTION("IFS(
ISBETWEEN(D868,F868,G868,TRUE,TRUE),1,
ISBETWEEN(E868,F868,G868,TRUE,TRUE),1,
ISBETWEEN(F868,D868,E868,TRUE,TRUE),1,
ISBETWEEN(G868,D868,E868,TRUE,TRUE),1,
1,0)"),1.0)</f>
        <v>1</v>
      </c>
    </row>
    <row r="869">
      <c r="A869" s="2" t="s">
        <v>867</v>
      </c>
      <c r="B869" s="3">
        <f>IFERROR(__xludf.DUMMYFUNCTION("SPLIT(A869,"","",)"),44745.0)</f>
        <v>44745</v>
      </c>
      <c r="C869" s="1" t="str">
        <f>IFERROR(__xludf.DUMMYFUNCTION("""COMPUTED_VALUE"""),"8-82")</f>
        <v>8-82</v>
      </c>
      <c r="D869" s="4">
        <f>IFERROR(__xludf.DUMMYFUNCTION("split(B869,""-"")"),3.0)</f>
        <v>3</v>
      </c>
      <c r="E869" s="4">
        <f>IFERROR(__xludf.DUMMYFUNCTION("""COMPUTED_VALUE"""),7.0)</f>
        <v>7</v>
      </c>
      <c r="F869" s="4">
        <f>IFERROR(__xludf.DUMMYFUNCTION("split(C869,""-"")"),8.0)</f>
        <v>8</v>
      </c>
      <c r="G869" s="4">
        <f>IFERROR(__xludf.DUMMYFUNCTION("""COMPUTED_VALUE"""),82.0)</f>
        <v>82</v>
      </c>
      <c r="H869" s="4">
        <f t="shared" si="1"/>
        <v>0</v>
      </c>
      <c r="J869" s="4">
        <f>IFERROR(__xludf.DUMMYFUNCTION("IFS(
ISBETWEEN(D869,F869,G869,TRUE,TRUE),1,
ISBETWEEN(E869,F869,G869,TRUE,TRUE),1,
ISBETWEEN(F869,D869,E869,TRUE,TRUE),1,
ISBETWEEN(G869,D869,E869,TRUE,TRUE),1,
1,0)"),0.0)</f>
        <v>0</v>
      </c>
    </row>
    <row r="870">
      <c r="A870" s="2" t="s">
        <v>868</v>
      </c>
      <c r="B870" s="1" t="str">
        <f>IFERROR(__xludf.DUMMYFUNCTION("SPLIT(A870,"","",)"),"19-99")</f>
        <v>19-99</v>
      </c>
      <c r="C870" s="1" t="str">
        <f>IFERROR(__xludf.DUMMYFUNCTION("""COMPUTED_VALUE"""),"18-20")</f>
        <v>18-20</v>
      </c>
      <c r="D870" s="4">
        <f>IFERROR(__xludf.DUMMYFUNCTION("split(B870,""-"")"),19.0)</f>
        <v>19</v>
      </c>
      <c r="E870" s="4">
        <f>IFERROR(__xludf.DUMMYFUNCTION("""COMPUTED_VALUE"""),99.0)</f>
        <v>99</v>
      </c>
      <c r="F870" s="4">
        <f>IFERROR(__xludf.DUMMYFUNCTION("split(C870,""-"")"),18.0)</f>
        <v>18</v>
      </c>
      <c r="G870" s="4">
        <f>IFERROR(__xludf.DUMMYFUNCTION("""COMPUTED_VALUE"""),20.0)</f>
        <v>20</v>
      </c>
      <c r="H870" s="4">
        <f t="shared" si="1"/>
        <v>0</v>
      </c>
      <c r="J870" s="4">
        <f>IFERROR(__xludf.DUMMYFUNCTION("IFS(
ISBETWEEN(D870,F870,G870,TRUE,TRUE),1,
ISBETWEEN(E870,F870,G870,TRUE,TRUE),1,
ISBETWEEN(F870,D870,E870,TRUE,TRUE),1,
ISBETWEEN(G870,D870,E870,TRUE,TRUE),1,
1,0)"),1.0)</f>
        <v>1</v>
      </c>
    </row>
    <row r="871">
      <c r="A871" s="2" t="s">
        <v>869</v>
      </c>
      <c r="B871" s="1" t="str">
        <f>IFERROR(__xludf.DUMMYFUNCTION("SPLIT(A871,"","",)"),"23-26")</f>
        <v>23-26</v>
      </c>
      <c r="C871" s="1" t="str">
        <f>IFERROR(__xludf.DUMMYFUNCTION("""COMPUTED_VALUE"""),"22-26")</f>
        <v>22-26</v>
      </c>
      <c r="D871" s="4">
        <f>IFERROR(__xludf.DUMMYFUNCTION("split(B871,""-"")"),23.0)</f>
        <v>23</v>
      </c>
      <c r="E871" s="4">
        <f>IFERROR(__xludf.DUMMYFUNCTION("""COMPUTED_VALUE"""),26.0)</f>
        <v>26</v>
      </c>
      <c r="F871" s="4">
        <f>IFERROR(__xludf.DUMMYFUNCTION("split(C871,""-"")"),22.0)</f>
        <v>22</v>
      </c>
      <c r="G871" s="4">
        <f>IFERROR(__xludf.DUMMYFUNCTION("""COMPUTED_VALUE"""),26.0)</f>
        <v>26</v>
      </c>
      <c r="H871" s="4">
        <f t="shared" si="1"/>
        <v>1</v>
      </c>
      <c r="J871" s="4">
        <f>IFERROR(__xludf.DUMMYFUNCTION("IFS(
ISBETWEEN(D871,F871,G871,TRUE,TRUE),1,
ISBETWEEN(E871,F871,G871,TRUE,TRUE),1,
ISBETWEEN(F871,D871,E871,TRUE,TRUE),1,
ISBETWEEN(G871,D871,E871,TRUE,TRUE),1,
1,0)"),1.0)</f>
        <v>1</v>
      </c>
    </row>
    <row r="872">
      <c r="A872" s="2" t="s">
        <v>870</v>
      </c>
      <c r="B872" s="1" t="str">
        <f>IFERROR(__xludf.DUMMYFUNCTION("SPLIT(A872,"","",)"),"20-63")</f>
        <v>20-63</v>
      </c>
      <c r="C872" s="1" t="str">
        <f>IFERROR(__xludf.DUMMYFUNCTION("""COMPUTED_VALUE"""),"11-63")</f>
        <v>11-63</v>
      </c>
      <c r="D872" s="4">
        <f>IFERROR(__xludf.DUMMYFUNCTION("split(B872,""-"")"),20.0)</f>
        <v>20</v>
      </c>
      <c r="E872" s="4">
        <f>IFERROR(__xludf.DUMMYFUNCTION("""COMPUTED_VALUE"""),63.0)</f>
        <v>63</v>
      </c>
      <c r="F872" s="4">
        <f>IFERROR(__xludf.DUMMYFUNCTION("split(C872,""-"")"),11.0)</f>
        <v>11</v>
      </c>
      <c r="G872" s="4">
        <f>IFERROR(__xludf.DUMMYFUNCTION("""COMPUTED_VALUE"""),63.0)</f>
        <v>63</v>
      </c>
      <c r="H872" s="4">
        <f t="shared" si="1"/>
        <v>1</v>
      </c>
      <c r="J872" s="4">
        <f>IFERROR(__xludf.DUMMYFUNCTION("IFS(
ISBETWEEN(D872,F872,G872,TRUE,TRUE),1,
ISBETWEEN(E872,F872,G872,TRUE,TRUE),1,
ISBETWEEN(F872,D872,E872,TRUE,TRUE),1,
ISBETWEEN(G872,D872,E872,TRUE,TRUE),1,
1,0)"),1.0)</f>
        <v>1</v>
      </c>
    </row>
    <row r="873">
      <c r="A873" s="2" t="s">
        <v>871</v>
      </c>
      <c r="B873" s="1" t="str">
        <f>IFERROR(__xludf.DUMMYFUNCTION("SPLIT(A873,"","",)"),"11-82")</f>
        <v>11-82</v>
      </c>
      <c r="C873" s="1" t="str">
        <f>IFERROR(__xludf.DUMMYFUNCTION("""COMPUTED_VALUE"""),"12-83")</f>
        <v>12-83</v>
      </c>
      <c r="D873" s="4">
        <f>IFERROR(__xludf.DUMMYFUNCTION("split(B873,""-"")"),11.0)</f>
        <v>11</v>
      </c>
      <c r="E873" s="4">
        <f>IFERROR(__xludf.DUMMYFUNCTION("""COMPUTED_VALUE"""),82.0)</f>
        <v>82</v>
      </c>
      <c r="F873" s="4">
        <f>IFERROR(__xludf.DUMMYFUNCTION("split(C873,""-"")"),12.0)</f>
        <v>12</v>
      </c>
      <c r="G873" s="4">
        <f>IFERROR(__xludf.DUMMYFUNCTION("""COMPUTED_VALUE"""),83.0)</f>
        <v>83</v>
      </c>
      <c r="H873" s="4">
        <f t="shared" si="1"/>
        <v>0</v>
      </c>
      <c r="J873" s="4">
        <f>IFERROR(__xludf.DUMMYFUNCTION("IFS(
ISBETWEEN(D873,F873,G873,TRUE,TRUE),1,
ISBETWEEN(E873,F873,G873,TRUE,TRUE),1,
ISBETWEEN(F873,D873,E873,TRUE,TRUE),1,
ISBETWEEN(G873,D873,E873,TRUE,TRUE),1,
1,0)"),1.0)</f>
        <v>1</v>
      </c>
    </row>
    <row r="874">
      <c r="A874" s="2" t="s">
        <v>872</v>
      </c>
      <c r="B874" s="1" t="str">
        <f>IFERROR(__xludf.DUMMYFUNCTION("SPLIT(A874,"","",)"),"76-83")</f>
        <v>76-83</v>
      </c>
      <c r="C874" s="1" t="str">
        <f>IFERROR(__xludf.DUMMYFUNCTION("""COMPUTED_VALUE"""),"76-83")</f>
        <v>76-83</v>
      </c>
      <c r="D874" s="4">
        <f>IFERROR(__xludf.DUMMYFUNCTION("split(B874,""-"")"),76.0)</f>
        <v>76</v>
      </c>
      <c r="E874" s="4">
        <f>IFERROR(__xludf.DUMMYFUNCTION("""COMPUTED_VALUE"""),83.0)</f>
        <v>83</v>
      </c>
      <c r="F874" s="4">
        <f>IFERROR(__xludf.DUMMYFUNCTION("split(C874,""-"")"),76.0)</f>
        <v>76</v>
      </c>
      <c r="G874" s="4">
        <f>IFERROR(__xludf.DUMMYFUNCTION("""COMPUTED_VALUE"""),83.0)</f>
        <v>83</v>
      </c>
      <c r="H874" s="4">
        <f t="shared" si="1"/>
        <v>1</v>
      </c>
      <c r="J874" s="4">
        <f>IFERROR(__xludf.DUMMYFUNCTION("IFS(
ISBETWEEN(D874,F874,G874,TRUE,TRUE),1,
ISBETWEEN(E874,F874,G874,TRUE,TRUE),1,
ISBETWEEN(F874,D874,E874,TRUE,TRUE),1,
ISBETWEEN(G874,D874,E874,TRUE,TRUE),1,
1,0)"),1.0)</f>
        <v>1</v>
      </c>
    </row>
    <row r="875">
      <c r="A875" s="2" t="s">
        <v>873</v>
      </c>
      <c r="B875" s="1" t="str">
        <f>IFERROR(__xludf.DUMMYFUNCTION("SPLIT(A875,"","",)"),"10-72")</f>
        <v>10-72</v>
      </c>
      <c r="C875" s="3">
        <f>IFERROR(__xludf.DUMMYFUNCTION("""COMPUTED_VALUE"""),44842.0)</f>
        <v>44842</v>
      </c>
      <c r="D875" s="4">
        <f>IFERROR(__xludf.DUMMYFUNCTION("split(B875,""-"")"),10.0)</f>
        <v>10</v>
      </c>
      <c r="E875" s="4">
        <f>IFERROR(__xludf.DUMMYFUNCTION("""COMPUTED_VALUE"""),72.0)</f>
        <v>72</v>
      </c>
      <c r="F875" s="4">
        <f>IFERROR(__xludf.DUMMYFUNCTION("split(C875,""-"")"),8.0)</f>
        <v>8</v>
      </c>
      <c r="G875" s="4">
        <f>IFERROR(__xludf.DUMMYFUNCTION("""COMPUTED_VALUE"""),10.0)</f>
        <v>10</v>
      </c>
      <c r="H875" s="4">
        <f t="shared" si="1"/>
        <v>0</v>
      </c>
      <c r="J875" s="4">
        <f>IFERROR(__xludf.DUMMYFUNCTION("IFS(
ISBETWEEN(D875,F875,G875,TRUE,TRUE),1,
ISBETWEEN(E875,F875,G875,TRUE,TRUE),1,
ISBETWEEN(F875,D875,E875,TRUE,TRUE),1,
ISBETWEEN(G875,D875,E875,TRUE,TRUE),1,
1,0)"),1.0)</f>
        <v>1</v>
      </c>
    </row>
    <row r="876">
      <c r="A876" s="2" t="s">
        <v>874</v>
      </c>
      <c r="B876" s="1" t="str">
        <f>IFERROR(__xludf.DUMMYFUNCTION("SPLIT(A876,"","",)"),"48-49")</f>
        <v>48-49</v>
      </c>
      <c r="C876" s="1" t="str">
        <f>IFERROR(__xludf.DUMMYFUNCTION("""COMPUTED_VALUE"""),"48-53")</f>
        <v>48-53</v>
      </c>
      <c r="D876" s="4">
        <f>IFERROR(__xludf.DUMMYFUNCTION("split(B876,""-"")"),48.0)</f>
        <v>48</v>
      </c>
      <c r="E876" s="4">
        <f>IFERROR(__xludf.DUMMYFUNCTION("""COMPUTED_VALUE"""),49.0)</f>
        <v>49</v>
      </c>
      <c r="F876" s="4">
        <f>IFERROR(__xludf.DUMMYFUNCTION("split(C876,""-"")"),48.0)</f>
        <v>48</v>
      </c>
      <c r="G876" s="4">
        <f>IFERROR(__xludf.DUMMYFUNCTION("""COMPUTED_VALUE"""),53.0)</f>
        <v>53</v>
      </c>
      <c r="H876" s="4">
        <f t="shared" si="1"/>
        <v>1</v>
      </c>
      <c r="J876" s="4">
        <f>IFERROR(__xludf.DUMMYFUNCTION("IFS(
ISBETWEEN(D876,F876,G876,TRUE,TRUE),1,
ISBETWEEN(E876,F876,G876,TRUE,TRUE),1,
ISBETWEEN(F876,D876,E876,TRUE,TRUE),1,
ISBETWEEN(G876,D876,E876,TRUE,TRUE),1,
1,0)"),1.0)</f>
        <v>1</v>
      </c>
    </row>
    <row r="877">
      <c r="A877" s="2" t="s">
        <v>875</v>
      </c>
      <c r="B877" s="1" t="str">
        <f>IFERROR(__xludf.DUMMYFUNCTION("SPLIT(A877,"","",)"),"10-41")</f>
        <v>10-41</v>
      </c>
      <c r="C877" s="1" t="str">
        <f>IFERROR(__xludf.DUMMYFUNCTION("""COMPUTED_VALUE"""),"11-42")</f>
        <v>11-42</v>
      </c>
      <c r="D877" s="4">
        <f>IFERROR(__xludf.DUMMYFUNCTION("split(B877,""-"")"),10.0)</f>
        <v>10</v>
      </c>
      <c r="E877" s="4">
        <f>IFERROR(__xludf.DUMMYFUNCTION("""COMPUTED_VALUE"""),41.0)</f>
        <v>41</v>
      </c>
      <c r="F877" s="4">
        <f>IFERROR(__xludf.DUMMYFUNCTION("split(C877,""-"")"),11.0)</f>
        <v>11</v>
      </c>
      <c r="G877" s="4">
        <f>IFERROR(__xludf.DUMMYFUNCTION("""COMPUTED_VALUE"""),42.0)</f>
        <v>42</v>
      </c>
      <c r="H877" s="4">
        <f t="shared" si="1"/>
        <v>0</v>
      </c>
      <c r="J877" s="4">
        <f>IFERROR(__xludf.DUMMYFUNCTION("IFS(
ISBETWEEN(D877,F877,G877,TRUE,TRUE),1,
ISBETWEEN(E877,F877,G877,TRUE,TRUE),1,
ISBETWEEN(F877,D877,E877,TRUE,TRUE),1,
ISBETWEEN(G877,D877,E877,TRUE,TRUE),1,
1,0)"),1.0)</f>
        <v>1</v>
      </c>
    </row>
    <row r="878">
      <c r="A878" s="2" t="s">
        <v>876</v>
      </c>
      <c r="B878" s="1" t="str">
        <f>IFERROR(__xludf.DUMMYFUNCTION("SPLIT(A878,"","",)"),"44-55")</f>
        <v>44-55</v>
      </c>
      <c r="C878" s="1" t="str">
        <f>IFERROR(__xludf.DUMMYFUNCTION("""COMPUTED_VALUE"""),"54-54")</f>
        <v>54-54</v>
      </c>
      <c r="D878" s="4">
        <f>IFERROR(__xludf.DUMMYFUNCTION("split(B878,""-"")"),44.0)</f>
        <v>44</v>
      </c>
      <c r="E878" s="4">
        <f>IFERROR(__xludf.DUMMYFUNCTION("""COMPUTED_VALUE"""),55.0)</f>
        <v>55</v>
      </c>
      <c r="F878" s="4">
        <f>IFERROR(__xludf.DUMMYFUNCTION("split(C878,""-"")"),54.0)</f>
        <v>54</v>
      </c>
      <c r="G878" s="4">
        <f>IFERROR(__xludf.DUMMYFUNCTION("""COMPUTED_VALUE"""),54.0)</f>
        <v>54</v>
      </c>
      <c r="H878" s="4">
        <f t="shared" si="1"/>
        <v>1</v>
      </c>
      <c r="J878" s="4">
        <f>IFERROR(__xludf.DUMMYFUNCTION("IFS(
ISBETWEEN(D878,F878,G878,TRUE,TRUE),1,
ISBETWEEN(E878,F878,G878,TRUE,TRUE),1,
ISBETWEEN(F878,D878,E878,TRUE,TRUE),1,
ISBETWEEN(G878,D878,E878,TRUE,TRUE),1,
1,0)"),1.0)</f>
        <v>1</v>
      </c>
    </row>
    <row r="879">
      <c r="A879" s="2" t="s">
        <v>877</v>
      </c>
      <c r="B879" s="1" t="str">
        <f>IFERROR(__xludf.DUMMYFUNCTION("SPLIT(A879,"","",)"),"80-92")</f>
        <v>80-92</v>
      </c>
      <c r="C879" s="1" t="str">
        <f>IFERROR(__xludf.DUMMYFUNCTION("""COMPUTED_VALUE"""),"79-81")</f>
        <v>79-81</v>
      </c>
      <c r="D879" s="4">
        <f>IFERROR(__xludf.DUMMYFUNCTION("split(B879,""-"")"),80.0)</f>
        <v>80</v>
      </c>
      <c r="E879" s="4">
        <f>IFERROR(__xludf.DUMMYFUNCTION("""COMPUTED_VALUE"""),92.0)</f>
        <v>92</v>
      </c>
      <c r="F879" s="4">
        <f>IFERROR(__xludf.DUMMYFUNCTION("split(C879,""-"")"),79.0)</f>
        <v>79</v>
      </c>
      <c r="G879" s="4">
        <f>IFERROR(__xludf.DUMMYFUNCTION("""COMPUTED_VALUE"""),81.0)</f>
        <v>81</v>
      </c>
      <c r="H879" s="4">
        <f t="shared" si="1"/>
        <v>0</v>
      </c>
      <c r="J879" s="4">
        <f>IFERROR(__xludf.DUMMYFUNCTION("IFS(
ISBETWEEN(D879,F879,G879,TRUE,TRUE),1,
ISBETWEEN(E879,F879,G879,TRUE,TRUE),1,
ISBETWEEN(F879,D879,E879,TRUE,TRUE),1,
ISBETWEEN(G879,D879,E879,TRUE,TRUE),1,
1,0)"),1.0)</f>
        <v>1</v>
      </c>
    </row>
    <row r="880">
      <c r="A880" s="2" t="s">
        <v>878</v>
      </c>
      <c r="B880" s="1" t="str">
        <f>IFERROR(__xludf.DUMMYFUNCTION("SPLIT(A880,"","",)"),"8-43")</f>
        <v>8-43</v>
      </c>
      <c r="C880" s="1" t="str">
        <f>IFERROR(__xludf.DUMMYFUNCTION("""COMPUTED_VALUE"""),"7-42")</f>
        <v>7-42</v>
      </c>
      <c r="D880" s="4">
        <f>IFERROR(__xludf.DUMMYFUNCTION("split(B880,""-"")"),8.0)</f>
        <v>8</v>
      </c>
      <c r="E880" s="4">
        <f>IFERROR(__xludf.DUMMYFUNCTION("""COMPUTED_VALUE"""),43.0)</f>
        <v>43</v>
      </c>
      <c r="F880" s="4">
        <f>IFERROR(__xludf.DUMMYFUNCTION("split(C880,""-"")"),7.0)</f>
        <v>7</v>
      </c>
      <c r="G880" s="4">
        <f>IFERROR(__xludf.DUMMYFUNCTION("""COMPUTED_VALUE"""),42.0)</f>
        <v>42</v>
      </c>
      <c r="H880" s="4">
        <f t="shared" si="1"/>
        <v>0</v>
      </c>
      <c r="J880" s="4">
        <f>IFERROR(__xludf.DUMMYFUNCTION("IFS(
ISBETWEEN(D880,F880,G880,TRUE,TRUE),1,
ISBETWEEN(E880,F880,G880,TRUE,TRUE),1,
ISBETWEEN(F880,D880,E880,TRUE,TRUE),1,
ISBETWEEN(G880,D880,E880,TRUE,TRUE),1,
1,0)"),1.0)</f>
        <v>1</v>
      </c>
    </row>
    <row r="881">
      <c r="A881" s="2" t="s">
        <v>879</v>
      </c>
      <c r="B881" s="1" t="str">
        <f>IFERROR(__xludf.DUMMYFUNCTION("SPLIT(A881,"","",)"),"12-20")</f>
        <v>12-20</v>
      </c>
      <c r="C881" s="1" t="str">
        <f>IFERROR(__xludf.DUMMYFUNCTION("""COMPUTED_VALUE"""),"1-20")</f>
        <v>1-20</v>
      </c>
      <c r="D881" s="4">
        <f>IFERROR(__xludf.DUMMYFUNCTION("split(B881,""-"")"),12.0)</f>
        <v>12</v>
      </c>
      <c r="E881" s="4">
        <f>IFERROR(__xludf.DUMMYFUNCTION("""COMPUTED_VALUE"""),20.0)</f>
        <v>20</v>
      </c>
      <c r="F881" s="4">
        <f>IFERROR(__xludf.DUMMYFUNCTION("split(C881,""-"")"),1.0)</f>
        <v>1</v>
      </c>
      <c r="G881" s="4">
        <f>IFERROR(__xludf.DUMMYFUNCTION("""COMPUTED_VALUE"""),20.0)</f>
        <v>20</v>
      </c>
      <c r="H881" s="4">
        <f t="shared" si="1"/>
        <v>1</v>
      </c>
      <c r="J881" s="4">
        <f>IFERROR(__xludf.DUMMYFUNCTION("IFS(
ISBETWEEN(D881,F881,G881,TRUE,TRUE),1,
ISBETWEEN(E881,F881,G881,TRUE,TRUE),1,
ISBETWEEN(F881,D881,E881,TRUE,TRUE),1,
ISBETWEEN(G881,D881,E881,TRUE,TRUE),1,
1,0)"),1.0)</f>
        <v>1</v>
      </c>
    </row>
    <row r="882">
      <c r="A882" s="2" t="s">
        <v>880</v>
      </c>
      <c r="B882" s="1" t="str">
        <f>IFERROR(__xludf.DUMMYFUNCTION("SPLIT(A882,"","",)"),"22-71")</f>
        <v>22-71</v>
      </c>
      <c r="C882" s="1" t="str">
        <f>IFERROR(__xludf.DUMMYFUNCTION("""COMPUTED_VALUE"""),"23-23")</f>
        <v>23-23</v>
      </c>
      <c r="D882" s="4">
        <f>IFERROR(__xludf.DUMMYFUNCTION("split(B882,""-"")"),22.0)</f>
        <v>22</v>
      </c>
      <c r="E882" s="4">
        <f>IFERROR(__xludf.DUMMYFUNCTION("""COMPUTED_VALUE"""),71.0)</f>
        <v>71</v>
      </c>
      <c r="F882" s="4">
        <f>IFERROR(__xludf.DUMMYFUNCTION("split(C882,""-"")"),23.0)</f>
        <v>23</v>
      </c>
      <c r="G882" s="4">
        <f>IFERROR(__xludf.DUMMYFUNCTION("""COMPUTED_VALUE"""),23.0)</f>
        <v>23</v>
      </c>
      <c r="H882" s="4">
        <f t="shared" si="1"/>
        <v>1</v>
      </c>
      <c r="J882" s="4">
        <f>IFERROR(__xludf.DUMMYFUNCTION("IFS(
ISBETWEEN(D882,F882,G882,TRUE,TRUE),1,
ISBETWEEN(E882,F882,G882,TRUE,TRUE),1,
ISBETWEEN(F882,D882,E882,TRUE,TRUE),1,
ISBETWEEN(G882,D882,E882,TRUE,TRUE),1,
1,0)"),1.0)</f>
        <v>1</v>
      </c>
    </row>
    <row r="883">
      <c r="A883" s="2" t="s">
        <v>881</v>
      </c>
      <c r="B883" s="1" t="str">
        <f>IFERROR(__xludf.DUMMYFUNCTION("SPLIT(A883,"","",)"),"2-95")</f>
        <v>2-95</v>
      </c>
      <c r="C883" s="3">
        <f>IFERROR(__xludf.DUMMYFUNCTION("""COMPUTED_VALUE"""),44593.0)</f>
        <v>44593</v>
      </c>
      <c r="D883" s="4">
        <f>IFERROR(__xludf.DUMMYFUNCTION("split(B883,""-"")"),2.0)</f>
        <v>2</v>
      </c>
      <c r="E883" s="4">
        <f>IFERROR(__xludf.DUMMYFUNCTION("""COMPUTED_VALUE"""),95.0)</f>
        <v>95</v>
      </c>
      <c r="F883" s="4">
        <f>IFERROR(__xludf.DUMMYFUNCTION("split(C883,""-"")"),1.0)</f>
        <v>1</v>
      </c>
      <c r="G883" s="4">
        <f>IFERROR(__xludf.DUMMYFUNCTION("""COMPUTED_VALUE"""),2.0)</f>
        <v>2</v>
      </c>
      <c r="H883" s="4">
        <f t="shared" si="1"/>
        <v>0</v>
      </c>
      <c r="J883" s="4">
        <f>IFERROR(__xludf.DUMMYFUNCTION("IFS(
ISBETWEEN(D883,F883,G883,TRUE,TRUE),1,
ISBETWEEN(E883,F883,G883,TRUE,TRUE),1,
ISBETWEEN(F883,D883,E883,TRUE,TRUE),1,
ISBETWEEN(G883,D883,E883,TRUE,TRUE),1,
1,0)"),1.0)</f>
        <v>1</v>
      </c>
    </row>
    <row r="884">
      <c r="A884" s="2" t="s">
        <v>882</v>
      </c>
      <c r="B884" s="1" t="str">
        <f>IFERROR(__xludf.DUMMYFUNCTION("SPLIT(A884,"","",)"),"21-71")</f>
        <v>21-71</v>
      </c>
      <c r="C884" s="1" t="str">
        <f>IFERROR(__xludf.DUMMYFUNCTION("""COMPUTED_VALUE"""),"20-71")</f>
        <v>20-71</v>
      </c>
      <c r="D884" s="4">
        <f>IFERROR(__xludf.DUMMYFUNCTION("split(B884,""-"")"),21.0)</f>
        <v>21</v>
      </c>
      <c r="E884" s="4">
        <f>IFERROR(__xludf.DUMMYFUNCTION("""COMPUTED_VALUE"""),71.0)</f>
        <v>71</v>
      </c>
      <c r="F884" s="4">
        <f>IFERROR(__xludf.DUMMYFUNCTION("split(C884,""-"")"),20.0)</f>
        <v>20</v>
      </c>
      <c r="G884" s="4">
        <f>IFERROR(__xludf.DUMMYFUNCTION("""COMPUTED_VALUE"""),71.0)</f>
        <v>71</v>
      </c>
      <c r="H884" s="4">
        <f t="shared" si="1"/>
        <v>1</v>
      </c>
      <c r="J884" s="4">
        <f>IFERROR(__xludf.DUMMYFUNCTION("IFS(
ISBETWEEN(D884,F884,G884,TRUE,TRUE),1,
ISBETWEEN(E884,F884,G884,TRUE,TRUE),1,
ISBETWEEN(F884,D884,E884,TRUE,TRUE),1,
ISBETWEEN(G884,D884,E884,TRUE,TRUE),1,
1,0)"),1.0)</f>
        <v>1</v>
      </c>
    </row>
    <row r="885">
      <c r="A885" s="2" t="s">
        <v>883</v>
      </c>
      <c r="B885" s="1" t="str">
        <f>IFERROR(__xludf.DUMMYFUNCTION("SPLIT(A885,"","",)"),"9-83")</f>
        <v>9-83</v>
      </c>
      <c r="C885" s="1" t="str">
        <f>IFERROR(__xludf.DUMMYFUNCTION("""COMPUTED_VALUE"""),"9-83")</f>
        <v>9-83</v>
      </c>
      <c r="D885" s="4">
        <f>IFERROR(__xludf.DUMMYFUNCTION("split(B885,""-"")"),9.0)</f>
        <v>9</v>
      </c>
      <c r="E885" s="4">
        <f>IFERROR(__xludf.DUMMYFUNCTION("""COMPUTED_VALUE"""),83.0)</f>
        <v>83</v>
      </c>
      <c r="F885" s="4">
        <f>IFERROR(__xludf.DUMMYFUNCTION("split(C885,""-"")"),9.0)</f>
        <v>9</v>
      </c>
      <c r="G885" s="4">
        <f>IFERROR(__xludf.DUMMYFUNCTION("""COMPUTED_VALUE"""),83.0)</f>
        <v>83</v>
      </c>
      <c r="H885" s="4">
        <f t="shared" si="1"/>
        <v>1</v>
      </c>
      <c r="J885" s="4">
        <f>IFERROR(__xludf.DUMMYFUNCTION("IFS(
ISBETWEEN(D885,F885,G885,TRUE,TRUE),1,
ISBETWEEN(E885,F885,G885,TRUE,TRUE),1,
ISBETWEEN(F885,D885,E885,TRUE,TRUE),1,
ISBETWEEN(G885,D885,E885,TRUE,TRUE),1,
1,0)"),1.0)</f>
        <v>1</v>
      </c>
    </row>
    <row r="886">
      <c r="A886" s="2" t="s">
        <v>884</v>
      </c>
      <c r="B886" s="1" t="str">
        <f>IFERROR(__xludf.DUMMYFUNCTION("SPLIT(A886,"","",)"),"58-75")</f>
        <v>58-75</v>
      </c>
      <c r="C886" s="1" t="str">
        <f>IFERROR(__xludf.DUMMYFUNCTION("""COMPUTED_VALUE"""),"4-60")</f>
        <v>4-60</v>
      </c>
      <c r="D886" s="4">
        <f>IFERROR(__xludf.DUMMYFUNCTION("split(B886,""-"")"),58.0)</f>
        <v>58</v>
      </c>
      <c r="E886" s="4">
        <f>IFERROR(__xludf.DUMMYFUNCTION("""COMPUTED_VALUE"""),75.0)</f>
        <v>75</v>
      </c>
      <c r="F886" s="4">
        <f>IFERROR(__xludf.DUMMYFUNCTION("split(C886,""-"")"),4.0)</f>
        <v>4</v>
      </c>
      <c r="G886" s="4">
        <f>IFERROR(__xludf.DUMMYFUNCTION("""COMPUTED_VALUE"""),60.0)</f>
        <v>60</v>
      </c>
      <c r="H886" s="4">
        <f t="shared" si="1"/>
        <v>0</v>
      </c>
      <c r="J886" s="4">
        <f>IFERROR(__xludf.DUMMYFUNCTION("IFS(
ISBETWEEN(D886,F886,G886,TRUE,TRUE),1,
ISBETWEEN(E886,F886,G886,TRUE,TRUE),1,
ISBETWEEN(F886,D886,E886,TRUE,TRUE),1,
ISBETWEEN(G886,D886,E886,TRUE,TRUE),1,
1,0)"),1.0)</f>
        <v>1</v>
      </c>
    </row>
    <row r="887">
      <c r="A887" s="2" t="s">
        <v>885</v>
      </c>
      <c r="B887" s="1" t="str">
        <f>IFERROR(__xludf.DUMMYFUNCTION("SPLIT(A887,"","",)"),"98-98")</f>
        <v>98-98</v>
      </c>
      <c r="C887" s="1" t="str">
        <f>IFERROR(__xludf.DUMMYFUNCTION("""COMPUTED_VALUE"""),"30-99")</f>
        <v>30-99</v>
      </c>
      <c r="D887" s="4">
        <f>IFERROR(__xludf.DUMMYFUNCTION("split(B887,""-"")"),98.0)</f>
        <v>98</v>
      </c>
      <c r="E887" s="4">
        <f>IFERROR(__xludf.DUMMYFUNCTION("""COMPUTED_VALUE"""),98.0)</f>
        <v>98</v>
      </c>
      <c r="F887" s="4">
        <f>IFERROR(__xludf.DUMMYFUNCTION("split(C887,""-"")"),30.0)</f>
        <v>30</v>
      </c>
      <c r="G887" s="4">
        <f>IFERROR(__xludf.DUMMYFUNCTION("""COMPUTED_VALUE"""),99.0)</f>
        <v>99</v>
      </c>
      <c r="H887" s="4">
        <f t="shared" si="1"/>
        <v>1</v>
      </c>
      <c r="J887" s="4">
        <f>IFERROR(__xludf.DUMMYFUNCTION("IFS(
ISBETWEEN(D887,F887,G887,TRUE,TRUE),1,
ISBETWEEN(E887,F887,G887,TRUE,TRUE),1,
ISBETWEEN(F887,D887,E887,TRUE,TRUE),1,
ISBETWEEN(G887,D887,E887,TRUE,TRUE),1,
1,0)"),1.0)</f>
        <v>1</v>
      </c>
    </row>
    <row r="888">
      <c r="A888" s="2" t="s">
        <v>886</v>
      </c>
      <c r="B888" s="1" t="str">
        <f>IFERROR(__xludf.DUMMYFUNCTION("SPLIT(A888,"","",)"),"63-96")</f>
        <v>63-96</v>
      </c>
      <c r="C888" s="1" t="str">
        <f>IFERROR(__xludf.DUMMYFUNCTION("""COMPUTED_VALUE"""),"68-97")</f>
        <v>68-97</v>
      </c>
      <c r="D888" s="4">
        <f>IFERROR(__xludf.DUMMYFUNCTION("split(B888,""-"")"),63.0)</f>
        <v>63</v>
      </c>
      <c r="E888" s="4">
        <f>IFERROR(__xludf.DUMMYFUNCTION("""COMPUTED_VALUE"""),96.0)</f>
        <v>96</v>
      </c>
      <c r="F888" s="4">
        <f>IFERROR(__xludf.DUMMYFUNCTION("split(C888,""-"")"),68.0)</f>
        <v>68</v>
      </c>
      <c r="G888" s="4">
        <f>IFERROR(__xludf.DUMMYFUNCTION("""COMPUTED_VALUE"""),97.0)</f>
        <v>97</v>
      </c>
      <c r="H888" s="4">
        <f t="shared" si="1"/>
        <v>0</v>
      </c>
      <c r="J888" s="4">
        <f>IFERROR(__xludf.DUMMYFUNCTION("IFS(
ISBETWEEN(D888,F888,G888,TRUE,TRUE),1,
ISBETWEEN(E888,F888,G888,TRUE,TRUE),1,
ISBETWEEN(F888,D888,E888,TRUE,TRUE),1,
ISBETWEEN(G888,D888,E888,TRUE,TRUE),1,
1,0)"),1.0)</f>
        <v>1</v>
      </c>
    </row>
    <row r="889">
      <c r="A889" s="2" t="s">
        <v>887</v>
      </c>
      <c r="B889" s="1" t="str">
        <f>IFERROR(__xludf.DUMMYFUNCTION("SPLIT(A889,"","",)"),"27-79")</f>
        <v>27-79</v>
      </c>
      <c r="C889" s="1" t="str">
        <f>IFERROR(__xludf.DUMMYFUNCTION("""COMPUTED_VALUE"""),"27-79")</f>
        <v>27-79</v>
      </c>
      <c r="D889" s="4">
        <f>IFERROR(__xludf.DUMMYFUNCTION("split(B889,""-"")"),27.0)</f>
        <v>27</v>
      </c>
      <c r="E889" s="4">
        <f>IFERROR(__xludf.DUMMYFUNCTION("""COMPUTED_VALUE"""),79.0)</f>
        <v>79</v>
      </c>
      <c r="F889" s="4">
        <f>IFERROR(__xludf.DUMMYFUNCTION("split(C889,""-"")"),27.0)</f>
        <v>27</v>
      </c>
      <c r="G889" s="4">
        <f>IFERROR(__xludf.DUMMYFUNCTION("""COMPUTED_VALUE"""),79.0)</f>
        <v>79</v>
      </c>
      <c r="H889" s="4">
        <f t="shared" si="1"/>
        <v>1</v>
      </c>
      <c r="J889" s="4">
        <f>IFERROR(__xludf.DUMMYFUNCTION("IFS(
ISBETWEEN(D889,F889,G889,TRUE,TRUE),1,
ISBETWEEN(E889,F889,G889,TRUE,TRUE),1,
ISBETWEEN(F889,D889,E889,TRUE,TRUE),1,
ISBETWEEN(G889,D889,E889,TRUE,TRUE),1,
1,0)"),1.0)</f>
        <v>1</v>
      </c>
    </row>
    <row r="890">
      <c r="A890" s="2" t="s">
        <v>888</v>
      </c>
      <c r="B890" s="1" t="str">
        <f>IFERROR(__xludf.DUMMYFUNCTION("SPLIT(A890,"","",)"),"3-56")</f>
        <v>3-56</v>
      </c>
      <c r="C890" s="1" t="str">
        <f>IFERROR(__xludf.DUMMYFUNCTION("""COMPUTED_VALUE"""),"56-75")</f>
        <v>56-75</v>
      </c>
      <c r="D890" s="4">
        <f>IFERROR(__xludf.DUMMYFUNCTION("split(B890,""-"")"),3.0)</f>
        <v>3</v>
      </c>
      <c r="E890" s="4">
        <f>IFERROR(__xludf.DUMMYFUNCTION("""COMPUTED_VALUE"""),56.0)</f>
        <v>56</v>
      </c>
      <c r="F890" s="4">
        <f>IFERROR(__xludf.DUMMYFUNCTION("split(C890,""-"")"),56.0)</f>
        <v>56</v>
      </c>
      <c r="G890" s="4">
        <f>IFERROR(__xludf.DUMMYFUNCTION("""COMPUTED_VALUE"""),75.0)</f>
        <v>75</v>
      </c>
      <c r="H890" s="4">
        <f t="shared" si="1"/>
        <v>0</v>
      </c>
      <c r="J890" s="4">
        <f>IFERROR(__xludf.DUMMYFUNCTION("IFS(
ISBETWEEN(D890,F890,G890,TRUE,TRUE),1,
ISBETWEEN(E890,F890,G890,TRUE,TRUE),1,
ISBETWEEN(F890,D890,E890,TRUE,TRUE),1,
ISBETWEEN(G890,D890,E890,TRUE,TRUE),1,
1,0)"),1.0)</f>
        <v>1</v>
      </c>
    </row>
    <row r="891">
      <c r="A891" s="2" t="s">
        <v>889</v>
      </c>
      <c r="B891" s="1" t="str">
        <f>IFERROR(__xludf.DUMMYFUNCTION("SPLIT(A891,"","",)"),"1-91")</f>
        <v>1-91</v>
      </c>
      <c r="C891" s="1" t="str">
        <f>IFERROR(__xludf.DUMMYFUNCTION("""COMPUTED_VALUE"""),"82-92")</f>
        <v>82-92</v>
      </c>
      <c r="D891" s="4">
        <f>IFERROR(__xludf.DUMMYFUNCTION("split(B891,""-"")"),1.0)</f>
        <v>1</v>
      </c>
      <c r="E891" s="4">
        <f>IFERROR(__xludf.DUMMYFUNCTION("""COMPUTED_VALUE"""),91.0)</f>
        <v>91</v>
      </c>
      <c r="F891" s="4">
        <f>IFERROR(__xludf.DUMMYFUNCTION("split(C891,""-"")"),82.0)</f>
        <v>82</v>
      </c>
      <c r="G891" s="4">
        <f>IFERROR(__xludf.DUMMYFUNCTION("""COMPUTED_VALUE"""),92.0)</f>
        <v>92</v>
      </c>
      <c r="H891" s="4">
        <f t="shared" si="1"/>
        <v>0</v>
      </c>
      <c r="J891" s="4">
        <f>IFERROR(__xludf.DUMMYFUNCTION("IFS(
ISBETWEEN(D891,F891,G891,TRUE,TRUE),1,
ISBETWEEN(E891,F891,G891,TRUE,TRUE),1,
ISBETWEEN(F891,D891,E891,TRUE,TRUE),1,
ISBETWEEN(G891,D891,E891,TRUE,TRUE),1,
1,0)"),1.0)</f>
        <v>1</v>
      </c>
    </row>
    <row r="892">
      <c r="A892" s="2" t="s">
        <v>890</v>
      </c>
      <c r="B892" s="1" t="str">
        <f>IFERROR(__xludf.DUMMYFUNCTION("SPLIT(A892,"","",)"),"62-76")</f>
        <v>62-76</v>
      </c>
      <c r="C892" s="1" t="str">
        <f>IFERROR(__xludf.DUMMYFUNCTION("""COMPUTED_VALUE"""),"61-77")</f>
        <v>61-77</v>
      </c>
      <c r="D892" s="4">
        <f>IFERROR(__xludf.DUMMYFUNCTION("split(B892,""-"")"),62.0)</f>
        <v>62</v>
      </c>
      <c r="E892" s="4">
        <f>IFERROR(__xludf.DUMMYFUNCTION("""COMPUTED_VALUE"""),76.0)</f>
        <v>76</v>
      </c>
      <c r="F892" s="4">
        <f>IFERROR(__xludf.DUMMYFUNCTION("split(C892,""-"")"),61.0)</f>
        <v>61</v>
      </c>
      <c r="G892" s="4">
        <f>IFERROR(__xludf.DUMMYFUNCTION("""COMPUTED_VALUE"""),77.0)</f>
        <v>77</v>
      </c>
      <c r="H892" s="4">
        <f t="shared" si="1"/>
        <v>1</v>
      </c>
      <c r="J892" s="4">
        <f>IFERROR(__xludf.DUMMYFUNCTION("IFS(
ISBETWEEN(D892,F892,G892,TRUE,TRUE),1,
ISBETWEEN(E892,F892,G892,TRUE,TRUE),1,
ISBETWEEN(F892,D892,E892,TRUE,TRUE),1,
ISBETWEEN(G892,D892,E892,TRUE,TRUE),1,
1,0)"),1.0)</f>
        <v>1</v>
      </c>
    </row>
    <row r="893">
      <c r="A893" s="2" t="s">
        <v>891</v>
      </c>
      <c r="B893" s="3">
        <f>IFERROR(__xludf.DUMMYFUNCTION("SPLIT(A893,"","",)"),44779.0)</f>
        <v>44779</v>
      </c>
      <c r="C893" s="1" t="str">
        <f>IFERROR(__xludf.DUMMYFUNCTION("""COMPUTED_VALUE"""),"7-97")</f>
        <v>7-97</v>
      </c>
      <c r="D893" s="4">
        <f>IFERROR(__xludf.DUMMYFUNCTION("split(B893,""-"")"),6.0)</f>
        <v>6</v>
      </c>
      <c r="E893" s="4">
        <f>IFERROR(__xludf.DUMMYFUNCTION("""COMPUTED_VALUE"""),8.0)</f>
        <v>8</v>
      </c>
      <c r="F893" s="4">
        <f>IFERROR(__xludf.DUMMYFUNCTION("split(C893,""-"")"),7.0)</f>
        <v>7</v>
      </c>
      <c r="G893" s="4">
        <f>IFERROR(__xludf.DUMMYFUNCTION("""COMPUTED_VALUE"""),97.0)</f>
        <v>97</v>
      </c>
      <c r="H893" s="4">
        <f t="shared" si="1"/>
        <v>0</v>
      </c>
      <c r="J893" s="4">
        <f>IFERROR(__xludf.DUMMYFUNCTION("IFS(
ISBETWEEN(D893,F893,G893,TRUE,TRUE),1,
ISBETWEEN(E893,F893,G893,TRUE,TRUE),1,
ISBETWEEN(F893,D893,E893,TRUE,TRUE),1,
ISBETWEEN(G893,D893,E893,TRUE,TRUE),1,
1,0)"),1.0)</f>
        <v>1</v>
      </c>
    </row>
    <row r="894">
      <c r="A894" s="2" t="s">
        <v>892</v>
      </c>
      <c r="B894" s="1" t="str">
        <f>IFERROR(__xludf.DUMMYFUNCTION("SPLIT(A894,"","",)"),"37-67")</f>
        <v>37-67</v>
      </c>
      <c r="C894" s="1" t="str">
        <f>IFERROR(__xludf.DUMMYFUNCTION("""COMPUTED_VALUE"""),"37-66")</f>
        <v>37-66</v>
      </c>
      <c r="D894" s="4">
        <f>IFERROR(__xludf.DUMMYFUNCTION("split(B894,""-"")"),37.0)</f>
        <v>37</v>
      </c>
      <c r="E894" s="4">
        <f>IFERROR(__xludf.DUMMYFUNCTION("""COMPUTED_VALUE"""),67.0)</f>
        <v>67</v>
      </c>
      <c r="F894" s="4">
        <f>IFERROR(__xludf.DUMMYFUNCTION("split(C894,""-"")"),37.0)</f>
        <v>37</v>
      </c>
      <c r="G894" s="4">
        <f>IFERROR(__xludf.DUMMYFUNCTION("""COMPUTED_VALUE"""),66.0)</f>
        <v>66</v>
      </c>
      <c r="H894" s="4">
        <f t="shared" si="1"/>
        <v>1</v>
      </c>
      <c r="J894" s="4">
        <f>IFERROR(__xludf.DUMMYFUNCTION("IFS(
ISBETWEEN(D894,F894,G894,TRUE,TRUE),1,
ISBETWEEN(E894,F894,G894,TRUE,TRUE),1,
ISBETWEEN(F894,D894,E894,TRUE,TRUE),1,
ISBETWEEN(G894,D894,E894,TRUE,TRUE),1,
1,0)"),1.0)</f>
        <v>1</v>
      </c>
    </row>
    <row r="895">
      <c r="A895" s="2" t="s">
        <v>893</v>
      </c>
      <c r="B895" s="1" t="str">
        <f>IFERROR(__xludf.DUMMYFUNCTION("SPLIT(A895,"","",)"),"52-53")</f>
        <v>52-53</v>
      </c>
      <c r="C895" s="1" t="str">
        <f>IFERROR(__xludf.DUMMYFUNCTION("""COMPUTED_VALUE"""),"52-83")</f>
        <v>52-83</v>
      </c>
      <c r="D895" s="4">
        <f>IFERROR(__xludf.DUMMYFUNCTION("split(B895,""-"")"),52.0)</f>
        <v>52</v>
      </c>
      <c r="E895" s="4">
        <f>IFERROR(__xludf.DUMMYFUNCTION("""COMPUTED_VALUE"""),53.0)</f>
        <v>53</v>
      </c>
      <c r="F895" s="4">
        <f>IFERROR(__xludf.DUMMYFUNCTION("split(C895,""-"")"),52.0)</f>
        <v>52</v>
      </c>
      <c r="G895" s="4">
        <f>IFERROR(__xludf.DUMMYFUNCTION("""COMPUTED_VALUE"""),83.0)</f>
        <v>83</v>
      </c>
      <c r="H895" s="4">
        <f t="shared" si="1"/>
        <v>1</v>
      </c>
      <c r="J895" s="4">
        <f>IFERROR(__xludf.DUMMYFUNCTION("IFS(
ISBETWEEN(D895,F895,G895,TRUE,TRUE),1,
ISBETWEEN(E895,F895,G895,TRUE,TRUE),1,
ISBETWEEN(F895,D895,E895,TRUE,TRUE),1,
ISBETWEEN(G895,D895,E895,TRUE,TRUE),1,
1,0)"),1.0)</f>
        <v>1</v>
      </c>
    </row>
    <row r="896">
      <c r="A896" s="2" t="s">
        <v>894</v>
      </c>
      <c r="B896" s="1" t="str">
        <f>IFERROR(__xludf.DUMMYFUNCTION("SPLIT(A896,"","",)"),"92-92")</f>
        <v>92-92</v>
      </c>
      <c r="C896" s="1" t="str">
        <f>IFERROR(__xludf.DUMMYFUNCTION("""COMPUTED_VALUE"""),"54-92")</f>
        <v>54-92</v>
      </c>
      <c r="D896" s="4">
        <f>IFERROR(__xludf.DUMMYFUNCTION("split(B896,""-"")"),92.0)</f>
        <v>92</v>
      </c>
      <c r="E896" s="4">
        <f>IFERROR(__xludf.DUMMYFUNCTION("""COMPUTED_VALUE"""),92.0)</f>
        <v>92</v>
      </c>
      <c r="F896" s="4">
        <f>IFERROR(__xludf.DUMMYFUNCTION("split(C896,""-"")"),54.0)</f>
        <v>54</v>
      </c>
      <c r="G896" s="4">
        <f>IFERROR(__xludf.DUMMYFUNCTION("""COMPUTED_VALUE"""),92.0)</f>
        <v>92</v>
      </c>
      <c r="H896" s="4">
        <f t="shared" si="1"/>
        <v>1</v>
      </c>
      <c r="J896" s="4">
        <f>IFERROR(__xludf.DUMMYFUNCTION("IFS(
ISBETWEEN(D896,F896,G896,TRUE,TRUE),1,
ISBETWEEN(E896,F896,G896,TRUE,TRUE),1,
ISBETWEEN(F896,D896,E896,TRUE,TRUE),1,
ISBETWEEN(G896,D896,E896,TRUE,TRUE),1,
1,0)"),1.0)</f>
        <v>1</v>
      </c>
    </row>
    <row r="897">
      <c r="A897" s="2" t="s">
        <v>895</v>
      </c>
      <c r="B897" s="1" t="str">
        <f>IFERROR(__xludf.DUMMYFUNCTION("SPLIT(A897,"","",)"),"55-91")</f>
        <v>55-91</v>
      </c>
      <c r="C897" s="1" t="str">
        <f>IFERROR(__xludf.DUMMYFUNCTION("""COMPUTED_VALUE"""),"91-91")</f>
        <v>91-91</v>
      </c>
      <c r="D897" s="4">
        <f>IFERROR(__xludf.DUMMYFUNCTION("split(B897,""-"")"),55.0)</f>
        <v>55</v>
      </c>
      <c r="E897" s="4">
        <f>IFERROR(__xludf.DUMMYFUNCTION("""COMPUTED_VALUE"""),91.0)</f>
        <v>91</v>
      </c>
      <c r="F897" s="4">
        <f>IFERROR(__xludf.DUMMYFUNCTION("split(C897,""-"")"),91.0)</f>
        <v>91</v>
      </c>
      <c r="G897" s="4">
        <f>IFERROR(__xludf.DUMMYFUNCTION("""COMPUTED_VALUE"""),91.0)</f>
        <v>91</v>
      </c>
      <c r="H897" s="4">
        <f t="shared" si="1"/>
        <v>1</v>
      </c>
      <c r="J897" s="4">
        <f>IFERROR(__xludf.DUMMYFUNCTION("IFS(
ISBETWEEN(D897,F897,G897,TRUE,TRUE),1,
ISBETWEEN(E897,F897,G897,TRUE,TRUE),1,
ISBETWEEN(F897,D897,E897,TRUE,TRUE),1,
ISBETWEEN(G897,D897,E897,TRUE,TRUE),1,
1,0)"),1.0)</f>
        <v>1</v>
      </c>
    </row>
    <row r="898">
      <c r="A898" s="2" t="s">
        <v>896</v>
      </c>
      <c r="B898" s="1" t="str">
        <f>IFERROR(__xludf.DUMMYFUNCTION("SPLIT(A898,"","",)"),"61-79")</f>
        <v>61-79</v>
      </c>
      <c r="C898" s="1" t="str">
        <f>IFERROR(__xludf.DUMMYFUNCTION("""COMPUTED_VALUE"""),"61-65")</f>
        <v>61-65</v>
      </c>
      <c r="D898" s="4">
        <f>IFERROR(__xludf.DUMMYFUNCTION("split(B898,""-"")"),61.0)</f>
        <v>61</v>
      </c>
      <c r="E898" s="4">
        <f>IFERROR(__xludf.DUMMYFUNCTION("""COMPUTED_VALUE"""),79.0)</f>
        <v>79</v>
      </c>
      <c r="F898" s="4">
        <f>IFERROR(__xludf.DUMMYFUNCTION("split(C898,""-"")"),61.0)</f>
        <v>61</v>
      </c>
      <c r="G898" s="4">
        <f>IFERROR(__xludf.DUMMYFUNCTION("""COMPUTED_VALUE"""),65.0)</f>
        <v>65</v>
      </c>
      <c r="H898" s="4">
        <f t="shared" si="1"/>
        <v>1</v>
      </c>
      <c r="J898" s="4">
        <f>IFERROR(__xludf.DUMMYFUNCTION("IFS(
ISBETWEEN(D898,F898,G898,TRUE,TRUE),1,
ISBETWEEN(E898,F898,G898,TRUE,TRUE),1,
ISBETWEEN(F898,D898,E898,TRUE,TRUE),1,
ISBETWEEN(G898,D898,E898,TRUE,TRUE),1,
1,0)"),1.0)</f>
        <v>1</v>
      </c>
    </row>
    <row r="899">
      <c r="A899" s="2" t="s">
        <v>897</v>
      </c>
      <c r="B899" s="1" t="str">
        <f>IFERROR(__xludf.DUMMYFUNCTION("SPLIT(A899,"","",)"),"44-44")</f>
        <v>44-44</v>
      </c>
      <c r="C899" s="1" t="str">
        <f>IFERROR(__xludf.DUMMYFUNCTION("""COMPUTED_VALUE"""),"37-45")</f>
        <v>37-45</v>
      </c>
      <c r="D899" s="4">
        <f>IFERROR(__xludf.DUMMYFUNCTION("split(B899,""-"")"),44.0)</f>
        <v>44</v>
      </c>
      <c r="E899" s="4">
        <f>IFERROR(__xludf.DUMMYFUNCTION("""COMPUTED_VALUE"""),44.0)</f>
        <v>44</v>
      </c>
      <c r="F899" s="4">
        <f>IFERROR(__xludf.DUMMYFUNCTION("split(C899,""-"")"),37.0)</f>
        <v>37</v>
      </c>
      <c r="G899" s="4">
        <f>IFERROR(__xludf.DUMMYFUNCTION("""COMPUTED_VALUE"""),45.0)</f>
        <v>45</v>
      </c>
      <c r="H899" s="4">
        <f t="shared" si="1"/>
        <v>1</v>
      </c>
      <c r="J899" s="4">
        <f>IFERROR(__xludf.DUMMYFUNCTION("IFS(
ISBETWEEN(D899,F899,G899,TRUE,TRUE),1,
ISBETWEEN(E899,F899,G899,TRUE,TRUE),1,
ISBETWEEN(F899,D899,E899,TRUE,TRUE),1,
ISBETWEEN(G899,D899,E899,TRUE,TRUE),1,
1,0)"),1.0)</f>
        <v>1</v>
      </c>
    </row>
    <row r="900">
      <c r="A900" s="2" t="s">
        <v>898</v>
      </c>
      <c r="B900" s="1" t="str">
        <f>IFERROR(__xludf.DUMMYFUNCTION("SPLIT(A900,"","",)"),"64-89")</f>
        <v>64-89</v>
      </c>
      <c r="C900" s="1" t="str">
        <f>IFERROR(__xludf.DUMMYFUNCTION("""COMPUTED_VALUE"""),"9-64")</f>
        <v>9-64</v>
      </c>
      <c r="D900" s="4">
        <f>IFERROR(__xludf.DUMMYFUNCTION("split(B900,""-"")"),64.0)</f>
        <v>64</v>
      </c>
      <c r="E900" s="4">
        <f>IFERROR(__xludf.DUMMYFUNCTION("""COMPUTED_VALUE"""),89.0)</f>
        <v>89</v>
      </c>
      <c r="F900" s="4">
        <f>IFERROR(__xludf.DUMMYFUNCTION("split(C900,""-"")"),9.0)</f>
        <v>9</v>
      </c>
      <c r="G900" s="4">
        <f>IFERROR(__xludf.DUMMYFUNCTION("""COMPUTED_VALUE"""),64.0)</f>
        <v>64</v>
      </c>
      <c r="H900" s="4">
        <f t="shared" si="1"/>
        <v>0</v>
      </c>
      <c r="J900" s="4">
        <f>IFERROR(__xludf.DUMMYFUNCTION("IFS(
ISBETWEEN(D900,F900,G900,TRUE,TRUE),1,
ISBETWEEN(E900,F900,G900,TRUE,TRUE),1,
ISBETWEEN(F900,D900,E900,TRUE,TRUE),1,
ISBETWEEN(G900,D900,E900,TRUE,TRUE),1,
1,0)"),1.0)</f>
        <v>1</v>
      </c>
    </row>
    <row r="901">
      <c r="A901" s="2" t="s">
        <v>899</v>
      </c>
      <c r="B901" s="1" t="str">
        <f>IFERROR(__xludf.DUMMYFUNCTION("SPLIT(A901,"","",)"),"20-35")</f>
        <v>20-35</v>
      </c>
      <c r="C901" s="1" t="str">
        <f>IFERROR(__xludf.DUMMYFUNCTION("""COMPUTED_VALUE"""),"19-36")</f>
        <v>19-36</v>
      </c>
      <c r="D901" s="4">
        <f>IFERROR(__xludf.DUMMYFUNCTION("split(B901,""-"")"),20.0)</f>
        <v>20</v>
      </c>
      <c r="E901" s="4">
        <f>IFERROR(__xludf.DUMMYFUNCTION("""COMPUTED_VALUE"""),35.0)</f>
        <v>35</v>
      </c>
      <c r="F901" s="4">
        <f>IFERROR(__xludf.DUMMYFUNCTION("split(C901,""-"")"),19.0)</f>
        <v>19</v>
      </c>
      <c r="G901" s="4">
        <f>IFERROR(__xludf.DUMMYFUNCTION("""COMPUTED_VALUE"""),36.0)</f>
        <v>36</v>
      </c>
      <c r="H901" s="4">
        <f t="shared" si="1"/>
        <v>1</v>
      </c>
      <c r="J901" s="4">
        <f>IFERROR(__xludf.DUMMYFUNCTION("IFS(
ISBETWEEN(D901,F901,G901,TRUE,TRUE),1,
ISBETWEEN(E901,F901,G901,TRUE,TRUE),1,
ISBETWEEN(F901,D901,E901,TRUE,TRUE),1,
ISBETWEEN(G901,D901,E901,TRUE,TRUE),1,
1,0)"),1.0)</f>
        <v>1</v>
      </c>
    </row>
    <row r="902">
      <c r="A902" s="2" t="s">
        <v>900</v>
      </c>
      <c r="B902" s="1" t="str">
        <f>IFERROR(__xludf.DUMMYFUNCTION("SPLIT(A902,"","",)"),"16-49")</f>
        <v>16-49</v>
      </c>
      <c r="C902" s="1" t="str">
        <f>IFERROR(__xludf.DUMMYFUNCTION("""COMPUTED_VALUE"""),"15-16")</f>
        <v>15-16</v>
      </c>
      <c r="D902" s="4">
        <f>IFERROR(__xludf.DUMMYFUNCTION("split(B902,""-"")"),16.0)</f>
        <v>16</v>
      </c>
      <c r="E902" s="4">
        <f>IFERROR(__xludf.DUMMYFUNCTION("""COMPUTED_VALUE"""),49.0)</f>
        <v>49</v>
      </c>
      <c r="F902" s="4">
        <f>IFERROR(__xludf.DUMMYFUNCTION("split(C902,""-"")"),15.0)</f>
        <v>15</v>
      </c>
      <c r="G902" s="4">
        <f>IFERROR(__xludf.DUMMYFUNCTION("""COMPUTED_VALUE"""),16.0)</f>
        <v>16</v>
      </c>
      <c r="H902" s="4">
        <f t="shared" si="1"/>
        <v>0</v>
      </c>
      <c r="J902" s="4">
        <f>IFERROR(__xludf.DUMMYFUNCTION("IFS(
ISBETWEEN(D902,F902,G902,TRUE,TRUE),1,
ISBETWEEN(E902,F902,G902,TRUE,TRUE),1,
ISBETWEEN(F902,D902,E902,TRUE,TRUE),1,
ISBETWEEN(G902,D902,E902,TRUE,TRUE),1,
1,0)"),1.0)</f>
        <v>1</v>
      </c>
    </row>
    <row r="903">
      <c r="A903" s="2" t="s">
        <v>901</v>
      </c>
      <c r="B903" s="1" t="str">
        <f>IFERROR(__xludf.DUMMYFUNCTION("SPLIT(A903,"","",)"),"64-82")</f>
        <v>64-82</v>
      </c>
      <c r="C903" s="1" t="str">
        <f>IFERROR(__xludf.DUMMYFUNCTION("""COMPUTED_VALUE"""),"64-83")</f>
        <v>64-83</v>
      </c>
      <c r="D903" s="4">
        <f>IFERROR(__xludf.DUMMYFUNCTION("split(B903,""-"")"),64.0)</f>
        <v>64</v>
      </c>
      <c r="E903" s="4">
        <f>IFERROR(__xludf.DUMMYFUNCTION("""COMPUTED_VALUE"""),82.0)</f>
        <v>82</v>
      </c>
      <c r="F903" s="4">
        <f>IFERROR(__xludf.DUMMYFUNCTION("split(C903,""-"")"),64.0)</f>
        <v>64</v>
      </c>
      <c r="G903" s="4">
        <f>IFERROR(__xludf.DUMMYFUNCTION("""COMPUTED_VALUE"""),83.0)</f>
        <v>83</v>
      </c>
      <c r="H903" s="4">
        <f t="shared" si="1"/>
        <v>1</v>
      </c>
      <c r="J903" s="4">
        <f>IFERROR(__xludf.DUMMYFUNCTION("IFS(
ISBETWEEN(D903,F903,G903,TRUE,TRUE),1,
ISBETWEEN(E903,F903,G903,TRUE,TRUE),1,
ISBETWEEN(F903,D903,E903,TRUE,TRUE),1,
ISBETWEEN(G903,D903,E903,TRUE,TRUE),1,
1,0)"),1.0)</f>
        <v>1</v>
      </c>
    </row>
    <row r="904">
      <c r="A904" s="2" t="s">
        <v>902</v>
      </c>
      <c r="B904" s="1" t="str">
        <f>IFERROR(__xludf.DUMMYFUNCTION("SPLIT(A904,"","",)"),"3-97")</f>
        <v>3-97</v>
      </c>
      <c r="C904" s="1" t="str">
        <f>IFERROR(__xludf.DUMMYFUNCTION("""COMPUTED_VALUE"""),"2-94")</f>
        <v>2-94</v>
      </c>
      <c r="D904" s="4">
        <f>IFERROR(__xludf.DUMMYFUNCTION("split(B904,""-"")"),3.0)</f>
        <v>3</v>
      </c>
      <c r="E904" s="4">
        <f>IFERROR(__xludf.DUMMYFUNCTION("""COMPUTED_VALUE"""),97.0)</f>
        <v>97</v>
      </c>
      <c r="F904" s="4">
        <f>IFERROR(__xludf.DUMMYFUNCTION("split(C904,""-"")"),2.0)</f>
        <v>2</v>
      </c>
      <c r="G904" s="4">
        <f>IFERROR(__xludf.DUMMYFUNCTION("""COMPUTED_VALUE"""),94.0)</f>
        <v>94</v>
      </c>
      <c r="H904" s="4">
        <f t="shared" si="1"/>
        <v>0</v>
      </c>
      <c r="J904" s="4">
        <f>IFERROR(__xludf.DUMMYFUNCTION("IFS(
ISBETWEEN(D904,F904,G904,TRUE,TRUE),1,
ISBETWEEN(E904,F904,G904,TRUE,TRUE),1,
ISBETWEEN(F904,D904,E904,TRUE,TRUE),1,
ISBETWEEN(G904,D904,E904,TRUE,TRUE),1,
1,0)"),1.0)</f>
        <v>1</v>
      </c>
    </row>
    <row r="905">
      <c r="A905" s="2" t="s">
        <v>903</v>
      </c>
      <c r="B905" s="1" t="str">
        <f>IFERROR(__xludf.DUMMYFUNCTION("SPLIT(A905,"","",)"),"52-53")</f>
        <v>52-53</v>
      </c>
      <c r="C905" s="1" t="str">
        <f>IFERROR(__xludf.DUMMYFUNCTION("""COMPUTED_VALUE"""),"40-52")</f>
        <v>40-52</v>
      </c>
      <c r="D905" s="4">
        <f>IFERROR(__xludf.DUMMYFUNCTION("split(B905,""-"")"),52.0)</f>
        <v>52</v>
      </c>
      <c r="E905" s="4">
        <f>IFERROR(__xludf.DUMMYFUNCTION("""COMPUTED_VALUE"""),53.0)</f>
        <v>53</v>
      </c>
      <c r="F905" s="4">
        <f>IFERROR(__xludf.DUMMYFUNCTION("split(C905,""-"")"),40.0)</f>
        <v>40</v>
      </c>
      <c r="G905" s="4">
        <f>IFERROR(__xludf.DUMMYFUNCTION("""COMPUTED_VALUE"""),52.0)</f>
        <v>52</v>
      </c>
      <c r="H905" s="4">
        <f t="shared" si="1"/>
        <v>0</v>
      </c>
      <c r="J905" s="4">
        <f>IFERROR(__xludf.DUMMYFUNCTION("IFS(
ISBETWEEN(D905,F905,G905,TRUE,TRUE),1,
ISBETWEEN(E905,F905,G905,TRUE,TRUE),1,
ISBETWEEN(F905,D905,E905,TRUE,TRUE),1,
ISBETWEEN(G905,D905,E905,TRUE,TRUE),1,
1,0)"),1.0)</f>
        <v>1</v>
      </c>
    </row>
    <row r="906">
      <c r="A906" s="2" t="s">
        <v>904</v>
      </c>
      <c r="B906" s="1" t="str">
        <f>IFERROR(__xludf.DUMMYFUNCTION("SPLIT(A906,"","",)"),"43-68")</f>
        <v>43-68</v>
      </c>
      <c r="C906" s="1" t="str">
        <f>IFERROR(__xludf.DUMMYFUNCTION("""COMPUTED_VALUE"""),"15-85")</f>
        <v>15-85</v>
      </c>
      <c r="D906" s="4">
        <f>IFERROR(__xludf.DUMMYFUNCTION("split(B906,""-"")"),43.0)</f>
        <v>43</v>
      </c>
      <c r="E906" s="4">
        <f>IFERROR(__xludf.DUMMYFUNCTION("""COMPUTED_VALUE"""),68.0)</f>
        <v>68</v>
      </c>
      <c r="F906" s="4">
        <f>IFERROR(__xludf.DUMMYFUNCTION("split(C906,""-"")"),15.0)</f>
        <v>15</v>
      </c>
      <c r="G906" s="4">
        <f>IFERROR(__xludf.DUMMYFUNCTION("""COMPUTED_VALUE"""),85.0)</f>
        <v>85</v>
      </c>
      <c r="H906" s="4">
        <f t="shared" si="1"/>
        <v>1</v>
      </c>
      <c r="J906" s="4">
        <f>IFERROR(__xludf.DUMMYFUNCTION("IFS(
ISBETWEEN(D906,F906,G906,TRUE,TRUE),1,
ISBETWEEN(E906,F906,G906,TRUE,TRUE),1,
ISBETWEEN(F906,D906,E906,TRUE,TRUE),1,
ISBETWEEN(G906,D906,E906,TRUE,TRUE),1,
1,0)"),1.0)</f>
        <v>1</v>
      </c>
    </row>
    <row r="907">
      <c r="A907" s="2" t="s">
        <v>905</v>
      </c>
      <c r="B907" s="1" t="str">
        <f>IFERROR(__xludf.DUMMYFUNCTION("SPLIT(A907,"","",)"),"79-79")</f>
        <v>79-79</v>
      </c>
      <c r="C907" s="1" t="str">
        <f>IFERROR(__xludf.DUMMYFUNCTION("""COMPUTED_VALUE"""),"36-80")</f>
        <v>36-80</v>
      </c>
      <c r="D907" s="4">
        <f>IFERROR(__xludf.DUMMYFUNCTION("split(B907,""-"")"),79.0)</f>
        <v>79</v>
      </c>
      <c r="E907" s="4">
        <f>IFERROR(__xludf.DUMMYFUNCTION("""COMPUTED_VALUE"""),79.0)</f>
        <v>79</v>
      </c>
      <c r="F907" s="4">
        <f>IFERROR(__xludf.DUMMYFUNCTION("split(C907,""-"")"),36.0)</f>
        <v>36</v>
      </c>
      <c r="G907" s="4">
        <f>IFERROR(__xludf.DUMMYFUNCTION("""COMPUTED_VALUE"""),80.0)</f>
        <v>80</v>
      </c>
      <c r="H907" s="4">
        <f t="shared" si="1"/>
        <v>1</v>
      </c>
      <c r="J907" s="4">
        <f>IFERROR(__xludf.DUMMYFUNCTION("IFS(
ISBETWEEN(D907,F907,G907,TRUE,TRUE),1,
ISBETWEEN(E907,F907,G907,TRUE,TRUE),1,
ISBETWEEN(F907,D907,E907,TRUE,TRUE),1,
ISBETWEEN(G907,D907,E907,TRUE,TRUE),1,
1,0)"),1.0)</f>
        <v>1</v>
      </c>
    </row>
    <row r="908">
      <c r="A908" s="2" t="s">
        <v>906</v>
      </c>
      <c r="B908" s="1" t="str">
        <f>IFERROR(__xludf.DUMMYFUNCTION("SPLIT(A908,"","",)"),"35-84")</f>
        <v>35-84</v>
      </c>
      <c r="C908" s="1" t="str">
        <f>IFERROR(__xludf.DUMMYFUNCTION("""COMPUTED_VALUE"""),"85-94")</f>
        <v>85-94</v>
      </c>
      <c r="D908" s="4">
        <f>IFERROR(__xludf.DUMMYFUNCTION("split(B908,""-"")"),35.0)</f>
        <v>35</v>
      </c>
      <c r="E908" s="4">
        <f>IFERROR(__xludf.DUMMYFUNCTION("""COMPUTED_VALUE"""),84.0)</f>
        <v>84</v>
      </c>
      <c r="F908" s="4">
        <f>IFERROR(__xludf.DUMMYFUNCTION("split(C908,""-"")"),85.0)</f>
        <v>85</v>
      </c>
      <c r="G908" s="4">
        <f>IFERROR(__xludf.DUMMYFUNCTION("""COMPUTED_VALUE"""),94.0)</f>
        <v>94</v>
      </c>
      <c r="H908" s="4">
        <f t="shared" si="1"/>
        <v>0</v>
      </c>
      <c r="J908" s="4">
        <f>IFERROR(__xludf.DUMMYFUNCTION("IFS(
ISBETWEEN(D908,F908,G908,TRUE,TRUE),1,
ISBETWEEN(E908,F908,G908,TRUE,TRUE),1,
ISBETWEEN(F908,D908,E908,TRUE,TRUE),1,
ISBETWEEN(G908,D908,E908,TRUE,TRUE),1,
1,0)"),0.0)</f>
        <v>0</v>
      </c>
    </row>
    <row r="909">
      <c r="A909" s="2" t="s">
        <v>907</v>
      </c>
      <c r="B909" s="1" t="str">
        <f>IFERROR(__xludf.DUMMYFUNCTION("SPLIT(A909,"","",)"),"23-96")</f>
        <v>23-96</v>
      </c>
      <c r="C909" s="1" t="str">
        <f>IFERROR(__xludf.DUMMYFUNCTION("""COMPUTED_VALUE"""),"23-95")</f>
        <v>23-95</v>
      </c>
      <c r="D909" s="4">
        <f>IFERROR(__xludf.DUMMYFUNCTION("split(B909,""-"")"),23.0)</f>
        <v>23</v>
      </c>
      <c r="E909" s="4">
        <f>IFERROR(__xludf.DUMMYFUNCTION("""COMPUTED_VALUE"""),96.0)</f>
        <v>96</v>
      </c>
      <c r="F909" s="4">
        <f>IFERROR(__xludf.DUMMYFUNCTION("split(C909,""-"")"),23.0)</f>
        <v>23</v>
      </c>
      <c r="G909" s="4">
        <f>IFERROR(__xludf.DUMMYFUNCTION("""COMPUTED_VALUE"""),95.0)</f>
        <v>95</v>
      </c>
      <c r="H909" s="4">
        <f t="shared" si="1"/>
        <v>1</v>
      </c>
      <c r="J909" s="4">
        <f>IFERROR(__xludf.DUMMYFUNCTION("IFS(
ISBETWEEN(D909,F909,G909,TRUE,TRUE),1,
ISBETWEEN(E909,F909,G909,TRUE,TRUE),1,
ISBETWEEN(F909,D909,E909,TRUE,TRUE),1,
ISBETWEEN(G909,D909,E909,TRUE,TRUE),1,
1,0)"),1.0)</f>
        <v>1</v>
      </c>
    </row>
    <row r="910">
      <c r="A910" s="2" t="s">
        <v>908</v>
      </c>
      <c r="B910" s="1" t="str">
        <f>IFERROR(__xludf.DUMMYFUNCTION("SPLIT(A910,"","",)"),"65-73")</f>
        <v>65-73</v>
      </c>
      <c r="C910" s="1" t="str">
        <f>IFERROR(__xludf.DUMMYFUNCTION("""COMPUTED_VALUE"""),"65-74")</f>
        <v>65-74</v>
      </c>
      <c r="D910" s="4">
        <f>IFERROR(__xludf.DUMMYFUNCTION("split(B910,""-"")"),65.0)</f>
        <v>65</v>
      </c>
      <c r="E910" s="4">
        <f>IFERROR(__xludf.DUMMYFUNCTION("""COMPUTED_VALUE"""),73.0)</f>
        <v>73</v>
      </c>
      <c r="F910" s="4">
        <f>IFERROR(__xludf.DUMMYFUNCTION("split(C910,""-"")"),65.0)</f>
        <v>65</v>
      </c>
      <c r="G910" s="4">
        <f>IFERROR(__xludf.DUMMYFUNCTION("""COMPUTED_VALUE"""),74.0)</f>
        <v>74</v>
      </c>
      <c r="H910" s="4">
        <f t="shared" si="1"/>
        <v>1</v>
      </c>
      <c r="J910" s="4">
        <f>IFERROR(__xludf.DUMMYFUNCTION("IFS(
ISBETWEEN(D910,F910,G910,TRUE,TRUE),1,
ISBETWEEN(E910,F910,G910,TRUE,TRUE),1,
ISBETWEEN(F910,D910,E910,TRUE,TRUE),1,
ISBETWEEN(G910,D910,E910,TRUE,TRUE),1,
1,0)"),1.0)</f>
        <v>1</v>
      </c>
    </row>
    <row r="911">
      <c r="A911" s="2" t="s">
        <v>909</v>
      </c>
      <c r="B911" s="1" t="str">
        <f>IFERROR(__xludf.DUMMYFUNCTION("SPLIT(A911,"","",)"),"2-69")</f>
        <v>2-69</v>
      </c>
      <c r="C911" s="1" t="str">
        <f>IFERROR(__xludf.DUMMYFUNCTION("""COMPUTED_VALUE"""),"3-70")</f>
        <v>3-70</v>
      </c>
      <c r="D911" s="4">
        <f>IFERROR(__xludf.DUMMYFUNCTION("split(B911,""-"")"),2.0)</f>
        <v>2</v>
      </c>
      <c r="E911" s="4">
        <f>IFERROR(__xludf.DUMMYFUNCTION("""COMPUTED_VALUE"""),69.0)</f>
        <v>69</v>
      </c>
      <c r="F911" s="4">
        <f>IFERROR(__xludf.DUMMYFUNCTION("split(C911,""-"")"),3.0)</f>
        <v>3</v>
      </c>
      <c r="G911" s="4">
        <f>IFERROR(__xludf.DUMMYFUNCTION("""COMPUTED_VALUE"""),70.0)</f>
        <v>70</v>
      </c>
      <c r="H911" s="4">
        <f t="shared" si="1"/>
        <v>0</v>
      </c>
      <c r="J911" s="4">
        <f>IFERROR(__xludf.DUMMYFUNCTION("IFS(
ISBETWEEN(D911,F911,G911,TRUE,TRUE),1,
ISBETWEEN(E911,F911,G911,TRUE,TRUE),1,
ISBETWEEN(F911,D911,E911,TRUE,TRUE),1,
ISBETWEEN(G911,D911,E911,TRUE,TRUE),1,
1,0)"),1.0)</f>
        <v>1</v>
      </c>
    </row>
    <row r="912">
      <c r="A912" s="2" t="s">
        <v>910</v>
      </c>
      <c r="B912" s="1" t="str">
        <f>IFERROR(__xludf.DUMMYFUNCTION("SPLIT(A912,"","",)"),"49-76")</f>
        <v>49-76</v>
      </c>
      <c r="C912" s="1" t="str">
        <f>IFERROR(__xludf.DUMMYFUNCTION("""COMPUTED_VALUE"""),"49-95")</f>
        <v>49-95</v>
      </c>
      <c r="D912" s="4">
        <f>IFERROR(__xludf.DUMMYFUNCTION("split(B912,""-"")"),49.0)</f>
        <v>49</v>
      </c>
      <c r="E912" s="4">
        <f>IFERROR(__xludf.DUMMYFUNCTION("""COMPUTED_VALUE"""),76.0)</f>
        <v>76</v>
      </c>
      <c r="F912" s="4">
        <f>IFERROR(__xludf.DUMMYFUNCTION("split(C912,""-"")"),49.0)</f>
        <v>49</v>
      </c>
      <c r="G912" s="4">
        <f>IFERROR(__xludf.DUMMYFUNCTION("""COMPUTED_VALUE"""),95.0)</f>
        <v>95</v>
      </c>
      <c r="H912" s="4">
        <f t="shared" si="1"/>
        <v>1</v>
      </c>
      <c r="J912" s="4">
        <f>IFERROR(__xludf.DUMMYFUNCTION("IFS(
ISBETWEEN(D912,F912,G912,TRUE,TRUE),1,
ISBETWEEN(E912,F912,G912,TRUE,TRUE),1,
ISBETWEEN(F912,D912,E912,TRUE,TRUE),1,
ISBETWEEN(G912,D912,E912,TRUE,TRUE),1,
1,0)"),1.0)</f>
        <v>1</v>
      </c>
    </row>
    <row r="913">
      <c r="A913" s="2" t="s">
        <v>911</v>
      </c>
      <c r="B913" s="1" t="str">
        <f>IFERROR(__xludf.DUMMYFUNCTION("SPLIT(A913,"","",)"),"2-97")</f>
        <v>2-97</v>
      </c>
      <c r="C913" s="1" t="str">
        <f>IFERROR(__xludf.DUMMYFUNCTION("""COMPUTED_VALUE"""),"1-98")</f>
        <v>1-98</v>
      </c>
      <c r="D913" s="4">
        <f>IFERROR(__xludf.DUMMYFUNCTION("split(B913,""-"")"),2.0)</f>
        <v>2</v>
      </c>
      <c r="E913" s="4">
        <f>IFERROR(__xludf.DUMMYFUNCTION("""COMPUTED_VALUE"""),97.0)</f>
        <v>97</v>
      </c>
      <c r="F913" s="4">
        <f>IFERROR(__xludf.DUMMYFUNCTION("split(C913,""-"")"),1.0)</f>
        <v>1</v>
      </c>
      <c r="G913" s="4">
        <f>IFERROR(__xludf.DUMMYFUNCTION("""COMPUTED_VALUE"""),98.0)</f>
        <v>98</v>
      </c>
      <c r="H913" s="4">
        <f t="shared" si="1"/>
        <v>1</v>
      </c>
      <c r="J913" s="4">
        <f>IFERROR(__xludf.DUMMYFUNCTION("IFS(
ISBETWEEN(D913,F913,G913,TRUE,TRUE),1,
ISBETWEEN(E913,F913,G913,TRUE,TRUE),1,
ISBETWEEN(F913,D913,E913,TRUE,TRUE),1,
ISBETWEEN(G913,D913,E913,TRUE,TRUE),1,
1,0)"),1.0)</f>
        <v>1</v>
      </c>
    </row>
    <row r="914">
      <c r="A914" s="2" t="s">
        <v>912</v>
      </c>
      <c r="B914" s="1" t="str">
        <f>IFERROR(__xludf.DUMMYFUNCTION("SPLIT(A914,"","",)"),"8-68")</f>
        <v>8-68</v>
      </c>
      <c r="C914" s="3">
        <f>IFERROR(__xludf.DUMMYFUNCTION("""COMPUTED_VALUE"""),44811.0)</f>
        <v>44811</v>
      </c>
      <c r="D914" s="4">
        <f>IFERROR(__xludf.DUMMYFUNCTION("split(B914,""-"")"),8.0)</f>
        <v>8</v>
      </c>
      <c r="E914" s="4">
        <f>IFERROR(__xludf.DUMMYFUNCTION("""COMPUTED_VALUE"""),68.0)</f>
        <v>68</v>
      </c>
      <c r="F914" s="4">
        <f>IFERROR(__xludf.DUMMYFUNCTION("split(C914,""-"")"),7.0)</f>
        <v>7</v>
      </c>
      <c r="G914" s="4">
        <f>IFERROR(__xludf.DUMMYFUNCTION("""COMPUTED_VALUE"""),9.0)</f>
        <v>9</v>
      </c>
      <c r="H914" s="4">
        <f t="shared" si="1"/>
        <v>0</v>
      </c>
      <c r="J914" s="4">
        <f>IFERROR(__xludf.DUMMYFUNCTION("IFS(
ISBETWEEN(D914,F914,G914,TRUE,TRUE),1,
ISBETWEEN(E914,F914,G914,TRUE,TRUE),1,
ISBETWEEN(F914,D914,E914,TRUE,TRUE),1,
ISBETWEEN(G914,D914,E914,TRUE,TRUE),1,
1,0)"),1.0)</f>
        <v>1</v>
      </c>
    </row>
    <row r="915">
      <c r="A915" s="2" t="s">
        <v>913</v>
      </c>
      <c r="B915" s="1" t="str">
        <f>IFERROR(__xludf.DUMMYFUNCTION("SPLIT(A915,"","",)"),"86-87")</f>
        <v>86-87</v>
      </c>
      <c r="C915" s="1" t="str">
        <f>IFERROR(__xludf.DUMMYFUNCTION("""COMPUTED_VALUE"""),"40-86")</f>
        <v>40-86</v>
      </c>
      <c r="D915" s="4">
        <f>IFERROR(__xludf.DUMMYFUNCTION("split(B915,""-"")"),86.0)</f>
        <v>86</v>
      </c>
      <c r="E915" s="4">
        <f>IFERROR(__xludf.DUMMYFUNCTION("""COMPUTED_VALUE"""),87.0)</f>
        <v>87</v>
      </c>
      <c r="F915" s="4">
        <f>IFERROR(__xludf.DUMMYFUNCTION("split(C915,""-"")"),40.0)</f>
        <v>40</v>
      </c>
      <c r="G915" s="4">
        <f>IFERROR(__xludf.DUMMYFUNCTION("""COMPUTED_VALUE"""),86.0)</f>
        <v>86</v>
      </c>
      <c r="H915" s="4">
        <f t="shared" si="1"/>
        <v>0</v>
      </c>
      <c r="J915" s="4">
        <f>IFERROR(__xludf.DUMMYFUNCTION("IFS(
ISBETWEEN(D915,F915,G915,TRUE,TRUE),1,
ISBETWEEN(E915,F915,G915,TRUE,TRUE),1,
ISBETWEEN(F915,D915,E915,TRUE,TRUE),1,
ISBETWEEN(G915,D915,E915,TRUE,TRUE),1,
1,0)"),1.0)</f>
        <v>1</v>
      </c>
    </row>
    <row r="916">
      <c r="A916" s="2" t="s">
        <v>914</v>
      </c>
      <c r="B916" s="1" t="str">
        <f>IFERROR(__xludf.DUMMYFUNCTION("SPLIT(A916,"","",)"),"50-94")</f>
        <v>50-94</v>
      </c>
      <c r="C916" s="1" t="str">
        <f>IFERROR(__xludf.DUMMYFUNCTION("""COMPUTED_VALUE"""),"79-94")</f>
        <v>79-94</v>
      </c>
      <c r="D916" s="4">
        <f>IFERROR(__xludf.DUMMYFUNCTION("split(B916,""-"")"),50.0)</f>
        <v>50</v>
      </c>
      <c r="E916" s="4">
        <f>IFERROR(__xludf.DUMMYFUNCTION("""COMPUTED_VALUE"""),94.0)</f>
        <v>94</v>
      </c>
      <c r="F916" s="4">
        <f>IFERROR(__xludf.DUMMYFUNCTION("split(C916,""-"")"),79.0)</f>
        <v>79</v>
      </c>
      <c r="G916" s="4">
        <f>IFERROR(__xludf.DUMMYFUNCTION("""COMPUTED_VALUE"""),94.0)</f>
        <v>94</v>
      </c>
      <c r="H916" s="4">
        <f t="shared" si="1"/>
        <v>1</v>
      </c>
      <c r="J916" s="4">
        <f>IFERROR(__xludf.DUMMYFUNCTION("IFS(
ISBETWEEN(D916,F916,G916,TRUE,TRUE),1,
ISBETWEEN(E916,F916,G916,TRUE,TRUE),1,
ISBETWEEN(F916,D916,E916,TRUE,TRUE),1,
ISBETWEEN(G916,D916,E916,TRUE,TRUE),1,
1,0)"),1.0)</f>
        <v>1</v>
      </c>
    </row>
    <row r="917">
      <c r="A917" s="2" t="s">
        <v>915</v>
      </c>
      <c r="B917" s="1" t="str">
        <f>IFERROR(__xludf.DUMMYFUNCTION("SPLIT(A917,"","",)"),"34-48")</f>
        <v>34-48</v>
      </c>
      <c r="C917" s="1" t="str">
        <f>IFERROR(__xludf.DUMMYFUNCTION("""COMPUTED_VALUE"""),"19-35")</f>
        <v>19-35</v>
      </c>
      <c r="D917" s="4">
        <f>IFERROR(__xludf.DUMMYFUNCTION("split(B917,""-"")"),34.0)</f>
        <v>34</v>
      </c>
      <c r="E917" s="4">
        <f>IFERROR(__xludf.DUMMYFUNCTION("""COMPUTED_VALUE"""),48.0)</f>
        <v>48</v>
      </c>
      <c r="F917" s="4">
        <f>IFERROR(__xludf.DUMMYFUNCTION("split(C917,""-"")"),19.0)</f>
        <v>19</v>
      </c>
      <c r="G917" s="4">
        <f>IFERROR(__xludf.DUMMYFUNCTION("""COMPUTED_VALUE"""),35.0)</f>
        <v>35</v>
      </c>
      <c r="H917" s="4">
        <f t="shared" si="1"/>
        <v>0</v>
      </c>
      <c r="J917" s="4">
        <f>IFERROR(__xludf.DUMMYFUNCTION("IFS(
ISBETWEEN(D917,F917,G917,TRUE,TRUE),1,
ISBETWEEN(E917,F917,G917,TRUE,TRUE),1,
ISBETWEEN(F917,D917,E917,TRUE,TRUE),1,
ISBETWEEN(G917,D917,E917,TRUE,TRUE),1,
1,0)"),1.0)</f>
        <v>1</v>
      </c>
    </row>
    <row r="918">
      <c r="A918" s="2" t="s">
        <v>916</v>
      </c>
      <c r="B918" s="3">
        <f>IFERROR(__xludf.DUMMYFUNCTION("SPLIT(A918,"","",)"),44902.0)</f>
        <v>44902</v>
      </c>
      <c r="C918" s="3">
        <f>IFERROR(__xludf.DUMMYFUNCTION("""COMPUTED_VALUE"""),44903.0)</f>
        <v>44903</v>
      </c>
      <c r="D918" s="4">
        <f>IFERROR(__xludf.DUMMYFUNCTION("split(B918,""-"")"),7.0)</f>
        <v>7</v>
      </c>
      <c r="E918" s="4">
        <f>IFERROR(__xludf.DUMMYFUNCTION("""COMPUTED_VALUE"""),12.0)</f>
        <v>12</v>
      </c>
      <c r="F918" s="4">
        <f>IFERROR(__xludf.DUMMYFUNCTION("split(C918,""-"")"),8.0)</f>
        <v>8</v>
      </c>
      <c r="G918" s="4">
        <f>IFERROR(__xludf.DUMMYFUNCTION("""COMPUTED_VALUE"""),12.0)</f>
        <v>12</v>
      </c>
      <c r="H918" s="4">
        <f t="shared" si="1"/>
        <v>1</v>
      </c>
      <c r="J918" s="4">
        <f>IFERROR(__xludf.DUMMYFUNCTION("IFS(
ISBETWEEN(D918,F918,G918,TRUE,TRUE),1,
ISBETWEEN(E918,F918,G918,TRUE,TRUE),1,
ISBETWEEN(F918,D918,E918,TRUE,TRUE),1,
ISBETWEEN(G918,D918,E918,TRUE,TRUE),1,
1,0)"),1.0)</f>
        <v>1</v>
      </c>
    </row>
    <row r="919">
      <c r="A919" s="2" t="s">
        <v>917</v>
      </c>
      <c r="B919" s="1" t="str">
        <f>IFERROR(__xludf.DUMMYFUNCTION("SPLIT(A919,"","",)"),"10-92")</f>
        <v>10-92</v>
      </c>
      <c r="C919" s="1" t="str">
        <f>IFERROR(__xludf.DUMMYFUNCTION("""COMPUTED_VALUE"""),"92-92")</f>
        <v>92-92</v>
      </c>
      <c r="D919" s="4">
        <f>IFERROR(__xludf.DUMMYFUNCTION("split(B919,""-"")"),10.0)</f>
        <v>10</v>
      </c>
      <c r="E919" s="4">
        <f>IFERROR(__xludf.DUMMYFUNCTION("""COMPUTED_VALUE"""),92.0)</f>
        <v>92</v>
      </c>
      <c r="F919" s="4">
        <f>IFERROR(__xludf.DUMMYFUNCTION("split(C919,""-"")"),92.0)</f>
        <v>92</v>
      </c>
      <c r="G919" s="4">
        <f>IFERROR(__xludf.DUMMYFUNCTION("""COMPUTED_VALUE"""),92.0)</f>
        <v>92</v>
      </c>
      <c r="H919" s="4">
        <f t="shared" si="1"/>
        <v>1</v>
      </c>
      <c r="J919" s="4">
        <f>IFERROR(__xludf.DUMMYFUNCTION("IFS(
ISBETWEEN(D919,F919,G919,TRUE,TRUE),1,
ISBETWEEN(E919,F919,G919,TRUE,TRUE),1,
ISBETWEEN(F919,D919,E919,TRUE,TRUE),1,
ISBETWEEN(G919,D919,E919,TRUE,TRUE),1,
1,0)"),1.0)</f>
        <v>1</v>
      </c>
    </row>
    <row r="920">
      <c r="A920" s="2" t="s">
        <v>918</v>
      </c>
      <c r="B920" s="1" t="str">
        <f>IFERROR(__xludf.DUMMYFUNCTION("SPLIT(A920,"","",)"),"92-99")</f>
        <v>92-99</v>
      </c>
      <c r="C920" s="1" t="str">
        <f>IFERROR(__xludf.DUMMYFUNCTION("""COMPUTED_VALUE"""),"7-98")</f>
        <v>7-98</v>
      </c>
      <c r="D920" s="4">
        <f>IFERROR(__xludf.DUMMYFUNCTION("split(B920,""-"")"),92.0)</f>
        <v>92</v>
      </c>
      <c r="E920" s="4">
        <f>IFERROR(__xludf.DUMMYFUNCTION("""COMPUTED_VALUE"""),99.0)</f>
        <v>99</v>
      </c>
      <c r="F920" s="4">
        <f>IFERROR(__xludf.DUMMYFUNCTION("split(C920,""-"")"),7.0)</f>
        <v>7</v>
      </c>
      <c r="G920" s="4">
        <f>IFERROR(__xludf.DUMMYFUNCTION("""COMPUTED_VALUE"""),98.0)</f>
        <v>98</v>
      </c>
      <c r="H920" s="4">
        <f t="shared" si="1"/>
        <v>0</v>
      </c>
      <c r="J920" s="4">
        <f>IFERROR(__xludf.DUMMYFUNCTION("IFS(
ISBETWEEN(D920,F920,G920,TRUE,TRUE),1,
ISBETWEEN(E920,F920,G920,TRUE,TRUE),1,
ISBETWEEN(F920,D920,E920,TRUE,TRUE),1,
ISBETWEEN(G920,D920,E920,TRUE,TRUE),1,
1,0)"),1.0)</f>
        <v>1</v>
      </c>
    </row>
    <row r="921">
      <c r="A921" s="2" t="s">
        <v>919</v>
      </c>
      <c r="B921" s="1" t="str">
        <f>IFERROR(__xludf.DUMMYFUNCTION("SPLIT(A921,"","",)"),"52-83")</f>
        <v>52-83</v>
      </c>
      <c r="C921" s="1" t="str">
        <f>IFERROR(__xludf.DUMMYFUNCTION("""COMPUTED_VALUE"""),"83-83")</f>
        <v>83-83</v>
      </c>
      <c r="D921" s="4">
        <f>IFERROR(__xludf.DUMMYFUNCTION("split(B921,""-"")"),52.0)</f>
        <v>52</v>
      </c>
      <c r="E921" s="4">
        <f>IFERROR(__xludf.DUMMYFUNCTION("""COMPUTED_VALUE"""),83.0)</f>
        <v>83</v>
      </c>
      <c r="F921" s="4">
        <f>IFERROR(__xludf.DUMMYFUNCTION("split(C921,""-"")"),83.0)</f>
        <v>83</v>
      </c>
      <c r="G921" s="4">
        <f>IFERROR(__xludf.DUMMYFUNCTION("""COMPUTED_VALUE"""),83.0)</f>
        <v>83</v>
      </c>
      <c r="H921" s="4">
        <f t="shared" si="1"/>
        <v>1</v>
      </c>
      <c r="J921" s="4">
        <f>IFERROR(__xludf.DUMMYFUNCTION("IFS(
ISBETWEEN(D921,F921,G921,TRUE,TRUE),1,
ISBETWEEN(E921,F921,G921,TRUE,TRUE),1,
ISBETWEEN(F921,D921,E921,TRUE,TRUE),1,
ISBETWEEN(G921,D921,E921,TRUE,TRUE),1,
1,0)"),1.0)</f>
        <v>1</v>
      </c>
    </row>
    <row r="922">
      <c r="A922" s="2" t="s">
        <v>920</v>
      </c>
      <c r="B922" s="1" t="str">
        <f>IFERROR(__xludf.DUMMYFUNCTION("SPLIT(A922,"","",)"),"10-22")</f>
        <v>10-22</v>
      </c>
      <c r="C922" s="1" t="str">
        <f>IFERROR(__xludf.DUMMYFUNCTION("""COMPUTED_VALUE"""),"11-64")</f>
        <v>11-64</v>
      </c>
      <c r="D922" s="4">
        <f>IFERROR(__xludf.DUMMYFUNCTION("split(B922,""-"")"),10.0)</f>
        <v>10</v>
      </c>
      <c r="E922" s="4">
        <f>IFERROR(__xludf.DUMMYFUNCTION("""COMPUTED_VALUE"""),22.0)</f>
        <v>22</v>
      </c>
      <c r="F922" s="4">
        <f>IFERROR(__xludf.DUMMYFUNCTION("split(C922,""-"")"),11.0)</f>
        <v>11</v>
      </c>
      <c r="G922" s="4">
        <f>IFERROR(__xludf.DUMMYFUNCTION("""COMPUTED_VALUE"""),64.0)</f>
        <v>64</v>
      </c>
      <c r="H922" s="4">
        <f t="shared" si="1"/>
        <v>0</v>
      </c>
      <c r="J922" s="4">
        <f>IFERROR(__xludf.DUMMYFUNCTION("IFS(
ISBETWEEN(D922,F922,G922,TRUE,TRUE),1,
ISBETWEEN(E922,F922,G922,TRUE,TRUE),1,
ISBETWEEN(F922,D922,E922,TRUE,TRUE),1,
ISBETWEEN(G922,D922,E922,TRUE,TRUE),1,
1,0)"),1.0)</f>
        <v>1</v>
      </c>
    </row>
    <row r="923">
      <c r="A923" s="2" t="s">
        <v>921</v>
      </c>
      <c r="B923" s="1" t="str">
        <f>IFERROR(__xludf.DUMMYFUNCTION("SPLIT(A923,"","",)"),"66-90")</f>
        <v>66-90</v>
      </c>
      <c r="C923" s="1" t="str">
        <f>IFERROR(__xludf.DUMMYFUNCTION("""COMPUTED_VALUE"""),"66-67")</f>
        <v>66-67</v>
      </c>
      <c r="D923" s="4">
        <f>IFERROR(__xludf.DUMMYFUNCTION("split(B923,""-"")"),66.0)</f>
        <v>66</v>
      </c>
      <c r="E923" s="4">
        <f>IFERROR(__xludf.DUMMYFUNCTION("""COMPUTED_VALUE"""),90.0)</f>
        <v>90</v>
      </c>
      <c r="F923" s="4">
        <f>IFERROR(__xludf.DUMMYFUNCTION("split(C923,""-"")"),66.0)</f>
        <v>66</v>
      </c>
      <c r="G923" s="4">
        <f>IFERROR(__xludf.DUMMYFUNCTION("""COMPUTED_VALUE"""),67.0)</f>
        <v>67</v>
      </c>
      <c r="H923" s="4">
        <f t="shared" si="1"/>
        <v>1</v>
      </c>
      <c r="J923" s="4">
        <f>IFERROR(__xludf.DUMMYFUNCTION("IFS(
ISBETWEEN(D923,F923,G923,TRUE,TRUE),1,
ISBETWEEN(E923,F923,G923,TRUE,TRUE),1,
ISBETWEEN(F923,D923,E923,TRUE,TRUE),1,
ISBETWEEN(G923,D923,E923,TRUE,TRUE),1,
1,0)"),1.0)</f>
        <v>1</v>
      </c>
    </row>
    <row r="924">
      <c r="A924" s="2" t="s">
        <v>922</v>
      </c>
      <c r="B924" s="1" t="str">
        <f>IFERROR(__xludf.DUMMYFUNCTION("SPLIT(A924,"","",)"),"10-88")</f>
        <v>10-88</v>
      </c>
      <c r="C924" s="1" t="str">
        <f>IFERROR(__xludf.DUMMYFUNCTION("""COMPUTED_VALUE"""),"11-88")</f>
        <v>11-88</v>
      </c>
      <c r="D924" s="4">
        <f>IFERROR(__xludf.DUMMYFUNCTION("split(B924,""-"")"),10.0)</f>
        <v>10</v>
      </c>
      <c r="E924" s="4">
        <f>IFERROR(__xludf.DUMMYFUNCTION("""COMPUTED_VALUE"""),88.0)</f>
        <v>88</v>
      </c>
      <c r="F924" s="4">
        <f>IFERROR(__xludf.DUMMYFUNCTION("split(C924,""-"")"),11.0)</f>
        <v>11</v>
      </c>
      <c r="G924" s="4">
        <f>IFERROR(__xludf.DUMMYFUNCTION("""COMPUTED_VALUE"""),88.0)</f>
        <v>88</v>
      </c>
      <c r="H924" s="4">
        <f t="shared" si="1"/>
        <v>1</v>
      </c>
      <c r="J924" s="4">
        <f>IFERROR(__xludf.DUMMYFUNCTION("IFS(
ISBETWEEN(D924,F924,G924,TRUE,TRUE),1,
ISBETWEEN(E924,F924,G924,TRUE,TRUE),1,
ISBETWEEN(F924,D924,E924,TRUE,TRUE),1,
ISBETWEEN(G924,D924,E924,TRUE,TRUE),1,
1,0)"),1.0)</f>
        <v>1</v>
      </c>
    </row>
    <row r="925">
      <c r="A925" s="2" t="s">
        <v>923</v>
      </c>
      <c r="B925" s="1" t="str">
        <f>IFERROR(__xludf.DUMMYFUNCTION("SPLIT(A925,"","",)"),"37-85")</f>
        <v>37-85</v>
      </c>
      <c r="C925" s="1" t="str">
        <f>IFERROR(__xludf.DUMMYFUNCTION("""COMPUTED_VALUE"""),"38-84")</f>
        <v>38-84</v>
      </c>
      <c r="D925" s="4">
        <f>IFERROR(__xludf.DUMMYFUNCTION("split(B925,""-"")"),37.0)</f>
        <v>37</v>
      </c>
      <c r="E925" s="4">
        <f>IFERROR(__xludf.DUMMYFUNCTION("""COMPUTED_VALUE"""),85.0)</f>
        <v>85</v>
      </c>
      <c r="F925" s="4">
        <f>IFERROR(__xludf.DUMMYFUNCTION("split(C925,""-"")"),38.0)</f>
        <v>38</v>
      </c>
      <c r="G925" s="4">
        <f>IFERROR(__xludf.DUMMYFUNCTION("""COMPUTED_VALUE"""),84.0)</f>
        <v>84</v>
      </c>
      <c r="H925" s="4">
        <f t="shared" si="1"/>
        <v>1</v>
      </c>
      <c r="J925" s="4">
        <f>IFERROR(__xludf.DUMMYFUNCTION("IFS(
ISBETWEEN(D925,F925,G925,TRUE,TRUE),1,
ISBETWEEN(E925,F925,G925,TRUE,TRUE),1,
ISBETWEEN(F925,D925,E925,TRUE,TRUE),1,
ISBETWEEN(G925,D925,E925,TRUE,TRUE),1,
1,0)"),1.0)</f>
        <v>1</v>
      </c>
    </row>
    <row r="926">
      <c r="A926" s="2" t="s">
        <v>924</v>
      </c>
      <c r="B926" s="1" t="str">
        <f>IFERROR(__xludf.DUMMYFUNCTION("SPLIT(A926,"","",)"),"9-63")</f>
        <v>9-63</v>
      </c>
      <c r="C926" s="1" t="str">
        <f>IFERROR(__xludf.DUMMYFUNCTION("""COMPUTED_VALUE"""),"10-58")</f>
        <v>10-58</v>
      </c>
      <c r="D926" s="4">
        <f>IFERROR(__xludf.DUMMYFUNCTION("split(B926,""-"")"),9.0)</f>
        <v>9</v>
      </c>
      <c r="E926" s="4">
        <f>IFERROR(__xludf.DUMMYFUNCTION("""COMPUTED_VALUE"""),63.0)</f>
        <v>63</v>
      </c>
      <c r="F926" s="4">
        <f>IFERROR(__xludf.DUMMYFUNCTION("split(C926,""-"")"),10.0)</f>
        <v>10</v>
      </c>
      <c r="G926" s="4">
        <f>IFERROR(__xludf.DUMMYFUNCTION("""COMPUTED_VALUE"""),58.0)</f>
        <v>58</v>
      </c>
      <c r="H926" s="4">
        <f t="shared" si="1"/>
        <v>1</v>
      </c>
      <c r="J926" s="4">
        <f>IFERROR(__xludf.DUMMYFUNCTION("IFS(
ISBETWEEN(D926,F926,G926,TRUE,TRUE),1,
ISBETWEEN(E926,F926,G926,TRUE,TRUE),1,
ISBETWEEN(F926,D926,E926,TRUE,TRUE),1,
ISBETWEEN(G926,D926,E926,TRUE,TRUE),1,
1,0)"),1.0)</f>
        <v>1</v>
      </c>
    </row>
    <row r="927">
      <c r="A927" s="2" t="s">
        <v>925</v>
      </c>
      <c r="B927" s="1" t="str">
        <f>IFERROR(__xludf.DUMMYFUNCTION("SPLIT(A927,"","",)"),"26-52")</f>
        <v>26-52</v>
      </c>
      <c r="C927" s="1" t="str">
        <f>IFERROR(__xludf.DUMMYFUNCTION("""COMPUTED_VALUE"""),"25-51")</f>
        <v>25-51</v>
      </c>
      <c r="D927" s="4">
        <f>IFERROR(__xludf.DUMMYFUNCTION("split(B927,""-"")"),26.0)</f>
        <v>26</v>
      </c>
      <c r="E927" s="4">
        <f>IFERROR(__xludf.DUMMYFUNCTION("""COMPUTED_VALUE"""),52.0)</f>
        <v>52</v>
      </c>
      <c r="F927" s="4">
        <f>IFERROR(__xludf.DUMMYFUNCTION("split(C927,""-"")"),25.0)</f>
        <v>25</v>
      </c>
      <c r="G927" s="4">
        <f>IFERROR(__xludf.DUMMYFUNCTION("""COMPUTED_VALUE"""),51.0)</f>
        <v>51</v>
      </c>
      <c r="H927" s="4">
        <f t="shared" si="1"/>
        <v>0</v>
      </c>
      <c r="J927" s="4">
        <f>IFERROR(__xludf.DUMMYFUNCTION("IFS(
ISBETWEEN(D927,F927,G927,TRUE,TRUE),1,
ISBETWEEN(E927,F927,G927,TRUE,TRUE),1,
ISBETWEEN(F927,D927,E927,TRUE,TRUE),1,
ISBETWEEN(G927,D927,E927,TRUE,TRUE),1,
1,0)"),1.0)</f>
        <v>1</v>
      </c>
    </row>
    <row r="928">
      <c r="A928" s="2" t="s">
        <v>926</v>
      </c>
      <c r="B928" s="1" t="str">
        <f>IFERROR(__xludf.DUMMYFUNCTION("SPLIT(A928,"","",)"),"14-60")</f>
        <v>14-60</v>
      </c>
      <c r="C928" s="1" t="str">
        <f>IFERROR(__xludf.DUMMYFUNCTION("""COMPUTED_VALUE"""),"15-61")</f>
        <v>15-61</v>
      </c>
      <c r="D928" s="4">
        <f>IFERROR(__xludf.DUMMYFUNCTION("split(B928,""-"")"),14.0)</f>
        <v>14</v>
      </c>
      <c r="E928" s="4">
        <f>IFERROR(__xludf.DUMMYFUNCTION("""COMPUTED_VALUE"""),60.0)</f>
        <v>60</v>
      </c>
      <c r="F928" s="4">
        <f>IFERROR(__xludf.DUMMYFUNCTION("split(C928,""-"")"),15.0)</f>
        <v>15</v>
      </c>
      <c r="G928" s="4">
        <f>IFERROR(__xludf.DUMMYFUNCTION("""COMPUTED_VALUE"""),61.0)</f>
        <v>61</v>
      </c>
      <c r="H928" s="4">
        <f t="shared" si="1"/>
        <v>0</v>
      </c>
      <c r="J928" s="4">
        <f>IFERROR(__xludf.DUMMYFUNCTION("IFS(
ISBETWEEN(D928,F928,G928,TRUE,TRUE),1,
ISBETWEEN(E928,F928,G928,TRUE,TRUE),1,
ISBETWEEN(F928,D928,E928,TRUE,TRUE),1,
ISBETWEEN(G928,D928,E928,TRUE,TRUE),1,
1,0)"),1.0)</f>
        <v>1</v>
      </c>
    </row>
    <row r="929">
      <c r="A929" s="2" t="s">
        <v>927</v>
      </c>
      <c r="B929" s="1" t="str">
        <f>IFERROR(__xludf.DUMMYFUNCTION("SPLIT(A929,"","",)"),"41-58")</f>
        <v>41-58</v>
      </c>
      <c r="C929" s="1" t="str">
        <f>IFERROR(__xludf.DUMMYFUNCTION("""COMPUTED_VALUE"""),"57-57")</f>
        <v>57-57</v>
      </c>
      <c r="D929" s="4">
        <f>IFERROR(__xludf.DUMMYFUNCTION("split(B929,""-"")"),41.0)</f>
        <v>41</v>
      </c>
      <c r="E929" s="4">
        <f>IFERROR(__xludf.DUMMYFUNCTION("""COMPUTED_VALUE"""),58.0)</f>
        <v>58</v>
      </c>
      <c r="F929" s="4">
        <f>IFERROR(__xludf.DUMMYFUNCTION("split(C929,""-"")"),57.0)</f>
        <v>57</v>
      </c>
      <c r="G929" s="4">
        <f>IFERROR(__xludf.DUMMYFUNCTION("""COMPUTED_VALUE"""),57.0)</f>
        <v>57</v>
      </c>
      <c r="H929" s="4">
        <f t="shared" si="1"/>
        <v>1</v>
      </c>
      <c r="J929" s="4">
        <f>IFERROR(__xludf.DUMMYFUNCTION("IFS(
ISBETWEEN(D929,F929,G929,TRUE,TRUE),1,
ISBETWEEN(E929,F929,G929,TRUE,TRUE),1,
ISBETWEEN(F929,D929,E929,TRUE,TRUE),1,
ISBETWEEN(G929,D929,E929,TRUE,TRUE),1,
1,0)"),1.0)</f>
        <v>1</v>
      </c>
    </row>
    <row r="930">
      <c r="A930" s="2" t="s">
        <v>928</v>
      </c>
      <c r="B930" s="1" t="str">
        <f>IFERROR(__xludf.DUMMYFUNCTION("SPLIT(A930,"","",)"),"16-86")</f>
        <v>16-86</v>
      </c>
      <c r="C930" s="1" t="str">
        <f>IFERROR(__xludf.DUMMYFUNCTION("""COMPUTED_VALUE"""),"17-86")</f>
        <v>17-86</v>
      </c>
      <c r="D930" s="4">
        <f>IFERROR(__xludf.DUMMYFUNCTION("split(B930,""-"")"),16.0)</f>
        <v>16</v>
      </c>
      <c r="E930" s="4">
        <f>IFERROR(__xludf.DUMMYFUNCTION("""COMPUTED_VALUE"""),86.0)</f>
        <v>86</v>
      </c>
      <c r="F930" s="4">
        <f>IFERROR(__xludf.DUMMYFUNCTION("split(C930,""-"")"),17.0)</f>
        <v>17</v>
      </c>
      <c r="G930" s="4">
        <f>IFERROR(__xludf.DUMMYFUNCTION("""COMPUTED_VALUE"""),86.0)</f>
        <v>86</v>
      </c>
      <c r="H930" s="4">
        <f t="shared" si="1"/>
        <v>1</v>
      </c>
      <c r="J930" s="4">
        <f>IFERROR(__xludf.DUMMYFUNCTION("IFS(
ISBETWEEN(D930,F930,G930,TRUE,TRUE),1,
ISBETWEEN(E930,F930,G930,TRUE,TRUE),1,
ISBETWEEN(F930,D930,E930,TRUE,TRUE),1,
ISBETWEEN(G930,D930,E930,TRUE,TRUE),1,
1,0)"),1.0)</f>
        <v>1</v>
      </c>
    </row>
    <row r="931">
      <c r="A931" s="2" t="s">
        <v>929</v>
      </c>
      <c r="B931" s="1" t="str">
        <f>IFERROR(__xludf.DUMMYFUNCTION("SPLIT(A931,"","",)"),"19-93")</f>
        <v>19-93</v>
      </c>
      <c r="C931" s="1" t="str">
        <f>IFERROR(__xludf.DUMMYFUNCTION("""COMPUTED_VALUE"""),"19-92")</f>
        <v>19-92</v>
      </c>
      <c r="D931" s="4">
        <f>IFERROR(__xludf.DUMMYFUNCTION("split(B931,""-"")"),19.0)</f>
        <v>19</v>
      </c>
      <c r="E931" s="4">
        <f>IFERROR(__xludf.DUMMYFUNCTION("""COMPUTED_VALUE"""),93.0)</f>
        <v>93</v>
      </c>
      <c r="F931" s="4">
        <f>IFERROR(__xludf.DUMMYFUNCTION("split(C931,""-"")"),19.0)</f>
        <v>19</v>
      </c>
      <c r="G931" s="4">
        <f>IFERROR(__xludf.DUMMYFUNCTION("""COMPUTED_VALUE"""),92.0)</f>
        <v>92</v>
      </c>
      <c r="H931" s="4">
        <f t="shared" si="1"/>
        <v>1</v>
      </c>
      <c r="J931" s="4">
        <f>IFERROR(__xludf.DUMMYFUNCTION("IFS(
ISBETWEEN(D931,F931,G931,TRUE,TRUE),1,
ISBETWEEN(E931,F931,G931,TRUE,TRUE),1,
ISBETWEEN(F931,D931,E931,TRUE,TRUE),1,
ISBETWEEN(G931,D931,E931,TRUE,TRUE),1,
1,0)"),1.0)</f>
        <v>1</v>
      </c>
    </row>
    <row r="932">
      <c r="A932" s="2" t="s">
        <v>930</v>
      </c>
      <c r="B932" s="1" t="str">
        <f>IFERROR(__xludf.DUMMYFUNCTION("SPLIT(A932,"","",)"),"89-89")</f>
        <v>89-89</v>
      </c>
      <c r="C932" s="1" t="str">
        <f>IFERROR(__xludf.DUMMYFUNCTION("""COMPUTED_VALUE"""),"3-89")</f>
        <v>3-89</v>
      </c>
      <c r="D932" s="4">
        <f>IFERROR(__xludf.DUMMYFUNCTION("split(B932,""-"")"),89.0)</f>
        <v>89</v>
      </c>
      <c r="E932" s="4">
        <f>IFERROR(__xludf.DUMMYFUNCTION("""COMPUTED_VALUE"""),89.0)</f>
        <v>89</v>
      </c>
      <c r="F932" s="4">
        <f>IFERROR(__xludf.DUMMYFUNCTION("split(C932,""-"")"),3.0)</f>
        <v>3</v>
      </c>
      <c r="G932" s="4">
        <f>IFERROR(__xludf.DUMMYFUNCTION("""COMPUTED_VALUE"""),89.0)</f>
        <v>89</v>
      </c>
      <c r="H932" s="4">
        <f t="shared" si="1"/>
        <v>1</v>
      </c>
      <c r="J932" s="4">
        <f>IFERROR(__xludf.DUMMYFUNCTION("IFS(
ISBETWEEN(D932,F932,G932,TRUE,TRUE),1,
ISBETWEEN(E932,F932,G932,TRUE,TRUE),1,
ISBETWEEN(F932,D932,E932,TRUE,TRUE),1,
ISBETWEEN(G932,D932,E932,TRUE,TRUE),1,
1,0)"),1.0)</f>
        <v>1</v>
      </c>
    </row>
    <row r="933">
      <c r="A933" s="2" t="s">
        <v>931</v>
      </c>
      <c r="B933" s="1" t="str">
        <f>IFERROR(__xludf.DUMMYFUNCTION("SPLIT(A933,"","",)"),"7-99")</f>
        <v>7-99</v>
      </c>
      <c r="C933" s="3">
        <f>IFERROR(__xludf.DUMMYFUNCTION("""COMPUTED_VALUE"""),44781.0)</f>
        <v>44781</v>
      </c>
      <c r="D933" s="4">
        <f>IFERROR(__xludf.DUMMYFUNCTION("split(B933,""-"")"),7.0)</f>
        <v>7</v>
      </c>
      <c r="E933" s="4">
        <f>IFERROR(__xludf.DUMMYFUNCTION("""COMPUTED_VALUE"""),99.0)</f>
        <v>99</v>
      </c>
      <c r="F933" s="4">
        <f>IFERROR(__xludf.DUMMYFUNCTION("split(C933,""-"")"),8.0)</f>
        <v>8</v>
      </c>
      <c r="G933" s="4">
        <f>IFERROR(__xludf.DUMMYFUNCTION("""COMPUTED_VALUE"""),8.0)</f>
        <v>8</v>
      </c>
      <c r="H933" s="4">
        <f t="shared" si="1"/>
        <v>1</v>
      </c>
      <c r="J933" s="4">
        <f>IFERROR(__xludf.DUMMYFUNCTION("IFS(
ISBETWEEN(D933,F933,G933,TRUE,TRUE),1,
ISBETWEEN(E933,F933,G933,TRUE,TRUE),1,
ISBETWEEN(F933,D933,E933,TRUE,TRUE),1,
ISBETWEEN(G933,D933,E933,TRUE,TRUE),1,
1,0)"),1.0)</f>
        <v>1</v>
      </c>
    </row>
    <row r="934">
      <c r="A934" s="2" t="s">
        <v>932</v>
      </c>
      <c r="B934" s="1" t="str">
        <f>IFERROR(__xludf.DUMMYFUNCTION("SPLIT(A934,"","",)"),"36-96")</f>
        <v>36-96</v>
      </c>
      <c r="C934" s="1" t="str">
        <f>IFERROR(__xludf.DUMMYFUNCTION("""COMPUTED_VALUE"""),"14-95")</f>
        <v>14-95</v>
      </c>
      <c r="D934" s="4">
        <f>IFERROR(__xludf.DUMMYFUNCTION("split(B934,""-"")"),36.0)</f>
        <v>36</v>
      </c>
      <c r="E934" s="4">
        <f>IFERROR(__xludf.DUMMYFUNCTION("""COMPUTED_VALUE"""),96.0)</f>
        <v>96</v>
      </c>
      <c r="F934" s="4">
        <f>IFERROR(__xludf.DUMMYFUNCTION("split(C934,""-"")"),14.0)</f>
        <v>14</v>
      </c>
      <c r="G934" s="4">
        <f>IFERROR(__xludf.DUMMYFUNCTION("""COMPUTED_VALUE"""),95.0)</f>
        <v>95</v>
      </c>
      <c r="H934" s="4">
        <f t="shared" si="1"/>
        <v>0</v>
      </c>
      <c r="J934" s="4">
        <f>IFERROR(__xludf.DUMMYFUNCTION("IFS(
ISBETWEEN(D934,F934,G934,TRUE,TRUE),1,
ISBETWEEN(E934,F934,G934,TRUE,TRUE),1,
ISBETWEEN(F934,D934,E934,TRUE,TRUE),1,
ISBETWEEN(G934,D934,E934,TRUE,TRUE),1,
1,0)"),1.0)</f>
        <v>1</v>
      </c>
    </row>
    <row r="935">
      <c r="A935" s="2" t="s">
        <v>933</v>
      </c>
      <c r="B935" s="1" t="str">
        <f>IFERROR(__xludf.DUMMYFUNCTION("SPLIT(A935,"","",)"),"9-50")</f>
        <v>9-50</v>
      </c>
      <c r="C935" s="3">
        <f>IFERROR(__xludf.DUMMYFUNCTION("""COMPUTED_VALUE"""),44844.0)</f>
        <v>44844</v>
      </c>
      <c r="D935" s="4">
        <f>IFERROR(__xludf.DUMMYFUNCTION("split(B935,""-"")"),9.0)</f>
        <v>9</v>
      </c>
      <c r="E935" s="4">
        <f>IFERROR(__xludf.DUMMYFUNCTION("""COMPUTED_VALUE"""),50.0)</f>
        <v>50</v>
      </c>
      <c r="F935" s="4">
        <f>IFERROR(__xludf.DUMMYFUNCTION("split(C935,""-"")"),10.0)</f>
        <v>10</v>
      </c>
      <c r="G935" s="4">
        <f>IFERROR(__xludf.DUMMYFUNCTION("""COMPUTED_VALUE"""),10.0)</f>
        <v>10</v>
      </c>
      <c r="H935" s="4">
        <f t="shared" si="1"/>
        <v>1</v>
      </c>
      <c r="J935" s="4">
        <f>IFERROR(__xludf.DUMMYFUNCTION("IFS(
ISBETWEEN(D935,F935,G935,TRUE,TRUE),1,
ISBETWEEN(E935,F935,G935,TRUE,TRUE),1,
ISBETWEEN(F935,D935,E935,TRUE,TRUE),1,
ISBETWEEN(G935,D935,E935,TRUE,TRUE),1,
1,0)"),1.0)</f>
        <v>1</v>
      </c>
    </row>
    <row r="936">
      <c r="A936" s="2" t="s">
        <v>934</v>
      </c>
      <c r="B936" s="1" t="str">
        <f>IFERROR(__xludf.DUMMYFUNCTION("SPLIT(A936,"","",)"),"12-87")</f>
        <v>12-87</v>
      </c>
      <c r="C936" s="1" t="str">
        <f>IFERROR(__xludf.DUMMYFUNCTION("""COMPUTED_VALUE"""),"12-88")</f>
        <v>12-88</v>
      </c>
      <c r="D936" s="4">
        <f>IFERROR(__xludf.DUMMYFUNCTION("split(B936,""-"")"),12.0)</f>
        <v>12</v>
      </c>
      <c r="E936" s="4">
        <f>IFERROR(__xludf.DUMMYFUNCTION("""COMPUTED_VALUE"""),87.0)</f>
        <v>87</v>
      </c>
      <c r="F936" s="4">
        <f>IFERROR(__xludf.DUMMYFUNCTION("split(C936,""-"")"),12.0)</f>
        <v>12</v>
      </c>
      <c r="G936" s="4">
        <f>IFERROR(__xludf.DUMMYFUNCTION("""COMPUTED_VALUE"""),88.0)</f>
        <v>88</v>
      </c>
      <c r="H936" s="4">
        <f t="shared" si="1"/>
        <v>1</v>
      </c>
      <c r="J936" s="4">
        <f>IFERROR(__xludf.DUMMYFUNCTION("IFS(
ISBETWEEN(D936,F936,G936,TRUE,TRUE),1,
ISBETWEEN(E936,F936,G936,TRUE,TRUE),1,
ISBETWEEN(F936,D936,E936,TRUE,TRUE),1,
ISBETWEEN(G936,D936,E936,TRUE,TRUE),1,
1,0)"),1.0)</f>
        <v>1</v>
      </c>
    </row>
    <row r="937">
      <c r="A937" s="2" t="s">
        <v>935</v>
      </c>
      <c r="B937" s="1" t="str">
        <f>IFERROR(__xludf.DUMMYFUNCTION("SPLIT(A937,"","",)"),"59-91")</f>
        <v>59-91</v>
      </c>
      <c r="C937" s="1" t="str">
        <f>IFERROR(__xludf.DUMMYFUNCTION("""COMPUTED_VALUE"""),"96-99")</f>
        <v>96-99</v>
      </c>
      <c r="D937" s="4">
        <f>IFERROR(__xludf.DUMMYFUNCTION("split(B937,""-"")"),59.0)</f>
        <v>59</v>
      </c>
      <c r="E937" s="4">
        <f>IFERROR(__xludf.DUMMYFUNCTION("""COMPUTED_VALUE"""),91.0)</f>
        <v>91</v>
      </c>
      <c r="F937" s="4">
        <f>IFERROR(__xludf.DUMMYFUNCTION("split(C937,""-"")"),96.0)</f>
        <v>96</v>
      </c>
      <c r="G937" s="4">
        <f>IFERROR(__xludf.DUMMYFUNCTION("""COMPUTED_VALUE"""),99.0)</f>
        <v>99</v>
      </c>
      <c r="H937" s="4">
        <f t="shared" si="1"/>
        <v>0</v>
      </c>
      <c r="J937" s="4">
        <f>IFERROR(__xludf.DUMMYFUNCTION("IFS(
ISBETWEEN(D937,F937,G937,TRUE,TRUE),1,
ISBETWEEN(E937,F937,G937,TRUE,TRUE),1,
ISBETWEEN(F937,D937,E937,TRUE,TRUE),1,
ISBETWEEN(G937,D937,E937,TRUE,TRUE),1,
1,0)"),0.0)</f>
        <v>0</v>
      </c>
    </row>
    <row r="938">
      <c r="A938" s="2" t="s">
        <v>936</v>
      </c>
      <c r="B938" s="1" t="str">
        <f>IFERROR(__xludf.DUMMYFUNCTION("SPLIT(A938,"","",)"),"13-92")</f>
        <v>13-92</v>
      </c>
      <c r="C938" s="1" t="str">
        <f>IFERROR(__xludf.DUMMYFUNCTION("""COMPUTED_VALUE"""),"14-14")</f>
        <v>14-14</v>
      </c>
      <c r="D938" s="4">
        <f>IFERROR(__xludf.DUMMYFUNCTION("split(B938,""-"")"),13.0)</f>
        <v>13</v>
      </c>
      <c r="E938" s="4">
        <f>IFERROR(__xludf.DUMMYFUNCTION("""COMPUTED_VALUE"""),92.0)</f>
        <v>92</v>
      </c>
      <c r="F938" s="4">
        <f>IFERROR(__xludf.DUMMYFUNCTION("split(C938,""-"")"),14.0)</f>
        <v>14</v>
      </c>
      <c r="G938" s="4">
        <f>IFERROR(__xludf.DUMMYFUNCTION("""COMPUTED_VALUE"""),14.0)</f>
        <v>14</v>
      </c>
      <c r="H938" s="4">
        <f t="shared" si="1"/>
        <v>1</v>
      </c>
      <c r="J938" s="4">
        <f>IFERROR(__xludf.DUMMYFUNCTION("IFS(
ISBETWEEN(D938,F938,G938,TRUE,TRUE),1,
ISBETWEEN(E938,F938,G938,TRUE,TRUE),1,
ISBETWEEN(F938,D938,E938,TRUE,TRUE),1,
ISBETWEEN(G938,D938,E938,TRUE,TRUE),1,
1,0)"),1.0)</f>
        <v>1</v>
      </c>
    </row>
    <row r="939">
      <c r="A939" s="2" t="s">
        <v>937</v>
      </c>
      <c r="B939" s="1" t="str">
        <f>IFERROR(__xludf.DUMMYFUNCTION("SPLIT(A939,"","",)"),"13-95")</f>
        <v>13-95</v>
      </c>
      <c r="C939" s="1" t="str">
        <f>IFERROR(__xludf.DUMMYFUNCTION("""COMPUTED_VALUE"""),"14-98")</f>
        <v>14-98</v>
      </c>
      <c r="D939" s="4">
        <f>IFERROR(__xludf.DUMMYFUNCTION("split(B939,""-"")"),13.0)</f>
        <v>13</v>
      </c>
      <c r="E939" s="4">
        <f>IFERROR(__xludf.DUMMYFUNCTION("""COMPUTED_VALUE"""),95.0)</f>
        <v>95</v>
      </c>
      <c r="F939" s="4">
        <f>IFERROR(__xludf.DUMMYFUNCTION("split(C939,""-"")"),14.0)</f>
        <v>14</v>
      </c>
      <c r="G939" s="4">
        <f>IFERROR(__xludf.DUMMYFUNCTION("""COMPUTED_VALUE"""),98.0)</f>
        <v>98</v>
      </c>
      <c r="H939" s="4">
        <f t="shared" si="1"/>
        <v>0</v>
      </c>
      <c r="J939" s="4">
        <f>IFERROR(__xludf.DUMMYFUNCTION("IFS(
ISBETWEEN(D939,F939,G939,TRUE,TRUE),1,
ISBETWEEN(E939,F939,G939,TRUE,TRUE),1,
ISBETWEEN(F939,D939,E939,TRUE,TRUE),1,
ISBETWEEN(G939,D939,E939,TRUE,TRUE),1,
1,0)"),1.0)</f>
        <v>1</v>
      </c>
    </row>
    <row r="940">
      <c r="A940" s="2" t="s">
        <v>938</v>
      </c>
      <c r="B940" s="1" t="str">
        <f>IFERROR(__xludf.DUMMYFUNCTION("SPLIT(A940,"","",)"),"8-74")</f>
        <v>8-74</v>
      </c>
      <c r="C940" s="1" t="str">
        <f>IFERROR(__xludf.DUMMYFUNCTION("""COMPUTED_VALUE"""),"15-77")</f>
        <v>15-77</v>
      </c>
      <c r="D940" s="4">
        <f>IFERROR(__xludf.DUMMYFUNCTION("split(B940,""-"")"),8.0)</f>
        <v>8</v>
      </c>
      <c r="E940" s="4">
        <f>IFERROR(__xludf.DUMMYFUNCTION("""COMPUTED_VALUE"""),74.0)</f>
        <v>74</v>
      </c>
      <c r="F940" s="4">
        <f>IFERROR(__xludf.DUMMYFUNCTION("split(C940,""-"")"),15.0)</f>
        <v>15</v>
      </c>
      <c r="G940" s="4">
        <f>IFERROR(__xludf.DUMMYFUNCTION("""COMPUTED_VALUE"""),77.0)</f>
        <v>77</v>
      </c>
      <c r="H940" s="4">
        <f t="shared" si="1"/>
        <v>0</v>
      </c>
      <c r="J940" s="4">
        <f>IFERROR(__xludf.DUMMYFUNCTION("IFS(
ISBETWEEN(D940,F940,G940,TRUE,TRUE),1,
ISBETWEEN(E940,F940,G940,TRUE,TRUE),1,
ISBETWEEN(F940,D940,E940,TRUE,TRUE),1,
ISBETWEEN(G940,D940,E940,TRUE,TRUE),1,
1,0)"),1.0)</f>
        <v>1</v>
      </c>
    </row>
    <row r="941">
      <c r="A941" s="2" t="s">
        <v>939</v>
      </c>
      <c r="B941" s="1" t="str">
        <f>IFERROR(__xludf.DUMMYFUNCTION("SPLIT(A941,"","",)"),"26-74")</f>
        <v>26-74</v>
      </c>
      <c r="C941" s="1" t="str">
        <f>IFERROR(__xludf.DUMMYFUNCTION("""COMPUTED_VALUE"""),"72-80")</f>
        <v>72-80</v>
      </c>
      <c r="D941" s="4">
        <f>IFERROR(__xludf.DUMMYFUNCTION("split(B941,""-"")"),26.0)</f>
        <v>26</v>
      </c>
      <c r="E941" s="4">
        <f>IFERROR(__xludf.DUMMYFUNCTION("""COMPUTED_VALUE"""),74.0)</f>
        <v>74</v>
      </c>
      <c r="F941" s="4">
        <f>IFERROR(__xludf.DUMMYFUNCTION("split(C941,""-"")"),72.0)</f>
        <v>72</v>
      </c>
      <c r="G941" s="4">
        <f>IFERROR(__xludf.DUMMYFUNCTION("""COMPUTED_VALUE"""),80.0)</f>
        <v>80</v>
      </c>
      <c r="H941" s="4">
        <f t="shared" si="1"/>
        <v>0</v>
      </c>
      <c r="J941" s="4">
        <f>IFERROR(__xludf.DUMMYFUNCTION("IFS(
ISBETWEEN(D941,F941,G941,TRUE,TRUE),1,
ISBETWEEN(E941,F941,G941,TRUE,TRUE),1,
ISBETWEEN(F941,D941,E941,TRUE,TRUE),1,
ISBETWEEN(G941,D941,E941,TRUE,TRUE),1,
1,0)"),1.0)</f>
        <v>1</v>
      </c>
    </row>
    <row r="942">
      <c r="A942" s="2" t="s">
        <v>940</v>
      </c>
      <c r="B942" s="3">
        <f>IFERROR(__xludf.DUMMYFUNCTION("SPLIT(A942,"","",)"),44685.0)</f>
        <v>44685</v>
      </c>
      <c r="C942" s="1" t="str">
        <f>IFERROR(__xludf.DUMMYFUNCTION("""COMPUTED_VALUE"""),"4-28")</f>
        <v>4-28</v>
      </c>
      <c r="D942" s="4">
        <f>IFERROR(__xludf.DUMMYFUNCTION("split(B942,""-"")"),4.0)</f>
        <v>4</v>
      </c>
      <c r="E942" s="4">
        <f>IFERROR(__xludf.DUMMYFUNCTION("""COMPUTED_VALUE"""),5.0)</f>
        <v>5</v>
      </c>
      <c r="F942" s="4">
        <f>IFERROR(__xludf.DUMMYFUNCTION("split(C942,""-"")"),4.0)</f>
        <v>4</v>
      </c>
      <c r="G942" s="4">
        <f>IFERROR(__xludf.DUMMYFUNCTION("""COMPUTED_VALUE"""),28.0)</f>
        <v>28</v>
      </c>
      <c r="H942" s="4">
        <f t="shared" si="1"/>
        <v>1</v>
      </c>
      <c r="J942" s="4">
        <f>IFERROR(__xludf.DUMMYFUNCTION("IFS(
ISBETWEEN(D942,F942,G942,TRUE,TRUE),1,
ISBETWEEN(E942,F942,G942,TRUE,TRUE),1,
ISBETWEEN(F942,D942,E942,TRUE,TRUE),1,
ISBETWEEN(G942,D942,E942,TRUE,TRUE),1,
1,0)"),1.0)</f>
        <v>1</v>
      </c>
    </row>
    <row r="943">
      <c r="A943" s="2" t="s">
        <v>941</v>
      </c>
      <c r="B943" s="1" t="str">
        <f>IFERROR(__xludf.DUMMYFUNCTION("SPLIT(A943,"","",)"),"92-92")</f>
        <v>92-92</v>
      </c>
      <c r="C943" s="1" t="str">
        <f>IFERROR(__xludf.DUMMYFUNCTION("""COMPUTED_VALUE"""),"20-93")</f>
        <v>20-93</v>
      </c>
      <c r="D943" s="4">
        <f>IFERROR(__xludf.DUMMYFUNCTION("split(B943,""-"")"),92.0)</f>
        <v>92</v>
      </c>
      <c r="E943" s="4">
        <f>IFERROR(__xludf.DUMMYFUNCTION("""COMPUTED_VALUE"""),92.0)</f>
        <v>92</v>
      </c>
      <c r="F943" s="4">
        <f>IFERROR(__xludf.DUMMYFUNCTION("split(C943,""-"")"),20.0)</f>
        <v>20</v>
      </c>
      <c r="G943" s="4">
        <f>IFERROR(__xludf.DUMMYFUNCTION("""COMPUTED_VALUE"""),93.0)</f>
        <v>93</v>
      </c>
      <c r="H943" s="4">
        <f t="shared" si="1"/>
        <v>1</v>
      </c>
      <c r="J943" s="4">
        <f>IFERROR(__xludf.DUMMYFUNCTION("IFS(
ISBETWEEN(D943,F943,G943,TRUE,TRUE),1,
ISBETWEEN(E943,F943,G943,TRUE,TRUE),1,
ISBETWEEN(F943,D943,E943,TRUE,TRUE),1,
ISBETWEEN(G943,D943,E943,TRUE,TRUE),1,
1,0)"),1.0)</f>
        <v>1</v>
      </c>
    </row>
    <row r="944">
      <c r="A944" s="2" t="s">
        <v>942</v>
      </c>
      <c r="B944" s="1" t="str">
        <f>IFERROR(__xludf.DUMMYFUNCTION("SPLIT(A944,"","",)"),"8-97")</f>
        <v>8-97</v>
      </c>
      <c r="C944" s="1" t="str">
        <f>IFERROR(__xludf.DUMMYFUNCTION("""COMPUTED_VALUE"""),"97-97")</f>
        <v>97-97</v>
      </c>
      <c r="D944" s="4">
        <f>IFERROR(__xludf.DUMMYFUNCTION("split(B944,""-"")"),8.0)</f>
        <v>8</v>
      </c>
      <c r="E944" s="4">
        <f>IFERROR(__xludf.DUMMYFUNCTION("""COMPUTED_VALUE"""),97.0)</f>
        <v>97</v>
      </c>
      <c r="F944" s="4">
        <f>IFERROR(__xludf.DUMMYFUNCTION("split(C944,""-"")"),97.0)</f>
        <v>97</v>
      </c>
      <c r="G944" s="4">
        <f>IFERROR(__xludf.DUMMYFUNCTION("""COMPUTED_VALUE"""),97.0)</f>
        <v>97</v>
      </c>
      <c r="H944" s="4">
        <f t="shared" si="1"/>
        <v>1</v>
      </c>
      <c r="J944" s="4">
        <f>IFERROR(__xludf.DUMMYFUNCTION("IFS(
ISBETWEEN(D944,F944,G944,TRUE,TRUE),1,
ISBETWEEN(E944,F944,G944,TRUE,TRUE),1,
ISBETWEEN(F944,D944,E944,TRUE,TRUE),1,
ISBETWEEN(G944,D944,E944,TRUE,TRUE),1,
1,0)"),1.0)</f>
        <v>1</v>
      </c>
    </row>
    <row r="945">
      <c r="A945" s="2" t="s">
        <v>943</v>
      </c>
      <c r="B945" s="1" t="str">
        <f>IFERROR(__xludf.DUMMYFUNCTION("SPLIT(A945,"","",)"),"68-79")</f>
        <v>68-79</v>
      </c>
      <c r="C945" s="1" t="str">
        <f>IFERROR(__xludf.DUMMYFUNCTION("""COMPUTED_VALUE"""),"67-69")</f>
        <v>67-69</v>
      </c>
      <c r="D945" s="4">
        <f>IFERROR(__xludf.DUMMYFUNCTION("split(B945,""-"")"),68.0)</f>
        <v>68</v>
      </c>
      <c r="E945" s="4">
        <f>IFERROR(__xludf.DUMMYFUNCTION("""COMPUTED_VALUE"""),79.0)</f>
        <v>79</v>
      </c>
      <c r="F945" s="4">
        <f>IFERROR(__xludf.DUMMYFUNCTION("split(C945,""-"")"),67.0)</f>
        <v>67</v>
      </c>
      <c r="G945" s="4">
        <f>IFERROR(__xludf.DUMMYFUNCTION("""COMPUTED_VALUE"""),69.0)</f>
        <v>69</v>
      </c>
      <c r="H945" s="4">
        <f t="shared" si="1"/>
        <v>0</v>
      </c>
      <c r="J945" s="4">
        <f>IFERROR(__xludf.DUMMYFUNCTION("IFS(
ISBETWEEN(D945,F945,G945,TRUE,TRUE),1,
ISBETWEEN(E945,F945,G945,TRUE,TRUE),1,
ISBETWEEN(F945,D945,E945,TRUE,TRUE),1,
ISBETWEEN(G945,D945,E945,TRUE,TRUE),1,
1,0)"),1.0)</f>
        <v>1</v>
      </c>
    </row>
    <row r="946">
      <c r="A946" s="2" t="s">
        <v>944</v>
      </c>
      <c r="B946" s="1" t="str">
        <f>IFERROR(__xludf.DUMMYFUNCTION("SPLIT(A946,"","",)"),"2-85")</f>
        <v>2-85</v>
      </c>
      <c r="C946" s="1" t="str">
        <f>IFERROR(__xludf.DUMMYFUNCTION("""COMPUTED_VALUE"""),"21-83")</f>
        <v>21-83</v>
      </c>
      <c r="D946" s="4">
        <f>IFERROR(__xludf.DUMMYFUNCTION("split(B946,""-"")"),2.0)</f>
        <v>2</v>
      </c>
      <c r="E946" s="4">
        <f>IFERROR(__xludf.DUMMYFUNCTION("""COMPUTED_VALUE"""),85.0)</f>
        <v>85</v>
      </c>
      <c r="F946" s="4">
        <f>IFERROR(__xludf.DUMMYFUNCTION("split(C946,""-"")"),21.0)</f>
        <v>21</v>
      </c>
      <c r="G946" s="4">
        <f>IFERROR(__xludf.DUMMYFUNCTION("""COMPUTED_VALUE"""),83.0)</f>
        <v>83</v>
      </c>
      <c r="H946" s="4">
        <f t="shared" si="1"/>
        <v>1</v>
      </c>
      <c r="J946" s="4">
        <f>IFERROR(__xludf.DUMMYFUNCTION("IFS(
ISBETWEEN(D946,F946,G946,TRUE,TRUE),1,
ISBETWEEN(E946,F946,G946,TRUE,TRUE),1,
ISBETWEEN(F946,D946,E946,TRUE,TRUE),1,
ISBETWEEN(G946,D946,E946,TRUE,TRUE),1,
1,0)"),1.0)</f>
        <v>1</v>
      </c>
    </row>
    <row r="947">
      <c r="A947" s="2" t="s">
        <v>945</v>
      </c>
      <c r="B947" s="3">
        <f>IFERROR(__xludf.DUMMYFUNCTION("SPLIT(A947,"","",)"),44714.0)</f>
        <v>44714</v>
      </c>
      <c r="C947" s="1" t="str">
        <f>IFERROR(__xludf.DUMMYFUNCTION("""COMPUTED_VALUE"""),"9-14")</f>
        <v>9-14</v>
      </c>
      <c r="D947" s="4">
        <f>IFERROR(__xludf.DUMMYFUNCTION("split(B947,""-"")"),2.0)</f>
        <v>2</v>
      </c>
      <c r="E947" s="4">
        <f>IFERROR(__xludf.DUMMYFUNCTION("""COMPUTED_VALUE"""),6.0)</f>
        <v>6</v>
      </c>
      <c r="F947" s="4">
        <f>IFERROR(__xludf.DUMMYFUNCTION("split(C947,""-"")"),9.0)</f>
        <v>9</v>
      </c>
      <c r="G947" s="4">
        <f>IFERROR(__xludf.DUMMYFUNCTION("""COMPUTED_VALUE"""),14.0)</f>
        <v>14</v>
      </c>
      <c r="H947" s="4">
        <f t="shared" si="1"/>
        <v>0</v>
      </c>
      <c r="J947" s="4">
        <f>IFERROR(__xludf.DUMMYFUNCTION("IFS(
ISBETWEEN(D947,F947,G947,TRUE,TRUE),1,
ISBETWEEN(E947,F947,G947,TRUE,TRUE),1,
ISBETWEEN(F947,D947,E947,TRUE,TRUE),1,
ISBETWEEN(G947,D947,E947,TRUE,TRUE),1,
1,0)"),0.0)</f>
        <v>0</v>
      </c>
    </row>
    <row r="948">
      <c r="A948" s="2" t="s">
        <v>946</v>
      </c>
      <c r="B948" s="1" t="str">
        <f>IFERROR(__xludf.DUMMYFUNCTION("SPLIT(A948,"","",)"),"60-64")</f>
        <v>60-64</v>
      </c>
      <c r="C948" s="1" t="str">
        <f>IFERROR(__xludf.DUMMYFUNCTION("""COMPUTED_VALUE"""),"81-89")</f>
        <v>81-89</v>
      </c>
      <c r="D948" s="4">
        <f>IFERROR(__xludf.DUMMYFUNCTION("split(B948,""-"")"),60.0)</f>
        <v>60</v>
      </c>
      <c r="E948" s="4">
        <f>IFERROR(__xludf.DUMMYFUNCTION("""COMPUTED_VALUE"""),64.0)</f>
        <v>64</v>
      </c>
      <c r="F948" s="4">
        <f>IFERROR(__xludf.DUMMYFUNCTION("split(C948,""-"")"),81.0)</f>
        <v>81</v>
      </c>
      <c r="G948" s="4">
        <f>IFERROR(__xludf.DUMMYFUNCTION("""COMPUTED_VALUE"""),89.0)</f>
        <v>89</v>
      </c>
      <c r="H948" s="4">
        <f t="shared" si="1"/>
        <v>0</v>
      </c>
      <c r="J948" s="4">
        <f>IFERROR(__xludf.DUMMYFUNCTION("IFS(
ISBETWEEN(D948,F948,G948,TRUE,TRUE),1,
ISBETWEEN(E948,F948,G948,TRUE,TRUE),1,
ISBETWEEN(F948,D948,E948,TRUE,TRUE),1,
ISBETWEEN(G948,D948,E948,TRUE,TRUE),1,
1,0)"),0.0)</f>
        <v>0</v>
      </c>
    </row>
    <row r="949">
      <c r="A949" s="2" t="s">
        <v>947</v>
      </c>
      <c r="B949" s="1" t="str">
        <f>IFERROR(__xludf.DUMMYFUNCTION("SPLIT(A949,"","",)"),"5-47")</f>
        <v>5-47</v>
      </c>
      <c r="C949" s="1" t="str">
        <f>IFERROR(__xludf.DUMMYFUNCTION("""COMPUTED_VALUE"""),"47-82")</f>
        <v>47-82</v>
      </c>
      <c r="D949" s="4">
        <f>IFERROR(__xludf.DUMMYFUNCTION("split(B949,""-"")"),5.0)</f>
        <v>5</v>
      </c>
      <c r="E949" s="4">
        <f>IFERROR(__xludf.DUMMYFUNCTION("""COMPUTED_VALUE"""),47.0)</f>
        <v>47</v>
      </c>
      <c r="F949" s="4">
        <f>IFERROR(__xludf.DUMMYFUNCTION("split(C949,""-"")"),47.0)</f>
        <v>47</v>
      </c>
      <c r="G949" s="4">
        <f>IFERROR(__xludf.DUMMYFUNCTION("""COMPUTED_VALUE"""),82.0)</f>
        <v>82</v>
      </c>
      <c r="H949" s="4">
        <f t="shared" si="1"/>
        <v>0</v>
      </c>
      <c r="J949" s="4">
        <f>IFERROR(__xludf.DUMMYFUNCTION("IFS(
ISBETWEEN(D949,F949,G949,TRUE,TRUE),1,
ISBETWEEN(E949,F949,G949,TRUE,TRUE),1,
ISBETWEEN(F949,D949,E949,TRUE,TRUE),1,
ISBETWEEN(G949,D949,E949,TRUE,TRUE),1,
1,0)"),1.0)</f>
        <v>1</v>
      </c>
    </row>
    <row r="950">
      <c r="A950" s="2" t="s">
        <v>948</v>
      </c>
      <c r="B950" s="1" t="str">
        <f>IFERROR(__xludf.DUMMYFUNCTION("SPLIT(A950,"","",)"),"41-80")</f>
        <v>41-80</v>
      </c>
      <c r="C950" s="1" t="str">
        <f>IFERROR(__xludf.DUMMYFUNCTION("""COMPUTED_VALUE"""),"41-80")</f>
        <v>41-80</v>
      </c>
      <c r="D950" s="4">
        <f>IFERROR(__xludf.DUMMYFUNCTION("split(B950,""-"")"),41.0)</f>
        <v>41</v>
      </c>
      <c r="E950" s="4">
        <f>IFERROR(__xludf.DUMMYFUNCTION("""COMPUTED_VALUE"""),80.0)</f>
        <v>80</v>
      </c>
      <c r="F950" s="4">
        <f>IFERROR(__xludf.DUMMYFUNCTION("split(C950,""-"")"),41.0)</f>
        <v>41</v>
      </c>
      <c r="G950" s="4">
        <f>IFERROR(__xludf.DUMMYFUNCTION("""COMPUTED_VALUE"""),80.0)</f>
        <v>80</v>
      </c>
      <c r="H950" s="4">
        <f t="shared" si="1"/>
        <v>1</v>
      </c>
      <c r="J950" s="4">
        <f>IFERROR(__xludf.DUMMYFUNCTION("IFS(
ISBETWEEN(D950,F950,G950,TRUE,TRUE),1,
ISBETWEEN(E950,F950,G950,TRUE,TRUE),1,
ISBETWEEN(F950,D950,E950,TRUE,TRUE),1,
ISBETWEEN(G950,D950,E950,TRUE,TRUE),1,
1,0)"),1.0)</f>
        <v>1</v>
      </c>
    </row>
    <row r="951">
      <c r="A951" s="2" t="s">
        <v>949</v>
      </c>
      <c r="B951" s="1" t="str">
        <f>IFERROR(__xludf.DUMMYFUNCTION("SPLIT(A951,"","",)"),"54-55")</f>
        <v>54-55</v>
      </c>
      <c r="C951" s="1" t="str">
        <f>IFERROR(__xludf.DUMMYFUNCTION("""COMPUTED_VALUE"""),"52-55")</f>
        <v>52-55</v>
      </c>
      <c r="D951" s="4">
        <f>IFERROR(__xludf.DUMMYFUNCTION("split(B951,""-"")"),54.0)</f>
        <v>54</v>
      </c>
      <c r="E951" s="4">
        <f>IFERROR(__xludf.DUMMYFUNCTION("""COMPUTED_VALUE"""),55.0)</f>
        <v>55</v>
      </c>
      <c r="F951" s="4">
        <f>IFERROR(__xludf.DUMMYFUNCTION("split(C951,""-"")"),52.0)</f>
        <v>52</v>
      </c>
      <c r="G951" s="4">
        <f>IFERROR(__xludf.DUMMYFUNCTION("""COMPUTED_VALUE"""),55.0)</f>
        <v>55</v>
      </c>
      <c r="H951" s="4">
        <f t="shared" si="1"/>
        <v>1</v>
      </c>
      <c r="J951" s="4">
        <f>IFERROR(__xludf.DUMMYFUNCTION("IFS(
ISBETWEEN(D951,F951,G951,TRUE,TRUE),1,
ISBETWEEN(E951,F951,G951,TRUE,TRUE),1,
ISBETWEEN(F951,D951,E951,TRUE,TRUE),1,
ISBETWEEN(G951,D951,E951,TRUE,TRUE),1,
1,0)"),1.0)</f>
        <v>1</v>
      </c>
    </row>
    <row r="952">
      <c r="A952" s="2" t="s">
        <v>950</v>
      </c>
      <c r="B952" s="3">
        <f>IFERROR(__xludf.DUMMYFUNCTION("SPLIT(A952,"","",)"),44685.0)</f>
        <v>44685</v>
      </c>
      <c r="C952" s="1" t="str">
        <f>IFERROR(__xludf.DUMMYFUNCTION("""COMPUTED_VALUE"""),"6-85")</f>
        <v>6-85</v>
      </c>
      <c r="D952" s="4">
        <f>IFERROR(__xludf.DUMMYFUNCTION("split(B952,""-"")"),4.0)</f>
        <v>4</v>
      </c>
      <c r="E952" s="4">
        <f>IFERROR(__xludf.DUMMYFUNCTION("""COMPUTED_VALUE"""),5.0)</f>
        <v>5</v>
      </c>
      <c r="F952" s="4">
        <f>IFERROR(__xludf.DUMMYFUNCTION("split(C952,""-"")"),6.0)</f>
        <v>6</v>
      </c>
      <c r="G952" s="4">
        <f>IFERROR(__xludf.DUMMYFUNCTION("""COMPUTED_VALUE"""),85.0)</f>
        <v>85</v>
      </c>
      <c r="H952" s="4">
        <f t="shared" si="1"/>
        <v>0</v>
      </c>
      <c r="J952" s="4">
        <f>IFERROR(__xludf.DUMMYFUNCTION("IFS(
ISBETWEEN(D952,F952,G952,TRUE,TRUE),1,
ISBETWEEN(E952,F952,G952,TRUE,TRUE),1,
ISBETWEEN(F952,D952,E952,TRUE,TRUE),1,
ISBETWEEN(G952,D952,E952,TRUE,TRUE),1,
1,0)"),0.0)</f>
        <v>0</v>
      </c>
    </row>
    <row r="953">
      <c r="A953" s="2" t="s">
        <v>951</v>
      </c>
      <c r="B953" s="1" t="str">
        <f>IFERROR(__xludf.DUMMYFUNCTION("SPLIT(A953,"","",)"),"10-88")</f>
        <v>10-88</v>
      </c>
      <c r="C953" s="1" t="str">
        <f>IFERROR(__xludf.DUMMYFUNCTION("""COMPUTED_VALUE"""),"11-87")</f>
        <v>11-87</v>
      </c>
      <c r="D953" s="4">
        <f>IFERROR(__xludf.DUMMYFUNCTION("split(B953,""-"")"),10.0)</f>
        <v>10</v>
      </c>
      <c r="E953" s="4">
        <f>IFERROR(__xludf.DUMMYFUNCTION("""COMPUTED_VALUE"""),88.0)</f>
        <v>88</v>
      </c>
      <c r="F953" s="4">
        <f>IFERROR(__xludf.DUMMYFUNCTION("split(C953,""-"")"),11.0)</f>
        <v>11</v>
      </c>
      <c r="G953" s="4">
        <f>IFERROR(__xludf.DUMMYFUNCTION("""COMPUTED_VALUE"""),87.0)</f>
        <v>87</v>
      </c>
      <c r="H953" s="4">
        <f t="shared" si="1"/>
        <v>1</v>
      </c>
      <c r="J953" s="4">
        <f>IFERROR(__xludf.DUMMYFUNCTION("IFS(
ISBETWEEN(D953,F953,G953,TRUE,TRUE),1,
ISBETWEEN(E953,F953,G953,TRUE,TRUE),1,
ISBETWEEN(F953,D953,E953,TRUE,TRUE),1,
ISBETWEEN(G953,D953,E953,TRUE,TRUE),1,
1,0)"),1.0)</f>
        <v>1</v>
      </c>
    </row>
    <row r="954">
      <c r="A954" s="2" t="s">
        <v>952</v>
      </c>
      <c r="B954" s="1" t="str">
        <f>IFERROR(__xludf.DUMMYFUNCTION("SPLIT(A954,"","",)"),"4-46")</f>
        <v>4-46</v>
      </c>
      <c r="C954" s="1" t="str">
        <f>IFERROR(__xludf.DUMMYFUNCTION("""COMPUTED_VALUE"""),"46-46")</f>
        <v>46-46</v>
      </c>
      <c r="D954" s="4">
        <f>IFERROR(__xludf.DUMMYFUNCTION("split(B954,""-"")"),4.0)</f>
        <v>4</v>
      </c>
      <c r="E954" s="4">
        <f>IFERROR(__xludf.DUMMYFUNCTION("""COMPUTED_VALUE"""),46.0)</f>
        <v>46</v>
      </c>
      <c r="F954" s="4">
        <f>IFERROR(__xludf.DUMMYFUNCTION("split(C954,""-"")"),46.0)</f>
        <v>46</v>
      </c>
      <c r="G954" s="4">
        <f>IFERROR(__xludf.DUMMYFUNCTION("""COMPUTED_VALUE"""),46.0)</f>
        <v>46</v>
      </c>
      <c r="H954" s="4">
        <f t="shared" si="1"/>
        <v>1</v>
      </c>
      <c r="J954" s="4">
        <f>IFERROR(__xludf.DUMMYFUNCTION("IFS(
ISBETWEEN(D954,F954,G954,TRUE,TRUE),1,
ISBETWEEN(E954,F954,G954,TRUE,TRUE),1,
ISBETWEEN(F954,D954,E954,TRUE,TRUE),1,
ISBETWEEN(G954,D954,E954,TRUE,TRUE),1,
1,0)"),1.0)</f>
        <v>1</v>
      </c>
    </row>
    <row r="955">
      <c r="A955" s="2" t="s">
        <v>953</v>
      </c>
      <c r="B955" s="1" t="str">
        <f>IFERROR(__xludf.DUMMYFUNCTION("SPLIT(A955,"","",)"),"25-35")</f>
        <v>25-35</v>
      </c>
      <c r="C955" s="1" t="str">
        <f>IFERROR(__xludf.DUMMYFUNCTION("""COMPUTED_VALUE"""),"26-43")</f>
        <v>26-43</v>
      </c>
      <c r="D955" s="4">
        <f>IFERROR(__xludf.DUMMYFUNCTION("split(B955,""-"")"),25.0)</f>
        <v>25</v>
      </c>
      <c r="E955" s="4">
        <f>IFERROR(__xludf.DUMMYFUNCTION("""COMPUTED_VALUE"""),35.0)</f>
        <v>35</v>
      </c>
      <c r="F955" s="4">
        <f>IFERROR(__xludf.DUMMYFUNCTION("split(C955,""-"")"),26.0)</f>
        <v>26</v>
      </c>
      <c r="G955" s="4">
        <f>IFERROR(__xludf.DUMMYFUNCTION("""COMPUTED_VALUE"""),43.0)</f>
        <v>43</v>
      </c>
      <c r="H955" s="4">
        <f t="shared" si="1"/>
        <v>0</v>
      </c>
      <c r="J955" s="4">
        <f>IFERROR(__xludf.DUMMYFUNCTION("IFS(
ISBETWEEN(D955,F955,G955,TRUE,TRUE),1,
ISBETWEEN(E955,F955,G955,TRUE,TRUE),1,
ISBETWEEN(F955,D955,E955,TRUE,TRUE),1,
ISBETWEEN(G955,D955,E955,TRUE,TRUE),1,
1,0)"),1.0)</f>
        <v>1</v>
      </c>
    </row>
    <row r="956">
      <c r="A956" s="2" t="s">
        <v>954</v>
      </c>
      <c r="B956" s="1" t="str">
        <f>IFERROR(__xludf.DUMMYFUNCTION("SPLIT(A956,"","",)"),"10-19")</f>
        <v>10-19</v>
      </c>
      <c r="C956" s="1" t="str">
        <f>IFERROR(__xludf.DUMMYFUNCTION("""COMPUTED_VALUE"""),"11-18")</f>
        <v>11-18</v>
      </c>
      <c r="D956" s="4">
        <f>IFERROR(__xludf.DUMMYFUNCTION("split(B956,""-"")"),10.0)</f>
        <v>10</v>
      </c>
      <c r="E956" s="4">
        <f>IFERROR(__xludf.DUMMYFUNCTION("""COMPUTED_VALUE"""),19.0)</f>
        <v>19</v>
      </c>
      <c r="F956" s="4">
        <f>IFERROR(__xludf.DUMMYFUNCTION("split(C956,""-"")"),11.0)</f>
        <v>11</v>
      </c>
      <c r="G956" s="4">
        <f>IFERROR(__xludf.DUMMYFUNCTION("""COMPUTED_VALUE"""),18.0)</f>
        <v>18</v>
      </c>
      <c r="H956" s="4">
        <f t="shared" si="1"/>
        <v>1</v>
      </c>
      <c r="J956" s="4">
        <f>IFERROR(__xludf.DUMMYFUNCTION("IFS(
ISBETWEEN(D956,F956,G956,TRUE,TRUE),1,
ISBETWEEN(E956,F956,G956,TRUE,TRUE),1,
ISBETWEEN(F956,D956,E956,TRUE,TRUE),1,
ISBETWEEN(G956,D956,E956,TRUE,TRUE),1,
1,0)"),1.0)</f>
        <v>1</v>
      </c>
    </row>
    <row r="957">
      <c r="A957" s="2" t="s">
        <v>955</v>
      </c>
      <c r="B957" s="1" t="str">
        <f>IFERROR(__xludf.DUMMYFUNCTION("SPLIT(A957,"","",)"),"42-83")</f>
        <v>42-83</v>
      </c>
      <c r="C957" s="1" t="str">
        <f>IFERROR(__xludf.DUMMYFUNCTION("""COMPUTED_VALUE"""),"41-83")</f>
        <v>41-83</v>
      </c>
      <c r="D957" s="4">
        <f>IFERROR(__xludf.DUMMYFUNCTION("split(B957,""-"")"),42.0)</f>
        <v>42</v>
      </c>
      <c r="E957" s="4">
        <f>IFERROR(__xludf.DUMMYFUNCTION("""COMPUTED_VALUE"""),83.0)</f>
        <v>83</v>
      </c>
      <c r="F957" s="4">
        <f>IFERROR(__xludf.DUMMYFUNCTION("split(C957,""-"")"),41.0)</f>
        <v>41</v>
      </c>
      <c r="G957" s="4">
        <f>IFERROR(__xludf.DUMMYFUNCTION("""COMPUTED_VALUE"""),83.0)</f>
        <v>83</v>
      </c>
      <c r="H957" s="4">
        <f t="shared" si="1"/>
        <v>1</v>
      </c>
      <c r="J957" s="4">
        <f>IFERROR(__xludf.DUMMYFUNCTION("IFS(
ISBETWEEN(D957,F957,G957,TRUE,TRUE),1,
ISBETWEEN(E957,F957,G957,TRUE,TRUE),1,
ISBETWEEN(F957,D957,E957,TRUE,TRUE),1,
ISBETWEEN(G957,D957,E957,TRUE,TRUE),1,
1,0)"),1.0)</f>
        <v>1</v>
      </c>
    </row>
    <row r="958">
      <c r="A958" s="2" t="s">
        <v>956</v>
      </c>
      <c r="B958" s="1" t="str">
        <f>IFERROR(__xludf.DUMMYFUNCTION("SPLIT(A958,"","",)"),"6-90")</f>
        <v>6-90</v>
      </c>
      <c r="C958" s="3">
        <f>IFERROR(__xludf.DUMMYFUNCTION("""COMPUTED_VALUE"""),44746.0)</f>
        <v>44746</v>
      </c>
      <c r="D958" s="4">
        <f>IFERROR(__xludf.DUMMYFUNCTION("split(B958,""-"")"),6.0)</f>
        <v>6</v>
      </c>
      <c r="E958" s="4">
        <f>IFERROR(__xludf.DUMMYFUNCTION("""COMPUTED_VALUE"""),90.0)</f>
        <v>90</v>
      </c>
      <c r="F958" s="4">
        <f>IFERROR(__xludf.DUMMYFUNCTION("split(C958,""-"")"),4.0)</f>
        <v>4</v>
      </c>
      <c r="G958" s="4">
        <f>IFERROR(__xludf.DUMMYFUNCTION("""COMPUTED_VALUE"""),7.0)</f>
        <v>7</v>
      </c>
      <c r="H958" s="4">
        <f t="shared" si="1"/>
        <v>0</v>
      </c>
      <c r="J958" s="4">
        <f>IFERROR(__xludf.DUMMYFUNCTION("IFS(
ISBETWEEN(D958,F958,G958,TRUE,TRUE),1,
ISBETWEEN(E958,F958,G958,TRUE,TRUE),1,
ISBETWEEN(F958,D958,E958,TRUE,TRUE),1,
ISBETWEEN(G958,D958,E958,TRUE,TRUE),1,
1,0)"),1.0)</f>
        <v>1</v>
      </c>
    </row>
    <row r="959">
      <c r="A959" s="2" t="s">
        <v>957</v>
      </c>
      <c r="B959" s="1" t="str">
        <f>IFERROR(__xludf.DUMMYFUNCTION("SPLIT(A959,"","",)"),"28-97")</f>
        <v>28-97</v>
      </c>
      <c r="C959" s="1" t="str">
        <f>IFERROR(__xludf.DUMMYFUNCTION("""COMPUTED_VALUE"""),"29-96")</f>
        <v>29-96</v>
      </c>
      <c r="D959" s="4">
        <f>IFERROR(__xludf.DUMMYFUNCTION("split(B959,""-"")"),28.0)</f>
        <v>28</v>
      </c>
      <c r="E959" s="4">
        <f>IFERROR(__xludf.DUMMYFUNCTION("""COMPUTED_VALUE"""),97.0)</f>
        <v>97</v>
      </c>
      <c r="F959" s="4">
        <f>IFERROR(__xludf.DUMMYFUNCTION("split(C959,""-"")"),29.0)</f>
        <v>29</v>
      </c>
      <c r="G959" s="4">
        <f>IFERROR(__xludf.DUMMYFUNCTION("""COMPUTED_VALUE"""),96.0)</f>
        <v>96</v>
      </c>
      <c r="H959" s="4">
        <f t="shared" si="1"/>
        <v>1</v>
      </c>
      <c r="J959" s="4">
        <f>IFERROR(__xludf.DUMMYFUNCTION("IFS(
ISBETWEEN(D959,F959,G959,TRUE,TRUE),1,
ISBETWEEN(E959,F959,G959,TRUE,TRUE),1,
ISBETWEEN(F959,D959,E959,TRUE,TRUE),1,
ISBETWEEN(G959,D959,E959,TRUE,TRUE),1,
1,0)"),1.0)</f>
        <v>1</v>
      </c>
    </row>
    <row r="960">
      <c r="A960" s="2" t="s">
        <v>958</v>
      </c>
      <c r="B960" s="1" t="str">
        <f>IFERROR(__xludf.DUMMYFUNCTION("SPLIT(A960,"","",)"),"22-67")</f>
        <v>22-67</v>
      </c>
      <c r="C960" s="1" t="str">
        <f>IFERROR(__xludf.DUMMYFUNCTION("""COMPUTED_VALUE"""),"21-68")</f>
        <v>21-68</v>
      </c>
      <c r="D960" s="4">
        <f>IFERROR(__xludf.DUMMYFUNCTION("split(B960,""-"")"),22.0)</f>
        <v>22</v>
      </c>
      <c r="E960" s="4">
        <f>IFERROR(__xludf.DUMMYFUNCTION("""COMPUTED_VALUE"""),67.0)</f>
        <v>67</v>
      </c>
      <c r="F960" s="4">
        <f>IFERROR(__xludf.DUMMYFUNCTION("split(C960,""-"")"),21.0)</f>
        <v>21</v>
      </c>
      <c r="G960" s="4">
        <f>IFERROR(__xludf.DUMMYFUNCTION("""COMPUTED_VALUE"""),68.0)</f>
        <v>68</v>
      </c>
      <c r="H960" s="4">
        <f t="shared" si="1"/>
        <v>1</v>
      </c>
      <c r="J960" s="4">
        <f>IFERROR(__xludf.DUMMYFUNCTION("IFS(
ISBETWEEN(D960,F960,G960,TRUE,TRUE),1,
ISBETWEEN(E960,F960,G960,TRUE,TRUE),1,
ISBETWEEN(F960,D960,E960,TRUE,TRUE),1,
ISBETWEEN(G960,D960,E960,TRUE,TRUE),1,
1,0)"),1.0)</f>
        <v>1</v>
      </c>
    </row>
    <row r="961">
      <c r="A961" s="2" t="s">
        <v>959</v>
      </c>
      <c r="B961" s="1" t="str">
        <f>IFERROR(__xludf.DUMMYFUNCTION("SPLIT(A961,"","",)"),"16-75")</f>
        <v>16-75</v>
      </c>
      <c r="C961" s="1" t="str">
        <f>IFERROR(__xludf.DUMMYFUNCTION("""COMPUTED_VALUE"""),"17-74")</f>
        <v>17-74</v>
      </c>
      <c r="D961" s="4">
        <f>IFERROR(__xludf.DUMMYFUNCTION("split(B961,""-"")"),16.0)</f>
        <v>16</v>
      </c>
      <c r="E961" s="4">
        <f>IFERROR(__xludf.DUMMYFUNCTION("""COMPUTED_VALUE"""),75.0)</f>
        <v>75</v>
      </c>
      <c r="F961" s="4">
        <f>IFERROR(__xludf.DUMMYFUNCTION("split(C961,""-"")"),17.0)</f>
        <v>17</v>
      </c>
      <c r="G961" s="4">
        <f>IFERROR(__xludf.DUMMYFUNCTION("""COMPUTED_VALUE"""),74.0)</f>
        <v>74</v>
      </c>
      <c r="H961" s="4">
        <f t="shared" si="1"/>
        <v>1</v>
      </c>
      <c r="J961" s="4">
        <f>IFERROR(__xludf.DUMMYFUNCTION("IFS(
ISBETWEEN(D961,F961,G961,TRUE,TRUE),1,
ISBETWEEN(E961,F961,G961,TRUE,TRUE),1,
ISBETWEEN(F961,D961,E961,TRUE,TRUE),1,
ISBETWEEN(G961,D961,E961,TRUE,TRUE),1,
1,0)"),1.0)</f>
        <v>1</v>
      </c>
    </row>
    <row r="962">
      <c r="A962" s="2" t="s">
        <v>960</v>
      </c>
      <c r="B962" s="1" t="str">
        <f>IFERROR(__xludf.DUMMYFUNCTION("SPLIT(A962,"","",)"),"19-74")</f>
        <v>19-74</v>
      </c>
      <c r="C962" s="1" t="str">
        <f>IFERROR(__xludf.DUMMYFUNCTION("""COMPUTED_VALUE"""),"53-95")</f>
        <v>53-95</v>
      </c>
      <c r="D962" s="4">
        <f>IFERROR(__xludf.DUMMYFUNCTION("split(B962,""-"")"),19.0)</f>
        <v>19</v>
      </c>
      <c r="E962" s="4">
        <f>IFERROR(__xludf.DUMMYFUNCTION("""COMPUTED_VALUE"""),74.0)</f>
        <v>74</v>
      </c>
      <c r="F962" s="4">
        <f>IFERROR(__xludf.DUMMYFUNCTION("split(C962,""-"")"),53.0)</f>
        <v>53</v>
      </c>
      <c r="G962" s="4">
        <f>IFERROR(__xludf.DUMMYFUNCTION("""COMPUTED_VALUE"""),95.0)</f>
        <v>95</v>
      </c>
      <c r="H962" s="4">
        <f t="shared" si="1"/>
        <v>0</v>
      </c>
      <c r="J962" s="4">
        <f>IFERROR(__xludf.DUMMYFUNCTION("IFS(
ISBETWEEN(D962,F962,G962,TRUE,TRUE),1,
ISBETWEEN(E962,F962,G962,TRUE,TRUE),1,
ISBETWEEN(F962,D962,E962,TRUE,TRUE),1,
ISBETWEEN(G962,D962,E962,TRUE,TRUE),1,
1,0)"),1.0)</f>
        <v>1</v>
      </c>
    </row>
    <row r="963">
      <c r="A963" s="2" t="s">
        <v>961</v>
      </c>
      <c r="B963" s="1" t="str">
        <f>IFERROR(__xludf.DUMMYFUNCTION("SPLIT(A963,"","",)"),"67-75")</f>
        <v>67-75</v>
      </c>
      <c r="C963" s="1" t="str">
        <f>IFERROR(__xludf.DUMMYFUNCTION("""COMPUTED_VALUE"""),"72-76")</f>
        <v>72-76</v>
      </c>
      <c r="D963" s="4">
        <f>IFERROR(__xludf.DUMMYFUNCTION("split(B963,""-"")"),67.0)</f>
        <v>67</v>
      </c>
      <c r="E963" s="4">
        <f>IFERROR(__xludf.DUMMYFUNCTION("""COMPUTED_VALUE"""),75.0)</f>
        <v>75</v>
      </c>
      <c r="F963" s="4">
        <f>IFERROR(__xludf.DUMMYFUNCTION("split(C963,""-"")"),72.0)</f>
        <v>72</v>
      </c>
      <c r="G963" s="4">
        <f>IFERROR(__xludf.DUMMYFUNCTION("""COMPUTED_VALUE"""),76.0)</f>
        <v>76</v>
      </c>
      <c r="H963" s="4">
        <f t="shared" si="1"/>
        <v>0</v>
      </c>
      <c r="J963" s="4">
        <f>IFERROR(__xludf.DUMMYFUNCTION("IFS(
ISBETWEEN(D963,F963,G963,TRUE,TRUE),1,
ISBETWEEN(E963,F963,G963,TRUE,TRUE),1,
ISBETWEEN(F963,D963,E963,TRUE,TRUE),1,
ISBETWEEN(G963,D963,E963,TRUE,TRUE),1,
1,0)"),1.0)</f>
        <v>1</v>
      </c>
    </row>
    <row r="964">
      <c r="A964" s="2" t="s">
        <v>962</v>
      </c>
      <c r="B964" s="1" t="str">
        <f>IFERROR(__xludf.DUMMYFUNCTION("SPLIT(A964,"","",)"),"19-94")</f>
        <v>19-94</v>
      </c>
      <c r="C964" s="1" t="str">
        <f>IFERROR(__xludf.DUMMYFUNCTION("""COMPUTED_VALUE"""),"88-99")</f>
        <v>88-99</v>
      </c>
      <c r="D964" s="4">
        <f>IFERROR(__xludf.DUMMYFUNCTION("split(B964,""-"")"),19.0)</f>
        <v>19</v>
      </c>
      <c r="E964" s="4">
        <f>IFERROR(__xludf.DUMMYFUNCTION("""COMPUTED_VALUE"""),94.0)</f>
        <v>94</v>
      </c>
      <c r="F964" s="4">
        <f>IFERROR(__xludf.DUMMYFUNCTION("split(C964,""-"")"),88.0)</f>
        <v>88</v>
      </c>
      <c r="G964" s="4">
        <f>IFERROR(__xludf.DUMMYFUNCTION("""COMPUTED_VALUE"""),99.0)</f>
        <v>99</v>
      </c>
      <c r="H964" s="4">
        <f t="shared" si="1"/>
        <v>0</v>
      </c>
      <c r="J964" s="4">
        <f>IFERROR(__xludf.DUMMYFUNCTION("IFS(
ISBETWEEN(D964,F964,G964,TRUE,TRUE),1,
ISBETWEEN(E964,F964,G964,TRUE,TRUE),1,
ISBETWEEN(F964,D964,E964,TRUE,TRUE),1,
ISBETWEEN(G964,D964,E964,TRUE,TRUE),1,
1,0)"),1.0)</f>
        <v>1</v>
      </c>
    </row>
    <row r="965">
      <c r="A965" s="2" t="s">
        <v>963</v>
      </c>
      <c r="B965" s="1" t="str">
        <f>IFERROR(__xludf.DUMMYFUNCTION("SPLIT(A965,"","",)"),"6-91")</f>
        <v>6-91</v>
      </c>
      <c r="C965" s="1" t="str">
        <f>IFERROR(__xludf.DUMMYFUNCTION("""COMPUTED_VALUE"""),"5-69")</f>
        <v>5-69</v>
      </c>
      <c r="D965" s="4">
        <f>IFERROR(__xludf.DUMMYFUNCTION("split(B965,""-"")"),6.0)</f>
        <v>6</v>
      </c>
      <c r="E965" s="4">
        <f>IFERROR(__xludf.DUMMYFUNCTION("""COMPUTED_VALUE"""),91.0)</f>
        <v>91</v>
      </c>
      <c r="F965" s="4">
        <f>IFERROR(__xludf.DUMMYFUNCTION("split(C965,""-"")"),5.0)</f>
        <v>5</v>
      </c>
      <c r="G965" s="4">
        <f>IFERROR(__xludf.DUMMYFUNCTION("""COMPUTED_VALUE"""),69.0)</f>
        <v>69</v>
      </c>
      <c r="H965" s="4">
        <f t="shared" si="1"/>
        <v>0</v>
      </c>
      <c r="J965" s="4">
        <f>IFERROR(__xludf.DUMMYFUNCTION("IFS(
ISBETWEEN(D965,F965,G965,TRUE,TRUE),1,
ISBETWEEN(E965,F965,G965,TRUE,TRUE),1,
ISBETWEEN(F965,D965,E965,TRUE,TRUE),1,
ISBETWEEN(G965,D965,E965,TRUE,TRUE),1,
1,0)"),1.0)</f>
        <v>1</v>
      </c>
    </row>
    <row r="966">
      <c r="A966" s="2" t="s">
        <v>964</v>
      </c>
      <c r="B966" s="1" t="str">
        <f>IFERROR(__xludf.DUMMYFUNCTION("SPLIT(A966,"","",)"),"3-95")</f>
        <v>3-95</v>
      </c>
      <c r="C966" s="1" t="str">
        <f>IFERROR(__xludf.DUMMYFUNCTION("""COMPUTED_VALUE"""),"95-95")</f>
        <v>95-95</v>
      </c>
      <c r="D966" s="4">
        <f>IFERROR(__xludf.DUMMYFUNCTION("split(B966,""-"")"),3.0)</f>
        <v>3</v>
      </c>
      <c r="E966" s="4">
        <f>IFERROR(__xludf.DUMMYFUNCTION("""COMPUTED_VALUE"""),95.0)</f>
        <v>95</v>
      </c>
      <c r="F966" s="4">
        <f>IFERROR(__xludf.DUMMYFUNCTION("split(C966,""-"")"),95.0)</f>
        <v>95</v>
      </c>
      <c r="G966" s="4">
        <f>IFERROR(__xludf.DUMMYFUNCTION("""COMPUTED_VALUE"""),95.0)</f>
        <v>95</v>
      </c>
      <c r="H966" s="4">
        <f t="shared" si="1"/>
        <v>1</v>
      </c>
      <c r="J966" s="4">
        <f>IFERROR(__xludf.DUMMYFUNCTION("IFS(
ISBETWEEN(D966,F966,G966,TRUE,TRUE),1,
ISBETWEEN(E966,F966,G966,TRUE,TRUE),1,
ISBETWEEN(F966,D966,E966,TRUE,TRUE),1,
ISBETWEEN(G966,D966,E966,TRUE,TRUE),1,
1,0)"),1.0)</f>
        <v>1</v>
      </c>
    </row>
    <row r="967">
      <c r="A967" s="2" t="s">
        <v>965</v>
      </c>
      <c r="B967" s="3">
        <f>IFERROR(__xludf.DUMMYFUNCTION("SPLIT(A967,"","",)"),44684.0)</f>
        <v>44684</v>
      </c>
      <c r="C967" s="1" t="str">
        <f>IFERROR(__xludf.DUMMYFUNCTION("""COMPUTED_VALUE"""),"4-60")</f>
        <v>4-60</v>
      </c>
      <c r="D967" s="4">
        <f>IFERROR(__xludf.DUMMYFUNCTION("split(B967,""-"")"),3.0)</f>
        <v>3</v>
      </c>
      <c r="E967" s="4">
        <f>IFERROR(__xludf.DUMMYFUNCTION("""COMPUTED_VALUE"""),5.0)</f>
        <v>5</v>
      </c>
      <c r="F967" s="4">
        <f>IFERROR(__xludf.DUMMYFUNCTION("split(C967,""-"")"),4.0)</f>
        <v>4</v>
      </c>
      <c r="G967" s="4">
        <f>IFERROR(__xludf.DUMMYFUNCTION("""COMPUTED_VALUE"""),60.0)</f>
        <v>60</v>
      </c>
      <c r="H967" s="4">
        <f t="shared" si="1"/>
        <v>0</v>
      </c>
      <c r="J967" s="4">
        <f>IFERROR(__xludf.DUMMYFUNCTION("IFS(
ISBETWEEN(D967,F967,G967,TRUE,TRUE),1,
ISBETWEEN(E967,F967,G967,TRUE,TRUE),1,
ISBETWEEN(F967,D967,E967,TRUE,TRUE),1,
ISBETWEEN(G967,D967,E967,TRUE,TRUE),1,
1,0)"),1.0)</f>
        <v>1</v>
      </c>
    </row>
    <row r="968">
      <c r="A968" s="2" t="s">
        <v>966</v>
      </c>
      <c r="B968" s="1" t="str">
        <f>IFERROR(__xludf.DUMMYFUNCTION("SPLIT(A968,"","",)"),"29-82")</f>
        <v>29-82</v>
      </c>
      <c r="C968" s="1" t="str">
        <f>IFERROR(__xludf.DUMMYFUNCTION("""COMPUTED_VALUE"""),"89-90")</f>
        <v>89-90</v>
      </c>
      <c r="D968" s="4">
        <f>IFERROR(__xludf.DUMMYFUNCTION("split(B968,""-"")"),29.0)</f>
        <v>29</v>
      </c>
      <c r="E968" s="4">
        <f>IFERROR(__xludf.DUMMYFUNCTION("""COMPUTED_VALUE"""),82.0)</f>
        <v>82</v>
      </c>
      <c r="F968" s="4">
        <f>IFERROR(__xludf.DUMMYFUNCTION("split(C968,""-"")"),89.0)</f>
        <v>89</v>
      </c>
      <c r="G968" s="4">
        <f>IFERROR(__xludf.DUMMYFUNCTION("""COMPUTED_VALUE"""),90.0)</f>
        <v>90</v>
      </c>
      <c r="H968" s="4">
        <f t="shared" si="1"/>
        <v>0</v>
      </c>
      <c r="J968" s="4">
        <f>IFERROR(__xludf.DUMMYFUNCTION("IFS(
ISBETWEEN(D968,F968,G968,TRUE,TRUE),1,
ISBETWEEN(E968,F968,G968,TRUE,TRUE),1,
ISBETWEEN(F968,D968,E968,TRUE,TRUE),1,
ISBETWEEN(G968,D968,E968,TRUE,TRUE),1,
1,0)"),0.0)</f>
        <v>0</v>
      </c>
    </row>
    <row r="969">
      <c r="A969" s="2" t="s">
        <v>967</v>
      </c>
      <c r="B969" s="3">
        <f>IFERROR(__xludf.DUMMYFUNCTION("SPLIT(A969,"","",)"),44623.0)</f>
        <v>44623</v>
      </c>
      <c r="C969" s="1" t="str">
        <f>IFERROR(__xludf.DUMMYFUNCTION("""COMPUTED_VALUE"""),"2-97")</f>
        <v>2-97</v>
      </c>
      <c r="D969" s="4">
        <f>IFERROR(__xludf.DUMMYFUNCTION("split(B969,""-"")"),3.0)</f>
        <v>3</v>
      </c>
      <c r="E969" s="4">
        <f>IFERROR(__xludf.DUMMYFUNCTION("""COMPUTED_VALUE"""),3.0)</f>
        <v>3</v>
      </c>
      <c r="F969" s="4">
        <f>IFERROR(__xludf.DUMMYFUNCTION("split(C969,""-"")"),2.0)</f>
        <v>2</v>
      </c>
      <c r="G969" s="4">
        <f>IFERROR(__xludf.DUMMYFUNCTION("""COMPUTED_VALUE"""),97.0)</f>
        <v>97</v>
      </c>
      <c r="H969" s="4">
        <f t="shared" si="1"/>
        <v>1</v>
      </c>
      <c r="J969" s="4">
        <f>IFERROR(__xludf.DUMMYFUNCTION("IFS(
ISBETWEEN(D969,F969,G969,TRUE,TRUE),1,
ISBETWEEN(E969,F969,G969,TRUE,TRUE),1,
ISBETWEEN(F969,D969,E969,TRUE,TRUE),1,
ISBETWEEN(G969,D969,E969,TRUE,TRUE),1,
1,0)"),1.0)</f>
        <v>1</v>
      </c>
    </row>
    <row r="970">
      <c r="A970" s="2" t="s">
        <v>968</v>
      </c>
      <c r="B970" s="1" t="str">
        <f>IFERROR(__xludf.DUMMYFUNCTION("SPLIT(A970,"","",)"),"6-25")</f>
        <v>6-25</v>
      </c>
      <c r="C970" s="1" t="str">
        <f>IFERROR(__xludf.DUMMYFUNCTION("""COMPUTED_VALUE"""),"25-40")</f>
        <v>25-40</v>
      </c>
      <c r="D970" s="4">
        <f>IFERROR(__xludf.DUMMYFUNCTION("split(B970,""-"")"),6.0)</f>
        <v>6</v>
      </c>
      <c r="E970" s="4">
        <f>IFERROR(__xludf.DUMMYFUNCTION("""COMPUTED_VALUE"""),25.0)</f>
        <v>25</v>
      </c>
      <c r="F970" s="4">
        <f>IFERROR(__xludf.DUMMYFUNCTION("split(C970,""-"")"),25.0)</f>
        <v>25</v>
      </c>
      <c r="G970" s="4">
        <f>IFERROR(__xludf.DUMMYFUNCTION("""COMPUTED_VALUE"""),40.0)</f>
        <v>40</v>
      </c>
      <c r="H970" s="4">
        <f t="shared" si="1"/>
        <v>0</v>
      </c>
      <c r="J970" s="4">
        <f>IFERROR(__xludf.DUMMYFUNCTION("IFS(
ISBETWEEN(D970,F970,G970,TRUE,TRUE),1,
ISBETWEEN(E970,F970,G970,TRUE,TRUE),1,
ISBETWEEN(F970,D970,E970,TRUE,TRUE),1,
ISBETWEEN(G970,D970,E970,TRUE,TRUE),1,
1,0)"),1.0)</f>
        <v>1</v>
      </c>
    </row>
    <row r="971">
      <c r="A971" s="2" t="s">
        <v>969</v>
      </c>
      <c r="B971" s="1" t="str">
        <f>IFERROR(__xludf.DUMMYFUNCTION("SPLIT(A971,"","",)"),"10-98")</f>
        <v>10-98</v>
      </c>
      <c r="C971" s="1" t="str">
        <f>IFERROR(__xludf.DUMMYFUNCTION("""COMPUTED_VALUE"""),"11-93")</f>
        <v>11-93</v>
      </c>
      <c r="D971" s="4">
        <f>IFERROR(__xludf.DUMMYFUNCTION("split(B971,""-"")"),10.0)</f>
        <v>10</v>
      </c>
      <c r="E971" s="4">
        <f>IFERROR(__xludf.DUMMYFUNCTION("""COMPUTED_VALUE"""),98.0)</f>
        <v>98</v>
      </c>
      <c r="F971" s="4">
        <f>IFERROR(__xludf.DUMMYFUNCTION("split(C971,""-"")"),11.0)</f>
        <v>11</v>
      </c>
      <c r="G971" s="4">
        <f>IFERROR(__xludf.DUMMYFUNCTION("""COMPUTED_VALUE"""),93.0)</f>
        <v>93</v>
      </c>
      <c r="H971" s="4">
        <f t="shared" si="1"/>
        <v>1</v>
      </c>
      <c r="J971" s="4">
        <f>IFERROR(__xludf.DUMMYFUNCTION("IFS(
ISBETWEEN(D971,F971,G971,TRUE,TRUE),1,
ISBETWEEN(E971,F971,G971,TRUE,TRUE),1,
ISBETWEEN(F971,D971,E971,TRUE,TRUE),1,
ISBETWEEN(G971,D971,E971,TRUE,TRUE),1,
1,0)"),1.0)</f>
        <v>1</v>
      </c>
    </row>
    <row r="972">
      <c r="A972" s="2" t="s">
        <v>970</v>
      </c>
      <c r="B972" s="1" t="str">
        <f>IFERROR(__xludf.DUMMYFUNCTION("SPLIT(A972,"","",)"),"4-38")</f>
        <v>4-38</v>
      </c>
      <c r="C972" s="1" t="str">
        <f>IFERROR(__xludf.DUMMYFUNCTION("""COMPUTED_VALUE"""),"37-39")</f>
        <v>37-39</v>
      </c>
      <c r="D972" s="4">
        <f>IFERROR(__xludf.DUMMYFUNCTION("split(B972,""-"")"),4.0)</f>
        <v>4</v>
      </c>
      <c r="E972" s="4">
        <f>IFERROR(__xludf.DUMMYFUNCTION("""COMPUTED_VALUE"""),38.0)</f>
        <v>38</v>
      </c>
      <c r="F972" s="4">
        <f>IFERROR(__xludf.DUMMYFUNCTION("split(C972,""-"")"),37.0)</f>
        <v>37</v>
      </c>
      <c r="G972" s="4">
        <f>IFERROR(__xludf.DUMMYFUNCTION("""COMPUTED_VALUE"""),39.0)</f>
        <v>39</v>
      </c>
      <c r="H972" s="4">
        <f t="shared" si="1"/>
        <v>0</v>
      </c>
      <c r="J972" s="4">
        <f>IFERROR(__xludf.DUMMYFUNCTION("IFS(
ISBETWEEN(D972,F972,G972,TRUE,TRUE),1,
ISBETWEEN(E972,F972,G972,TRUE,TRUE),1,
ISBETWEEN(F972,D972,E972,TRUE,TRUE),1,
ISBETWEEN(G972,D972,E972,TRUE,TRUE),1,
1,0)"),1.0)</f>
        <v>1</v>
      </c>
    </row>
    <row r="973">
      <c r="A973" s="2" t="s">
        <v>971</v>
      </c>
      <c r="B973" s="1" t="str">
        <f>IFERROR(__xludf.DUMMYFUNCTION("SPLIT(A973,"","",)"),"99-99")</f>
        <v>99-99</v>
      </c>
      <c r="C973" s="1" t="str">
        <f>IFERROR(__xludf.DUMMYFUNCTION("""COMPUTED_VALUE"""),"3-97")</f>
        <v>3-97</v>
      </c>
      <c r="D973" s="4">
        <f>IFERROR(__xludf.DUMMYFUNCTION("split(B973,""-"")"),99.0)</f>
        <v>99</v>
      </c>
      <c r="E973" s="4">
        <f>IFERROR(__xludf.DUMMYFUNCTION("""COMPUTED_VALUE"""),99.0)</f>
        <v>99</v>
      </c>
      <c r="F973" s="4">
        <f>IFERROR(__xludf.DUMMYFUNCTION("split(C973,""-"")"),3.0)</f>
        <v>3</v>
      </c>
      <c r="G973" s="4">
        <f>IFERROR(__xludf.DUMMYFUNCTION("""COMPUTED_VALUE"""),97.0)</f>
        <v>97</v>
      </c>
      <c r="H973" s="4">
        <f t="shared" si="1"/>
        <v>0</v>
      </c>
      <c r="J973" s="4">
        <f>IFERROR(__xludf.DUMMYFUNCTION("IFS(
ISBETWEEN(D973,F973,G973,TRUE,TRUE),1,
ISBETWEEN(E973,F973,G973,TRUE,TRUE),1,
ISBETWEEN(F973,D973,E973,TRUE,TRUE),1,
ISBETWEEN(G973,D973,E973,TRUE,TRUE),1,
1,0)"),0.0)</f>
        <v>0</v>
      </c>
    </row>
    <row r="974">
      <c r="A974" s="2" t="s">
        <v>972</v>
      </c>
      <c r="B974" s="1" t="str">
        <f>IFERROR(__xludf.DUMMYFUNCTION("SPLIT(A974,"","",)"),"28-75")</f>
        <v>28-75</v>
      </c>
      <c r="C974" s="1" t="str">
        <f>IFERROR(__xludf.DUMMYFUNCTION("""COMPUTED_VALUE"""),"75-76")</f>
        <v>75-76</v>
      </c>
      <c r="D974" s="4">
        <f>IFERROR(__xludf.DUMMYFUNCTION("split(B974,""-"")"),28.0)</f>
        <v>28</v>
      </c>
      <c r="E974" s="4">
        <f>IFERROR(__xludf.DUMMYFUNCTION("""COMPUTED_VALUE"""),75.0)</f>
        <v>75</v>
      </c>
      <c r="F974" s="4">
        <f>IFERROR(__xludf.DUMMYFUNCTION("split(C974,""-"")"),75.0)</f>
        <v>75</v>
      </c>
      <c r="G974" s="4">
        <f>IFERROR(__xludf.DUMMYFUNCTION("""COMPUTED_VALUE"""),76.0)</f>
        <v>76</v>
      </c>
      <c r="H974" s="4">
        <f t="shared" si="1"/>
        <v>0</v>
      </c>
      <c r="J974" s="4">
        <f>IFERROR(__xludf.DUMMYFUNCTION("IFS(
ISBETWEEN(D974,F974,G974,TRUE,TRUE),1,
ISBETWEEN(E974,F974,G974,TRUE,TRUE),1,
ISBETWEEN(F974,D974,E974,TRUE,TRUE),1,
ISBETWEEN(G974,D974,E974,TRUE,TRUE),1,
1,0)"),1.0)</f>
        <v>1</v>
      </c>
    </row>
    <row r="975">
      <c r="A975" s="2" t="s">
        <v>973</v>
      </c>
      <c r="B975" s="1" t="str">
        <f>IFERROR(__xludf.DUMMYFUNCTION("SPLIT(A975,"","",)"),"29-96")</f>
        <v>29-96</v>
      </c>
      <c r="C975" s="1" t="str">
        <f>IFERROR(__xludf.DUMMYFUNCTION("""COMPUTED_VALUE"""),"30-95")</f>
        <v>30-95</v>
      </c>
      <c r="D975" s="4">
        <f>IFERROR(__xludf.DUMMYFUNCTION("split(B975,""-"")"),29.0)</f>
        <v>29</v>
      </c>
      <c r="E975" s="4">
        <f>IFERROR(__xludf.DUMMYFUNCTION("""COMPUTED_VALUE"""),96.0)</f>
        <v>96</v>
      </c>
      <c r="F975" s="4">
        <f>IFERROR(__xludf.DUMMYFUNCTION("split(C975,""-"")"),30.0)</f>
        <v>30</v>
      </c>
      <c r="G975" s="4">
        <f>IFERROR(__xludf.DUMMYFUNCTION("""COMPUTED_VALUE"""),95.0)</f>
        <v>95</v>
      </c>
      <c r="H975" s="4">
        <f t="shared" si="1"/>
        <v>1</v>
      </c>
      <c r="J975" s="4">
        <f>IFERROR(__xludf.DUMMYFUNCTION("IFS(
ISBETWEEN(D975,F975,G975,TRUE,TRUE),1,
ISBETWEEN(E975,F975,G975,TRUE,TRUE),1,
ISBETWEEN(F975,D975,E975,TRUE,TRUE),1,
ISBETWEEN(G975,D975,E975,TRUE,TRUE),1,
1,0)"),1.0)</f>
        <v>1</v>
      </c>
    </row>
    <row r="976">
      <c r="A976" s="2" t="s">
        <v>974</v>
      </c>
      <c r="B976" s="1" t="str">
        <f>IFERROR(__xludf.DUMMYFUNCTION("SPLIT(A976,"","",)"),"13-48")</f>
        <v>13-48</v>
      </c>
      <c r="C976" s="1" t="str">
        <f>IFERROR(__xludf.DUMMYFUNCTION("""COMPUTED_VALUE"""),"27-98")</f>
        <v>27-98</v>
      </c>
      <c r="D976" s="4">
        <f>IFERROR(__xludf.DUMMYFUNCTION("split(B976,""-"")"),13.0)</f>
        <v>13</v>
      </c>
      <c r="E976" s="4">
        <f>IFERROR(__xludf.DUMMYFUNCTION("""COMPUTED_VALUE"""),48.0)</f>
        <v>48</v>
      </c>
      <c r="F976" s="4">
        <f>IFERROR(__xludf.DUMMYFUNCTION("split(C976,""-"")"),27.0)</f>
        <v>27</v>
      </c>
      <c r="G976" s="4">
        <f>IFERROR(__xludf.DUMMYFUNCTION("""COMPUTED_VALUE"""),98.0)</f>
        <v>98</v>
      </c>
      <c r="H976" s="4">
        <f t="shared" si="1"/>
        <v>0</v>
      </c>
      <c r="J976" s="4">
        <f>IFERROR(__xludf.DUMMYFUNCTION("IFS(
ISBETWEEN(D976,F976,G976,TRUE,TRUE),1,
ISBETWEEN(E976,F976,G976,TRUE,TRUE),1,
ISBETWEEN(F976,D976,E976,TRUE,TRUE),1,
ISBETWEEN(G976,D976,E976,TRUE,TRUE),1,
1,0)"),1.0)</f>
        <v>1</v>
      </c>
    </row>
    <row r="977">
      <c r="A977" s="2" t="s">
        <v>975</v>
      </c>
      <c r="B977" s="1" t="str">
        <f>IFERROR(__xludf.DUMMYFUNCTION("SPLIT(A977,"","",)"),"4-83")</f>
        <v>4-83</v>
      </c>
      <c r="C977" s="1" t="str">
        <f>IFERROR(__xludf.DUMMYFUNCTION("""COMPUTED_VALUE"""),"10-70")</f>
        <v>10-70</v>
      </c>
      <c r="D977" s="4">
        <f>IFERROR(__xludf.DUMMYFUNCTION("split(B977,""-"")"),4.0)</f>
        <v>4</v>
      </c>
      <c r="E977" s="4">
        <f>IFERROR(__xludf.DUMMYFUNCTION("""COMPUTED_VALUE"""),83.0)</f>
        <v>83</v>
      </c>
      <c r="F977" s="4">
        <f>IFERROR(__xludf.DUMMYFUNCTION("split(C977,""-"")"),10.0)</f>
        <v>10</v>
      </c>
      <c r="G977" s="4">
        <f>IFERROR(__xludf.DUMMYFUNCTION("""COMPUTED_VALUE"""),70.0)</f>
        <v>70</v>
      </c>
      <c r="H977" s="4">
        <f t="shared" si="1"/>
        <v>1</v>
      </c>
      <c r="J977" s="4">
        <f>IFERROR(__xludf.DUMMYFUNCTION("IFS(
ISBETWEEN(D977,F977,G977,TRUE,TRUE),1,
ISBETWEEN(E977,F977,G977,TRUE,TRUE),1,
ISBETWEEN(F977,D977,E977,TRUE,TRUE),1,
ISBETWEEN(G977,D977,E977,TRUE,TRUE),1,
1,0)"),1.0)</f>
        <v>1</v>
      </c>
    </row>
    <row r="978">
      <c r="A978" s="2" t="s">
        <v>976</v>
      </c>
      <c r="B978" s="1" t="str">
        <f>IFERROR(__xludf.DUMMYFUNCTION("SPLIT(A978,"","",)"),"14-38")</f>
        <v>14-38</v>
      </c>
      <c r="C978" s="1" t="str">
        <f>IFERROR(__xludf.DUMMYFUNCTION("""COMPUTED_VALUE"""),"30-35")</f>
        <v>30-35</v>
      </c>
      <c r="D978" s="4">
        <f>IFERROR(__xludf.DUMMYFUNCTION("split(B978,""-"")"),14.0)</f>
        <v>14</v>
      </c>
      <c r="E978" s="4">
        <f>IFERROR(__xludf.DUMMYFUNCTION("""COMPUTED_VALUE"""),38.0)</f>
        <v>38</v>
      </c>
      <c r="F978" s="4">
        <f>IFERROR(__xludf.DUMMYFUNCTION("split(C978,""-"")"),30.0)</f>
        <v>30</v>
      </c>
      <c r="G978" s="4">
        <f>IFERROR(__xludf.DUMMYFUNCTION("""COMPUTED_VALUE"""),35.0)</f>
        <v>35</v>
      </c>
      <c r="H978" s="4">
        <f t="shared" si="1"/>
        <v>1</v>
      </c>
      <c r="J978" s="4">
        <f>IFERROR(__xludf.DUMMYFUNCTION("IFS(
ISBETWEEN(D978,F978,G978,TRUE,TRUE),1,
ISBETWEEN(E978,F978,G978,TRUE,TRUE),1,
ISBETWEEN(F978,D978,E978,TRUE,TRUE),1,
ISBETWEEN(G978,D978,E978,TRUE,TRUE),1,
1,0)"),1.0)</f>
        <v>1</v>
      </c>
    </row>
    <row r="979">
      <c r="A979" s="2" t="s">
        <v>977</v>
      </c>
      <c r="B979" s="1" t="str">
        <f>IFERROR(__xludf.DUMMYFUNCTION("SPLIT(A979,"","",)"),"59-98")</f>
        <v>59-98</v>
      </c>
      <c r="C979" s="1" t="str">
        <f>IFERROR(__xludf.DUMMYFUNCTION("""COMPUTED_VALUE"""),"49-51")</f>
        <v>49-51</v>
      </c>
      <c r="D979" s="4">
        <f>IFERROR(__xludf.DUMMYFUNCTION("split(B979,""-"")"),59.0)</f>
        <v>59</v>
      </c>
      <c r="E979" s="4">
        <f>IFERROR(__xludf.DUMMYFUNCTION("""COMPUTED_VALUE"""),98.0)</f>
        <v>98</v>
      </c>
      <c r="F979" s="4">
        <f>IFERROR(__xludf.DUMMYFUNCTION("split(C979,""-"")"),49.0)</f>
        <v>49</v>
      </c>
      <c r="G979" s="4">
        <f>IFERROR(__xludf.DUMMYFUNCTION("""COMPUTED_VALUE"""),51.0)</f>
        <v>51</v>
      </c>
      <c r="H979" s="4">
        <f t="shared" si="1"/>
        <v>0</v>
      </c>
      <c r="J979" s="4">
        <f>IFERROR(__xludf.DUMMYFUNCTION("IFS(
ISBETWEEN(D979,F979,G979,TRUE,TRUE),1,
ISBETWEEN(E979,F979,G979,TRUE,TRUE),1,
ISBETWEEN(F979,D979,E979,TRUE,TRUE),1,
ISBETWEEN(G979,D979,E979,TRUE,TRUE),1,
1,0)"),0.0)</f>
        <v>0</v>
      </c>
    </row>
    <row r="980">
      <c r="A980" s="2" t="s">
        <v>978</v>
      </c>
      <c r="B980" s="1" t="str">
        <f>IFERROR(__xludf.DUMMYFUNCTION("SPLIT(A980,"","",)"),"18-88")</f>
        <v>18-88</v>
      </c>
      <c r="C980" s="1" t="str">
        <f>IFERROR(__xludf.DUMMYFUNCTION("""COMPUTED_VALUE"""),"87-94")</f>
        <v>87-94</v>
      </c>
      <c r="D980" s="4">
        <f>IFERROR(__xludf.DUMMYFUNCTION("split(B980,""-"")"),18.0)</f>
        <v>18</v>
      </c>
      <c r="E980" s="4">
        <f>IFERROR(__xludf.DUMMYFUNCTION("""COMPUTED_VALUE"""),88.0)</f>
        <v>88</v>
      </c>
      <c r="F980" s="4">
        <f>IFERROR(__xludf.DUMMYFUNCTION("split(C980,""-"")"),87.0)</f>
        <v>87</v>
      </c>
      <c r="G980" s="4">
        <f>IFERROR(__xludf.DUMMYFUNCTION("""COMPUTED_VALUE"""),94.0)</f>
        <v>94</v>
      </c>
      <c r="H980" s="4">
        <f t="shared" si="1"/>
        <v>0</v>
      </c>
      <c r="J980" s="4">
        <f>IFERROR(__xludf.DUMMYFUNCTION("IFS(
ISBETWEEN(D980,F980,G980,TRUE,TRUE),1,
ISBETWEEN(E980,F980,G980,TRUE,TRUE),1,
ISBETWEEN(F980,D980,E980,TRUE,TRUE),1,
ISBETWEEN(G980,D980,E980,TRUE,TRUE),1,
1,0)"),1.0)</f>
        <v>1</v>
      </c>
    </row>
    <row r="981">
      <c r="A981" s="2" t="s">
        <v>979</v>
      </c>
      <c r="B981" s="1" t="str">
        <f>IFERROR(__xludf.DUMMYFUNCTION("SPLIT(A981,"","",)"),"9-21")</f>
        <v>9-21</v>
      </c>
      <c r="C981" s="1" t="str">
        <f>IFERROR(__xludf.DUMMYFUNCTION("""COMPUTED_VALUE"""),"14-43")</f>
        <v>14-43</v>
      </c>
      <c r="D981" s="4">
        <f>IFERROR(__xludf.DUMMYFUNCTION("split(B981,""-"")"),9.0)</f>
        <v>9</v>
      </c>
      <c r="E981" s="4">
        <f>IFERROR(__xludf.DUMMYFUNCTION("""COMPUTED_VALUE"""),21.0)</f>
        <v>21</v>
      </c>
      <c r="F981" s="4">
        <f>IFERROR(__xludf.DUMMYFUNCTION("split(C981,""-"")"),14.0)</f>
        <v>14</v>
      </c>
      <c r="G981" s="4">
        <f>IFERROR(__xludf.DUMMYFUNCTION("""COMPUTED_VALUE"""),43.0)</f>
        <v>43</v>
      </c>
      <c r="H981" s="4">
        <f t="shared" si="1"/>
        <v>0</v>
      </c>
      <c r="J981" s="4">
        <f>IFERROR(__xludf.DUMMYFUNCTION("IFS(
ISBETWEEN(D981,F981,G981,TRUE,TRUE),1,
ISBETWEEN(E981,F981,G981,TRUE,TRUE),1,
ISBETWEEN(F981,D981,E981,TRUE,TRUE),1,
ISBETWEEN(G981,D981,E981,TRUE,TRUE),1,
1,0)"),1.0)</f>
        <v>1</v>
      </c>
    </row>
    <row r="982">
      <c r="A982" s="2" t="s">
        <v>980</v>
      </c>
      <c r="B982" s="1" t="str">
        <f>IFERROR(__xludf.DUMMYFUNCTION("SPLIT(A982,"","",)"),"36-49")</f>
        <v>36-49</v>
      </c>
      <c r="C982" s="1" t="str">
        <f>IFERROR(__xludf.DUMMYFUNCTION("""COMPUTED_VALUE"""),"33-36")</f>
        <v>33-36</v>
      </c>
      <c r="D982" s="4">
        <f>IFERROR(__xludf.DUMMYFUNCTION("split(B982,""-"")"),36.0)</f>
        <v>36</v>
      </c>
      <c r="E982" s="4">
        <f>IFERROR(__xludf.DUMMYFUNCTION("""COMPUTED_VALUE"""),49.0)</f>
        <v>49</v>
      </c>
      <c r="F982" s="4">
        <f>IFERROR(__xludf.DUMMYFUNCTION("split(C982,""-"")"),33.0)</f>
        <v>33</v>
      </c>
      <c r="G982" s="4">
        <f>IFERROR(__xludf.DUMMYFUNCTION("""COMPUTED_VALUE"""),36.0)</f>
        <v>36</v>
      </c>
      <c r="H982" s="4">
        <f t="shared" si="1"/>
        <v>0</v>
      </c>
      <c r="J982" s="4">
        <f>IFERROR(__xludf.DUMMYFUNCTION("IFS(
ISBETWEEN(D982,F982,G982,TRUE,TRUE),1,
ISBETWEEN(E982,F982,G982,TRUE,TRUE),1,
ISBETWEEN(F982,D982,E982,TRUE,TRUE),1,
ISBETWEEN(G982,D982,E982,TRUE,TRUE),1,
1,0)"),1.0)</f>
        <v>1</v>
      </c>
    </row>
    <row r="983">
      <c r="A983" s="2" t="s">
        <v>981</v>
      </c>
      <c r="B983" s="1" t="str">
        <f>IFERROR(__xludf.DUMMYFUNCTION("SPLIT(A983,"","",)"),"95-96")</f>
        <v>95-96</v>
      </c>
      <c r="C983" s="1" t="str">
        <f>IFERROR(__xludf.DUMMYFUNCTION("""COMPUTED_VALUE"""),"54-95")</f>
        <v>54-95</v>
      </c>
      <c r="D983" s="4">
        <f>IFERROR(__xludf.DUMMYFUNCTION("split(B983,""-"")"),95.0)</f>
        <v>95</v>
      </c>
      <c r="E983" s="4">
        <f>IFERROR(__xludf.DUMMYFUNCTION("""COMPUTED_VALUE"""),96.0)</f>
        <v>96</v>
      </c>
      <c r="F983" s="4">
        <f>IFERROR(__xludf.DUMMYFUNCTION("split(C983,""-"")"),54.0)</f>
        <v>54</v>
      </c>
      <c r="G983" s="4">
        <f>IFERROR(__xludf.DUMMYFUNCTION("""COMPUTED_VALUE"""),95.0)</f>
        <v>95</v>
      </c>
      <c r="H983" s="4">
        <f t="shared" si="1"/>
        <v>0</v>
      </c>
      <c r="J983" s="4">
        <f>IFERROR(__xludf.DUMMYFUNCTION("IFS(
ISBETWEEN(D983,F983,G983,TRUE,TRUE),1,
ISBETWEEN(E983,F983,G983,TRUE,TRUE),1,
ISBETWEEN(F983,D983,E983,TRUE,TRUE),1,
ISBETWEEN(G983,D983,E983,TRUE,TRUE),1,
1,0)"),1.0)</f>
        <v>1</v>
      </c>
    </row>
    <row r="984">
      <c r="A984" s="2" t="s">
        <v>982</v>
      </c>
      <c r="B984" s="1" t="str">
        <f>IFERROR(__xludf.DUMMYFUNCTION("SPLIT(A984,"","",)"),"37-92")</f>
        <v>37-92</v>
      </c>
      <c r="C984" s="1" t="str">
        <f>IFERROR(__xludf.DUMMYFUNCTION("""COMPUTED_VALUE"""),"16-41")</f>
        <v>16-41</v>
      </c>
      <c r="D984" s="4">
        <f>IFERROR(__xludf.DUMMYFUNCTION("split(B984,""-"")"),37.0)</f>
        <v>37</v>
      </c>
      <c r="E984" s="4">
        <f>IFERROR(__xludf.DUMMYFUNCTION("""COMPUTED_VALUE"""),92.0)</f>
        <v>92</v>
      </c>
      <c r="F984" s="4">
        <f>IFERROR(__xludf.DUMMYFUNCTION("split(C984,""-"")"),16.0)</f>
        <v>16</v>
      </c>
      <c r="G984" s="4">
        <f>IFERROR(__xludf.DUMMYFUNCTION("""COMPUTED_VALUE"""),41.0)</f>
        <v>41</v>
      </c>
      <c r="H984" s="4">
        <f t="shared" si="1"/>
        <v>0</v>
      </c>
      <c r="J984" s="4">
        <f>IFERROR(__xludf.DUMMYFUNCTION("IFS(
ISBETWEEN(D984,F984,G984,TRUE,TRUE),1,
ISBETWEEN(E984,F984,G984,TRUE,TRUE),1,
ISBETWEEN(F984,D984,E984,TRUE,TRUE),1,
ISBETWEEN(G984,D984,E984,TRUE,TRUE),1,
1,0)"),1.0)</f>
        <v>1</v>
      </c>
    </row>
    <row r="985">
      <c r="A985" s="2" t="s">
        <v>983</v>
      </c>
      <c r="B985" s="1" t="str">
        <f>IFERROR(__xludf.DUMMYFUNCTION("SPLIT(A985,"","",)"),"32-92")</f>
        <v>32-92</v>
      </c>
      <c r="C985" s="1" t="str">
        <f>IFERROR(__xludf.DUMMYFUNCTION("""COMPUTED_VALUE"""),"43-93")</f>
        <v>43-93</v>
      </c>
      <c r="D985" s="4">
        <f>IFERROR(__xludf.DUMMYFUNCTION("split(B985,""-"")"),32.0)</f>
        <v>32</v>
      </c>
      <c r="E985" s="4">
        <f>IFERROR(__xludf.DUMMYFUNCTION("""COMPUTED_VALUE"""),92.0)</f>
        <v>92</v>
      </c>
      <c r="F985" s="4">
        <f>IFERROR(__xludf.DUMMYFUNCTION("split(C985,""-"")"),43.0)</f>
        <v>43</v>
      </c>
      <c r="G985" s="4">
        <f>IFERROR(__xludf.DUMMYFUNCTION("""COMPUTED_VALUE"""),93.0)</f>
        <v>93</v>
      </c>
      <c r="H985" s="4">
        <f t="shared" si="1"/>
        <v>0</v>
      </c>
      <c r="J985" s="4">
        <f>IFERROR(__xludf.DUMMYFUNCTION("IFS(
ISBETWEEN(D985,F985,G985,TRUE,TRUE),1,
ISBETWEEN(E985,F985,G985,TRUE,TRUE),1,
ISBETWEEN(F985,D985,E985,TRUE,TRUE),1,
ISBETWEEN(G985,D985,E985,TRUE,TRUE),1,
1,0)"),1.0)</f>
        <v>1</v>
      </c>
    </row>
    <row r="986">
      <c r="A986" s="2" t="s">
        <v>984</v>
      </c>
      <c r="B986" s="1" t="str">
        <f>IFERROR(__xludf.DUMMYFUNCTION("SPLIT(A986,"","",)"),"36-38")</f>
        <v>36-38</v>
      </c>
      <c r="C986" s="1" t="str">
        <f>IFERROR(__xludf.DUMMYFUNCTION("""COMPUTED_VALUE"""),"37-80")</f>
        <v>37-80</v>
      </c>
      <c r="D986" s="4">
        <f>IFERROR(__xludf.DUMMYFUNCTION("split(B986,""-"")"),36.0)</f>
        <v>36</v>
      </c>
      <c r="E986" s="4">
        <f>IFERROR(__xludf.DUMMYFUNCTION("""COMPUTED_VALUE"""),38.0)</f>
        <v>38</v>
      </c>
      <c r="F986" s="4">
        <f>IFERROR(__xludf.DUMMYFUNCTION("split(C986,""-"")"),37.0)</f>
        <v>37</v>
      </c>
      <c r="G986" s="4">
        <f>IFERROR(__xludf.DUMMYFUNCTION("""COMPUTED_VALUE"""),80.0)</f>
        <v>80</v>
      </c>
      <c r="H986" s="4">
        <f t="shared" si="1"/>
        <v>0</v>
      </c>
      <c r="J986" s="4">
        <f>IFERROR(__xludf.DUMMYFUNCTION("IFS(
ISBETWEEN(D986,F986,G986,TRUE,TRUE),1,
ISBETWEEN(E986,F986,G986,TRUE,TRUE),1,
ISBETWEEN(F986,D986,E986,TRUE,TRUE),1,
ISBETWEEN(G986,D986,E986,TRUE,TRUE),1,
1,0)"),1.0)</f>
        <v>1</v>
      </c>
    </row>
    <row r="987">
      <c r="A987" s="2" t="s">
        <v>985</v>
      </c>
      <c r="B987" s="3">
        <f>IFERROR(__xludf.DUMMYFUNCTION("SPLIT(A987,"","",)"),44623.0)</f>
        <v>44623</v>
      </c>
      <c r="C987" s="1" t="str">
        <f>IFERROR(__xludf.DUMMYFUNCTION("""COMPUTED_VALUE"""),"34-56")</f>
        <v>34-56</v>
      </c>
      <c r="D987" s="4">
        <f>IFERROR(__xludf.DUMMYFUNCTION("split(B987,""-"")"),3.0)</f>
        <v>3</v>
      </c>
      <c r="E987" s="4">
        <f>IFERROR(__xludf.DUMMYFUNCTION("""COMPUTED_VALUE"""),3.0)</f>
        <v>3</v>
      </c>
      <c r="F987" s="4">
        <f>IFERROR(__xludf.DUMMYFUNCTION("split(C987,""-"")"),34.0)</f>
        <v>34</v>
      </c>
      <c r="G987" s="4">
        <f>IFERROR(__xludf.DUMMYFUNCTION("""COMPUTED_VALUE"""),56.0)</f>
        <v>56</v>
      </c>
      <c r="H987" s="4">
        <f t="shared" si="1"/>
        <v>0</v>
      </c>
      <c r="J987" s="4">
        <f>IFERROR(__xludf.DUMMYFUNCTION("IFS(
ISBETWEEN(D987,F987,G987,TRUE,TRUE),1,
ISBETWEEN(E987,F987,G987,TRUE,TRUE),1,
ISBETWEEN(F987,D987,E987,TRUE,TRUE),1,
ISBETWEEN(G987,D987,E987,TRUE,TRUE),1,
1,0)"),0.0)</f>
        <v>0</v>
      </c>
    </row>
    <row r="988">
      <c r="A988" s="2" t="s">
        <v>986</v>
      </c>
      <c r="B988" s="3">
        <f>IFERROR(__xludf.DUMMYFUNCTION("SPLIT(A988,"","",)"),44774.0)</f>
        <v>44774</v>
      </c>
      <c r="C988" s="3">
        <f>IFERROR(__xludf.DUMMYFUNCTION("""COMPUTED_VALUE"""),44594.0)</f>
        <v>44594</v>
      </c>
      <c r="D988" s="4">
        <f>IFERROR(__xludf.DUMMYFUNCTION("split(B988,""-"")"),1.0)</f>
        <v>1</v>
      </c>
      <c r="E988" s="4">
        <f>IFERROR(__xludf.DUMMYFUNCTION("""COMPUTED_VALUE"""),8.0)</f>
        <v>8</v>
      </c>
      <c r="F988" s="4">
        <f>IFERROR(__xludf.DUMMYFUNCTION("split(C988,""-"")"),2.0)</f>
        <v>2</v>
      </c>
      <c r="G988" s="4">
        <f>IFERROR(__xludf.DUMMYFUNCTION("""COMPUTED_VALUE"""),2.0)</f>
        <v>2</v>
      </c>
      <c r="H988" s="4">
        <f t="shared" si="1"/>
        <v>1</v>
      </c>
      <c r="J988" s="4">
        <f>IFERROR(__xludf.DUMMYFUNCTION("IFS(
ISBETWEEN(D988,F988,G988,TRUE,TRUE),1,
ISBETWEEN(E988,F988,G988,TRUE,TRUE),1,
ISBETWEEN(F988,D988,E988,TRUE,TRUE),1,
ISBETWEEN(G988,D988,E988,TRUE,TRUE),1,
1,0)"),1.0)</f>
        <v>1</v>
      </c>
    </row>
    <row r="989">
      <c r="A989" s="2" t="s">
        <v>987</v>
      </c>
      <c r="B989" s="1" t="str">
        <f>IFERROR(__xludf.DUMMYFUNCTION("SPLIT(A989,"","",)"),"16-28")</f>
        <v>16-28</v>
      </c>
      <c r="C989" s="1" t="str">
        <f>IFERROR(__xludf.DUMMYFUNCTION("""COMPUTED_VALUE"""),"26-30")</f>
        <v>26-30</v>
      </c>
      <c r="D989" s="4">
        <f>IFERROR(__xludf.DUMMYFUNCTION("split(B989,""-"")"),16.0)</f>
        <v>16</v>
      </c>
      <c r="E989" s="4">
        <f>IFERROR(__xludf.DUMMYFUNCTION("""COMPUTED_VALUE"""),28.0)</f>
        <v>28</v>
      </c>
      <c r="F989" s="4">
        <f>IFERROR(__xludf.DUMMYFUNCTION("split(C989,""-"")"),26.0)</f>
        <v>26</v>
      </c>
      <c r="G989" s="4">
        <f>IFERROR(__xludf.DUMMYFUNCTION("""COMPUTED_VALUE"""),30.0)</f>
        <v>30</v>
      </c>
      <c r="H989" s="4">
        <f t="shared" si="1"/>
        <v>0</v>
      </c>
      <c r="J989" s="4">
        <f>IFERROR(__xludf.DUMMYFUNCTION("IFS(
ISBETWEEN(D989,F989,G989,TRUE,TRUE),1,
ISBETWEEN(E989,F989,G989,TRUE,TRUE),1,
ISBETWEEN(F989,D989,E989,TRUE,TRUE),1,
ISBETWEEN(G989,D989,E989,TRUE,TRUE),1,
1,0)"),1.0)</f>
        <v>1</v>
      </c>
    </row>
    <row r="990">
      <c r="A990" s="2" t="s">
        <v>988</v>
      </c>
      <c r="B990" s="1" t="str">
        <f>IFERROR(__xludf.DUMMYFUNCTION("SPLIT(A990,"","",)"),"50-98")</f>
        <v>50-98</v>
      </c>
      <c r="C990" s="1" t="str">
        <f>IFERROR(__xludf.DUMMYFUNCTION("""COMPUTED_VALUE"""),"51-98")</f>
        <v>51-98</v>
      </c>
      <c r="D990" s="4">
        <f>IFERROR(__xludf.DUMMYFUNCTION("split(B990,""-"")"),50.0)</f>
        <v>50</v>
      </c>
      <c r="E990" s="4">
        <f>IFERROR(__xludf.DUMMYFUNCTION("""COMPUTED_VALUE"""),98.0)</f>
        <v>98</v>
      </c>
      <c r="F990" s="4">
        <f>IFERROR(__xludf.DUMMYFUNCTION("split(C990,""-"")"),51.0)</f>
        <v>51</v>
      </c>
      <c r="G990" s="4">
        <f>IFERROR(__xludf.DUMMYFUNCTION("""COMPUTED_VALUE"""),98.0)</f>
        <v>98</v>
      </c>
      <c r="H990" s="4">
        <f t="shared" si="1"/>
        <v>1</v>
      </c>
      <c r="J990" s="4">
        <f>IFERROR(__xludf.DUMMYFUNCTION("IFS(
ISBETWEEN(D990,F990,G990,TRUE,TRUE),1,
ISBETWEEN(E990,F990,G990,TRUE,TRUE),1,
ISBETWEEN(F990,D990,E990,TRUE,TRUE),1,
ISBETWEEN(G990,D990,E990,TRUE,TRUE),1,
1,0)"),1.0)</f>
        <v>1</v>
      </c>
    </row>
    <row r="991">
      <c r="A991" s="2" t="s">
        <v>989</v>
      </c>
      <c r="B991" s="1" t="str">
        <f>IFERROR(__xludf.DUMMYFUNCTION("SPLIT(A991,"","",)"),"13-90")</f>
        <v>13-90</v>
      </c>
      <c r="C991" s="1" t="str">
        <f>IFERROR(__xludf.DUMMYFUNCTION("""COMPUTED_VALUE"""),"12-13")</f>
        <v>12-13</v>
      </c>
      <c r="D991" s="4">
        <f>IFERROR(__xludf.DUMMYFUNCTION("split(B991,""-"")"),13.0)</f>
        <v>13</v>
      </c>
      <c r="E991" s="4">
        <f>IFERROR(__xludf.DUMMYFUNCTION("""COMPUTED_VALUE"""),90.0)</f>
        <v>90</v>
      </c>
      <c r="F991" s="4">
        <f>IFERROR(__xludf.DUMMYFUNCTION("split(C991,""-"")"),12.0)</f>
        <v>12</v>
      </c>
      <c r="G991" s="4">
        <f>IFERROR(__xludf.DUMMYFUNCTION("""COMPUTED_VALUE"""),13.0)</f>
        <v>13</v>
      </c>
      <c r="H991" s="4">
        <f t="shared" si="1"/>
        <v>0</v>
      </c>
      <c r="J991" s="4">
        <f>IFERROR(__xludf.DUMMYFUNCTION("IFS(
ISBETWEEN(D991,F991,G991,TRUE,TRUE),1,
ISBETWEEN(E991,F991,G991,TRUE,TRUE),1,
ISBETWEEN(F991,D991,E991,TRUE,TRUE),1,
ISBETWEEN(G991,D991,E991,TRUE,TRUE),1,
1,0)"),1.0)</f>
        <v>1</v>
      </c>
    </row>
    <row r="992">
      <c r="A992" s="2" t="s">
        <v>990</v>
      </c>
      <c r="B992" s="1" t="str">
        <f>IFERROR(__xludf.DUMMYFUNCTION("SPLIT(A992,"","",)"),"50-94")</f>
        <v>50-94</v>
      </c>
      <c r="C992" s="1" t="str">
        <f>IFERROR(__xludf.DUMMYFUNCTION("""COMPUTED_VALUE"""),"51-51")</f>
        <v>51-51</v>
      </c>
      <c r="D992" s="4">
        <f>IFERROR(__xludf.DUMMYFUNCTION("split(B992,""-"")"),50.0)</f>
        <v>50</v>
      </c>
      <c r="E992" s="4">
        <f>IFERROR(__xludf.DUMMYFUNCTION("""COMPUTED_VALUE"""),94.0)</f>
        <v>94</v>
      </c>
      <c r="F992" s="4">
        <f>IFERROR(__xludf.DUMMYFUNCTION("split(C992,""-"")"),51.0)</f>
        <v>51</v>
      </c>
      <c r="G992" s="4">
        <f>IFERROR(__xludf.DUMMYFUNCTION("""COMPUTED_VALUE"""),51.0)</f>
        <v>51</v>
      </c>
      <c r="H992" s="4">
        <f t="shared" si="1"/>
        <v>1</v>
      </c>
      <c r="J992" s="4">
        <f>IFERROR(__xludf.DUMMYFUNCTION("IFS(
ISBETWEEN(D992,F992,G992,TRUE,TRUE),1,
ISBETWEEN(E992,F992,G992,TRUE,TRUE),1,
ISBETWEEN(F992,D992,E992,TRUE,TRUE),1,
ISBETWEEN(G992,D992,E992,TRUE,TRUE),1,
1,0)"),1.0)</f>
        <v>1</v>
      </c>
    </row>
    <row r="993">
      <c r="A993" s="2" t="s">
        <v>991</v>
      </c>
      <c r="B993" s="1" t="str">
        <f>IFERROR(__xludf.DUMMYFUNCTION("SPLIT(A993,"","",)"),"98-98")</f>
        <v>98-98</v>
      </c>
      <c r="C993" s="1" t="str">
        <f>IFERROR(__xludf.DUMMYFUNCTION("""COMPUTED_VALUE"""),"12-99")</f>
        <v>12-99</v>
      </c>
      <c r="D993" s="4">
        <f>IFERROR(__xludf.DUMMYFUNCTION("split(B993,""-"")"),98.0)</f>
        <v>98</v>
      </c>
      <c r="E993" s="4">
        <f>IFERROR(__xludf.DUMMYFUNCTION("""COMPUTED_VALUE"""),98.0)</f>
        <v>98</v>
      </c>
      <c r="F993" s="4">
        <f>IFERROR(__xludf.DUMMYFUNCTION("split(C993,""-"")"),12.0)</f>
        <v>12</v>
      </c>
      <c r="G993" s="4">
        <f>IFERROR(__xludf.DUMMYFUNCTION("""COMPUTED_VALUE"""),99.0)</f>
        <v>99</v>
      </c>
      <c r="H993" s="4">
        <f t="shared" si="1"/>
        <v>1</v>
      </c>
      <c r="J993" s="4">
        <f>IFERROR(__xludf.DUMMYFUNCTION("IFS(
ISBETWEEN(D993,F993,G993,TRUE,TRUE),1,
ISBETWEEN(E993,F993,G993,TRUE,TRUE),1,
ISBETWEEN(F993,D993,E993,TRUE,TRUE),1,
ISBETWEEN(G993,D993,E993,TRUE,TRUE),1,
1,0)"),1.0)</f>
        <v>1</v>
      </c>
    </row>
    <row r="994">
      <c r="A994" s="2" t="s">
        <v>992</v>
      </c>
      <c r="B994" s="1" t="str">
        <f>IFERROR(__xludf.DUMMYFUNCTION("SPLIT(A994,"","",)"),"10-96")</f>
        <v>10-96</v>
      </c>
      <c r="C994" s="1" t="str">
        <f>IFERROR(__xludf.DUMMYFUNCTION("""COMPUTED_VALUE"""),"1-74")</f>
        <v>1-74</v>
      </c>
      <c r="D994" s="4">
        <f>IFERROR(__xludf.DUMMYFUNCTION("split(B994,""-"")"),10.0)</f>
        <v>10</v>
      </c>
      <c r="E994" s="4">
        <f>IFERROR(__xludf.DUMMYFUNCTION("""COMPUTED_VALUE"""),96.0)</f>
        <v>96</v>
      </c>
      <c r="F994" s="4">
        <f>IFERROR(__xludf.DUMMYFUNCTION("split(C994,""-"")"),1.0)</f>
        <v>1</v>
      </c>
      <c r="G994" s="4">
        <f>IFERROR(__xludf.DUMMYFUNCTION("""COMPUTED_VALUE"""),74.0)</f>
        <v>74</v>
      </c>
      <c r="H994" s="4">
        <f t="shared" si="1"/>
        <v>0</v>
      </c>
      <c r="J994" s="4">
        <f>IFERROR(__xludf.DUMMYFUNCTION("IFS(
ISBETWEEN(D994,F994,G994,TRUE,TRUE),1,
ISBETWEEN(E994,F994,G994,TRUE,TRUE),1,
ISBETWEEN(F994,D994,E994,TRUE,TRUE),1,
ISBETWEEN(G994,D994,E994,TRUE,TRUE),1,
1,0)"),1.0)</f>
        <v>1</v>
      </c>
    </row>
    <row r="995">
      <c r="A995" s="2" t="s">
        <v>993</v>
      </c>
      <c r="B995" s="1" t="str">
        <f>IFERROR(__xludf.DUMMYFUNCTION("SPLIT(A995,"","",)"),"44-74")</f>
        <v>44-74</v>
      </c>
      <c r="C995" s="1" t="str">
        <f>IFERROR(__xludf.DUMMYFUNCTION("""COMPUTED_VALUE"""),"74-74")</f>
        <v>74-74</v>
      </c>
      <c r="D995" s="4">
        <f>IFERROR(__xludf.DUMMYFUNCTION("split(B995,""-"")"),44.0)</f>
        <v>44</v>
      </c>
      <c r="E995" s="4">
        <f>IFERROR(__xludf.DUMMYFUNCTION("""COMPUTED_VALUE"""),74.0)</f>
        <v>74</v>
      </c>
      <c r="F995" s="4">
        <f>IFERROR(__xludf.DUMMYFUNCTION("split(C995,""-"")"),74.0)</f>
        <v>74</v>
      </c>
      <c r="G995" s="4">
        <f>IFERROR(__xludf.DUMMYFUNCTION("""COMPUTED_VALUE"""),74.0)</f>
        <v>74</v>
      </c>
      <c r="H995" s="4">
        <f t="shared" si="1"/>
        <v>1</v>
      </c>
      <c r="J995" s="4">
        <f>IFERROR(__xludf.DUMMYFUNCTION("IFS(
ISBETWEEN(D995,F995,G995,TRUE,TRUE),1,
ISBETWEEN(E995,F995,G995,TRUE,TRUE),1,
ISBETWEEN(F995,D995,E995,TRUE,TRUE),1,
ISBETWEEN(G995,D995,E995,TRUE,TRUE),1,
1,0)"),1.0)</f>
        <v>1</v>
      </c>
    </row>
    <row r="996">
      <c r="A996" s="2" t="s">
        <v>994</v>
      </c>
      <c r="B996" s="1" t="str">
        <f>IFERROR(__xludf.DUMMYFUNCTION("SPLIT(A996,"","",)"),"64-67")</f>
        <v>64-67</v>
      </c>
      <c r="C996" s="1" t="str">
        <f>IFERROR(__xludf.DUMMYFUNCTION("""COMPUTED_VALUE"""),"63-65")</f>
        <v>63-65</v>
      </c>
      <c r="D996" s="4">
        <f>IFERROR(__xludf.DUMMYFUNCTION("split(B996,""-"")"),64.0)</f>
        <v>64</v>
      </c>
      <c r="E996" s="4">
        <f>IFERROR(__xludf.DUMMYFUNCTION("""COMPUTED_VALUE"""),67.0)</f>
        <v>67</v>
      </c>
      <c r="F996" s="4">
        <f>IFERROR(__xludf.DUMMYFUNCTION("split(C996,""-"")"),63.0)</f>
        <v>63</v>
      </c>
      <c r="G996" s="4">
        <f>IFERROR(__xludf.DUMMYFUNCTION("""COMPUTED_VALUE"""),65.0)</f>
        <v>65</v>
      </c>
      <c r="H996" s="4">
        <f t="shared" si="1"/>
        <v>0</v>
      </c>
      <c r="J996" s="4">
        <f>IFERROR(__xludf.DUMMYFUNCTION("IFS(
ISBETWEEN(D996,F996,G996,TRUE,TRUE),1,
ISBETWEEN(E996,F996,G996,TRUE,TRUE),1,
ISBETWEEN(F996,D996,E996,TRUE,TRUE),1,
ISBETWEEN(G996,D996,E996,TRUE,TRUE),1,
1,0)"),1.0)</f>
        <v>1</v>
      </c>
    </row>
    <row r="997">
      <c r="A997" s="2" t="s">
        <v>995</v>
      </c>
      <c r="B997" s="1" t="str">
        <f>IFERROR(__xludf.DUMMYFUNCTION("SPLIT(A997,"","",)"),"59-77")</f>
        <v>59-77</v>
      </c>
      <c r="C997" s="1" t="str">
        <f>IFERROR(__xludf.DUMMYFUNCTION("""COMPUTED_VALUE"""),"59-81")</f>
        <v>59-81</v>
      </c>
      <c r="D997" s="4">
        <f>IFERROR(__xludf.DUMMYFUNCTION("split(B997,""-"")"),59.0)</f>
        <v>59</v>
      </c>
      <c r="E997" s="4">
        <f>IFERROR(__xludf.DUMMYFUNCTION("""COMPUTED_VALUE"""),77.0)</f>
        <v>77</v>
      </c>
      <c r="F997" s="4">
        <f>IFERROR(__xludf.DUMMYFUNCTION("split(C997,""-"")"),59.0)</f>
        <v>59</v>
      </c>
      <c r="G997" s="4">
        <f>IFERROR(__xludf.DUMMYFUNCTION("""COMPUTED_VALUE"""),81.0)</f>
        <v>81</v>
      </c>
      <c r="H997" s="4">
        <f t="shared" si="1"/>
        <v>1</v>
      </c>
      <c r="J997" s="4">
        <f>IFERROR(__xludf.DUMMYFUNCTION("IFS(
ISBETWEEN(D997,F997,G997,TRUE,TRUE),1,
ISBETWEEN(E997,F997,G997,TRUE,TRUE),1,
ISBETWEEN(F997,D997,E997,TRUE,TRUE),1,
ISBETWEEN(G997,D997,E997,TRUE,TRUE),1,
1,0)"),1.0)</f>
        <v>1</v>
      </c>
    </row>
    <row r="998">
      <c r="A998" s="2" t="s">
        <v>996</v>
      </c>
      <c r="B998" s="1" t="str">
        <f>IFERROR(__xludf.DUMMYFUNCTION("SPLIT(A998,"","",)"),"1-99")</f>
        <v>1-99</v>
      </c>
      <c r="C998" s="1" t="str">
        <f>IFERROR(__xludf.DUMMYFUNCTION("""COMPUTED_VALUE"""),"1-98")</f>
        <v>1-98</v>
      </c>
      <c r="D998" s="4">
        <f>IFERROR(__xludf.DUMMYFUNCTION("split(B998,""-"")"),1.0)</f>
        <v>1</v>
      </c>
      <c r="E998" s="4">
        <f>IFERROR(__xludf.DUMMYFUNCTION("""COMPUTED_VALUE"""),99.0)</f>
        <v>99</v>
      </c>
      <c r="F998" s="4">
        <f>IFERROR(__xludf.DUMMYFUNCTION("split(C998,""-"")"),1.0)</f>
        <v>1</v>
      </c>
      <c r="G998" s="4">
        <f>IFERROR(__xludf.DUMMYFUNCTION("""COMPUTED_VALUE"""),98.0)</f>
        <v>98</v>
      </c>
      <c r="H998" s="4">
        <f t="shared" si="1"/>
        <v>1</v>
      </c>
      <c r="J998" s="4">
        <f>IFERROR(__xludf.DUMMYFUNCTION("IFS(
ISBETWEEN(D998,F998,G998,TRUE,TRUE),1,
ISBETWEEN(E998,F998,G998,TRUE,TRUE),1,
ISBETWEEN(F998,D998,E998,TRUE,TRUE),1,
ISBETWEEN(G998,D998,E998,TRUE,TRUE),1,
1,0)"),1.0)</f>
        <v>1</v>
      </c>
    </row>
    <row r="999">
      <c r="A999" s="2" t="s">
        <v>997</v>
      </c>
      <c r="B999" s="1" t="str">
        <f>IFERROR(__xludf.DUMMYFUNCTION("SPLIT(A999,"","",)"),"31-96")</f>
        <v>31-96</v>
      </c>
      <c r="C999" s="1" t="str">
        <f>IFERROR(__xludf.DUMMYFUNCTION("""COMPUTED_VALUE"""),"32-95")</f>
        <v>32-95</v>
      </c>
      <c r="D999" s="4">
        <f>IFERROR(__xludf.DUMMYFUNCTION("split(B999,""-"")"),31.0)</f>
        <v>31</v>
      </c>
      <c r="E999" s="4">
        <f>IFERROR(__xludf.DUMMYFUNCTION("""COMPUTED_VALUE"""),96.0)</f>
        <v>96</v>
      </c>
      <c r="F999" s="4">
        <f>IFERROR(__xludf.DUMMYFUNCTION("split(C999,""-"")"),32.0)</f>
        <v>32</v>
      </c>
      <c r="G999" s="4">
        <f>IFERROR(__xludf.DUMMYFUNCTION("""COMPUTED_VALUE"""),95.0)</f>
        <v>95</v>
      </c>
      <c r="H999" s="4">
        <f t="shared" si="1"/>
        <v>1</v>
      </c>
      <c r="J999" s="4">
        <f>IFERROR(__xludf.DUMMYFUNCTION("IFS(
ISBETWEEN(D999,F999,G999,TRUE,TRUE),1,
ISBETWEEN(E999,F999,G999,TRUE,TRUE),1,
ISBETWEEN(F999,D999,E999,TRUE,TRUE),1,
ISBETWEEN(G999,D999,E999,TRUE,TRUE),1,
1,0)"),1.0)</f>
        <v>1</v>
      </c>
    </row>
    <row r="1000">
      <c r="A1000" s="2" t="s">
        <v>998</v>
      </c>
      <c r="B1000" s="1" t="str">
        <f>IFERROR(__xludf.DUMMYFUNCTION("SPLIT(A1000,"","",)"),"13-72")</f>
        <v>13-72</v>
      </c>
      <c r="C1000" s="1" t="str">
        <f>IFERROR(__xludf.DUMMYFUNCTION("""COMPUTED_VALUE"""),"14-55")</f>
        <v>14-55</v>
      </c>
      <c r="D1000" s="4">
        <f>IFERROR(__xludf.DUMMYFUNCTION("split(B1000,""-"")"),13.0)</f>
        <v>13</v>
      </c>
      <c r="E1000" s="4">
        <f>IFERROR(__xludf.DUMMYFUNCTION("""COMPUTED_VALUE"""),72.0)</f>
        <v>72</v>
      </c>
      <c r="F1000" s="4">
        <f>IFERROR(__xludf.DUMMYFUNCTION("split(C1000,""-"")"),14.0)</f>
        <v>14</v>
      </c>
      <c r="G1000" s="4">
        <f>IFERROR(__xludf.DUMMYFUNCTION("""COMPUTED_VALUE"""),55.0)</f>
        <v>55</v>
      </c>
      <c r="H1000" s="4">
        <f t="shared" si="1"/>
        <v>1</v>
      </c>
      <c r="J1000" s="4">
        <f>IFERROR(__xludf.DUMMYFUNCTION("IFS(
ISBETWEEN(D1000,F1000,G1000,TRUE,TRUE),1,
ISBETWEEN(E1000,F1000,G1000,TRUE,TRUE),1,
ISBETWEEN(F1000,D1000,E1000,TRUE,TRUE),1,
ISBETWEEN(G1000,D1000,E1000,TRUE,TRUE),1,
1,0)"),1.0)</f>
        <v>1</v>
      </c>
    </row>
    <row r="1001">
      <c r="A1001" s="2" t="s">
        <v>999</v>
      </c>
      <c r="B1001" s="1" t="str">
        <f>IFERROR(__xludf.DUMMYFUNCTION("SPLIT(A1001,"","",)"),"23-79")</f>
        <v>23-79</v>
      </c>
      <c r="C1001" s="1" t="str">
        <f>IFERROR(__xludf.DUMMYFUNCTION("""COMPUTED_VALUE"""),"22-24")</f>
        <v>22-24</v>
      </c>
      <c r="D1001" s="4">
        <f>IFERROR(__xludf.DUMMYFUNCTION("split(B1001,""-"")"),23.0)</f>
        <v>23</v>
      </c>
      <c r="E1001" s="4">
        <f>IFERROR(__xludf.DUMMYFUNCTION("""COMPUTED_VALUE"""),79.0)</f>
        <v>79</v>
      </c>
      <c r="F1001" s="4">
        <f>IFERROR(__xludf.DUMMYFUNCTION("split(C1001,""-"")"),22.0)</f>
        <v>22</v>
      </c>
      <c r="G1001" s="4">
        <f>IFERROR(__xludf.DUMMYFUNCTION("""COMPUTED_VALUE"""),24.0)</f>
        <v>24</v>
      </c>
      <c r="H1001" s="4">
        <f t="shared" si="1"/>
        <v>0</v>
      </c>
      <c r="J1001" s="4">
        <f>IFERROR(__xludf.DUMMYFUNCTION("IFS(
ISBETWEEN(D1001,F1001,G1001,TRUE,TRUE),1,
ISBETWEEN(E1001,F1001,G1001,TRUE,TRUE),1,
ISBETWEEN(F1001,D1001,E1001,TRUE,TRUE),1,
ISBETWEEN(G1001,D1001,E1001,TRUE,TRUE),1,
1,0)"),1.0)</f>
        <v>1</v>
      </c>
    </row>
  </sheetData>
  <drawing r:id="rId1"/>
</worksheet>
</file>