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0.xml" ContentType="application/vnd.openxmlformats-officedocument.drawingml.chartshapes+xml"/>
  <Override PartName="/xl/charts/chart13.xml" ContentType="application/vnd.openxmlformats-officedocument.drawingml.chart+xml"/>
  <Override PartName="/xl/drawings/drawing11.xml" ContentType="application/vnd.openxmlformats-officedocument.drawingml.chartshapes+xml"/>
  <Override PartName="/xl/charts/chart14.xml" ContentType="application/vnd.openxmlformats-officedocument.drawingml.chart+xml"/>
  <Override PartName="/xl/drawings/drawing12.xml" ContentType="application/vnd.openxmlformats-officedocument.drawingml.chartshapes+xml"/>
  <Override PartName="/xl/charts/chart15.xml" ContentType="application/vnd.openxmlformats-officedocument.drawingml.chart+xml"/>
  <Override PartName="/xl/drawings/drawing13.xml" ContentType="application/vnd.openxmlformats-officedocument.drawingml.chartshap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fnas003bc1\dtwang$\Sync\My Past Academic Life\HIPPIE-DIPPIE Revisited\"/>
    </mc:Choice>
  </mc:AlternateContent>
  <bookViews>
    <workbookView xWindow="480" yWindow="135" windowWidth="14880" windowHeight="8160" activeTab="3"/>
  </bookViews>
  <sheets>
    <sheet name="Samples" sheetId="1" r:id="rId1"/>
    <sheet name="Concentrations" sheetId="2" r:id="rId2"/>
    <sheet name="Summary Concs" sheetId="4" r:id="rId3"/>
    <sheet name="GC-MS" sheetId="3" r:id="rId4"/>
    <sheet name="ForThesisAppB" sheetId="5" r:id="rId5"/>
  </sheets>
  <definedNames>
    <definedName name="_xlnm._FilterDatabase" localSheetId="1" hidden="1">Concentrations!$A$7:$AG$107</definedName>
  </definedNames>
  <calcPr calcId="152511"/>
</workbook>
</file>

<file path=xl/calcChain.xml><?xml version="1.0" encoding="utf-8"?>
<calcChain xmlns="http://schemas.openxmlformats.org/spreadsheetml/2006/main">
  <c r="K4" i="3" l="1"/>
  <c r="K5" i="3"/>
  <c r="K6" i="3"/>
  <c r="K7" i="3"/>
  <c r="K8" i="3"/>
  <c r="K9" i="3"/>
  <c r="K10" i="3"/>
  <c r="K11" i="3"/>
  <c r="K12" i="3"/>
  <c r="K13" i="3"/>
  <c r="K15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3" i="3"/>
  <c r="AE14" i="4" l="1"/>
  <c r="AE13" i="4"/>
  <c r="AE12" i="4"/>
  <c r="AE11" i="4"/>
  <c r="AE10" i="4"/>
  <c r="AE9" i="4"/>
  <c r="AE8" i="4"/>
  <c r="AE7" i="4"/>
  <c r="AE6" i="4"/>
  <c r="AM40" i="3" l="1"/>
  <c r="AL40" i="3"/>
  <c r="AK40" i="3"/>
  <c r="AJ40" i="3" a="1"/>
  <c r="AJ40" i="3" s="1"/>
  <c r="AM39" i="3"/>
  <c r="AL39" i="3"/>
  <c r="AK39" i="3"/>
  <c r="AM38" i="3"/>
  <c r="AL38" i="3"/>
  <c r="AK38" i="3"/>
  <c r="AJ38" i="3" s="1" a="1"/>
  <c r="AJ38" i="3" s="1"/>
  <c r="AM37" i="3"/>
  <c r="AL37" i="3"/>
  <c r="AK37" i="3"/>
  <c r="AM36" i="3"/>
  <c r="AL36" i="3"/>
  <c r="AK36" i="3"/>
  <c r="AJ36" i="3" a="1"/>
  <c r="AJ36" i="3" s="1"/>
  <c r="AM35" i="3"/>
  <c r="AL35" i="3"/>
  <c r="AK35" i="3"/>
  <c r="AJ35" i="3" a="1"/>
  <c r="AJ35" i="3" s="1"/>
  <c r="AM34" i="3"/>
  <c r="AL34" i="3"/>
  <c r="AK34" i="3"/>
  <c r="AJ34" i="3" a="1"/>
  <c r="AJ34" i="3" s="1"/>
  <c r="AM33" i="3"/>
  <c r="AL33" i="3"/>
  <c r="AK33" i="3"/>
  <c r="AJ33" i="3" a="1"/>
  <c r="AJ33" i="3" s="1"/>
  <c r="AM32" i="3"/>
  <c r="AL32" i="3"/>
  <c r="AK32" i="3"/>
  <c r="AJ32" i="3" s="1" a="1"/>
  <c r="AJ32" i="3" s="1"/>
  <c r="AM31" i="3"/>
  <c r="AL31" i="3"/>
  <c r="AK31" i="3"/>
  <c r="AJ31" i="3" s="1" a="1"/>
  <c r="AJ31" i="3" s="1"/>
  <c r="AM30" i="3"/>
  <c r="AL30" i="3"/>
  <c r="AK30" i="3"/>
  <c r="AM29" i="3"/>
  <c r="AL29" i="3"/>
  <c r="AK29" i="3"/>
  <c r="AJ29" i="3" a="1"/>
  <c r="AJ29" i="3" s="1"/>
  <c r="AM28" i="3"/>
  <c r="AL28" i="3"/>
  <c r="AK28" i="3"/>
  <c r="AJ28" i="3" a="1"/>
  <c r="AJ28" i="3" s="1"/>
  <c r="AM27" i="3"/>
  <c r="AL27" i="3"/>
  <c r="AK27" i="3"/>
  <c r="AJ27" i="3" s="1" a="1"/>
  <c r="AJ27" i="3" s="1"/>
  <c r="AM25" i="3"/>
  <c r="AL25" i="3"/>
  <c r="AK25" i="3"/>
  <c r="AJ25" i="3" a="1"/>
  <c r="AJ25" i="3" s="1"/>
  <c r="AM24" i="3"/>
  <c r="AL24" i="3"/>
  <c r="AK24" i="3"/>
  <c r="AJ24" i="3" a="1"/>
  <c r="AJ24" i="3" s="1"/>
  <c r="AM23" i="3"/>
  <c r="AL23" i="3"/>
  <c r="AK23" i="3"/>
  <c r="AM22" i="3"/>
  <c r="AL22" i="3"/>
  <c r="AK22" i="3"/>
  <c r="AJ22" i="3" s="1" a="1"/>
  <c r="AJ22" i="3" s="1"/>
  <c r="AM21" i="3"/>
  <c r="AL21" i="3"/>
  <c r="AK21" i="3"/>
  <c r="AM20" i="3"/>
  <c r="AL20" i="3"/>
  <c r="AK20" i="3"/>
  <c r="AJ20" i="3" s="1" a="1"/>
  <c r="AJ20" i="3" s="1"/>
  <c r="AM19" i="3"/>
  <c r="AL19" i="3"/>
  <c r="AK19" i="3"/>
  <c r="AJ19" i="3" s="1" a="1"/>
  <c r="AJ19" i="3" s="1"/>
  <c r="AM18" i="3"/>
  <c r="AL18" i="3"/>
  <c r="AK18" i="3"/>
  <c r="AJ18" i="3" a="1"/>
  <c r="AJ18" i="3" s="1"/>
  <c r="AM15" i="3"/>
  <c r="AL15" i="3"/>
  <c r="AK15" i="3"/>
  <c r="AJ15" i="3" a="1"/>
  <c r="AJ15" i="3" s="1"/>
  <c r="AM13" i="3"/>
  <c r="AL13" i="3"/>
  <c r="AK13" i="3"/>
  <c r="AJ13" i="3" a="1"/>
  <c r="AJ13" i="3" s="1"/>
  <c r="AM12" i="3"/>
  <c r="AL12" i="3"/>
  <c r="AK12" i="3"/>
  <c r="AJ12" i="3" s="1" a="1"/>
  <c r="AJ12" i="3" s="1"/>
  <c r="AM11" i="3"/>
  <c r="AL11" i="3"/>
  <c r="AK11" i="3"/>
  <c r="AJ11" i="3" s="1" a="1"/>
  <c r="AJ11" i="3" s="1"/>
  <c r="AM10" i="3"/>
  <c r="AL10" i="3"/>
  <c r="AK10" i="3"/>
  <c r="AM9" i="3"/>
  <c r="AL9" i="3"/>
  <c r="AK9" i="3"/>
  <c r="AJ9" i="3" a="1"/>
  <c r="AJ9" i="3" s="1"/>
  <c r="AM8" i="3"/>
  <c r="AL8" i="3"/>
  <c r="AK8" i="3"/>
  <c r="AJ8" i="3" a="1"/>
  <c r="AJ8" i="3" s="1"/>
  <c r="AM7" i="3"/>
  <c r="AL7" i="3"/>
  <c r="AK7" i="3"/>
  <c r="AM5" i="3"/>
  <c r="AL5" i="3"/>
  <c r="AK5" i="3"/>
  <c r="AK53" i="3"/>
  <c r="AJ53" i="3" s="1" a="1"/>
  <c r="AJ53" i="3" s="1"/>
  <c r="AI53" i="3" s="1" a="1"/>
  <c r="AI53" i="3" s="1"/>
  <c r="AH53" i="3" s="1" a="1"/>
  <c r="AH53" i="3" s="1"/>
  <c r="AK54" i="3"/>
  <c r="AJ54" i="3" s="1" a="1"/>
  <c r="AJ54" i="3" s="1"/>
  <c r="AI54" i="3" s="1" a="1"/>
  <c r="AI54" i="3" s="1"/>
  <c r="AH54" i="3" s="1" a="1"/>
  <c r="AH54" i="3" s="1"/>
  <c r="AK55" i="3"/>
  <c r="AJ55" i="3" s="1" a="1"/>
  <c r="AJ55" i="3" s="1"/>
  <c r="AI55" i="3" s="1" a="1"/>
  <c r="AI55" i="3" s="1"/>
  <c r="AH55" i="3" s="1" a="1"/>
  <c r="AH55" i="3" s="1"/>
  <c r="AK56" i="3"/>
  <c r="AJ56" i="3" s="1" a="1"/>
  <c r="AJ56" i="3" s="1"/>
  <c r="AI56" i="3" s="1" a="1"/>
  <c r="AI56" i="3" s="1"/>
  <c r="AH56" i="3" s="1" a="1"/>
  <c r="AH56" i="3" s="1"/>
  <c r="AK57" i="3"/>
  <c r="AJ57" i="3" s="1" a="1"/>
  <c r="AJ57" i="3" s="1"/>
  <c r="AI57" i="3" s="1" a="1"/>
  <c r="AI57" i="3" s="1"/>
  <c r="AH57" i="3" s="1" a="1"/>
  <c r="AH57" i="3" s="1"/>
  <c r="AK58" i="3"/>
  <c r="AJ58" i="3" s="1" a="1"/>
  <c r="AJ58" i="3" s="1"/>
  <c r="AI58" i="3" s="1" a="1"/>
  <c r="AI58" i="3" s="1"/>
  <c r="AH58" i="3" s="1" a="1"/>
  <c r="AH58" i="3" s="1"/>
  <c r="AK59" i="3"/>
  <c r="AJ59" i="3" s="1" a="1"/>
  <c r="AJ59" i="3" s="1"/>
  <c r="AI59" i="3" s="1" a="1"/>
  <c r="AI59" i="3" s="1"/>
  <c r="AH59" i="3" s="1" a="1"/>
  <c r="AH59" i="3" s="1"/>
  <c r="AK60" i="3"/>
  <c r="AJ60" i="3" s="1" a="1"/>
  <c r="AJ60" i="3" s="1"/>
  <c r="AI60" i="3" s="1" a="1"/>
  <c r="AI60" i="3" s="1"/>
  <c r="AH60" i="3" s="1" a="1"/>
  <c r="AH60" i="3" s="1"/>
  <c r="AK52" i="3"/>
  <c r="AJ52" i="3" s="1" a="1"/>
  <c r="AJ52" i="3" s="1"/>
  <c r="AI52" i="3" s="1" a="1"/>
  <c r="AI52" i="3" s="1"/>
  <c r="AH52" i="3" s="1" a="1"/>
  <c r="AH52" i="3" s="1"/>
  <c r="AL60" i="3"/>
  <c r="AL59" i="3"/>
  <c r="AL58" i="3"/>
  <c r="AL57" i="3"/>
  <c r="AL56" i="3"/>
  <c r="AL55" i="3"/>
  <c r="AL54" i="3"/>
  <c r="AL53" i="3"/>
  <c r="AL52" i="3"/>
  <c r="AI40" i="3" l="1" a="1"/>
  <c r="AI40" i="3" s="1"/>
  <c r="AI15" i="3" a="1"/>
  <c r="AI15" i="3" s="1"/>
  <c r="AI9" i="3" a="1"/>
  <c r="AI9" i="3" s="1"/>
  <c r="AI35" i="3" a="1"/>
  <c r="AI35" i="3" s="1"/>
  <c r="AI18" i="3" a="1"/>
  <c r="AI18" i="3" s="1"/>
  <c r="AI27" i="3" a="1"/>
  <c r="AI27" i="3" s="1"/>
  <c r="AI36" i="3" a="1"/>
  <c r="AI36" i="3" s="1"/>
  <c r="AI19" i="3" a="1"/>
  <c r="AI19" i="3" s="1"/>
  <c r="AI28" i="3" a="1"/>
  <c r="AI28" i="3" s="1"/>
  <c r="AI11" i="3" a="1"/>
  <c r="AI11" i="3" s="1"/>
  <c r="AI20" i="3" a="1"/>
  <c r="AI20" i="3" s="1"/>
  <c r="AI29" i="3" a="1"/>
  <c r="AI29" i="3" s="1"/>
  <c r="AI31" i="3" a="1"/>
  <c r="AI31" i="3" s="1"/>
  <c r="AI32" i="3" a="1"/>
  <c r="AI32" i="3" s="1"/>
  <c r="AI24" i="3" a="1"/>
  <c r="AI24" i="3" s="1"/>
  <c r="AI34" i="3" a="1"/>
  <c r="AI34" i="3" s="1"/>
  <c r="AI12" i="3" a="1"/>
  <c r="AI12" i="3" s="1"/>
  <c r="AI38" i="3" a="1"/>
  <c r="AI38" i="3" s="1"/>
  <c r="AI33" i="3" a="1"/>
  <c r="AI33" i="3" s="1"/>
  <c r="AI13" i="3" a="1"/>
  <c r="AI13" i="3" s="1"/>
  <c r="AI22" i="3" a="1"/>
  <c r="AI22" i="3" s="1"/>
  <c r="AI25" i="3" a="1"/>
  <c r="AI25" i="3" s="1"/>
  <c r="AI8" i="3" a="1"/>
  <c r="AI8" i="3" s="1"/>
  <c r="AJ7" i="3" a="1"/>
  <c r="AJ7" i="3" s="1"/>
  <c r="AJ23" i="3" a="1"/>
  <c r="AJ23" i="3" s="1"/>
  <c r="AJ39" i="3" a="1"/>
  <c r="AJ39" i="3" s="1"/>
  <c r="AJ30" i="3" a="1"/>
  <c r="AJ30" i="3" s="1"/>
  <c r="AJ5" i="3" a="1"/>
  <c r="AJ5" i="3" s="1"/>
  <c r="AJ21" i="3" a="1"/>
  <c r="AJ21" i="3" s="1"/>
  <c r="AJ37" i="3" a="1"/>
  <c r="AJ37" i="3" s="1"/>
  <c r="AJ10" i="3" a="1"/>
  <c r="AJ10" i="3" s="1"/>
  <c r="I7" i="5"/>
  <c r="I8" i="5"/>
  <c r="I9" i="5"/>
  <c r="I10" i="5"/>
  <c r="I11" i="5"/>
  <c r="I12" i="5"/>
  <c r="I13" i="5"/>
  <c r="I14" i="5"/>
  <c r="I6" i="5"/>
  <c r="AE9" i="5"/>
  <c r="F8" i="5"/>
  <c r="F9" i="5"/>
  <c r="F10" i="5"/>
  <c r="F11" i="5"/>
  <c r="F12" i="5"/>
  <c r="F13" i="5"/>
  <c r="F14" i="5"/>
  <c r="H7" i="5"/>
  <c r="AD7" i="5" s="1"/>
  <c r="J7" i="5"/>
  <c r="K7" i="5"/>
  <c r="L7" i="5"/>
  <c r="M7" i="5"/>
  <c r="P7" i="5"/>
  <c r="Q7" i="5"/>
  <c r="R7" i="5"/>
  <c r="T7" i="5"/>
  <c r="U7" i="5"/>
  <c r="V7" i="5"/>
  <c r="W7" i="5"/>
  <c r="H8" i="5"/>
  <c r="AE8" i="5" s="1"/>
  <c r="J8" i="5"/>
  <c r="K8" i="5"/>
  <c r="AD8" i="5" s="1"/>
  <c r="L8" i="5"/>
  <c r="M8" i="5"/>
  <c r="P8" i="5"/>
  <c r="Q8" i="5"/>
  <c r="R8" i="5"/>
  <c r="T8" i="5"/>
  <c r="U8" i="5"/>
  <c r="V8" i="5"/>
  <c r="W8" i="5"/>
  <c r="H9" i="5"/>
  <c r="J9" i="5"/>
  <c r="K9" i="5"/>
  <c r="L9" i="5"/>
  <c r="M9" i="5"/>
  <c r="N9" i="5"/>
  <c r="O9" i="5"/>
  <c r="P9" i="5"/>
  <c r="Q9" i="5"/>
  <c r="R9" i="5"/>
  <c r="T9" i="5"/>
  <c r="U9" i="5"/>
  <c r="V9" i="5"/>
  <c r="W9" i="5"/>
  <c r="H10" i="5"/>
  <c r="AE10" i="5" s="1"/>
  <c r="J10" i="5"/>
  <c r="K10" i="5"/>
  <c r="L10" i="5"/>
  <c r="M10" i="5"/>
  <c r="N10" i="5"/>
  <c r="O10" i="5"/>
  <c r="P10" i="5"/>
  <c r="Q10" i="5"/>
  <c r="R10" i="5"/>
  <c r="T10" i="5"/>
  <c r="U10" i="5"/>
  <c r="W10" i="5"/>
  <c r="H11" i="5"/>
  <c r="J11" i="5"/>
  <c r="K11" i="5"/>
  <c r="L11" i="5"/>
  <c r="M11" i="5"/>
  <c r="AE11" i="5" s="1"/>
  <c r="O11" i="5"/>
  <c r="P11" i="5"/>
  <c r="Q11" i="5"/>
  <c r="R11" i="5"/>
  <c r="T11" i="5"/>
  <c r="U11" i="5"/>
  <c r="W11" i="5"/>
  <c r="H12" i="5"/>
  <c r="J12" i="5"/>
  <c r="K12" i="5"/>
  <c r="L12" i="5"/>
  <c r="M12" i="5"/>
  <c r="N12" i="5"/>
  <c r="O12" i="5"/>
  <c r="P12" i="5"/>
  <c r="Q12" i="5"/>
  <c r="R12" i="5"/>
  <c r="T12" i="5"/>
  <c r="U12" i="5"/>
  <c r="V12" i="5"/>
  <c r="W12" i="5"/>
  <c r="H13" i="5"/>
  <c r="AD13" i="5" s="1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H14" i="5"/>
  <c r="AD14" i="5" s="1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J6" i="5"/>
  <c r="K6" i="5"/>
  <c r="AD6" i="5" s="1"/>
  <c r="L6" i="5"/>
  <c r="M6" i="5"/>
  <c r="P6" i="5"/>
  <c r="Q6" i="5"/>
  <c r="R6" i="5"/>
  <c r="T6" i="5"/>
  <c r="U6" i="5"/>
  <c r="V6" i="5"/>
  <c r="W6" i="5"/>
  <c r="H6" i="5"/>
  <c r="AD11" i="5"/>
  <c r="D14" i="5"/>
  <c r="D13" i="5"/>
  <c r="D12" i="5"/>
  <c r="D11" i="5"/>
  <c r="D10" i="5"/>
  <c r="D9" i="5"/>
  <c r="D8" i="5"/>
  <c r="D7" i="5"/>
  <c r="D6" i="5"/>
  <c r="AH18" i="3" l="1" a="1"/>
  <c r="AH18" i="3" s="1"/>
  <c r="AO18" i="3" s="1"/>
  <c r="AH13" i="3" a="1"/>
  <c r="AH13" i="3" s="1"/>
  <c r="AO13" i="3" s="1"/>
  <c r="AI39" i="3" a="1"/>
  <c r="AI39" i="3" s="1"/>
  <c r="AH9" i="3" a="1"/>
  <c r="AH9" i="3" s="1"/>
  <c r="AO9" i="3" s="1"/>
  <c r="AI23" i="3" a="1"/>
  <c r="AI23" i="3" s="1"/>
  <c r="AI7" i="3" a="1"/>
  <c r="AI7" i="3" s="1"/>
  <c r="AH38" i="3" a="1"/>
  <c r="AH38" i="3" s="1"/>
  <c r="AO38" i="3" s="1"/>
  <c r="AH33" i="3" a="1"/>
  <c r="AH33" i="3" s="1"/>
  <c r="AH28" i="3" a="1"/>
  <c r="AH28" i="3" s="1"/>
  <c r="AH35" i="3" a="1"/>
  <c r="AH35" i="3" s="1"/>
  <c r="AH19" i="3" a="1"/>
  <c r="AH19" i="3" s="1"/>
  <c r="AO19" i="3" s="1"/>
  <c r="AH29" i="3" a="1"/>
  <c r="AH29" i="3" s="1"/>
  <c r="AO29" i="3" s="1"/>
  <c r="AH15" i="3" a="1"/>
  <c r="AH15" i="3" s="1"/>
  <c r="AO15" i="3" s="1"/>
  <c r="AI10" i="3" a="1"/>
  <c r="AI10" i="3" s="1"/>
  <c r="AH34" i="3" a="1"/>
  <c r="AH34" i="3" s="1"/>
  <c r="AI37" i="3" a="1"/>
  <c r="AI37" i="3" s="1"/>
  <c r="AH8" i="3" a="1"/>
  <c r="AH8" i="3" s="1"/>
  <c r="AO8" i="3" s="1"/>
  <c r="AH36" i="3" a="1"/>
  <c r="AH36" i="3" s="1"/>
  <c r="AO36" i="3" s="1"/>
  <c r="AH27" i="3" a="1"/>
  <c r="AH27" i="3" s="1"/>
  <c r="AO27" i="3" s="1"/>
  <c r="AI21" i="3" a="1"/>
  <c r="AI21" i="3" s="1"/>
  <c r="AH12" i="3" a="1"/>
  <c r="AH12" i="3" s="1"/>
  <c r="AH20" i="3" a="1"/>
  <c r="AH20" i="3" s="1"/>
  <c r="AH24" i="3" a="1"/>
  <c r="AH24" i="3" s="1"/>
  <c r="AO24" i="3" s="1"/>
  <c r="AI5" i="3" a="1"/>
  <c r="AI5" i="3" s="1"/>
  <c r="AH32" i="3" a="1"/>
  <c r="AH32" i="3" s="1"/>
  <c r="AH40" i="3" a="1"/>
  <c r="AH40" i="3" s="1"/>
  <c r="AO40" i="3" s="1"/>
  <c r="AI30" i="3" a="1"/>
  <c r="AI30" i="3" s="1"/>
  <c r="AH25" i="3" a="1"/>
  <c r="AH25" i="3" s="1"/>
  <c r="AO25" i="3" s="1"/>
  <c r="AH31" i="3" a="1"/>
  <c r="AH31" i="3" s="1"/>
  <c r="AO31" i="3" s="1"/>
  <c r="AH11" i="3" a="1"/>
  <c r="AH11" i="3" s="1"/>
  <c r="AO11" i="3" s="1"/>
  <c r="AH22" i="3" a="1"/>
  <c r="AH22" i="3" s="1"/>
  <c r="AD10" i="5"/>
  <c r="AD12" i="5"/>
  <c r="AE6" i="5"/>
  <c r="AE13" i="5"/>
  <c r="AD9" i="5"/>
  <c r="AE14" i="5"/>
  <c r="AE12" i="5"/>
  <c r="AE7" i="5"/>
  <c r="AM80" i="3"/>
  <c r="AS77" i="3"/>
  <c r="AS78" i="3"/>
  <c r="AS79" i="3"/>
  <c r="AS80" i="3"/>
  <c r="AS81" i="3"/>
  <c r="AS82" i="3"/>
  <c r="AS83" i="3"/>
  <c r="AS76" i="3"/>
  <c r="AN28" i="3" l="1"/>
  <c r="AP28" i="3"/>
  <c r="AQ28" i="3"/>
  <c r="AR28" i="3"/>
  <c r="AH5" i="3" a="1"/>
  <c r="AH5" i="3" s="1"/>
  <c r="AN22" i="3"/>
  <c r="AP22" i="3"/>
  <c r="AR22" i="3"/>
  <c r="AQ22" i="3"/>
  <c r="AO28" i="3"/>
  <c r="AN35" i="3"/>
  <c r="AR35" i="3"/>
  <c r="AQ35" i="3"/>
  <c r="AP35" i="3"/>
  <c r="AN33" i="3"/>
  <c r="AQ33" i="3"/>
  <c r="AR33" i="3"/>
  <c r="AP33" i="3"/>
  <c r="AR9" i="3"/>
  <c r="AN9" i="3"/>
  <c r="AQ9" i="3"/>
  <c r="AP9" i="3"/>
  <c r="AO22" i="3"/>
  <c r="AH39" i="3" a="1"/>
  <c r="AH39" i="3" s="1"/>
  <c r="AN19" i="3"/>
  <c r="AP19" i="3"/>
  <c r="AQ19" i="3"/>
  <c r="AR19" i="3"/>
  <c r="AQ32" i="3"/>
  <c r="AR32" i="3"/>
  <c r="AN32" i="3"/>
  <c r="AP32" i="3"/>
  <c r="AN12" i="3"/>
  <c r="AQ12" i="3"/>
  <c r="AR12" i="3"/>
  <c r="AP12" i="3"/>
  <c r="AO33" i="3"/>
  <c r="AH21" i="3" a="1"/>
  <c r="AH21" i="3" s="1"/>
  <c r="AO21" i="3" s="1"/>
  <c r="AH7" i="3" a="1"/>
  <c r="AH7" i="3" s="1"/>
  <c r="AO7" i="3" s="1"/>
  <c r="AH23" i="3" a="1"/>
  <c r="AH23" i="3" s="1"/>
  <c r="AO23" i="3" s="1"/>
  <c r="AN34" i="3"/>
  <c r="AP34" i="3"/>
  <c r="AQ34" i="3"/>
  <c r="AR34" i="3"/>
  <c r="AN11" i="3"/>
  <c r="AP11" i="3"/>
  <c r="AR11" i="3"/>
  <c r="AQ11" i="3"/>
  <c r="AH10" i="3" a="1"/>
  <c r="AH10" i="3" s="1"/>
  <c r="AO10" i="3" s="1"/>
  <c r="AO32" i="3"/>
  <c r="AN20" i="3"/>
  <c r="AP20" i="3"/>
  <c r="AQ20" i="3"/>
  <c r="AR20" i="3"/>
  <c r="AO12" i="3"/>
  <c r="AR31" i="3"/>
  <c r="AQ31" i="3"/>
  <c r="AN31" i="3"/>
  <c r="AP31" i="3"/>
  <c r="AH30" i="3" a="1"/>
  <c r="AH30" i="3" s="1"/>
  <c r="AO30" i="3" s="1"/>
  <c r="AN13" i="3"/>
  <c r="AR13" i="3"/>
  <c r="AP13" i="3"/>
  <c r="AQ13" i="3"/>
  <c r="AN29" i="3"/>
  <c r="AQ29" i="3"/>
  <c r="AP29" i="3"/>
  <c r="AR29" i="3"/>
  <c r="AN24" i="3"/>
  <c r="AQ24" i="3"/>
  <c r="AR24" i="3"/>
  <c r="AP24" i="3"/>
  <c r="AN27" i="3"/>
  <c r="AP27" i="3"/>
  <c r="AQ27" i="3"/>
  <c r="AR27" i="3"/>
  <c r="AN8" i="3"/>
  <c r="AQ8" i="3"/>
  <c r="AR8" i="3"/>
  <c r="AP8" i="3"/>
  <c r="AR25" i="3"/>
  <c r="AN25" i="3"/>
  <c r="AP25" i="3"/>
  <c r="AQ25" i="3"/>
  <c r="AO34" i="3"/>
  <c r="AN40" i="3"/>
  <c r="AQ40" i="3"/>
  <c r="AR40" i="3"/>
  <c r="AP40" i="3"/>
  <c r="AO35" i="3"/>
  <c r="AO20" i="3"/>
  <c r="AN38" i="3"/>
  <c r="AR38" i="3"/>
  <c r="AQ38" i="3"/>
  <c r="AP38" i="3"/>
  <c r="AN36" i="3"/>
  <c r="AQ36" i="3"/>
  <c r="AP36" i="3"/>
  <c r="AR36" i="3"/>
  <c r="AH37" i="3" a="1"/>
  <c r="AH37" i="3" s="1"/>
  <c r="AN15" i="3"/>
  <c r="AQ15" i="3"/>
  <c r="AR15" i="3"/>
  <c r="AP15" i="3"/>
  <c r="AN18" i="3"/>
  <c r="AQ18" i="3"/>
  <c r="AR18" i="3"/>
  <c r="AP18" i="3"/>
  <c r="AD14" i="4"/>
  <c r="AD13" i="4"/>
  <c r="AD12" i="4"/>
  <c r="AD11" i="4"/>
  <c r="AD10" i="4"/>
  <c r="AD9" i="4"/>
  <c r="AD8" i="4"/>
  <c r="AD7" i="4"/>
  <c r="AD6" i="4"/>
  <c r="AF42" i="3"/>
  <c r="AE42" i="3"/>
  <c r="AD42" i="3"/>
  <c r="AC42" i="3"/>
  <c r="AB42" i="3"/>
  <c r="AA42" i="3"/>
  <c r="Z42" i="3"/>
  <c r="Y42" i="3"/>
  <c r="X42" i="3"/>
  <c r="W42" i="3"/>
  <c r="F42" i="3"/>
  <c r="AF41" i="3"/>
  <c r="AE41" i="3"/>
  <c r="AD41" i="3"/>
  <c r="AC41" i="3"/>
  <c r="AB41" i="3"/>
  <c r="AA41" i="3"/>
  <c r="Z41" i="3"/>
  <c r="Y41" i="3"/>
  <c r="X41" i="3"/>
  <c r="W41" i="3"/>
  <c r="F41" i="3"/>
  <c r="AF40" i="3"/>
  <c r="AE40" i="3"/>
  <c r="AD40" i="3"/>
  <c r="AC40" i="3"/>
  <c r="AB40" i="3"/>
  <c r="AA40" i="3"/>
  <c r="Z40" i="3"/>
  <c r="Y40" i="3"/>
  <c r="X40" i="3"/>
  <c r="W40" i="3"/>
  <c r="F40" i="3"/>
  <c r="AF39" i="3"/>
  <c r="AE39" i="3"/>
  <c r="AD39" i="3"/>
  <c r="AC39" i="3"/>
  <c r="AB39" i="3"/>
  <c r="AA39" i="3"/>
  <c r="Z39" i="3"/>
  <c r="Y39" i="3"/>
  <c r="X39" i="3"/>
  <c r="W39" i="3"/>
  <c r="F39" i="3"/>
  <c r="AF38" i="3"/>
  <c r="AE38" i="3"/>
  <c r="AD38" i="3"/>
  <c r="AC38" i="3"/>
  <c r="AB38" i="3"/>
  <c r="AA38" i="3"/>
  <c r="Z38" i="3"/>
  <c r="Y38" i="3"/>
  <c r="X38" i="3"/>
  <c r="W38" i="3"/>
  <c r="F38" i="3"/>
  <c r="AF37" i="3"/>
  <c r="AE37" i="3"/>
  <c r="AD37" i="3"/>
  <c r="AC37" i="3"/>
  <c r="AB37" i="3"/>
  <c r="AA37" i="3"/>
  <c r="Z37" i="3"/>
  <c r="Y37" i="3"/>
  <c r="X37" i="3"/>
  <c r="W37" i="3"/>
  <c r="F37" i="3"/>
  <c r="AF36" i="3"/>
  <c r="AE36" i="3"/>
  <c r="AD36" i="3"/>
  <c r="AC36" i="3"/>
  <c r="AB36" i="3"/>
  <c r="AA36" i="3"/>
  <c r="Z36" i="3"/>
  <c r="Y36" i="3"/>
  <c r="X36" i="3"/>
  <c r="W36" i="3"/>
  <c r="F36" i="3"/>
  <c r="AF35" i="3"/>
  <c r="AE35" i="3"/>
  <c r="AD35" i="3"/>
  <c r="AC35" i="3"/>
  <c r="AB35" i="3"/>
  <c r="AA35" i="3"/>
  <c r="Z35" i="3"/>
  <c r="Y35" i="3"/>
  <c r="X35" i="3"/>
  <c r="W35" i="3"/>
  <c r="F35" i="3"/>
  <c r="W34" i="3"/>
  <c r="X34" i="3"/>
  <c r="Y34" i="3"/>
  <c r="Z34" i="3"/>
  <c r="AA34" i="3"/>
  <c r="AB34" i="3"/>
  <c r="AC34" i="3"/>
  <c r="AD34" i="3"/>
  <c r="AE34" i="3"/>
  <c r="AF34" i="3"/>
  <c r="W32" i="3"/>
  <c r="X32" i="3"/>
  <c r="Y32" i="3"/>
  <c r="Z32" i="3"/>
  <c r="AA32" i="3"/>
  <c r="AB32" i="3"/>
  <c r="AC32" i="3"/>
  <c r="AD32" i="3"/>
  <c r="AE32" i="3"/>
  <c r="AF32" i="3"/>
  <c r="AF13" i="3"/>
  <c r="AE13" i="3"/>
  <c r="AD13" i="3"/>
  <c r="AC13" i="3"/>
  <c r="AB13" i="3"/>
  <c r="AA13" i="3"/>
  <c r="Z13" i="3"/>
  <c r="Y13" i="3"/>
  <c r="X13" i="3"/>
  <c r="W13" i="3"/>
  <c r="F34" i="3"/>
  <c r="AF33" i="3"/>
  <c r="AE33" i="3"/>
  <c r="AD33" i="3"/>
  <c r="AC33" i="3"/>
  <c r="AB33" i="3"/>
  <c r="AA33" i="3"/>
  <c r="Z33" i="3"/>
  <c r="Y33" i="3"/>
  <c r="X33" i="3"/>
  <c r="W33" i="3"/>
  <c r="F33" i="3"/>
  <c r="AF31" i="3"/>
  <c r="AE31" i="3"/>
  <c r="AD31" i="3"/>
  <c r="AC31" i="3"/>
  <c r="AB31" i="3"/>
  <c r="AA31" i="3"/>
  <c r="Z31" i="3"/>
  <c r="Y31" i="3"/>
  <c r="X31" i="3"/>
  <c r="W31" i="3"/>
  <c r="AF30" i="3"/>
  <c r="AE30" i="3"/>
  <c r="AD30" i="3"/>
  <c r="AC30" i="3"/>
  <c r="AB30" i="3"/>
  <c r="AA30" i="3"/>
  <c r="Z30" i="3"/>
  <c r="Y30" i="3"/>
  <c r="X30" i="3"/>
  <c r="W30" i="3"/>
  <c r="AF29" i="3"/>
  <c r="AE29" i="3"/>
  <c r="AD29" i="3"/>
  <c r="AC29" i="3"/>
  <c r="AB29" i="3"/>
  <c r="AA29" i="3"/>
  <c r="Z29" i="3"/>
  <c r="Y29" i="3"/>
  <c r="X29" i="3"/>
  <c r="W29" i="3"/>
  <c r="D14" i="4"/>
  <c r="D13" i="4"/>
  <c r="D12" i="4"/>
  <c r="D11" i="4"/>
  <c r="D10" i="4"/>
  <c r="D9" i="4"/>
  <c r="D8" i="4"/>
  <c r="D7" i="4"/>
  <c r="D6" i="4"/>
  <c r="AF19" i="3"/>
  <c r="AE19" i="3"/>
  <c r="AD19" i="3"/>
  <c r="AC19" i="3"/>
  <c r="AB19" i="3"/>
  <c r="AA19" i="3"/>
  <c r="Z19" i="3"/>
  <c r="Y19" i="3"/>
  <c r="X19" i="3"/>
  <c r="W19" i="3"/>
  <c r="AF9" i="3"/>
  <c r="AE9" i="3"/>
  <c r="AD9" i="3"/>
  <c r="AC9" i="3"/>
  <c r="AB9" i="3"/>
  <c r="AA9" i="3"/>
  <c r="Z9" i="3"/>
  <c r="Y9" i="3"/>
  <c r="X9" i="3"/>
  <c r="W9" i="3"/>
  <c r="AF8" i="3"/>
  <c r="AE8" i="3"/>
  <c r="AD8" i="3"/>
  <c r="AC8" i="3"/>
  <c r="AB8" i="3"/>
  <c r="AA8" i="3"/>
  <c r="Z8" i="3"/>
  <c r="Y8" i="3"/>
  <c r="X8" i="3"/>
  <c r="W8" i="3"/>
  <c r="AF28" i="3"/>
  <c r="AE28" i="3"/>
  <c r="AD28" i="3"/>
  <c r="AC28" i="3"/>
  <c r="AB28" i="3"/>
  <c r="AA28" i="3"/>
  <c r="Z28" i="3"/>
  <c r="Y28" i="3"/>
  <c r="X28" i="3"/>
  <c r="W28" i="3"/>
  <c r="AF27" i="3"/>
  <c r="AE27" i="3"/>
  <c r="AD27" i="3"/>
  <c r="AC27" i="3"/>
  <c r="AB27" i="3"/>
  <c r="AA27" i="3"/>
  <c r="Z27" i="3"/>
  <c r="Y27" i="3"/>
  <c r="X27" i="3"/>
  <c r="W27" i="3"/>
  <c r="AC18" i="3"/>
  <c r="AC25" i="3"/>
  <c r="AC24" i="3"/>
  <c r="AE23" i="3"/>
  <c r="AD20" i="3"/>
  <c r="W96" i="2"/>
  <c r="AM59" i="3"/>
  <c r="AM70" i="3" s="1"/>
  <c r="AM82" i="3" s="1"/>
  <c r="AM58" i="3"/>
  <c r="AM69" i="3" s="1"/>
  <c r="AM81" i="3" s="1"/>
  <c r="AF25" i="3"/>
  <c r="AE25" i="3"/>
  <c r="AD25" i="3"/>
  <c r="AB25" i="3"/>
  <c r="AA25" i="3"/>
  <c r="Z25" i="3"/>
  <c r="X25" i="3"/>
  <c r="W25" i="3"/>
  <c r="AM57" i="3"/>
  <c r="AM56" i="3"/>
  <c r="AM55" i="3"/>
  <c r="AM67" i="3" s="1"/>
  <c r="AM79" i="3" s="1"/>
  <c r="AM54" i="3"/>
  <c r="AM66" i="3" s="1"/>
  <c r="AM78" i="3" s="1"/>
  <c r="AM53" i="3"/>
  <c r="AM65" i="3" s="1"/>
  <c r="AM77" i="3" s="1"/>
  <c r="AM52" i="3"/>
  <c r="AM64" i="3" s="1"/>
  <c r="AM76" i="3" s="1"/>
  <c r="AM60" i="3"/>
  <c r="AM71" i="3" s="1"/>
  <c r="AM83" i="3" s="1"/>
  <c r="AF24" i="3"/>
  <c r="AE24" i="3"/>
  <c r="AB24" i="3"/>
  <c r="AA24" i="3"/>
  <c r="X24" i="3"/>
  <c r="W24" i="3"/>
  <c r="AC23" i="3"/>
  <c r="Y23" i="3"/>
  <c r="AF22" i="3"/>
  <c r="AE22" i="3"/>
  <c r="AD22" i="3"/>
  <c r="AC22" i="3"/>
  <c r="AB22" i="3"/>
  <c r="AA22" i="3"/>
  <c r="Z22" i="3"/>
  <c r="Y22" i="3"/>
  <c r="X22" i="3"/>
  <c r="W22" i="3"/>
  <c r="AF21" i="3"/>
  <c r="AE21" i="3"/>
  <c r="AD21" i="3"/>
  <c r="AC21" i="3"/>
  <c r="AB21" i="3"/>
  <c r="AA21" i="3"/>
  <c r="Z21" i="3"/>
  <c r="Y21" i="3"/>
  <c r="X21" i="3"/>
  <c r="W21" i="3"/>
  <c r="AF20" i="3"/>
  <c r="AE20" i="3"/>
  <c r="AC20" i="3"/>
  <c r="AB20" i="3"/>
  <c r="AA20" i="3"/>
  <c r="Z20" i="3"/>
  <c r="Y20" i="3"/>
  <c r="X20" i="3"/>
  <c r="W20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AF18" i="3"/>
  <c r="AE18" i="3"/>
  <c r="AD18" i="3"/>
  <c r="AB18" i="3"/>
  <c r="AA18" i="3"/>
  <c r="Z18" i="3"/>
  <c r="X18" i="3"/>
  <c r="W18" i="3"/>
  <c r="AF15" i="3"/>
  <c r="AE15" i="3"/>
  <c r="AD15" i="3"/>
  <c r="AC15" i="3"/>
  <c r="AB15" i="3"/>
  <c r="AA15" i="3"/>
  <c r="Z15" i="3"/>
  <c r="Y15" i="3"/>
  <c r="X15" i="3"/>
  <c r="W15" i="3"/>
  <c r="AF12" i="3"/>
  <c r="AE12" i="3"/>
  <c r="AD12" i="3"/>
  <c r="AC12" i="3"/>
  <c r="AB12" i="3"/>
  <c r="AA12" i="3"/>
  <c r="Z12" i="3"/>
  <c r="Y12" i="3"/>
  <c r="X12" i="3"/>
  <c r="W12" i="3"/>
  <c r="AF11" i="3"/>
  <c r="AE11" i="3"/>
  <c r="AD11" i="3"/>
  <c r="AC11" i="3"/>
  <c r="AB11" i="3"/>
  <c r="AA11" i="3"/>
  <c r="Z11" i="3"/>
  <c r="Y11" i="3"/>
  <c r="X11" i="3"/>
  <c r="W11" i="3"/>
  <c r="AF10" i="3"/>
  <c r="AE10" i="3"/>
  <c r="AD10" i="3"/>
  <c r="AC10" i="3"/>
  <c r="AB10" i="3"/>
  <c r="AA10" i="3"/>
  <c r="Z10" i="3"/>
  <c r="Y10" i="3"/>
  <c r="X10" i="3"/>
  <c r="W10" i="3"/>
  <c r="AF7" i="3"/>
  <c r="AE7" i="3"/>
  <c r="AD7" i="3"/>
  <c r="AC7" i="3"/>
  <c r="AB7" i="3"/>
  <c r="AA7" i="3"/>
  <c r="Z7" i="3"/>
  <c r="Y7" i="3"/>
  <c r="X7" i="3"/>
  <c r="W7" i="3"/>
  <c r="AF5" i="3"/>
  <c r="AE5" i="3"/>
  <c r="AD5" i="3"/>
  <c r="AB5" i="3"/>
  <c r="AA5" i="3"/>
  <c r="Z5" i="3"/>
  <c r="Y5" i="3"/>
  <c r="X5" i="3"/>
  <c r="W5" i="3"/>
  <c r="AC5" i="3"/>
  <c r="AD4" i="3"/>
  <c r="AE4" i="3"/>
  <c r="AF4" i="3"/>
  <c r="H10" i="3"/>
  <c r="G10" i="3"/>
  <c r="AN10" i="3" l="1"/>
  <c r="AR10" i="3"/>
  <c r="AQ10" i="3"/>
  <c r="AP10" i="3"/>
  <c r="AN39" i="3"/>
  <c r="AQ39" i="3"/>
  <c r="AR39" i="3"/>
  <c r="AP39" i="3"/>
  <c r="AN5" i="3"/>
  <c r="AQ5" i="3"/>
  <c r="AR5" i="3"/>
  <c r="AP5" i="3"/>
  <c r="AO39" i="3"/>
  <c r="AO5" i="3"/>
  <c r="AN37" i="3"/>
  <c r="AQ37" i="3"/>
  <c r="AR37" i="3"/>
  <c r="AP37" i="3"/>
  <c r="AN7" i="3"/>
  <c r="AQ7" i="3"/>
  <c r="AR7" i="3"/>
  <c r="AP7" i="3"/>
  <c r="AN30" i="3"/>
  <c r="AR30" i="3"/>
  <c r="AQ30" i="3"/>
  <c r="AP30" i="3"/>
  <c r="AN23" i="3"/>
  <c r="AR23" i="3"/>
  <c r="AQ23" i="3"/>
  <c r="AP23" i="3"/>
  <c r="AN21" i="3"/>
  <c r="AQ21" i="3"/>
  <c r="AR21" i="3"/>
  <c r="AP21" i="3"/>
  <c r="AO37" i="3"/>
  <c r="AP57" i="3"/>
  <c r="AO57" i="3"/>
  <c r="AP54" i="3"/>
  <c r="AP66" i="3" s="1"/>
  <c r="AP78" i="3" s="1"/>
  <c r="AP58" i="3"/>
  <c r="AP69" i="3" s="1"/>
  <c r="AP81" i="3" s="1"/>
  <c r="AP59" i="3"/>
  <c r="AP70" i="3" s="1"/>
  <c r="AP82" i="3" s="1"/>
  <c r="Y18" i="3"/>
  <c r="Z23" i="3"/>
  <c r="AD23" i="3"/>
  <c r="X23" i="3"/>
  <c r="AB23" i="3"/>
  <c r="AF23" i="3"/>
  <c r="Z24" i="3"/>
  <c r="AD24" i="3"/>
  <c r="Y25" i="3"/>
  <c r="W23" i="3"/>
  <c r="AA23" i="3"/>
  <c r="Y24" i="3"/>
  <c r="AQ59" i="3"/>
  <c r="AQ70" i="3" s="1"/>
  <c r="AQ82" i="3" s="1"/>
  <c r="AN59" i="3"/>
  <c r="AN70" i="3" s="1"/>
  <c r="AN82" i="3" s="1"/>
  <c r="AR59" i="3"/>
  <c r="AR70" i="3" s="1"/>
  <c r="AR82" i="3" s="1"/>
  <c r="AO59" i="3"/>
  <c r="AO70" i="3" s="1"/>
  <c r="AO82" i="3" s="1"/>
  <c r="AQ58" i="3"/>
  <c r="AQ69" i="3" s="1"/>
  <c r="AQ81" i="3" s="1"/>
  <c r="AN58" i="3"/>
  <c r="AN69" i="3" s="1"/>
  <c r="AN81" i="3" s="1"/>
  <c r="AR58" i="3"/>
  <c r="AR69" i="3" s="1"/>
  <c r="AR81" i="3" s="1"/>
  <c r="AO58" i="3"/>
  <c r="AO69" i="3" s="1"/>
  <c r="AO81" i="3" s="1"/>
  <c r="AN55" i="3"/>
  <c r="AN67" i="3" s="1"/>
  <c r="AN79" i="3" s="1"/>
  <c r="AQ55" i="3"/>
  <c r="AQ67" i="3" s="1"/>
  <c r="AQ79" i="3" s="1"/>
  <c r="AO56" i="3"/>
  <c r="AO68" i="3" s="1"/>
  <c r="AO80" i="3" s="1"/>
  <c r="AP56" i="3"/>
  <c r="AP68" i="3" s="1"/>
  <c r="AP80" i="3" s="1"/>
  <c r="AR56" i="3"/>
  <c r="AR55" i="3"/>
  <c r="AR67" i="3" s="1"/>
  <c r="AR79" i="3" s="1"/>
  <c r="AQ54" i="3"/>
  <c r="AQ66" i="3" s="1"/>
  <c r="AQ78" i="3" s="1"/>
  <c r="AO54" i="3"/>
  <c r="AO66" i="3" s="1"/>
  <c r="AO78" i="3" s="1"/>
  <c r="AR54" i="3"/>
  <c r="AR66" i="3" s="1"/>
  <c r="AR78" i="3" s="1"/>
  <c r="AN54" i="3"/>
  <c r="AN66" i="3" s="1"/>
  <c r="AN78" i="3" s="1"/>
  <c r="AO55" i="3"/>
  <c r="AO67" i="3" s="1"/>
  <c r="AO79" i="3" s="1"/>
  <c r="AR57" i="3"/>
  <c r="AQ57" i="3"/>
  <c r="AP55" i="3"/>
  <c r="AP67" i="3" s="1"/>
  <c r="AP79" i="3" s="1"/>
  <c r="AN56" i="3"/>
  <c r="AQ56" i="3"/>
  <c r="AQ68" i="3" s="1"/>
  <c r="AQ80" i="3" s="1"/>
  <c r="AN57" i="3"/>
  <c r="AN53" i="3"/>
  <c r="AN65" i="3" s="1"/>
  <c r="AN77" i="3" s="1"/>
  <c r="AP53" i="3"/>
  <c r="AP65" i="3" s="1"/>
  <c r="AP77" i="3" s="1"/>
  <c r="AQ53" i="3"/>
  <c r="AQ65" i="3" s="1"/>
  <c r="AQ77" i="3" s="1"/>
  <c r="AO53" i="3"/>
  <c r="AO65" i="3" s="1"/>
  <c r="AO77" i="3" s="1"/>
  <c r="AR53" i="3"/>
  <c r="AR65" i="3" s="1"/>
  <c r="AR77" i="3" s="1"/>
  <c r="AN60" i="3"/>
  <c r="AN71" i="3" s="1"/>
  <c r="AN83" i="3" s="1"/>
  <c r="AR60" i="3"/>
  <c r="AR71" i="3" s="1"/>
  <c r="AR83" i="3" s="1"/>
  <c r="AO52" i="3"/>
  <c r="AO64" i="3" s="1"/>
  <c r="AO76" i="3" s="1"/>
  <c r="AQ60" i="3"/>
  <c r="AQ71" i="3" s="1"/>
  <c r="AQ83" i="3" s="1"/>
  <c r="AP60" i="3"/>
  <c r="AP71" i="3" s="1"/>
  <c r="AP83" i="3" s="1"/>
  <c r="AO60" i="3"/>
  <c r="AO71" i="3" s="1"/>
  <c r="AO83" i="3" s="1"/>
  <c r="AN52" i="3"/>
  <c r="AN64" i="3" s="1"/>
  <c r="AN76" i="3" s="1"/>
  <c r="AP52" i="3"/>
  <c r="AP64" i="3" s="1"/>
  <c r="AP76" i="3" s="1"/>
  <c r="AQ52" i="3"/>
  <c r="AQ64" i="3" s="1"/>
  <c r="AQ76" i="3" s="1"/>
  <c r="AR52" i="3"/>
  <c r="AR64" i="3" s="1"/>
  <c r="AR76" i="3" s="1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U30" i="3"/>
  <c r="AT30" i="3"/>
  <c r="AU27" i="3"/>
  <c r="AT27" i="3"/>
  <c r="AU24" i="3"/>
  <c r="AT24" i="3"/>
  <c r="AU19" i="3"/>
  <c r="AT19" i="3"/>
  <c r="AU14" i="3"/>
  <c r="AT14" i="3"/>
  <c r="AU9" i="3"/>
  <c r="AT9" i="3"/>
  <c r="AU32" i="3"/>
  <c r="AT32" i="3"/>
  <c r="AU31" i="3"/>
  <c r="AT31" i="3"/>
  <c r="AU29" i="3"/>
  <c r="AT29" i="3"/>
  <c r="AU26" i="3"/>
  <c r="AT26" i="3"/>
  <c r="AU22" i="3"/>
  <c r="AT22" i="3"/>
  <c r="AU17" i="3"/>
  <c r="AT17" i="3"/>
  <c r="AU6" i="3"/>
  <c r="AU5" i="3"/>
  <c r="AU4" i="3"/>
  <c r="AU11" i="3"/>
  <c r="AU10" i="3"/>
  <c r="AU8" i="3"/>
  <c r="AU7" i="3"/>
  <c r="AU16" i="3"/>
  <c r="AU15" i="3"/>
  <c r="AU13" i="3"/>
  <c r="AU12" i="3"/>
  <c r="AU21" i="3"/>
  <c r="AU20" i="3"/>
  <c r="AU18" i="3"/>
  <c r="AU25" i="3"/>
  <c r="AU23" i="3"/>
  <c r="AU28" i="3"/>
  <c r="AU3" i="3"/>
  <c r="AT8" i="3"/>
  <c r="AT13" i="3"/>
  <c r="AT18" i="3"/>
  <c r="AT23" i="3"/>
  <c r="AT11" i="3"/>
  <c r="AT16" i="3"/>
  <c r="AT21" i="3"/>
  <c r="AT25" i="3"/>
  <c r="AT28" i="3"/>
  <c r="AT3" i="3"/>
  <c r="AT4" i="3"/>
  <c r="AT7" i="3"/>
  <c r="AT12" i="3"/>
  <c r="AT6" i="3"/>
  <c r="AT10" i="3"/>
  <c r="AT15" i="3"/>
  <c r="AT20" i="3"/>
  <c r="AT5" i="3"/>
  <c r="AE107" i="2"/>
  <c r="AE4" i="2"/>
  <c r="AR68" i="3" l="1"/>
  <c r="AR80" i="3" s="1"/>
  <c r="AN68" i="3"/>
  <c r="AN80" i="3" s="1"/>
  <c r="F18" i="1"/>
  <c r="G18" i="1" s="1"/>
  <c r="F17" i="1"/>
  <c r="G17" i="1" s="1"/>
  <c r="F16" i="1"/>
  <c r="G16" i="1" s="1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AE21" i="2" s="1"/>
  <c r="AF21" i="2" s="1"/>
  <c r="F72" i="2"/>
  <c r="Y104" i="2"/>
  <c r="Y96" i="2" s="1"/>
  <c r="AA96" i="2"/>
  <c r="Z96" i="2"/>
  <c r="X96" i="2"/>
  <c r="I96" i="2"/>
  <c r="I97" i="2" s="1"/>
  <c r="J96" i="2"/>
  <c r="J97" i="2" s="1"/>
  <c r="K96" i="2"/>
  <c r="K97" i="2" s="1"/>
  <c r="L96" i="2"/>
  <c r="L97" i="2" s="1"/>
  <c r="M96" i="2"/>
  <c r="M97" i="2" s="1"/>
  <c r="N96" i="2"/>
  <c r="N97" i="2" s="1"/>
  <c r="O96" i="2"/>
  <c r="O97" i="2" s="1"/>
  <c r="P96" i="2"/>
  <c r="P97" i="2" s="1"/>
  <c r="Q96" i="2"/>
  <c r="Q97" i="2" s="1"/>
  <c r="R96" i="2"/>
  <c r="R97" i="2" s="1"/>
  <c r="S96" i="2"/>
  <c r="S97" i="2" s="1"/>
  <c r="T96" i="2"/>
  <c r="T97" i="2" s="1"/>
  <c r="U96" i="2"/>
  <c r="U97" i="2" s="1"/>
  <c r="V96" i="2"/>
  <c r="V97" i="2" s="1"/>
  <c r="W97" i="2"/>
  <c r="H96" i="2"/>
  <c r="AB96" i="2"/>
  <c r="AB84" i="2"/>
  <c r="AB72" i="2"/>
  <c r="AB59" i="2"/>
  <c r="AB47" i="2"/>
  <c r="AB35" i="2"/>
  <c r="AB23" i="2"/>
  <c r="X84" i="2"/>
  <c r="X72" i="2"/>
  <c r="X59" i="2"/>
  <c r="X47" i="2"/>
  <c r="X35" i="2"/>
  <c r="X23" i="2"/>
  <c r="G96" i="2"/>
  <c r="F96" i="2"/>
  <c r="F97" i="2" s="1"/>
  <c r="C14" i="5" l="1"/>
  <c r="C14" i="4"/>
  <c r="AL83" i="3" s="1"/>
  <c r="AL71" i="3" s="1"/>
  <c r="H97" i="2"/>
  <c r="AE106" i="2"/>
  <c r="AF106" i="2" s="1"/>
  <c r="W84" i="2"/>
  <c r="W85" i="2" s="1"/>
  <c r="V84" i="2"/>
  <c r="V85" i="2" s="1"/>
  <c r="U84" i="2"/>
  <c r="U85" i="2" s="1"/>
  <c r="T84" i="2"/>
  <c r="T85" i="2" s="1"/>
  <c r="S84" i="2"/>
  <c r="S85" i="2" s="1"/>
  <c r="R84" i="2"/>
  <c r="R85" i="2" s="1"/>
  <c r="Q84" i="2"/>
  <c r="Q85" i="2" s="1"/>
  <c r="P84" i="2"/>
  <c r="P85" i="2" s="1"/>
  <c r="O84" i="2"/>
  <c r="O85" i="2" s="1"/>
  <c r="N84" i="2"/>
  <c r="N85" i="2" s="1"/>
  <c r="M84" i="2"/>
  <c r="M85" i="2" s="1"/>
  <c r="L84" i="2"/>
  <c r="L85" i="2" s="1"/>
  <c r="K84" i="2"/>
  <c r="K85" i="2" s="1"/>
  <c r="J84" i="2"/>
  <c r="J85" i="2" s="1"/>
  <c r="I84" i="2"/>
  <c r="I85" i="2" s="1"/>
  <c r="H84" i="2"/>
  <c r="G84" i="2"/>
  <c r="F84" i="2"/>
  <c r="F85" i="2" s="1"/>
  <c r="W72" i="2"/>
  <c r="W73" i="2" s="1"/>
  <c r="V72" i="2"/>
  <c r="V73" i="2" s="1"/>
  <c r="U72" i="2"/>
  <c r="U73" i="2" s="1"/>
  <c r="T72" i="2"/>
  <c r="T73" i="2" s="1"/>
  <c r="S72" i="2"/>
  <c r="S73" i="2" s="1"/>
  <c r="R72" i="2"/>
  <c r="R73" i="2" s="1"/>
  <c r="Q72" i="2"/>
  <c r="Q73" i="2" s="1"/>
  <c r="P72" i="2"/>
  <c r="P73" i="2" s="1"/>
  <c r="O72" i="2"/>
  <c r="O73" i="2" s="1"/>
  <c r="N72" i="2"/>
  <c r="N73" i="2" s="1"/>
  <c r="M72" i="2"/>
  <c r="M73" i="2" s="1"/>
  <c r="L72" i="2"/>
  <c r="L73" i="2" s="1"/>
  <c r="K72" i="2"/>
  <c r="K73" i="2" s="1"/>
  <c r="J72" i="2"/>
  <c r="J73" i="2" s="1"/>
  <c r="I72" i="2"/>
  <c r="I73" i="2" s="1"/>
  <c r="H72" i="2"/>
  <c r="G72" i="2"/>
  <c r="F73" i="2"/>
  <c r="W59" i="2"/>
  <c r="W60" i="2" s="1"/>
  <c r="V59" i="2"/>
  <c r="V60" i="2" s="1"/>
  <c r="U59" i="2"/>
  <c r="U60" i="2" s="1"/>
  <c r="T59" i="2"/>
  <c r="T60" i="2" s="1"/>
  <c r="S59" i="2"/>
  <c r="S60" i="2" s="1"/>
  <c r="R59" i="2"/>
  <c r="R60" i="2" s="1"/>
  <c r="Q59" i="2"/>
  <c r="Q60" i="2" s="1"/>
  <c r="P59" i="2"/>
  <c r="P60" i="2" s="1"/>
  <c r="O59" i="2"/>
  <c r="O60" i="2" s="1"/>
  <c r="N59" i="2"/>
  <c r="N60" i="2" s="1"/>
  <c r="M59" i="2"/>
  <c r="M60" i="2" s="1"/>
  <c r="L59" i="2"/>
  <c r="L60" i="2" s="1"/>
  <c r="K59" i="2"/>
  <c r="K60" i="2" s="1"/>
  <c r="J59" i="2"/>
  <c r="J60" i="2" s="1"/>
  <c r="I59" i="2"/>
  <c r="I60" i="2" s="1"/>
  <c r="H59" i="2"/>
  <c r="AE70" i="2" s="1"/>
  <c r="G59" i="2"/>
  <c r="F59" i="2"/>
  <c r="F60" i="2" s="1"/>
  <c r="W47" i="2"/>
  <c r="W48" i="2" s="1"/>
  <c r="V47" i="2"/>
  <c r="V48" i="2" s="1"/>
  <c r="U47" i="2"/>
  <c r="U48" i="2" s="1"/>
  <c r="T47" i="2"/>
  <c r="T48" i="2" s="1"/>
  <c r="S47" i="2"/>
  <c r="S48" i="2" s="1"/>
  <c r="R47" i="2"/>
  <c r="R48" i="2" s="1"/>
  <c r="Q47" i="2"/>
  <c r="Q48" i="2" s="1"/>
  <c r="P47" i="2"/>
  <c r="P48" i="2" s="1"/>
  <c r="O47" i="2"/>
  <c r="O48" i="2" s="1"/>
  <c r="N47" i="2"/>
  <c r="N48" i="2" s="1"/>
  <c r="M47" i="2"/>
  <c r="M48" i="2" s="1"/>
  <c r="L47" i="2"/>
  <c r="L48" i="2" s="1"/>
  <c r="K47" i="2"/>
  <c r="K48" i="2" s="1"/>
  <c r="J47" i="2"/>
  <c r="J48" i="2" s="1"/>
  <c r="I47" i="2"/>
  <c r="I48" i="2" s="1"/>
  <c r="H47" i="2"/>
  <c r="G47" i="2"/>
  <c r="F47" i="2"/>
  <c r="F48" i="2" s="1"/>
  <c r="W35" i="2"/>
  <c r="W36" i="2" s="1"/>
  <c r="V35" i="2"/>
  <c r="V36" i="2" s="1"/>
  <c r="U35" i="2"/>
  <c r="U36" i="2" s="1"/>
  <c r="T35" i="2"/>
  <c r="T36" i="2" s="1"/>
  <c r="S35" i="2"/>
  <c r="S36" i="2" s="1"/>
  <c r="R35" i="2"/>
  <c r="R36" i="2" s="1"/>
  <c r="Q35" i="2"/>
  <c r="Q36" i="2" s="1"/>
  <c r="P35" i="2"/>
  <c r="P36" i="2" s="1"/>
  <c r="O35" i="2"/>
  <c r="O36" i="2" s="1"/>
  <c r="N35" i="2"/>
  <c r="N36" i="2" s="1"/>
  <c r="M35" i="2"/>
  <c r="M36" i="2" s="1"/>
  <c r="L35" i="2"/>
  <c r="L36" i="2" s="1"/>
  <c r="K35" i="2"/>
  <c r="K36" i="2" s="1"/>
  <c r="J35" i="2"/>
  <c r="J36" i="2" s="1"/>
  <c r="I35" i="2"/>
  <c r="I36" i="2" s="1"/>
  <c r="H35" i="2"/>
  <c r="G35" i="2"/>
  <c r="F35" i="2"/>
  <c r="F36" i="2" s="1"/>
  <c r="W23" i="2"/>
  <c r="W24" i="2" s="1"/>
  <c r="V23" i="2"/>
  <c r="V24" i="2" s="1"/>
  <c r="U23" i="2"/>
  <c r="U24" i="2" s="1"/>
  <c r="T23" i="2"/>
  <c r="T24" i="2" s="1"/>
  <c r="S23" i="2"/>
  <c r="S24" i="2" s="1"/>
  <c r="R23" i="2"/>
  <c r="R24" i="2" s="1"/>
  <c r="Q23" i="2"/>
  <c r="Q24" i="2" s="1"/>
  <c r="P23" i="2"/>
  <c r="P24" i="2" s="1"/>
  <c r="O23" i="2"/>
  <c r="O24" i="2" s="1"/>
  <c r="N23" i="2"/>
  <c r="N24" i="2" s="1"/>
  <c r="M23" i="2"/>
  <c r="M24" i="2" s="1"/>
  <c r="L23" i="2"/>
  <c r="L24" i="2" s="1"/>
  <c r="K23" i="2"/>
  <c r="K24" i="2" s="1"/>
  <c r="J23" i="2"/>
  <c r="J24" i="2" s="1"/>
  <c r="I23" i="2"/>
  <c r="I24" i="2" s="1"/>
  <c r="H23" i="2"/>
  <c r="G23" i="2"/>
  <c r="F23" i="2"/>
  <c r="F24" i="2" s="1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AE11" i="2" s="1"/>
  <c r="AF11" i="2" s="1"/>
  <c r="F8" i="2"/>
  <c r="F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I6" i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6" i="1"/>
  <c r="G6" i="1" s="1"/>
  <c r="F7" i="1"/>
  <c r="G7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C6" i="5" l="1"/>
  <c r="C6" i="4"/>
  <c r="C12" i="5"/>
  <c r="C12" i="4"/>
  <c r="AL81" i="3" s="1"/>
  <c r="AL69" i="3" s="1"/>
  <c r="C8" i="5"/>
  <c r="C8" i="4"/>
  <c r="AL77" i="3" s="1"/>
  <c r="AL65" i="3" s="1"/>
  <c r="C9" i="5"/>
  <c r="C9" i="4"/>
  <c r="AL78" i="3" s="1"/>
  <c r="AL66" i="3" s="1"/>
  <c r="C10" i="5"/>
  <c r="C10" i="4"/>
  <c r="AL79" i="3" s="1"/>
  <c r="AL67" i="3" s="1"/>
  <c r="C7" i="5"/>
  <c r="C7" i="4"/>
  <c r="AL76" i="3" s="1"/>
  <c r="AL64" i="3" s="1"/>
  <c r="C13" i="5"/>
  <c r="C13" i="4"/>
  <c r="AL82" i="3" s="1"/>
  <c r="AL70" i="3" s="1"/>
  <c r="C11" i="5"/>
  <c r="C11" i="4"/>
  <c r="AL80" i="3" s="1"/>
  <c r="AL68" i="3" s="1"/>
  <c r="H24" i="2"/>
  <c r="AE33" i="2"/>
  <c r="AF33" i="2" s="1"/>
  <c r="H48" i="2"/>
  <c r="AE57" i="2"/>
  <c r="AF57" i="2" s="1"/>
  <c r="H36" i="2"/>
  <c r="AE45" i="2"/>
  <c r="AF45" i="2" s="1"/>
  <c r="H60" i="2"/>
  <c r="AF70" i="2" s="1"/>
  <c r="AE69" i="2"/>
  <c r="AF69" i="2" s="1"/>
  <c r="H85" i="2"/>
  <c r="AE94" i="2"/>
  <c r="AF94" i="2" s="1"/>
  <c r="H73" i="2"/>
  <c r="AE82" i="2"/>
  <c r="AF82" i="2" s="1"/>
  <c r="R8" i="2"/>
  <c r="V8" i="2"/>
  <c r="J8" i="2"/>
  <c r="N8" i="2"/>
  <c r="O8" i="2"/>
  <c r="W8" i="2"/>
  <c r="I8" i="2"/>
  <c r="M8" i="2"/>
  <c r="Q8" i="2"/>
  <c r="U8" i="2"/>
  <c r="K8" i="2"/>
  <c r="S8" i="2"/>
  <c r="H8" i="2"/>
  <c r="L8" i="2"/>
  <c r="P8" i="2"/>
  <c r="T8" i="2"/>
</calcChain>
</file>

<file path=xl/comments1.xml><?xml version="1.0" encoding="utf-8"?>
<comments xmlns="http://schemas.openxmlformats.org/spreadsheetml/2006/main">
  <authors>
    <author>David T. Wang</author>
  </authors>
  <commentList>
    <comment ref="R37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mis ID</t>
        </r>
      </text>
    </comment>
    <comment ref="N38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possibly misidentified?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Sample vented during injection.  H2 conc is low.</t>
        </r>
      </text>
    </comment>
  </commentList>
</comments>
</file>

<file path=xl/sharedStrings.xml><?xml version="1.0" encoding="utf-8"?>
<sst xmlns="http://schemas.openxmlformats.org/spreadsheetml/2006/main" count="478" uniqueCount="168">
  <si>
    <t>EF-D2O-1</t>
  </si>
  <si>
    <t>("DIPPIE-1")</t>
  </si>
  <si>
    <t>Sample #</t>
  </si>
  <si>
    <t>(°C)</t>
  </si>
  <si>
    <t>(PSIA)</t>
  </si>
  <si>
    <t>Time</t>
  </si>
  <si>
    <t>Date</t>
  </si>
  <si>
    <t>Days</t>
  </si>
  <si>
    <t>Hours</t>
  </si>
  <si>
    <t>ΔFluid</t>
  </si>
  <si>
    <t>(grams)</t>
  </si>
  <si>
    <t>Notes</t>
  </si>
  <si>
    <t>INIT</t>
  </si>
  <si>
    <t>INJ</t>
  </si>
  <si>
    <t>Experiment:</t>
  </si>
  <si>
    <t>Press.</t>
  </si>
  <si>
    <t>Temp.</t>
  </si>
  <si>
    <t>Remain.</t>
  </si>
  <si>
    <t>LOAD</t>
  </si>
  <si>
    <t>Bleed after heat-up</t>
  </si>
  <si>
    <t>Sample loss thru leak / valve packing, estimate volumes with uncert +/-0.3g</t>
  </si>
  <si>
    <t>Injected starting fluid (deuterated 0.5 m NaCl).</t>
  </si>
  <si>
    <t>Purge &amp; Trap GC-FID concentrations, mol/kg fl.</t>
  </si>
  <si>
    <t>HC(1)</t>
  </si>
  <si>
    <t>Name</t>
  </si>
  <si>
    <t>HC(2)</t>
  </si>
  <si>
    <t>ETHYLENE</t>
  </si>
  <si>
    <t>METHANE</t>
  </si>
  <si>
    <t>CARBON DIOXIDE</t>
  </si>
  <si>
    <t>NEOPENTANE</t>
  </si>
  <si>
    <t>ISOPENTANE</t>
  </si>
  <si>
    <t>1-PENTENE</t>
  </si>
  <si>
    <t>n-PENTANE</t>
  </si>
  <si>
    <t>1-HEXENE</t>
  </si>
  <si>
    <t>n-HEXANE</t>
  </si>
  <si>
    <t>ETHANE</t>
  </si>
  <si>
    <t>PROPYLENE</t>
  </si>
  <si>
    <t>PROPANE</t>
  </si>
  <si>
    <t>METHANETHIOL</t>
  </si>
  <si>
    <t>ISOBUTANE</t>
  </si>
  <si>
    <t>1-BUTENE</t>
  </si>
  <si>
    <t>n-BUTANE</t>
  </si>
  <si>
    <t>HC(3)</t>
  </si>
  <si>
    <t>TODO Recalculate concentrations using New Calibration!</t>
  </si>
  <si>
    <t>H2(1)</t>
  </si>
  <si>
    <t>H2(2)</t>
  </si>
  <si>
    <t>HYDROGEN</t>
  </si>
  <si>
    <t>mol/kg fl.</t>
  </si>
  <si>
    <t>GC-TCD conc.</t>
  </si>
  <si>
    <t>BDL, &lt;10 umol/kg</t>
  </si>
  <si>
    <t>Concentrations low due to loss of sample during injection</t>
  </si>
  <si>
    <t>AVE</t>
  </si>
  <si>
    <t>RSD</t>
  </si>
  <si>
    <t>Maj(1)</t>
  </si>
  <si>
    <t>Org(1)</t>
  </si>
  <si>
    <t>Org(2)</t>
  </si>
  <si>
    <t>Maj(2)</t>
  </si>
  <si>
    <t>Fast sample, yellowish fluid.  Possibly sampled oil phase in exit tube.  Anomalously elevated C2+.</t>
  </si>
  <si>
    <t>Fast sample.  Yellowish fluid, possibly sampling oil phase in exit tube.</t>
  </si>
  <si>
    <t xml:space="preserve">From H2(2) residual fluid.  Majors may be possibly lower than expected due to sampling of discrete oil phase. </t>
  </si>
  <si>
    <t>From H2(1) residual.</t>
  </si>
  <si>
    <t>Expt:</t>
  </si>
  <si>
    <t>Sam #</t>
  </si>
  <si>
    <t>From H2(2) residual.</t>
  </si>
  <si>
    <t>H2S(1)</t>
  </si>
  <si>
    <t>pH(1)</t>
  </si>
  <si>
    <t>H2S</t>
  </si>
  <si>
    <t>pH</t>
  </si>
  <si>
    <t>Gravim.</t>
  </si>
  <si>
    <t>electrode</t>
  </si>
  <si>
    <t>25 °C, 1 atm</t>
  </si>
  <si>
    <t>Accept the lower HC(2) concentrations for all hydrocarbons.</t>
  </si>
  <si>
    <t>Syringe vented to atm. during injection to GC.  H2 conc. is low.</t>
  </si>
  <si>
    <t>Take higher H2(2) conc. as accurate.</t>
  </si>
  <si>
    <t>From HC(2) residual.</t>
  </si>
  <si>
    <t>Reused "HC(1)" syringe to take another HC sample.</t>
  </si>
  <si>
    <t>OFF</t>
  </si>
  <si>
    <t>END</t>
  </si>
  <si>
    <t>Furnace off.</t>
  </si>
  <si>
    <t>Experiment end.</t>
  </si>
  <si>
    <t>grams</t>
  </si>
  <si>
    <t>Sam Wt.</t>
  </si>
  <si>
    <t>VT(1)</t>
  </si>
  <si>
    <t>Post-Dil.</t>
  </si>
  <si>
    <t>VT(2)</t>
  </si>
  <si>
    <t>gas composition in sample bottles</t>
  </si>
  <si>
    <t>L/mol</t>
  </si>
  <si>
    <t>ccSATP CH4</t>
  </si>
  <si>
    <t>m/z</t>
  </si>
  <si>
    <t>ion</t>
  </si>
  <si>
    <t>Inj#</t>
  </si>
  <si>
    <t>SplitRatio</t>
  </si>
  <si>
    <t>uL_Inj</t>
  </si>
  <si>
    <t>99% CH4</t>
  </si>
  <si>
    <t>Eff_uL</t>
  </si>
  <si>
    <t>CH3D 7psi</t>
  </si>
  <si>
    <t>CH2D2 5psig</t>
  </si>
  <si>
    <t>TIC</t>
  </si>
  <si>
    <t>CHD3 14psi</t>
  </si>
  <si>
    <t>O2</t>
  </si>
  <si>
    <t>N2</t>
  </si>
  <si>
    <t>CH4</t>
  </si>
  <si>
    <t>ml vial</t>
  </si>
  <si>
    <t>ulSATP CH4 in subsample</t>
  </si>
  <si>
    <t>ul subsample</t>
  </si>
  <si>
    <t>EIC methane (m/z -0.30 to +0.70)</t>
  </si>
  <si>
    <t>CD4</t>
  </si>
  <si>
    <t>CD4 10% in He</t>
  </si>
  <si>
    <t>EF-D2O-1-9-VT(1)</t>
  </si>
  <si>
    <t>EF-D2O-1-9-VT(1), bad injection (air)</t>
  </si>
  <si>
    <t>CH2D2 5psig diluted with air 1:10</t>
  </si>
  <si>
    <t>EF-D2O-1-9-VT(1), inject with 100ul special syr</t>
  </si>
  <si>
    <t>Sample Name / Notes</t>
  </si>
  <si>
    <t>99% CH4, scanning m/z 10 to 50</t>
  </si>
  <si>
    <t>EF-D2O-1-9-VT(1), now sparging syr with He;  odd peak that comes off between N2 and CH4, maybe propane?</t>
  </si>
  <si>
    <r>
      <t xml:space="preserve">EF-D2O-1-9-VT(1), </t>
    </r>
    <r>
      <rPr>
        <b/>
        <sz val="11"/>
        <color theme="1"/>
        <rFont val="Calibri"/>
        <family val="2"/>
        <scheme val="minor"/>
      </rPr>
      <t>scanning m/z 10 to 80</t>
    </r>
  </si>
  <si>
    <t>% of SUM(m/z 14 to 23)</t>
  </si>
  <si>
    <t>CH3D</t>
  </si>
  <si>
    <t>CH2D2</t>
  </si>
  <si>
    <t>CHD3</t>
  </si>
  <si>
    <t>EF-D2O-1-9</t>
  </si>
  <si>
    <t/>
  </si>
  <si>
    <t>isotopologue</t>
  </si>
  <si>
    <t>EF-D2O-1-2-VT(1)</t>
  </si>
  <si>
    <t>EF-D2O-1-1-VT(1), no usable methane peak</t>
  </si>
  <si>
    <t>EF-D2O-1-2</t>
  </si>
  <si>
    <t>raw</t>
  </si>
  <si>
    <t>normalized</t>
  </si>
  <si>
    <t>EF-D2O-1-3-VT(1)</t>
  </si>
  <si>
    <t>EF-D2O-1-4-VT(1)</t>
  </si>
  <si>
    <t>EF-D2O-1-3</t>
  </si>
  <si>
    <t>EF-D2O-1-4</t>
  </si>
  <si>
    <t>EF-D2O-1-5-VT(1)</t>
  </si>
  <si>
    <t>EF-D2O-1-6-VT(1)</t>
  </si>
  <si>
    <t>EF-D2O-1-4-VT(1), unk peak might be two peaks</t>
  </si>
  <si>
    <t>EF-D2O-1-3-VT(1), unk peak might be Isobutane!</t>
  </si>
  <si>
    <t>EF-D2O-1-5</t>
  </si>
  <si>
    <t>EF-D2O-1-6-VT(2)</t>
  </si>
  <si>
    <t>EF-D2O-1-6-VT(1), see two peaks at 1.8 min (unk)</t>
  </si>
  <si>
    <t>EF-D2O-1-7-VT(1)</t>
  </si>
  <si>
    <t>EF-D2O-1-6(1)</t>
  </si>
  <si>
    <t>EF-D2O-1-6(2)</t>
  </si>
  <si>
    <t>EF-D2O-1-8-VT(1)</t>
  </si>
  <si>
    <t>EF-D2O-1-7</t>
  </si>
  <si>
    <t>hours</t>
  </si>
  <si>
    <t>EF-D2O-1-8</t>
  </si>
  <si>
    <t>CHD3 14psi diluted with He 1:10</t>
  </si>
  <si>
    <r>
      <t xml:space="preserve">1% isobutane, </t>
    </r>
    <r>
      <rPr>
        <b/>
        <sz val="11"/>
        <color theme="1"/>
        <rFont val="Calibri"/>
        <family val="2"/>
        <scheme val="minor"/>
      </rPr>
      <t>confirmed unk peak(s?) is isobutane</t>
    </r>
  </si>
  <si>
    <t>i-C4</t>
  </si>
  <si>
    <t>CH3D +2psi diluted with He 1:10</t>
  </si>
  <si>
    <t>Temp</t>
  </si>
  <si>
    <t>EF-D2O-1-5-VT(1), no longer flushing syr with He, just air</t>
  </si>
  <si>
    <t>CH3D 7psi, diluted with air 1:10</t>
  </si>
  <si>
    <t>C1/C2</t>
  </si>
  <si>
    <t>EF-D2O-1-6</t>
  </si>
  <si>
    <t>TCH4</t>
  </si>
  <si>
    <t>absolute abundance</t>
  </si>
  <si>
    <t>(mol/kg fl.)</t>
  </si>
  <si>
    <t>time (h)</t>
  </si>
  <si>
    <t>umol/kg fl.</t>
  </si>
  <si>
    <t>C1/C2-C4</t>
  </si>
  <si>
    <t>mmol/kg fl.</t>
  </si>
  <si>
    <t>Purge &amp; Trap GC-(TCD??)-FID concentrations, umol/kg fl.</t>
  </si>
  <si>
    <t>A matrix</t>
  </si>
  <si>
    <t>b matrix</t>
  </si>
  <si>
    <t>C1/(C2-C4)</t>
  </si>
  <si>
    <t>ADD PLOT OF TOTAL MASS GENERATED (CONC*VOLUME REMAINING + SumC*Vwithdrawn), note doesn't account for any cracking of C2-C5</t>
  </si>
  <si>
    <t>(tp1)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</si>
</sst>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mm/dd/yyyy;@"/>
    <numFmt numFmtId="165" formatCode="0.0"/>
    <numFmt numFmtId="166" formatCode="0.0%"/>
    <numFmt numFmtId="167" formatCode="0.0000"/>
    <numFmt numFmtId="168" formatCode="0.00000"/>
    <numFmt numFmtId="169" formatCode="00"/>
    <numFmt numFmtId="170" formatCode="ddmmmyyyy"/>
    <numFmt numFmtId="171" formatCode="##0.0"/>
    <numFmt numFmtId="172" formatCode="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theme="0" tint="-0.34998626667073579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C000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i/>
      <sz val="11"/>
      <color theme="0" tint="-0.34998626667073579"/>
      <name val="Consolas"/>
      <family val="3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1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1" fontId="8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167" fontId="1" fillId="0" borderId="0" xfId="0" applyNumberFormat="1" applyFont="1" applyAlignment="1">
      <alignment vertical="center"/>
    </xf>
    <xf numFmtId="167" fontId="3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3" fillId="0" borderId="0" xfId="0" applyNumberFormat="1" applyFont="1" applyAlignment="1">
      <alignment vertical="center"/>
    </xf>
    <xf numFmtId="167" fontId="3" fillId="2" borderId="0" xfId="0" applyNumberFormat="1" applyFont="1" applyFill="1" applyAlignment="1">
      <alignment vertical="center"/>
    </xf>
    <xf numFmtId="167" fontId="5" fillId="2" borderId="0" xfId="0" applyNumberFormat="1" applyFont="1" applyFill="1" applyAlignment="1">
      <alignment vertical="center"/>
    </xf>
    <xf numFmtId="168" fontId="1" fillId="0" borderId="0" xfId="0" applyNumberFormat="1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169" fontId="0" fillId="0" borderId="0" xfId="0" applyNumberFormat="1" applyAlignment="1">
      <alignment horizontal="left" vertical="top"/>
    </xf>
    <xf numFmtId="170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indent="2"/>
    </xf>
    <xf numFmtId="0" fontId="9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11" fontId="0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166" fontId="16" fillId="2" borderId="0" xfId="0" applyNumberFormat="1" applyFont="1" applyFill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Border="1" applyAlignment="1">
      <alignment horizontal="center" vertical="top"/>
    </xf>
    <xf numFmtId="166" fontId="0" fillId="0" borderId="0" xfId="0" applyNumberFormat="1" applyFont="1" applyAlignment="1">
      <alignment horizontal="right" vertical="top"/>
    </xf>
    <xf numFmtId="166" fontId="10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0" fontId="13" fillId="0" borderId="0" xfId="0" applyFont="1" applyAlignment="1">
      <alignment horizontal="right" vertical="top"/>
    </xf>
    <xf numFmtId="11" fontId="13" fillId="0" borderId="0" xfId="0" applyNumberFormat="1" applyFont="1" applyAlignment="1">
      <alignment horizontal="right" vertical="top"/>
    </xf>
    <xf numFmtId="166" fontId="9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1" fontId="18" fillId="0" borderId="0" xfId="0" applyNumberFormat="1" applyFont="1" applyAlignment="1">
      <alignment horizontal="right" vertical="top"/>
    </xf>
    <xf numFmtId="166" fontId="18" fillId="0" borderId="0" xfId="0" applyNumberFormat="1" applyFont="1" applyAlignment="1">
      <alignment horizontal="right" vertical="top"/>
    </xf>
    <xf numFmtId="1" fontId="13" fillId="0" borderId="0" xfId="0" applyNumberFormat="1" applyFont="1" applyAlignment="1">
      <alignment horizontal="right" vertical="top"/>
    </xf>
    <xf numFmtId="171" fontId="1" fillId="0" borderId="0" xfId="0" applyNumberFormat="1" applyFont="1" applyFill="1" applyAlignment="1">
      <alignment vertical="center"/>
    </xf>
    <xf numFmtId="172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66" fontId="0" fillId="0" borderId="3" xfId="0" applyNumberFormat="1" applyFont="1" applyBorder="1" applyAlignment="1">
      <alignment horizontal="right" vertical="top"/>
    </xf>
    <xf numFmtId="166" fontId="0" fillId="0" borderId="4" xfId="0" applyNumberFormat="1" applyFont="1" applyBorder="1" applyAlignment="1">
      <alignment horizontal="right" vertical="top"/>
    </xf>
    <xf numFmtId="166" fontId="0" fillId="0" borderId="5" xfId="0" applyNumberFormat="1" applyFont="1" applyBorder="1" applyAlignment="1">
      <alignment horizontal="right" vertical="top"/>
    </xf>
    <xf numFmtId="166" fontId="0" fillId="0" borderId="6" xfId="0" applyNumberFormat="1" applyFont="1" applyBorder="1" applyAlignment="1">
      <alignment horizontal="right" vertical="top"/>
    </xf>
    <xf numFmtId="166" fontId="0" fillId="0" borderId="0" xfId="0" applyNumberFormat="1" applyFont="1" applyBorder="1" applyAlignment="1">
      <alignment horizontal="right" vertical="top"/>
    </xf>
    <xf numFmtId="166" fontId="0" fillId="0" borderId="7" xfId="0" applyNumberFormat="1" applyFont="1" applyBorder="1" applyAlignment="1">
      <alignment horizontal="right" vertical="top"/>
    </xf>
    <xf numFmtId="166" fontId="0" fillId="0" borderId="8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166" fontId="0" fillId="0" borderId="9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67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20" fillId="0" borderId="0" xfId="0" applyFont="1" applyAlignment="1">
      <alignment horizontal="right" vertical="top"/>
    </xf>
    <xf numFmtId="166" fontId="21" fillId="0" borderId="0" xfId="1" applyNumberFormat="1" applyFont="1" applyAlignment="1">
      <alignment horizontal="center" vertical="top"/>
    </xf>
    <xf numFmtId="11" fontId="21" fillId="0" borderId="0" xfId="0" applyNumberFormat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3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Concs'!$F$4</c:f>
              <c:strCache>
                <c:ptCount val="1"/>
                <c:pt idx="0">
                  <c:v>HYDROGEN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Concs'!$F$6:$F$14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7.2600000000000003E-5</c:v>
                </c:pt>
                <c:pt idx="3">
                  <c:v>1.8333499999999999E-4</c:v>
                </c:pt>
                <c:pt idx="4">
                  <c:v>2.8965000000000002E-4</c:v>
                </c:pt>
                <c:pt idx="5">
                  <c:v>3.5322499999999998E-4</c:v>
                </c:pt>
                <c:pt idx="6">
                  <c:v>5.8549999999999997E-4</c:v>
                </c:pt>
                <c:pt idx="7">
                  <c:v>7.1769999999999994E-4</c:v>
                </c:pt>
                <c:pt idx="8">
                  <c:v>8.2065000000000003E-4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65288"/>
        <c:axId val="219034288"/>
      </c:scatterChart>
      <c:valAx>
        <c:axId val="21856528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034288"/>
        <c:crossesAt val="1.0000000000000004E-6"/>
        <c:crossBetween val="midCat"/>
      </c:valAx>
      <c:valAx>
        <c:axId val="219034288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856528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Concs'!$H$4</c:f>
              <c:strCache>
                <c:ptCount val="1"/>
                <c:pt idx="0">
                  <c:v>METHANE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Concs'!$H$6:$H$14</c:f>
              <c:numCache>
                <c:formatCode>0.00E+00</c:formatCode>
                <c:ptCount val="9"/>
                <c:pt idx="0">
                  <c:v>1.192E-6</c:v>
                </c:pt>
                <c:pt idx="1">
                  <c:v>3.7519999999999998E-6</c:v>
                </c:pt>
                <c:pt idx="2">
                  <c:v>8.6680000000000004E-5</c:v>
                </c:pt>
                <c:pt idx="3">
                  <c:v>2.3531999999999999E-4</c:v>
                </c:pt>
                <c:pt idx="4">
                  <c:v>3.9557500000000001E-4</c:v>
                </c:pt>
                <c:pt idx="5">
                  <c:v>3.189E-4</c:v>
                </c:pt>
                <c:pt idx="6">
                  <c:v>8.25255E-4</c:v>
                </c:pt>
                <c:pt idx="7">
                  <c:v>1.3254949999999999E-3</c:v>
                </c:pt>
                <c:pt idx="8">
                  <c:v>3.4736799999999998E-3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214992"/>
        <c:axId val="219117352"/>
      </c:scatterChart>
      <c:valAx>
        <c:axId val="218214992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117352"/>
        <c:crossesAt val="1.0000000000000004E-6"/>
        <c:crossBetween val="midCat"/>
      </c:valAx>
      <c:valAx>
        <c:axId val="219117352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821499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Concs'!$I$4</c:f>
              <c:strCache>
                <c:ptCount val="1"/>
                <c:pt idx="0">
                  <c:v>CARBON DIOXIDE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Concs'!$I$6:$I$14</c:f>
              <c:numCache>
                <c:formatCode>0.00E+00</c:formatCode>
                <c:ptCount val="9"/>
                <c:pt idx="0">
                  <c:v>4.7584599999999999E-3</c:v>
                </c:pt>
                <c:pt idx="1">
                  <c:v>1.0794999999999999E-2</c:v>
                </c:pt>
                <c:pt idx="2">
                  <c:v>2.1870000000000001E-2</c:v>
                </c:pt>
                <c:pt idx="3">
                  <c:v>4.57715E-2</c:v>
                </c:pt>
                <c:pt idx="4">
                  <c:v>6.5460000000000004E-2</c:v>
                </c:pt>
                <c:pt idx="5">
                  <c:v>4.4745E-2</c:v>
                </c:pt>
                <c:pt idx="6">
                  <c:v>4.5335E-2</c:v>
                </c:pt>
                <c:pt idx="7">
                  <c:v>5.4410500000000001E-2</c:v>
                </c:pt>
                <c:pt idx="8">
                  <c:v>5.1158000000000002E-2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61272"/>
        <c:axId val="219138112"/>
      </c:scatterChart>
      <c:valAx>
        <c:axId val="220061272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138112"/>
        <c:crossesAt val="1.0000000000000004E-6"/>
        <c:crossBetween val="midCat"/>
      </c:valAx>
      <c:valAx>
        <c:axId val="219138112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006127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Concs'!$O$4</c:f>
              <c:strCache>
                <c:ptCount val="1"/>
                <c:pt idx="0">
                  <c:v>ISOBUTANE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Concs'!$O$6:$O$14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8.8300000000000002E-6</c:v>
                </c:pt>
                <c:pt idx="4">
                  <c:v>2.7805000000000002E-5</c:v>
                </c:pt>
                <c:pt idx="5">
                  <c:v>1.9174499999999997E-5</c:v>
                </c:pt>
                <c:pt idx="6">
                  <c:v>5.4765000000000002E-5</c:v>
                </c:pt>
                <c:pt idx="7">
                  <c:v>6.6611000000000003E-5</c:v>
                </c:pt>
                <c:pt idx="8">
                  <c:v>2.1654000000000001E-4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02024"/>
        <c:axId val="217802808"/>
      </c:scatterChart>
      <c:valAx>
        <c:axId val="21780202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2808"/>
        <c:crossesAt val="1.0000000000000004E-7"/>
        <c:crossBetween val="midCat"/>
      </c:valAx>
      <c:valAx>
        <c:axId val="217802808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202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Concs'!$K$4</c:f>
              <c:strCache>
                <c:ptCount val="1"/>
                <c:pt idx="0">
                  <c:v>ETHANE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Concs'!$K$6:$K$14</c:f>
              <c:numCache>
                <c:formatCode>0.00E+00</c:formatCode>
                <c:ptCount val="9"/>
                <c:pt idx="0">
                  <c:v>3.8799999999999998E-7</c:v>
                </c:pt>
                <c:pt idx="1">
                  <c:v>9.2009999999999999E-7</c:v>
                </c:pt>
                <c:pt idx="2">
                  <c:v>2.00829E-5</c:v>
                </c:pt>
                <c:pt idx="3">
                  <c:v>7.6859999999999993E-5</c:v>
                </c:pt>
                <c:pt idx="4">
                  <c:v>1.5894999999999999E-4</c:v>
                </c:pt>
                <c:pt idx="5">
                  <c:v>1.3454999999999999E-4</c:v>
                </c:pt>
                <c:pt idx="6">
                  <c:v>4.171995E-4</c:v>
                </c:pt>
                <c:pt idx="7">
                  <c:v>6.7325250000000001E-4</c:v>
                </c:pt>
                <c:pt idx="8">
                  <c:v>1.6389E-3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05552"/>
        <c:axId val="217805944"/>
      </c:scatterChart>
      <c:valAx>
        <c:axId val="217805552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5944"/>
        <c:crossesAt val="1.0000000000000004E-7"/>
        <c:crossBetween val="midCat"/>
      </c:valAx>
      <c:valAx>
        <c:axId val="217805944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555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Concs'!$M$4</c:f>
              <c:strCache>
                <c:ptCount val="1"/>
                <c:pt idx="0">
                  <c:v>PROPANE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Concs'!$M$6:$M$14</c:f>
              <c:numCache>
                <c:formatCode>0.00E+00</c:formatCode>
                <c:ptCount val="9"/>
                <c:pt idx="0">
                  <c:v>5.8419999999999995E-7</c:v>
                </c:pt>
                <c:pt idx="1">
                  <c:v>1.4589999999999999E-6</c:v>
                </c:pt>
                <c:pt idx="2">
                  <c:v>1.6714999999999998E-5</c:v>
                </c:pt>
                <c:pt idx="3">
                  <c:v>5.4125000000000001E-5</c:v>
                </c:pt>
                <c:pt idx="4">
                  <c:v>1.0336500000000001E-4</c:v>
                </c:pt>
                <c:pt idx="5">
                  <c:v>8.4850000000000002E-5</c:v>
                </c:pt>
                <c:pt idx="6">
                  <c:v>2.4374999999999999E-4</c:v>
                </c:pt>
                <c:pt idx="7">
                  <c:v>3.6485000000000001E-4</c:v>
                </c:pt>
                <c:pt idx="8">
                  <c:v>9.3108000000000004E-4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04768"/>
        <c:axId val="217804376"/>
      </c:scatterChart>
      <c:valAx>
        <c:axId val="21780476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4376"/>
        <c:crossesAt val="1.0000000000000004E-7"/>
        <c:crossBetween val="midCat"/>
      </c:valAx>
      <c:valAx>
        <c:axId val="217804376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47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Concs'!$Q$4</c:f>
              <c:strCache>
                <c:ptCount val="1"/>
                <c:pt idx="0">
                  <c:v>n-BUTANE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Concs'!$Q$6:$Q$14</c:f>
              <c:numCache>
                <c:formatCode>0.00E+00</c:formatCode>
                <c:ptCount val="9"/>
                <c:pt idx="0">
                  <c:v>5.5960000000000001E-7</c:v>
                </c:pt>
                <c:pt idx="1">
                  <c:v>1.1725E-6</c:v>
                </c:pt>
                <c:pt idx="2">
                  <c:v>1.465E-5</c:v>
                </c:pt>
                <c:pt idx="3">
                  <c:v>4.1270000000000003E-5</c:v>
                </c:pt>
                <c:pt idx="4">
                  <c:v>7.2564999999999994E-5</c:v>
                </c:pt>
                <c:pt idx="5">
                  <c:v>6.1484999999999998E-5</c:v>
                </c:pt>
                <c:pt idx="6">
                  <c:v>1.4773500000000002E-4</c:v>
                </c:pt>
                <c:pt idx="7">
                  <c:v>2.0868500000000001E-4</c:v>
                </c:pt>
                <c:pt idx="8">
                  <c:v>5.0064499999999997E-4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05160"/>
        <c:axId val="217803592"/>
      </c:scatterChart>
      <c:valAx>
        <c:axId val="217805160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3592"/>
        <c:crossesAt val="1.0000000000000004E-7"/>
        <c:crossBetween val="midCat"/>
      </c:valAx>
      <c:valAx>
        <c:axId val="217803592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516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'GC-MS'!$V$52</c:f>
              <c:strCache>
                <c:ptCount val="1"/>
                <c:pt idx="0">
                  <c:v>EF-D2O-1-2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'GC-MS'!$W$52:$AF$52</c:f>
              <c:numCache>
                <c:formatCode>0.0%</c:formatCode>
                <c:ptCount val="10"/>
                <c:pt idx="0">
                  <c:v>7.7454101824024763E-2</c:v>
                </c:pt>
                <c:pt idx="1">
                  <c:v>0.35087928110215133</c:v>
                </c:pt>
                <c:pt idx="2">
                  <c:v>0.57166661707382393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1"/>
          <c:tx>
            <c:strRef>
              <c:f>'GC-MS'!$V$53</c:f>
              <c:strCache>
                <c:ptCount val="1"/>
                <c:pt idx="0">
                  <c:v>EF-D2O-1-3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'GC-MS'!$W$53:$AF$53</c:f>
              <c:numCache>
                <c:formatCode>0.0%</c:formatCode>
                <c:ptCount val="10"/>
                <c:pt idx="0">
                  <c:v>5.7957952259876287E-2</c:v>
                </c:pt>
                <c:pt idx="1">
                  <c:v>0.15177792114151265</c:v>
                </c:pt>
                <c:pt idx="2">
                  <c:v>0.34115403589996585</c:v>
                </c:pt>
                <c:pt idx="3">
                  <c:v>0.18310500550263747</c:v>
                </c:pt>
                <c:pt idx="4">
                  <c:v>0.11102045463170278</c:v>
                </c:pt>
                <c:pt idx="5">
                  <c:v>6.5471898599673631E-2</c:v>
                </c:pt>
                <c:pt idx="6">
                  <c:v>8.9512731964631317E-2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'GC-MS'!$V$54</c:f>
              <c:strCache>
                <c:ptCount val="1"/>
                <c:pt idx="0">
                  <c:v>EF-D2O-1-4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'GC-MS'!$W$54:$AF$54</c:f>
              <c:numCache>
                <c:formatCode>0.0%</c:formatCode>
                <c:ptCount val="10"/>
                <c:pt idx="0">
                  <c:v>4.6850629874025197E-2</c:v>
                </c:pt>
                <c:pt idx="1">
                  <c:v>0.11455458908218356</c:v>
                </c:pt>
                <c:pt idx="2">
                  <c:v>0.21811637672465506</c:v>
                </c:pt>
                <c:pt idx="3">
                  <c:v>0.18871850629874026</c:v>
                </c:pt>
                <c:pt idx="4">
                  <c:v>0.18691886622675466</c:v>
                </c:pt>
                <c:pt idx="5">
                  <c:v>7.359028194361128E-2</c:v>
                </c:pt>
                <c:pt idx="6">
                  <c:v>0.17125074985003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3"/>
          <c:tx>
            <c:strRef>
              <c:f>'GC-MS'!$V$55</c:f>
              <c:strCache>
                <c:ptCount val="1"/>
                <c:pt idx="0">
                  <c:v>EF-D2O-1-5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'GC-MS'!$W$55:$AF$55</c:f>
              <c:numCache>
                <c:formatCode>0.0%</c:formatCode>
                <c:ptCount val="10"/>
                <c:pt idx="0">
                  <c:v>4.1326315075378435E-2</c:v>
                </c:pt>
                <c:pt idx="1">
                  <c:v>8.1816976413596185E-2</c:v>
                </c:pt>
                <c:pt idx="2">
                  <c:v>0.17760879687447001</c:v>
                </c:pt>
                <c:pt idx="3">
                  <c:v>0.19234220483075698</c:v>
                </c:pt>
                <c:pt idx="4">
                  <c:v>0.19643104931590485</c:v>
                </c:pt>
                <c:pt idx="5">
                  <c:v>0.10414527423935467</c:v>
                </c:pt>
                <c:pt idx="6">
                  <c:v>0.20632938325053884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4"/>
          <c:tx>
            <c:strRef>
              <c:f>'GC-MS'!$V$56</c:f>
              <c:strCache>
                <c:ptCount val="1"/>
                <c:pt idx="0">
                  <c:v>EF-D2O-1-6(1)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'GC-MS'!$W$56:$AF$56</c:f>
              <c:numCache>
                <c:formatCode>0.0%</c:formatCode>
                <c:ptCount val="10"/>
                <c:pt idx="0">
                  <c:v>4.0795062915765005E-2</c:v>
                </c:pt>
                <c:pt idx="1">
                  <c:v>6.9911036306804522E-2</c:v>
                </c:pt>
                <c:pt idx="2">
                  <c:v>0.16626753225935723</c:v>
                </c:pt>
                <c:pt idx="3">
                  <c:v>0.17360583473591409</c:v>
                </c:pt>
                <c:pt idx="4">
                  <c:v>0.2058379418129358</c:v>
                </c:pt>
                <c:pt idx="5">
                  <c:v>0.10673078464374448</c:v>
                </c:pt>
                <c:pt idx="6">
                  <c:v>0.23685180732547889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5"/>
          <c:tx>
            <c:strRef>
              <c:f>'GC-MS'!$V$57</c:f>
              <c:strCache>
                <c:ptCount val="1"/>
                <c:pt idx="0">
                  <c:v>EF-D2O-1-6(2)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'GC-MS'!$W$57:$AF$57</c:f>
              <c:numCache>
                <c:formatCode>0.0%</c:formatCode>
                <c:ptCount val="10"/>
                <c:pt idx="0">
                  <c:v>3.8069958119506871E-2</c:v>
                </c:pt>
                <c:pt idx="1">
                  <c:v>6.6320611887768138E-2</c:v>
                </c:pt>
                <c:pt idx="2">
                  <c:v>0.17878448258911894</c:v>
                </c:pt>
                <c:pt idx="3">
                  <c:v>0.16083682337442734</c:v>
                </c:pt>
                <c:pt idx="4">
                  <c:v>0.21886785033130812</c:v>
                </c:pt>
                <c:pt idx="5">
                  <c:v>9.7729015513478443E-2</c:v>
                </c:pt>
                <c:pt idx="6">
                  <c:v>0.23939125818439214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6"/>
          <c:tx>
            <c:strRef>
              <c:f>'GC-MS'!$V$58</c:f>
              <c:strCache>
                <c:ptCount val="1"/>
                <c:pt idx="0">
                  <c:v>EF-D2O-1-7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'GC-MS'!$W$58:$AF$58</c:f>
              <c:numCache>
                <c:formatCode>0.0%</c:formatCode>
                <c:ptCount val="10"/>
                <c:pt idx="0">
                  <c:v>3.0400293739311291E-2</c:v>
                </c:pt>
                <c:pt idx="1">
                  <c:v>3.6685378583644242E-2</c:v>
                </c:pt>
                <c:pt idx="2">
                  <c:v>0.1083570312615512</c:v>
                </c:pt>
                <c:pt idx="3">
                  <c:v>0.11619213310925032</c:v>
                </c:pt>
                <c:pt idx="4">
                  <c:v>0.2913169476739888</c:v>
                </c:pt>
                <c:pt idx="5">
                  <c:v>0.1088917748064327</c:v>
                </c:pt>
                <c:pt idx="6">
                  <c:v>0.30649060379199711</c:v>
                </c:pt>
                <c:pt idx="7">
                  <c:v>1.6658370338243774E-3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7"/>
          <c:tx>
            <c:strRef>
              <c:f>'GC-MS'!$V$59</c:f>
              <c:strCache>
                <c:ptCount val="1"/>
                <c:pt idx="0">
                  <c:v>EF-D2O-1-8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'GC-MS'!$W$59:$AF$59</c:f>
              <c:numCache>
                <c:formatCode>0.0%</c:formatCode>
                <c:ptCount val="10"/>
                <c:pt idx="0">
                  <c:v>2.520505133763544E-2</c:v>
                </c:pt>
                <c:pt idx="1">
                  <c:v>2.9187844205381428E-2</c:v>
                </c:pt>
                <c:pt idx="2">
                  <c:v>0.10014072245246998</c:v>
                </c:pt>
                <c:pt idx="3">
                  <c:v>0.10198131035960474</c:v>
                </c:pt>
                <c:pt idx="4">
                  <c:v>0.3020369044149015</c:v>
                </c:pt>
                <c:pt idx="5">
                  <c:v>0.10542312288023535</c:v>
                </c:pt>
                <c:pt idx="6">
                  <c:v>0.33231250036194049</c:v>
                </c:pt>
                <c:pt idx="7">
                  <c:v>3.7125439878310791E-3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tx>
            <c:strRef>
              <c:f>'GC-MS'!$V$60</c:f>
              <c:strCache>
                <c:ptCount val="1"/>
                <c:pt idx="0">
                  <c:v>EF-D2O-1-9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'GC-MS'!$W$60:$AF$60</c:f>
              <c:numCache>
                <c:formatCode>0.0%</c:formatCode>
                <c:ptCount val="10"/>
                <c:pt idx="0">
                  <c:v>2.5467972198741428E-2</c:v>
                </c:pt>
                <c:pt idx="1">
                  <c:v>1.463816098431483E-2</c:v>
                </c:pt>
                <c:pt idx="2">
                  <c:v>7.7265192072884376E-2</c:v>
                </c:pt>
                <c:pt idx="3">
                  <c:v>6.5750915750915753E-2</c:v>
                </c:pt>
                <c:pt idx="4">
                  <c:v>0.33376819761435145</c:v>
                </c:pt>
                <c:pt idx="5">
                  <c:v>8.3831830562599796E-2</c:v>
                </c:pt>
                <c:pt idx="6">
                  <c:v>0.39493566262797031</c:v>
                </c:pt>
                <c:pt idx="7">
                  <c:v>4.3420681882220345E-3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17807512"/>
        <c:axId val="217807904"/>
      </c:barChart>
      <c:catAx>
        <c:axId val="21780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7904"/>
        <c:crosses val="autoZero"/>
        <c:auto val="1"/>
        <c:lblAlgn val="ctr"/>
        <c:lblOffset val="100"/>
        <c:noMultiLvlLbl val="0"/>
      </c:catAx>
      <c:valAx>
        <c:axId val="217807904"/>
        <c:scaling>
          <c:orientation val="minMax"/>
          <c:max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integrated EIC</a:t>
                </a:r>
              </a:p>
            </c:rich>
          </c:tx>
          <c:layout/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751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4522222125765747"/>
          <c:y val="0.21233424371782603"/>
          <c:w val="0.13736123105877832"/>
          <c:h val="0.35305261787782422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'GC-MS'!$AN$51</c:f>
              <c:strCache>
                <c:ptCount val="1"/>
                <c:pt idx="0">
                  <c:v>CH4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'GC-MS'!$AM$52:$AM$60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'GC-MS'!$AN$52:$AN$60</c:f>
              <c:numCache>
                <c:formatCode>0.0%</c:formatCode>
                <c:ptCount val="9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9.4709920825658059E-2</c:v>
                </c:pt>
                <c:pt idx="5">
                  <c:v>0.11238737574757954</c:v>
                </c:pt>
                <c:pt idx="6">
                  <c:v>3.9505876562104698E-2</c:v>
                </c:pt>
                <c:pt idx="7">
                  <c:v>3.2288465148546386E-2</c:v>
                </c:pt>
                <c:pt idx="8">
                  <c:v>1.2567942125597925E-2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'GC-MS'!$AO$51</c:f>
              <c:strCache>
                <c:ptCount val="1"/>
                <c:pt idx="0">
                  <c:v>CH3D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'GC-MS'!$AM$52:$AM$60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'GC-MS'!$AO$52:$AO$60</c:f>
              <c:numCache>
                <c:formatCode>0.0%</c:formatCode>
                <c:ptCount val="9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0.15179255811661416</c:v>
                </c:pt>
                <c:pt idx="5">
                  <c:v>0.13592114735692765</c:v>
                </c:pt>
                <c:pt idx="6">
                  <c:v>6.9302002952141908E-2</c:v>
                </c:pt>
                <c:pt idx="7">
                  <c:v>5.6897609279093195E-2</c:v>
                </c:pt>
                <c:pt idx="8">
                  <c:v>2.9953290689136124E-2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'GC-MS'!$AP$51</c:f>
              <c:strCache>
                <c:ptCount val="1"/>
                <c:pt idx="0">
                  <c:v>CH2D2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strRef>
              <c:f>'GC-MS'!$AM$52:$AM$60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'GC-MS'!$AP$52:$AP$60</c:f>
              <c:numCache>
                <c:formatCode>0.0%</c:formatCode>
                <c:ptCount val="9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-2.1114052642243416E-2</c:v>
                </c:pt>
                <c:pt idx="5">
                  <c:v>-4.0353791510967059E-3</c:v>
                </c:pt>
                <c:pt idx="6">
                  <c:v>1.4402015947928996E-2</c:v>
                </c:pt>
                <c:pt idx="7">
                  <c:v>6.2858737507859421E-3</c:v>
                </c:pt>
                <c:pt idx="8">
                  <c:v>-8.0906517759883156E-4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'GC-MS'!$AQ$51</c:f>
              <c:strCache>
                <c:ptCount val="1"/>
                <c:pt idx="0">
                  <c:v>CHD3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'GC-MS'!$AM$52:$AM$60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'GC-MS'!$AQ$52:$AQ$60</c:f>
              <c:numCache>
                <c:formatCode>0.0%</c:formatCode>
                <c:ptCount val="9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0.25086446040410654</c:v>
                </c:pt>
                <c:pt idx="5">
                  <c:v>0.22869497497393276</c:v>
                </c:pt>
                <c:pt idx="6">
                  <c:v>0.24034832157926433</c:v>
                </c:pt>
                <c:pt idx="7">
                  <c:v>0.22809608075326976</c:v>
                </c:pt>
                <c:pt idx="8">
                  <c:v>0.17641092664908556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'GC-MS'!$AR$51</c:f>
              <c:strCache>
                <c:ptCount val="1"/>
                <c:pt idx="0">
                  <c:v>CD4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'GC-MS'!$AM$52:$AM$60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'GC-MS'!$AR$52:$AR$60</c:f>
              <c:numCache>
                <c:formatCode>0.0%</c:formatCode>
                <c:ptCount val="9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0.52374711329586465</c:v>
                </c:pt>
                <c:pt idx="5">
                  <c:v>0.52703188107265675</c:v>
                </c:pt>
                <c:pt idx="6">
                  <c:v>0.63644178295856013</c:v>
                </c:pt>
                <c:pt idx="7">
                  <c:v>0.67643197106830466</c:v>
                </c:pt>
                <c:pt idx="8">
                  <c:v>0.78187690571377921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642024"/>
        <c:axId val="219642416"/>
      </c:lineChart>
      <c:catAx>
        <c:axId val="219642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9642416"/>
        <c:crosses val="autoZero"/>
        <c:auto val="1"/>
        <c:lblAlgn val="ctr"/>
        <c:lblOffset val="100"/>
        <c:noMultiLvlLbl val="0"/>
      </c:catAx>
      <c:valAx>
        <c:axId val="2196424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219642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'GC-MS'!$V$45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'GC-MS'!$W$45:$AF$45</c:f>
              <c:numCache>
                <c:formatCode>0.0%</c:formatCode>
                <c:ptCount val="10"/>
                <c:pt idx="0">
                  <c:v>8.3591646868654404E-2</c:v>
                </c:pt>
                <c:pt idx="1">
                  <c:v>0.40864306361927222</c:v>
                </c:pt>
                <c:pt idx="2">
                  <c:v>0.50049967681915608</c:v>
                </c:pt>
                <c:pt idx="3">
                  <c:v>6.8880843643649766E-3</c:v>
                </c:pt>
                <c:pt idx="4">
                  <c:v>0</c:v>
                </c:pt>
                <c:pt idx="5">
                  <c:v>3.7752832855229563E-4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'GC-MS'!$V$46</c:f>
              <c:strCache>
                <c:ptCount val="1"/>
                <c:pt idx="0">
                  <c:v>CH3D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val>
            <c:numRef>
              <c:f>'GC-MS'!$W$46:$AF$46</c:f>
              <c:numCache>
                <c:formatCode>0.0%</c:formatCode>
                <c:ptCount val="10"/>
                <c:pt idx="0">
                  <c:v>3.8709384923865088E-2</c:v>
                </c:pt>
                <c:pt idx="1">
                  <c:v>9.6898344588537619E-2</c:v>
                </c:pt>
                <c:pt idx="2">
                  <c:v>0.36692927665134145</c:v>
                </c:pt>
                <c:pt idx="3">
                  <c:v>0.49108163303156882</c:v>
                </c:pt>
                <c:pt idx="4">
                  <c:v>6.381360804687001E-3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'GC-MS'!$V$47</c:f>
              <c:strCache>
                <c:ptCount val="1"/>
                <c:pt idx="0">
                  <c:v>CH2D2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'GC-MS'!$W$47:$AF$47</c:f>
              <c:numCache>
                <c:formatCode>0.0%</c:formatCode>
                <c:ptCount val="10"/>
                <c:pt idx="0">
                  <c:v>2.4053878209966535E-2</c:v>
                </c:pt>
                <c:pt idx="1">
                  <c:v>4.4852001712943949E-2</c:v>
                </c:pt>
                <c:pt idx="2">
                  <c:v>0.13985230256895848</c:v>
                </c:pt>
                <c:pt idx="3">
                  <c:v>0.30219543958582507</c:v>
                </c:pt>
                <c:pt idx="4">
                  <c:v>0.48241259077142651</c:v>
                </c:pt>
                <c:pt idx="5">
                  <c:v>6.6337871508794673E-3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'GC-MS'!$V$48</c:f>
              <c:strCache>
                <c:ptCount val="1"/>
                <c:pt idx="0">
                  <c:v>CHD3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invertIfNegative val="0"/>
          <c:val>
            <c:numRef>
              <c:f>'GC-MS'!$W$48:$AF$48</c:f>
              <c:numCache>
                <c:formatCode>0.0%</c:formatCode>
                <c:ptCount val="10"/>
                <c:pt idx="0">
                  <c:v>2.235048153680411E-2</c:v>
                </c:pt>
                <c:pt idx="1">
                  <c:v>2.2299687838232732E-2</c:v>
                </c:pt>
                <c:pt idx="2">
                  <c:v>4.4345407183608562E-2</c:v>
                </c:pt>
                <c:pt idx="3">
                  <c:v>0.21454129527693852</c:v>
                </c:pt>
                <c:pt idx="4">
                  <c:v>0.20406838713075803</c:v>
                </c:pt>
                <c:pt idx="5">
                  <c:v>0.48825536814143977</c:v>
                </c:pt>
                <c:pt idx="6">
                  <c:v>4.1393728922182798E-3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'GC-MS'!$V$49</c:f>
              <c:strCache>
                <c:ptCount val="1"/>
                <c:pt idx="0">
                  <c:v>CD4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</c:spPr>
          <c:invertIfNegative val="0"/>
          <c:val>
            <c:numRef>
              <c:f>'GC-MS'!$W$49:$AF$49</c:f>
              <c:numCache>
                <c:formatCode>0.0%</c:formatCode>
                <c:ptCount val="10"/>
                <c:pt idx="0">
                  <c:v>2.4005372838084786E-2</c:v>
                </c:pt>
                <c:pt idx="1">
                  <c:v>0</c:v>
                </c:pt>
                <c:pt idx="2">
                  <c:v>6.1541782660904057E-2</c:v>
                </c:pt>
                <c:pt idx="3">
                  <c:v>0</c:v>
                </c:pt>
                <c:pt idx="4">
                  <c:v>0.39359337030157754</c:v>
                </c:pt>
                <c:pt idx="5">
                  <c:v>0</c:v>
                </c:pt>
                <c:pt idx="6">
                  <c:v>0.51898107963463502</c:v>
                </c:pt>
                <c:pt idx="7">
                  <c:v>1.8783945647986161E-3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19642808"/>
        <c:axId val="219643200"/>
      </c:barChart>
      <c:catAx>
        <c:axId val="21964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3200"/>
        <c:crosses val="autoZero"/>
        <c:auto val="1"/>
        <c:lblAlgn val="ctr"/>
        <c:lblOffset val="100"/>
        <c:noMultiLvlLbl val="0"/>
      </c:catAx>
      <c:valAx>
        <c:axId val="2196432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</a:t>
                </a:r>
                <a:r>
                  <a:rPr lang="en-US"/>
                  <a:t>integrated</a:t>
                </a:r>
                <a:r>
                  <a:rPr lang="en-US" baseline="0"/>
                  <a:t> EIC</a:t>
                </a:r>
                <a:endParaRPr lang="en-US"/>
              </a:p>
            </c:rich>
          </c:tx>
          <c:layout/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280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64713133610553"/>
          <c:y val="0.21884227721045529"/>
          <c:w val="9.7083156094554354E-2"/>
          <c:h val="0.2614005458890665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'GC-MS'!$AN$51</c:f>
              <c:strCache>
                <c:ptCount val="1"/>
                <c:pt idx="0">
                  <c:v>CH4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'GC-MS'!$AM$76:$AM$83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'GC-MS'!$AN$76:$AN$83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'GC-MS'!$AO$51</c:f>
              <c:strCache>
                <c:ptCount val="1"/>
                <c:pt idx="0">
                  <c:v>CH3D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'GC-MS'!$AM$76:$AM$83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'GC-MS'!$AO$76:$AO$83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'GC-MS'!$AP$51</c:f>
              <c:strCache>
                <c:ptCount val="1"/>
                <c:pt idx="0">
                  <c:v>CH2D2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strRef>
              <c:f>'GC-MS'!$AM$76:$AM$83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'GC-MS'!$AQ$51</c:f>
              <c:strCache>
                <c:ptCount val="1"/>
                <c:pt idx="0">
                  <c:v>CHD3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'GC-MS'!$AM$76:$AM$83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'GC-MS'!$AR$51</c:f>
              <c:strCache>
                <c:ptCount val="1"/>
                <c:pt idx="0">
                  <c:v>CD4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'GC-MS'!$AM$76:$AM$83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643984"/>
        <c:axId val="219644376"/>
      </c:lineChart>
      <c:catAx>
        <c:axId val="219643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9644376"/>
        <c:crosses val="autoZero"/>
        <c:auto val="1"/>
        <c:lblAlgn val="ctr"/>
        <c:lblOffset val="100"/>
        <c:noMultiLvlLbl val="0"/>
      </c:catAx>
      <c:valAx>
        <c:axId val="219644376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(mol/kg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out"/>
        <c:minorTickMark val="none"/>
        <c:tickLblPos val="nextTo"/>
        <c:crossAx val="219643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'GC-MS'!$AN$63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'GC-MS'!$AN$64:$AN$71</c:f>
              <c:numCache>
                <c:formatCode>0.0%</c:formatCode>
                <c:ptCount val="8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0.10354864828661881</c:v>
                </c:pt>
                <c:pt idx="5">
                  <c:v>3.9505876562104698E-2</c:v>
                </c:pt>
                <c:pt idx="6">
                  <c:v>3.2288465148546386E-2</c:v>
                </c:pt>
                <c:pt idx="7">
                  <c:v>1.2567942125597925E-2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'GC-MS'!$AO$63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'GC-MS'!$AO$64:$AO$71</c:f>
              <c:numCache>
                <c:formatCode>0.0%</c:formatCode>
                <c:ptCount val="8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0.1438568527367709</c:v>
                </c:pt>
                <c:pt idx="5">
                  <c:v>6.9302002952141908E-2</c:v>
                </c:pt>
                <c:pt idx="6">
                  <c:v>5.6897609279093195E-2</c:v>
                </c:pt>
                <c:pt idx="7">
                  <c:v>2.9953290689136124E-2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'GC-MS'!$AP$63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'GC-MS'!$AP$64:$AP$71</c:f>
              <c:numCache>
                <c:formatCode>0.0%</c:formatCode>
                <c:ptCount val="8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-1.2574715896670061E-2</c:v>
                </c:pt>
                <c:pt idx="5">
                  <c:v>1.4402015947928996E-2</c:v>
                </c:pt>
                <c:pt idx="6">
                  <c:v>6.2858737507859421E-3</c:v>
                </c:pt>
                <c:pt idx="7">
                  <c:v>-8.0906517759883156E-4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'GC-MS'!$AQ$63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'GC-MS'!$AQ$64:$AQ$71</c:f>
              <c:numCache>
                <c:formatCode>0.0%</c:formatCode>
                <c:ptCount val="8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0.23977971768901965</c:v>
                </c:pt>
                <c:pt idx="5">
                  <c:v>0.24034832157926433</c:v>
                </c:pt>
                <c:pt idx="6">
                  <c:v>0.22809608075326976</c:v>
                </c:pt>
                <c:pt idx="7">
                  <c:v>0.17641092664908556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'GC-MS'!$AR$63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'GC-MS'!$AR$64:$AR$71</c:f>
              <c:numCache>
                <c:formatCode>0.0%</c:formatCode>
                <c:ptCount val="8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0.52538949718426076</c:v>
                </c:pt>
                <c:pt idx="5">
                  <c:v>0.63644178295856013</c:v>
                </c:pt>
                <c:pt idx="6">
                  <c:v>0.67643197106830466</c:v>
                </c:pt>
                <c:pt idx="7">
                  <c:v>0.78187690571377921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45160"/>
        <c:axId val="219645552"/>
      </c:scatterChart>
      <c:valAx>
        <c:axId val="219645160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crossAx val="219645552"/>
        <c:crosses val="autoZero"/>
        <c:crossBetween val="midCat"/>
      </c:valAx>
      <c:valAx>
        <c:axId val="219645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calculated relative abundance</a:t>
                </a:r>
              </a:p>
            </c:rich>
          </c:tx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516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58533404396369"/>
          <c:y val="4.7843672170307487E-2"/>
          <c:w val="0.74008978798926417"/>
          <c:h val="0.75282409386727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'GC-MS'!$AN$75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'GC-MS'!$AN$76:$AN$83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'GC-MS'!$AO$75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'GC-MS'!$AO$76:$AO$83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'GC-MS'!$AP$75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'GC-MS'!$AQ$75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'GC-MS'!$AR$75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46336"/>
        <c:axId val="219646728"/>
      </c:scatterChart>
      <c:valAx>
        <c:axId val="219646336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6728"/>
        <c:crossesAt val="1.0000000000000004E-6"/>
        <c:crossBetween val="midCat"/>
      </c:valAx>
      <c:valAx>
        <c:axId val="219646728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633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'GC-MS'!$AN$63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'GC-MS'!$AN$64:$AN$71</c:f>
              <c:numCache>
                <c:formatCode>0.0%</c:formatCode>
                <c:ptCount val="8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0.10354864828661881</c:v>
                </c:pt>
                <c:pt idx="5">
                  <c:v>3.9505876562104698E-2</c:v>
                </c:pt>
                <c:pt idx="6">
                  <c:v>3.2288465148546386E-2</c:v>
                </c:pt>
                <c:pt idx="7">
                  <c:v>1.2567942125597925E-2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'GC-MS'!$AO$63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'GC-MS'!$AO$64:$AO$71</c:f>
              <c:numCache>
                <c:formatCode>0.0%</c:formatCode>
                <c:ptCount val="8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0.1438568527367709</c:v>
                </c:pt>
                <c:pt idx="5">
                  <c:v>6.9302002952141908E-2</c:v>
                </c:pt>
                <c:pt idx="6">
                  <c:v>5.6897609279093195E-2</c:v>
                </c:pt>
                <c:pt idx="7">
                  <c:v>2.9953290689136124E-2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'GC-MS'!$AP$63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'GC-MS'!$AP$64:$AP$71</c:f>
              <c:numCache>
                <c:formatCode>0.0%</c:formatCode>
                <c:ptCount val="8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-1.2574715896670061E-2</c:v>
                </c:pt>
                <c:pt idx="5">
                  <c:v>1.4402015947928996E-2</c:v>
                </c:pt>
                <c:pt idx="6">
                  <c:v>6.2858737507859421E-3</c:v>
                </c:pt>
                <c:pt idx="7">
                  <c:v>-8.0906517759883156E-4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'GC-MS'!$AQ$63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'GC-MS'!$AQ$64:$AQ$71</c:f>
              <c:numCache>
                <c:formatCode>0.0%</c:formatCode>
                <c:ptCount val="8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0.23977971768901965</c:v>
                </c:pt>
                <c:pt idx="5">
                  <c:v>0.24034832157926433</c:v>
                </c:pt>
                <c:pt idx="6">
                  <c:v>0.22809608075326976</c:v>
                </c:pt>
                <c:pt idx="7">
                  <c:v>0.17641092664908556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'GC-MS'!$AR$63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'GC-MS'!$AL$64:$AL$71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'GC-MS'!$AR$64:$AR$71</c:f>
              <c:numCache>
                <c:formatCode>0.0%</c:formatCode>
                <c:ptCount val="8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0.52538949718426076</c:v>
                </c:pt>
                <c:pt idx="5">
                  <c:v>0.63644178295856013</c:v>
                </c:pt>
                <c:pt idx="6">
                  <c:v>0.67643197106830466</c:v>
                </c:pt>
                <c:pt idx="7">
                  <c:v>0.78187690571377921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47512"/>
        <c:axId val="219647904"/>
      </c:scatterChart>
      <c:valAx>
        <c:axId val="219647512"/>
        <c:scaling>
          <c:orientation val="minMax"/>
          <c:max val="1000"/>
          <c:min val="0"/>
        </c:scaling>
        <c:delete val="0"/>
        <c:axPos val="b"/>
        <c:numFmt formatCode="0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crossAx val="219647904"/>
        <c:crossesAt val="-20"/>
        <c:crossBetween val="midCat"/>
      </c:valAx>
      <c:valAx>
        <c:axId val="219647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calculated relative abundance</a:t>
                </a:r>
              </a:p>
            </c:rich>
          </c:tx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751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58533404396369"/>
          <c:y val="4.7843672170307487E-2"/>
          <c:w val="0.74008978798926417"/>
          <c:h val="0.75282409386727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'GC-MS'!$AN$75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'GC-MS'!$AN$76:$AN$83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'GC-MS'!$AO$75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'GC-MS'!$AO$76:$AO$83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'GC-MS'!$AP$75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'GC-MS'!$AQ$75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'GC-MS'!$AR$75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'GC-MS'!$AL$76:$AL$83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48688"/>
        <c:axId val="219649080"/>
      </c:scatterChart>
      <c:valAx>
        <c:axId val="21964868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9080"/>
        <c:crossesAt val="1.0000000000000004E-6"/>
        <c:crossBetween val="midCat"/>
      </c:valAx>
      <c:valAx>
        <c:axId val="219649080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964868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'GC-MS'!$V$52</c:f>
              <c:strCache>
                <c:ptCount val="1"/>
                <c:pt idx="0">
                  <c:v>EF-D2O-1-2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'GC-MS'!$W$52:$AF$52</c:f>
              <c:numCache>
                <c:formatCode>0.0%</c:formatCode>
                <c:ptCount val="10"/>
                <c:pt idx="0">
                  <c:v>7.7454101824024763E-2</c:v>
                </c:pt>
                <c:pt idx="1">
                  <c:v>0.35087928110215133</c:v>
                </c:pt>
                <c:pt idx="2">
                  <c:v>0.57166661707382393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37224"/>
        <c:axId val="221237616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3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7616"/>
        <c:crosses val="autoZero"/>
        <c:auto val="1"/>
        <c:lblAlgn val="ctr"/>
        <c:lblOffset val="100"/>
        <c:noMultiLvlLbl val="0"/>
      </c:catAx>
      <c:valAx>
        <c:axId val="221237616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722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7"/>
          <c:order val="1"/>
          <c:tx>
            <c:strRef>
              <c:f>'GC-MS'!$V$53</c:f>
              <c:strCache>
                <c:ptCount val="1"/>
                <c:pt idx="0">
                  <c:v>EF-D2O-1-3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'GC-MS'!$W$53:$AF$53</c:f>
              <c:numCache>
                <c:formatCode>0.0%</c:formatCode>
                <c:ptCount val="10"/>
                <c:pt idx="0">
                  <c:v>5.7957952259876287E-2</c:v>
                </c:pt>
                <c:pt idx="1">
                  <c:v>0.15177792114151265</c:v>
                </c:pt>
                <c:pt idx="2">
                  <c:v>0.34115403589996585</c:v>
                </c:pt>
                <c:pt idx="3">
                  <c:v>0.18310500550263747</c:v>
                </c:pt>
                <c:pt idx="4">
                  <c:v>0.11102045463170278</c:v>
                </c:pt>
                <c:pt idx="5">
                  <c:v>6.5471898599673631E-2</c:v>
                </c:pt>
                <c:pt idx="6">
                  <c:v>8.9512731964631317E-2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38792"/>
        <c:axId val="221239184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38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9184"/>
        <c:crosses val="autoZero"/>
        <c:auto val="1"/>
        <c:lblAlgn val="ctr"/>
        <c:lblOffset val="100"/>
        <c:noMultiLvlLbl val="0"/>
      </c:catAx>
      <c:valAx>
        <c:axId val="221239184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879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tx>
            <c:strRef>
              <c:f>'GC-MS'!$V$54</c:f>
              <c:strCache>
                <c:ptCount val="1"/>
                <c:pt idx="0">
                  <c:v>EF-D2O-1-4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'GC-MS'!$W$54:$AF$54</c:f>
              <c:numCache>
                <c:formatCode>0.0%</c:formatCode>
                <c:ptCount val="10"/>
                <c:pt idx="0">
                  <c:v>4.6850629874025197E-2</c:v>
                </c:pt>
                <c:pt idx="1">
                  <c:v>0.11455458908218356</c:v>
                </c:pt>
                <c:pt idx="2">
                  <c:v>0.21811637672465506</c:v>
                </c:pt>
                <c:pt idx="3">
                  <c:v>0.18871850629874026</c:v>
                </c:pt>
                <c:pt idx="4">
                  <c:v>0.18691886622675466</c:v>
                </c:pt>
                <c:pt idx="5">
                  <c:v>7.359028194361128E-2</c:v>
                </c:pt>
                <c:pt idx="6">
                  <c:v>0.17125074985003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39968"/>
        <c:axId val="22124036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40360"/>
        <c:crosses val="autoZero"/>
        <c:auto val="1"/>
        <c:lblAlgn val="ctr"/>
        <c:lblOffset val="100"/>
        <c:noMultiLvlLbl val="0"/>
      </c:catAx>
      <c:valAx>
        <c:axId val="22124036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996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3"/>
          <c:tx>
            <c:strRef>
              <c:f>'GC-MS'!$V$55</c:f>
              <c:strCache>
                <c:ptCount val="1"/>
                <c:pt idx="0">
                  <c:v>EF-D2O-1-5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'GC-MS'!$W$55:$AF$55</c:f>
              <c:numCache>
                <c:formatCode>0.0%</c:formatCode>
                <c:ptCount val="10"/>
                <c:pt idx="0">
                  <c:v>4.1326315075378435E-2</c:v>
                </c:pt>
                <c:pt idx="1">
                  <c:v>8.1816976413596185E-2</c:v>
                </c:pt>
                <c:pt idx="2">
                  <c:v>0.17760879687447001</c:v>
                </c:pt>
                <c:pt idx="3">
                  <c:v>0.19234220483075698</c:v>
                </c:pt>
                <c:pt idx="4">
                  <c:v>0.19643104931590485</c:v>
                </c:pt>
                <c:pt idx="5">
                  <c:v>0.10414527423935467</c:v>
                </c:pt>
                <c:pt idx="6">
                  <c:v>0.20632938325053884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41144"/>
        <c:axId val="221241536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41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41536"/>
        <c:crosses val="autoZero"/>
        <c:auto val="1"/>
        <c:lblAlgn val="ctr"/>
        <c:lblOffset val="100"/>
        <c:noMultiLvlLbl val="0"/>
      </c:catAx>
      <c:valAx>
        <c:axId val="221241536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4114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4"/>
          <c:tx>
            <c:strRef>
              <c:f>'GC-MS'!$V$56</c:f>
              <c:strCache>
                <c:ptCount val="1"/>
                <c:pt idx="0">
                  <c:v>EF-D2O-1-6(1)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'GC-MS'!$W$56:$AF$56</c:f>
              <c:numCache>
                <c:formatCode>0.0%</c:formatCode>
                <c:ptCount val="10"/>
                <c:pt idx="0">
                  <c:v>4.0795062915765005E-2</c:v>
                </c:pt>
                <c:pt idx="1">
                  <c:v>6.9911036306804522E-2</c:v>
                </c:pt>
                <c:pt idx="2">
                  <c:v>0.16626753225935723</c:v>
                </c:pt>
                <c:pt idx="3">
                  <c:v>0.17360583473591409</c:v>
                </c:pt>
                <c:pt idx="4">
                  <c:v>0.2058379418129358</c:v>
                </c:pt>
                <c:pt idx="5">
                  <c:v>0.10673078464374448</c:v>
                </c:pt>
                <c:pt idx="6">
                  <c:v>0.23685180732547889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17801632"/>
        <c:axId val="217802416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1780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2416"/>
        <c:crosses val="autoZero"/>
        <c:auto val="1"/>
        <c:lblAlgn val="ctr"/>
        <c:lblOffset val="100"/>
        <c:noMultiLvlLbl val="0"/>
      </c:catAx>
      <c:valAx>
        <c:axId val="217802416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780163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5"/>
          <c:tx>
            <c:strRef>
              <c:f>'GC-MS'!$V$57</c:f>
              <c:strCache>
                <c:ptCount val="1"/>
                <c:pt idx="0">
                  <c:v>EF-D2O-1-6(2)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'GC-MS'!$W$57:$AF$57</c:f>
              <c:numCache>
                <c:formatCode>0.0%</c:formatCode>
                <c:ptCount val="10"/>
                <c:pt idx="0">
                  <c:v>3.8069958119506871E-2</c:v>
                </c:pt>
                <c:pt idx="1">
                  <c:v>6.6320611887768138E-2</c:v>
                </c:pt>
                <c:pt idx="2">
                  <c:v>0.17878448258911894</c:v>
                </c:pt>
                <c:pt idx="3">
                  <c:v>0.16083682337442734</c:v>
                </c:pt>
                <c:pt idx="4">
                  <c:v>0.21886785033130812</c:v>
                </c:pt>
                <c:pt idx="5">
                  <c:v>9.7729015513478443E-2</c:v>
                </c:pt>
                <c:pt idx="6">
                  <c:v>0.23939125818439214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36440"/>
        <c:axId val="22124232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3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42320"/>
        <c:crosses val="autoZero"/>
        <c:auto val="1"/>
        <c:lblAlgn val="ctr"/>
        <c:lblOffset val="100"/>
        <c:noMultiLvlLbl val="0"/>
      </c:catAx>
      <c:valAx>
        <c:axId val="22124232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3644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6"/>
          <c:tx>
            <c:strRef>
              <c:f>'GC-MS'!$V$58</c:f>
              <c:strCache>
                <c:ptCount val="1"/>
                <c:pt idx="0">
                  <c:v>EF-D2O-1-7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'GC-MS'!$W$58:$AF$58</c:f>
              <c:numCache>
                <c:formatCode>0.0%</c:formatCode>
                <c:ptCount val="10"/>
                <c:pt idx="0">
                  <c:v>3.0400293739311291E-2</c:v>
                </c:pt>
                <c:pt idx="1">
                  <c:v>3.6685378583644242E-2</c:v>
                </c:pt>
                <c:pt idx="2">
                  <c:v>0.1083570312615512</c:v>
                </c:pt>
                <c:pt idx="3">
                  <c:v>0.11619213310925032</c:v>
                </c:pt>
                <c:pt idx="4">
                  <c:v>0.2913169476739888</c:v>
                </c:pt>
                <c:pt idx="5">
                  <c:v>0.1088917748064327</c:v>
                </c:pt>
                <c:pt idx="6">
                  <c:v>0.30649060379199711</c:v>
                </c:pt>
                <c:pt idx="7">
                  <c:v>1.6658370338243774E-3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243496"/>
        <c:axId val="221559248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24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559248"/>
        <c:crosses val="autoZero"/>
        <c:auto val="1"/>
        <c:lblAlgn val="ctr"/>
        <c:lblOffset val="100"/>
        <c:noMultiLvlLbl val="0"/>
      </c:catAx>
      <c:valAx>
        <c:axId val="221559248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243496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5"/>
          <c:order val="7"/>
          <c:tx>
            <c:strRef>
              <c:f>'GC-MS'!$V$59</c:f>
              <c:strCache>
                <c:ptCount val="1"/>
                <c:pt idx="0">
                  <c:v>EF-D2O-1-8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'GC-MS'!$W$59:$AF$59</c:f>
              <c:numCache>
                <c:formatCode>0.0%</c:formatCode>
                <c:ptCount val="10"/>
                <c:pt idx="0">
                  <c:v>2.520505133763544E-2</c:v>
                </c:pt>
                <c:pt idx="1">
                  <c:v>2.9187844205381428E-2</c:v>
                </c:pt>
                <c:pt idx="2">
                  <c:v>0.10014072245246998</c:v>
                </c:pt>
                <c:pt idx="3">
                  <c:v>0.10198131035960474</c:v>
                </c:pt>
                <c:pt idx="4">
                  <c:v>0.3020369044149015</c:v>
                </c:pt>
                <c:pt idx="5">
                  <c:v>0.10542312288023535</c:v>
                </c:pt>
                <c:pt idx="6">
                  <c:v>0.33231250036194049</c:v>
                </c:pt>
                <c:pt idx="7">
                  <c:v>3.7125439878310791E-3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560032"/>
        <c:axId val="221560424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56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560424"/>
        <c:crosses val="autoZero"/>
        <c:auto val="1"/>
        <c:lblAlgn val="ctr"/>
        <c:lblOffset val="100"/>
        <c:noMultiLvlLbl val="0"/>
      </c:catAx>
      <c:valAx>
        <c:axId val="221560424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56003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'GC-MS'!$V$60</c:f>
              <c:strCache>
                <c:ptCount val="1"/>
                <c:pt idx="0">
                  <c:v>EF-D2O-1-9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'GC-MS'!$W$60:$AF$60</c:f>
              <c:numCache>
                <c:formatCode>0.0%</c:formatCode>
                <c:ptCount val="10"/>
                <c:pt idx="0">
                  <c:v>2.5467972198741428E-2</c:v>
                </c:pt>
                <c:pt idx="1">
                  <c:v>1.463816098431483E-2</c:v>
                </c:pt>
                <c:pt idx="2">
                  <c:v>7.7265192072884376E-2</c:v>
                </c:pt>
                <c:pt idx="3">
                  <c:v>6.5750915750915753E-2</c:v>
                </c:pt>
                <c:pt idx="4">
                  <c:v>0.33376819761435145</c:v>
                </c:pt>
                <c:pt idx="5">
                  <c:v>8.3831830562599796E-2</c:v>
                </c:pt>
                <c:pt idx="6">
                  <c:v>0.39493566262797031</c:v>
                </c:pt>
                <c:pt idx="7">
                  <c:v>4.3420681882220345E-3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221561208"/>
        <c:axId val="22156160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156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561600"/>
        <c:crosses val="autoZero"/>
        <c:auto val="1"/>
        <c:lblAlgn val="ctr"/>
        <c:lblOffset val="100"/>
        <c:noMultiLvlLbl val="0"/>
      </c:catAx>
      <c:valAx>
        <c:axId val="22156160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2156120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11</xdr:col>
      <xdr:colOff>196103</xdr:colOff>
      <xdr:row>31</xdr:row>
      <xdr:rowOff>89640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17</xdr:col>
      <xdr:colOff>443753</xdr:colOff>
      <xdr:row>31</xdr:row>
      <xdr:rowOff>89640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24</xdr:col>
      <xdr:colOff>196103</xdr:colOff>
      <xdr:row>31</xdr:row>
      <xdr:rowOff>89640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16</xdr:row>
      <xdr:rowOff>0</xdr:rowOff>
    </xdr:from>
    <xdr:to>
      <xdr:col>28</xdr:col>
      <xdr:colOff>2691653</xdr:colOff>
      <xdr:row>31</xdr:row>
      <xdr:rowOff>89640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11</xdr:col>
      <xdr:colOff>196103</xdr:colOff>
      <xdr:row>47</xdr:row>
      <xdr:rowOff>89640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17</xdr:col>
      <xdr:colOff>443753</xdr:colOff>
      <xdr:row>47</xdr:row>
      <xdr:rowOff>89640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24</xdr:col>
      <xdr:colOff>196103</xdr:colOff>
      <xdr:row>47</xdr:row>
      <xdr:rowOff>89640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66</xdr:row>
      <xdr:rowOff>0</xdr:rowOff>
    </xdr:from>
    <xdr:to>
      <xdr:col>56</xdr:col>
      <xdr:colOff>125017</xdr:colOff>
      <xdr:row>96</xdr:row>
      <xdr:rowOff>139303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529828</xdr:colOff>
      <xdr:row>61</xdr:row>
      <xdr:rowOff>170259</xdr:rowOff>
    </xdr:from>
    <xdr:to>
      <xdr:col>31</xdr:col>
      <xdr:colOff>244078</xdr:colOff>
      <xdr:row>76</xdr:row>
      <xdr:rowOff>55959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0</xdr:colOff>
      <xdr:row>34</xdr:row>
      <xdr:rowOff>0</xdr:rowOff>
    </xdr:from>
    <xdr:to>
      <xdr:col>56</xdr:col>
      <xdr:colOff>125017</xdr:colOff>
      <xdr:row>64</xdr:row>
      <xdr:rowOff>139303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78</xdr:row>
      <xdr:rowOff>0</xdr:rowOff>
    </xdr:from>
    <xdr:to>
      <xdr:col>31</xdr:col>
      <xdr:colOff>321468</xdr:colOff>
      <xdr:row>92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88</xdr:row>
      <xdr:rowOff>0</xdr:rowOff>
    </xdr:from>
    <xdr:to>
      <xdr:col>45</xdr:col>
      <xdr:colOff>229440</xdr:colOff>
      <xdr:row>103</xdr:row>
      <xdr:rowOff>89640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104</xdr:row>
      <xdr:rowOff>0</xdr:rowOff>
    </xdr:from>
    <xdr:to>
      <xdr:col>45</xdr:col>
      <xdr:colOff>229440</xdr:colOff>
      <xdr:row>119</xdr:row>
      <xdr:rowOff>89640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102</xdr:row>
      <xdr:rowOff>0</xdr:rowOff>
    </xdr:from>
    <xdr:to>
      <xdr:col>54</xdr:col>
      <xdr:colOff>229440</xdr:colOff>
      <xdr:row>117</xdr:row>
      <xdr:rowOff>89640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0</xdr:colOff>
      <xdr:row>116</xdr:row>
      <xdr:rowOff>0</xdr:rowOff>
    </xdr:from>
    <xdr:to>
      <xdr:col>54</xdr:col>
      <xdr:colOff>229440</xdr:colOff>
      <xdr:row>131</xdr:row>
      <xdr:rowOff>89640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60</xdr:col>
      <xdr:colOff>0</xdr:colOff>
      <xdr:row>70</xdr:row>
      <xdr:rowOff>1</xdr:rowOff>
    </xdr:from>
    <xdr:to>
      <xdr:col>71</xdr:col>
      <xdr:colOff>237076</xdr:colOff>
      <xdr:row>79</xdr:row>
      <xdr:rowOff>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60</xdr:col>
      <xdr:colOff>0</xdr:colOff>
      <xdr:row>80</xdr:row>
      <xdr:rowOff>0</xdr:rowOff>
    </xdr:from>
    <xdr:to>
      <xdr:col>71</xdr:col>
      <xdr:colOff>237076</xdr:colOff>
      <xdr:row>89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60</xdr:col>
      <xdr:colOff>0</xdr:colOff>
      <xdr:row>90</xdr:row>
      <xdr:rowOff>0</xdr:rowOff>
    </xdr:from>
    <xdr:to>
      <xdr:col>71</xdr:col>
      <xdr:colOff>237076</xdr:colOff>
      <xdr:row>99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60</xdr:col>
      <xdr:colOff>0</xdr:colOff>
      <xdr:row>100</xdr:row>
      <xdr:rowOff>0</xdr:rowOff>
    </xdr:from>
    <xdr:to>
      <xdr:col>71</xdr:col>
      <xdr:colOff>237076</xdr:colOff>
      <xdr:row>109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0</xdr:colOff>
      <xdr:row>110</xdr:row>
      <xdr:rowOff>0</xdr:rowOff>
    </xdr:from>
    <xdr:to>
      <xdr:col>71</xdr:col>
      <xdr:colOff>237076</xdr:colOff>
      <xdr:row>119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60</xdr:col>
      <xdr:colOff>0</xdr:colOff>
      <xdr:row>120</xdr:row>
      <xdr:rowOff>0</xdr:rowOff>
    </xdr:from>
    <xdr:to>
      <xdr:col>71</xdr:col>
      <xdr:colOff>237076</xdr:colOff>
      <xdr:row>129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0</xdr:colOff>
      <xdr:row>130</xdr:row>
      <xdr:rowOff>0</xdr:rowOff>
    </xdr:from>
    <xdr:to>
      <xdr:col>71</xdr:col>
      <xdr:colOff>237076</xdr:colOff>
      <xdr:row>139</xdr:row>
      <xdr:rowOff>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60</xdr:col>
      <xdr:colOff>0</xdr:colOff>
      <xdr:row>140</xdr:row>
      <xdr:rowOff>0</xdr:rowOff>
    </xdr:from>
    <xdr:to>
      <xdr:col>71</xdr:col>
      <xdr:colOff>237076</xdr:colOff>
      <xdr:row>149</xdr:row>
      <xdr:rowOff>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60</xdr:col>
      <xdr:colOff>0</xdr:colOff>
      <xdr:row>150</xdr:row>
      <xdr:rowOff>0</xdr:rowOff>
    </xdr:from>
    <xdr:to>
      <xdr:col>71</xdr:col>
      <xdr:colOff>237076</xdr:colOff>
      <xdr:row>159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0915" y="133358"/>
          <a:ext cx="2477944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0.89734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511229"/>
          <a:chOff x="923925" y="133350"/>
          <a:chExt cx="2486025" cy="2511229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511229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zoomScale="85" zoomScaleNormal="85" workbookViewId="0">
      <selection activeCell="A12" sqref="A12:I12"/>
    </sheetView>
  </sheetViews>
  <sheetFormatPr defaultRowHeight="15" x14ac:dyDescent="0.25"/>
  <cols>
    <col min="1" max="1" width="15" style="1" customWidth="1"/>
    <col min="2" max="2" width="11.140625" style="2" customWidth="1"/>
    <col min="3" max="3" width="9.140625" style="9"/>
    <col min="4" max="4" width="9.140625" style="2"/>
    <col min="5" max="5" width="14.140625" style="3" customWidth="1"/>
    <col min="6" max="6" width="9.5703125" style="2" customWidth="1"/>
    <col min="7" max="7" width="9.140625" style="2"/>
    <col min="8" max="9" width="10" style="2" customWidth="1"/>
    <col min="10" max="16384" width="9.140625" style="2"/>
  </cols>
  <sheetData>
    <row r="1" spans="1:10" x14ac:dyDescent="0.25">
      <c r="A1" s="1" t="s">
        <v>14</v>
      </c>
      <c r="B1" s="2" t="s">
        <v>0</v>
      </c>
      <c r="C1" s="9" t="s">
        <v>1</v>
      </c>
    </row>
    <row r="3" spans="1:10" s="13" customFormat="1" x14ac:dyDescent="0.25">
      <c r="A3" s="10" t="s">
        <v>2</v>
      </c>
      <c r="B3" s="11" t="s">
        <v>16</v>
      </c>
      <c r="C3" s="14" t="s">
        <v>15</v>
      </c>
      <c r="D3" s="11" t="s">
        <v>5</v>
      </c>
      <c r="E3" s="12" t="s">
        <v>6</v>
      </c>
      <c r="F3" s="11" t="s">
        <v>7</v>
      </c>
      <c r="G3" s="11" t="s">
        <v>8</v>
      </c>
      <c r="H3" s="11" t="s">
        <v>9</v>
      </c>
      <c r="I3" s="11" t="s">
        <v>17</v>
      </c>
      <c r="J3" s="13" t="s">
        <v>11</v>
      </c>
    </row>
    <row r="4" spans="1:10" x14ac:dyDescent="0.25">
      <c r="B4" s="6" t="s">
        <v>3</v>
      </c>
      <c r="C4" s="15" t="s">
        <v>4</v>
      </c>
      <c r="H4" s="6" t="s">
        <v>10</v>
      </c>
      <c r="I4" s="6" t="s">
        <v>10</v>
      </c>
    </row>
    <row r="5" spans="1:10" x14ac:dyDescent="0.25">
      <c r="A5" s="1" t="s">
        <v>18</v>
      </c>
      <c r="B5" s="2">
        <v>22</v>
      </c>
      <c r="C5" s="9">
        <v>14.7</v>
      </c>
      <c r="D5" s="4">
        <v>0.66666666666666663</v>
      </c>
      <c r="E5" s="3">
        <v>42472</v>
      </c>
      <c r="F5" s="8"/>
      <c r="G5" s="9"/>
      <c r="H5" s="7"/>
      <c r="I5" s="5">
        <v>55.03</v>
      </c>
    </row>
    <row r="6" spans="1:10" x14ac:dyDescent="0.25">
      <c r="A6" s="1" t="s">
        <v>12</v>
      </c>
      <c r="B6" s="2">
        <v>200</v>
      </c>
      <c r="C6" s="9">
        <v>5150</v>
      </c>
      <c r="D6" s="4">
        <v>0.70833333333333337</v>
      </c>
      <c r="E6" s="3">
        <v>42474</v>
      </c>
      <c r="F6" s="8">
        <f t="shared" ref="F6:F18" si="0">(D6+E6)-($D$6+$E$6)</f>
        <v>0</v>
      </c>
      <c r="G6" s="9">
        <f>F6*24</f>
        <v>0</v>
      </c>
      <c r="H6" s="5">
        <v>2.4</v>
      </c>
      <c r="I6" s="5">
        <f t="shared" ref="I6:I16" si="1">I5-H6</f>
        <v>52.63</v>
      </c>
      <c r="J6" s="2" t="s">
        <v>19</v>
      </c>
    </row>
    <row r="7" spans="1:10" x14ac:dyDescent="0.25">
      <c r="A7" s="1">
        <v>1</v>
      </c>
      <c r="B7" s="2">
        <v>200</v>
      </c>
      <c r="C7" s="9">
        <v>4934</v>
      </c>
      <c r="D7" s="4">
        <v>0.5</v>
      </c>
      <c r="E7" s="3">
        <v>42475</v>
      </c>
      <c r="F7" s="8">
        <f t="shared" si="0"/>
        <v>0.79166666666424135</v>
      </c>
      <c r="G7" s="9">
        <f t="shared" ref="G7:G18" si="2">F7*24</f>
        <v>18.999999999941792</v>
      </c>
      <c r="H7" s="5">
        <v>5.87</v>
      </c>
      <c r="I7" s="5">
        <f t="shared" si="1"/>
        <v>46.760000000000005</v>
      </c>
      <c r="J7" s="2" t="s">
        <v>20</v>
      </c>
    </row>
    <row r="8" spans="1:10" x14ac:dyDescent="0.25">
      <c r="A8" s="1">
        <v>2</v>
      </c>
      <c r="B8" s="2">
        <v>200</v>
      </c>
      <c r="C8" s="9">
        <v>4582</v>
      </c>
      <c r="D8" s="4">
        <v>0.54166666666666663</v>
      </c>
      <c r="E8" s="3">
        <v>42481</v>
      </c>
      <c r="F8" s="8">
        <f t="shared" si="0"/>
        <v>6.8333333333284827</v>
      </c>
      <c r="G8" s="9">
        <f t="shared" si="2"/>
        <v>163.99999999988358</v>
      </c>
      <c r="H8" s="5">
        <v>6.68</v>
      </c>
      <c r="I8" s="5">
        <f t="shared" si="1"/>
        <v>40.080000000000005</v>
      </c>
    </row>
    <row r="9" spans="1:10" x14ac:dyDescent="0.25">
      <c r="A9" s="1">
        <v>3</v>
      </c>
      <c r="B9" s="2">
        <v>300</v>
      </c>
      <c r="C9" s="9">
        <v>4688</v>
      </c>
      <c r="D9" s="4">
        <v>0.65277777777777779</v>
      </c>
      <c r="E9" s="3">
        <v>42482</v>
      </c>
      <c r="F9" s="8">
        <f t="shared" si="0"/>
        <v>7.9444444444452529</v>
      </c>
      <c r="G9" s="9">
        <f t="shared" si="2"/>
        <v>190.66666666668607</v>
      </c>
      <c r="H9" s="5">
        <v>5.44</v>
      </c>
      <c r="I9" s="5">
        <f t="shared" si="1"/>
        <v>34.640000000000008</v>
      </c>
    </row>
    <row r="10" spans="1:10" x14ac:dyDescent="0.25">
      <c r="A10" s="1">
        <v>4</v>
      </c>
      <c r="B10" s="2">
        <v>300</v>
      </c>
      <c r="C10" s="9">
        <v>5132</v>
      </c>
      <c r="D10" s="4">
        <v>0.52083333333333337</v>
      </c>
      <c r="E10" s="3">
        <v>42486</v>
      </c>
      <c r="F10" s="8">
        <f t="shared" si="0"/>
        <v>11.8125</v>
      </c>
      <c r="G10" s="9">
        <f t="shared" si="2"/>
        <v>283.5</v>
      </c>
      <c r="H10" s="5">
        <v>7.76</v>
      </c>
      <c r="I10" s="5">
        <f t="shared" si="1"/>
        <v>26.88000000000001</v>
      </c>
    </row>
    <row r="11" spans="1:10" x14ac:dyDescent="0.25">
      <c r="A11" s="1">
        <v>5</v>
      </c>
      <c r="B11" s="2">
        <v>300</v>
      </c>
      <c r="C11" s="9">
        <v>5190</v>
      </c>
      <c r="D11" s="4">
        <v>0.51041666666666663</v>
      </c>
      <c r="E11" s="3">
        <v>42492</v>
      </c>
      <c r="F11" s="8">
        <f t="shared" si="0"/>
        <v>17.802083333328483</v>
      </c>
      <c r="G11" s="9">
        <f t="shared" si="2"/>
        <v>427.24999999988358</v>
      </c>
      <c r="H11" s="5">
        <v>7.66</v>
      </c>
      <c r="I11" s="5">
        <f t="shared" si="1"/>
        <v>19.22000000000001</v>
      </c>
    </row>
    <row r="12" spans="1:10" x14ac:dyDescent="0.25">
      <c r="A12" s="1" t="s">
        <v>13</v>
      </c>
      <c r="B12" s="2">
        <v>300</v>
      </c>
      <c r="C12" s="9">
        <v>4974</v>
      </c>
      <c r="D12" s="4">
        <v>0.62013888888888891</v>
      </c>
      <c r="E12" s="3">
        <v>42492</v>
      </c>
      <c r="F12" s="8">
        <f t="shared" si="0"/>
        <v>17.911805555551837</v>
      </c>
      <c r="G12" s="9">
        <f t="shared" si="2"/>
        <v>429.88333333324408</v>
      </c>
      <c r="H12" s="5">
        <v>-18.309999999999999</v>
      </c>
      <c r="I12" s="5">
        <f t="shared" si="1"/>
        <v>37.530000000000008</v>
      </c>
      <c r="J12" s="2" t="s">
        <v>21</v>
      </c>
    </row>
    <row r="13" spans="1:10" x14ac:dyDescent="0.25">
      <c r="A13" s="1">
        <v>6</v>
      </c>
      <c r="B13" s="2">
        <v>325</v>
      </c>
      <c r="C13" s="9">
        <v>4928</v>
      </c>
      <c r="D13" s="4">
        <v>0.49305555555555558</v>
      </c>
      <c r="E13" s="3">
        <v>42493</v>
      </c>
      <c r="F13" s="8">
        <f t="shared" si="0"/>
        <v>18.784722222218988</v>
      </c>
      <c r="G13" s="9">
        <f t="shared" si="2"/>
        <v>450.83333333325572</v>
      </c>
      <c r="H13" s="5">
        <v>8.4499999999999993</v>
      </c>
      <c r="I13" s="5">
        <f t="shared" si="1"/>
        <v>29.080000000000009</v>
      </c>
    </row>
    <row r="14" spans="1:10" x14ac:dyDescent="0.25">
      <c r="A14" s="1">
        <v>7</v>
      </c>
      <c r="B14" s="2">
        <v>325</v>
      </c>
      <c r="C14" s="9">
        <v>5144</v>
      </c>
      <c r="D14" s="4">
        <v>0.61458333333333337</v>
      </c>
      <c r="E14" s="3">
        <v>42499</v>
      </c>
      <c r="F14" s="8">
        <f t="shared" si="0"/>
        <v>24.90625</v>
      </c>
      <c r="G14" s="9">
        <f t="shared" si="2"/>
        <v>597.75</v>
      </c>
      <c r="H14" s="5">
        <v>4.38</v>
      </c>
      <c r="I14" s="5">
        <f t="shared" si="1"/>
        <v>24.70000000000001</v>
      </c>
    </row>
    <row r="15" spans="1:10" x14ac:dyDescent="0.25">
      <c r="A15" s="1">
        <v>8</v>
      </c>
      <c r="B15" s="2">
        <v>350</v>
      </c>
      <c r="C15" s="9">
        <v>5010</v>
      </c>
      <c r="D15" s="4">
        <v>0.43055555555555558</v>
      </c>
      <c r="E15" s="3">
        <v>42500</v>
      </c>
      <c r="F15" s="8">
        <f t="shared" si="0"/>
        <v>25.722222222218988</v>
      </c>
      <c r="G15" s="9">
        <f t="shared" si="2"/>
        <v>617.33333333325572</v>
      </c>
      <c r="H15" s="5">
        <v>4.66</v>
      </c>
      <c r="I15" s="5">
        <f t="shared" si="1"/>
        <v>20.04000000000001</v>
      </c>
    </row>
    <row r="16" spans="1:10" x14ac:dyDescent="0.25">
      <c r="A16" s="1">
        <v>9</v>
      </c>
      <c r="B16" s="2">
        <v>350</v>
      </c>
      <c r="C16" s="9">
        <v>5138</v>
      </c>
      <c r="D16" s="4">
        <v>0.54166666666666663</v>
      </c>
      <c r="E16" s="3">
        <v>42509</v>
      </c>
      <c r="F16" s="8">
        <f t="shared" si="0"/>
        <v>34.833333333328483</v>
      </c>
      <c r="G16" s="9">
        <f t="shared" si="2"/>
        <v>835.99999999988358</v>
      </c>
      <c r="H16" s="2">
        <v>5.88</v>
      </c>
      <c r="I16" s="5">
        <f t="shared" si="1"/>
        <v>14.160000000000011</v>
      </c>
    </row>
    <row r="17" spans="1:10" x14ac:dyDescent="0.25">
      <c r="A17" s="1" t="s">
        <v>76</v>
      </c>
      <c r="B17" s="2">
        <v>350</v>
      </c>
      <c r="D17" s="4">
        <v>0.59722222222222221</v>
      </c>
      <c r="E17" s="3">
        <v>42509</v>
      </c>
      <c r="F17" s="8">
        <f t="shared" si="0"/>
        <v>34.88888888888323</v>
      </c>
      <c r="G17" s="9">
        <f t="shared" si="2"/>
        <v>837.33333333319752</v>
      </c>
      <c r="J17" s="2" t="s">
        <v>78</v>
      </c>
    </row>
    <row r="18" spans="1:10" x14ac:dyDescent="0.25">
      <c r="A18" s="1" t="s">
        <v>77</v>
      </c>
      <c r="B18" s="2">
        <v>23</v>
      </c>
      <c r="C18" s="9">
        <v>-56</v>
      </c>
      <c r="D18" s="4">
        <v>0.35416666666666669</v>
      </c>
      <c r="E18" s="3">
        <v>42510</v>
      </c>
      <c r="F18" s="8">
        <f t="shared" si="0"/>
        <v>35.645833333328483</v>
      </c>
      <c r="G18" s="9">
        <f t="shared" si="2"/>
        <v>855.49999999988358</v>
      </c>
      <c r="J18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07"/>
  <sheetViews>
    <sheetView showGridLines="0" zoomScale="85" zoomScaleNormal="85" workbookViewId="0">
      <pane xSplit="2" ySplit="5" topLeftCell="C84" activePane="bottomRight" state="frozen"/>
      <selection pane="topRight" activeCell="C1" sqref="C1"/>
      <selection pane="bottomLeft" activeCell="A6" sqref="A6"/>
      <selection pane="bottomRight" activeCell="M98" sqref="M98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>
        <v>24.1</v>
      </c>
      <c r="AF1" s="2" t="s">
        <v>86</v>
      </c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>
        <v>37</v>
      </c>
      <c r="AF2" s="63" t="s">
        <v>102</v>
      </c>
    </row>
    <row r="3" spans="1:33" x14ac:dyDescent="0.25">
      <c r="F3" s="19" t="s">
        <v>48</v>
      </c>
      <c r="G3" s="18"/>
      <c r="H3" s="105" t="s">
        <v>22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8"/>
      <c r="Y3" s="20" t="s">
        <v>68</v>
      </c>
      <c r="Z3" s="18"/>
      <c r="AA3" s="31" t="s">
        <v>69</v>
      </c>
      <c r="AB3" s="18"/>
      <c r="AE3" s="40" t="s">
        <v>85</v>
      </c>
    </row>
    <row r="4" spans="1:33" x14ac:dyDescent="0.25">
      <c r="A4" s="10" t="s">
        <v>62</v>
      </c>
      <c r="B4" s="11" t="s">
        <v>24</v>
      </c>
      <c r="C4" s="36" t="s">
        <v>81</v>
      </c>
      <c r="D4" s="36" t="s">
        <v>83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B4" s="13"/>
      <c r="AC4" s="2" t="s">
        <v>11</v>
      </c>
      <c r="AE4" s="41" t="str">
        <f>H4</f>
        <v>METHANE</v>
      </c>
    </row>
    <row r="5" spans="1:33" x14ac:dyDescent="0.25">
      <c r="A5" s="10"/>
      <c r="B5" s="11"/>
      <c r="C5" s="37" t="s">
        <v>80</v>
      </c>
      <c r="D5" s="37" t="s">
        <v>80</v>
      </c>
      <c r="E5" s="11"/>
      <c r="F5" s="2" t="s">
        <v>47</v>
      </c>
      <c r="G5" s="2"/>
      <c r="H5" s="2" t="s">
        <v>47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"/>
      <c r="Y5" s="2" t="s">
        <v>47</v>
      </c>
      <c r="Z5" s="2"/>
      <c r="AA5" s="5" t="s">
        <v>70</v>
      </c>
      <c r="AB5" s="2"/>
      <c r="AE5" s="35" t="s">
        <v>87</v>
      </c>
      <c r="AF5" s="2" t="s">
        <v>103</v>
      </c>
      <c r="AG5" s="63" t="s">
        <v>104</v>
      </c>
    </row>
    <row r="6" spans="1:33" x14ac:dyDescent="0.25">
      <c r="A6" s="10"/>
      <c r="B6" s="11"/>
      <c r="C6" s="36"/>
      <c r="D6" s="36"/>
      <c r="E6" s="11"/>
      <c r="F6" s="2"/>
      <c r="G6" s="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2"/>
      <c r="Y6" s="13"/>
      <c r="Z6" s="2"/>
      <c r="AA6" s="32"/>
      <c r="AB6" s="2"/>
    </row>
    <row r="7" spans="1:33" s="24" customFormat="1" x14ac:dyDescent="0.25">
      <c r="A7" s="21">
        <v>1</v>
      </c>
      <c r="B7" s="22" t="s">
        <v>51</v>
      </c>
      <c r="C7" s="38"/>
      <c r="D7" s="38"/>
      <c r="E7" s="22"/>
      <c r="F7" s="23" t="s">
        <v>49</v>
      </c>
      <c r="G7" s="23"/>
      <c r="H7" s="23">
        <f>IFERROR(AVERAGE(H9:H10),"")</f>
        <v>1.192E-6</v>
      </c>
      <c r="I7" s="23">
        <f t="shared" ref="I7:W7" si="0">IFERROR(AVERAGE(I9:I10),"")</f>
        <v>4.7584599999999999E-3</v>
      </c>
      <c r="J7" s="23">
        <f t="shared" si="0"/>
        <v>1.4943000000000001E-7</v>
      </c>
      <c r="K7" s="23">
        <f t="shared" si="0"/>
        <v>3.8799999999999998E-7</v>
      </c>
      <c r="L7" s="23">
        <f t="shared" si="0"/>
        <v>3.2360000000000001E-7</v>
      </c>
      <c r="M7" s="23">
        <f t="shared" si="0"/>
        <v>5.8419999999999995E-7</v>
      </c>
      <c r="N7" s="23" t="str">
        <f t="shared" si="0"/>
        <v/>
      </c>
      <c r="O7" s="23" t="str">
        <f t="shared" si="0"/>
        <v/>
      </c>
      <c r="P7" s="23">
        <f t="shared" si="0"/>
        <v>9.2839999999999995E-6</v>
      </c>
      <c r="Q7" s="23">
        <f t="shared" si="0"/>
        <v>5.5960000000000001E-7</v>
      </c>
      <c r="R7" s="23">
        <f t="shared" si="0"/>
        <v>2.1739999999999999E-6</v>
      </c>
      <c r="S7" s="23" t="str">
        <f t="shared" si="0"/>
        <v/>
      </c>
      <c r="T7" s="23">
        <f t="shared" si="0"/>
        <v>4.3770000000000001E-7</v>
      </c>
      <c r="U7" s="23">
        <f t="shared" si="0"/>
        <v>4.6260000000000003E-7</v>
      </c>
      <c r="V7" s="23">
        <f t="shared" si="0"/>
        <v>4.2200000000000003E-6</v>
      </c>
      <c r="W7" s="23">
        <f t="shared" si="0"/>
        <v>5.6990000000000004E-7</v>
      </c>
      <c r="X7" s="23"/>
      <c r="Y7" s="23"/>
      <c r="Z7" s="23"/>
      <c r="AA7" s="30"/>
      <c r="AB7" s="23"/>
      <c r="AE7" s="42"/>
      <c r="AG7" s="64"/>
    </row>
    <row r="8" spans="1:33" s="26" customFormat="1" x14ac:dyDescent="0.25">
      <c r="A8" s="25"/>
      <c r="B8" s="27" t="s">
        <v>52</v>
      </c>
      <c r="C8" s="39"/>
      <c r="D8" s="39"/>
      <c r="E8" s="27"/>
      <c r="F8" s="26" t="str">
        <f>IFERROR(STDEV(F10:F13)/F7,"")</f>
        <v/>
      </c>
      <c r="H8" s="26" t="str">
        <f t="shared" ref="H8:W8" si="1">IFERROR(STDEV(H10:H13)/H7,"")</f>
        <v/>
      </c>
      <c r="I8" s="26" t="str">
        <f t="shared" si="1"/>
        <v/>
      </c>
      <c r="J8" s="26" t="str">
        <f t="shared" si="1"/>
        <v/>
      </c>
      <c r="K8" s="26" t="str">
        <f t="shared" si="1"/>
        <v/>
      </c>
      <c r="L8" s="26" t="str">
        <f t="shared" si="1"/>
        <v/>
      </c>
      <c r="M8" s="26" t="str">
        <f t="shared" si="1"/>
        <v/>
      </c>
      <c r="N8" s="26" t="str">
        <f t="shared" si="1"/>
        <v/>
      </c>
      <c r="O8" s="26" t="str">
        <f t="shared" si="1"/>
        <v/>
      </c>
      <c r="P8" s="26" t="str">
        <f t="shared" si="1"/>
        <v/>
      </c>
      <c r="Q8" s="26" t="str">
        <f t="shared" si="1"/>
        <v/>
      </c>
      <c r="R8" s="26" t="str">
        <f t="shared" si="1"/>
        <v/>
      </c>
      <c r="S8" s="26" t="str">
        <f t="shared" si="1"/>
        <v/>
      </c>
      <c r="T8" s="26" t="str">
        <f t="shared" si="1"/>
        <v/>
      </c>
      <c r="U8" s="26" t="str">
        <f t="shared" si="1"/>
        <v/>
      </c>
      <c r="V8" s="26" t="str">
        <f t="shared" si="1"/>
        <v/>
      </c>
      <c r="W8" s="26" t="str">
        <f t="shared" si="1"/>
        <v/>
      </c>
      <c r="AA8" s="33"/>
      <c r="AE8" s="43"/>
      <c r="AG8" s="65"/>
    </row>
    <row r="9" spans="1:33" x14ac:dyDescent="0.25">
      <c r="B9" s="6" t="s">
        <v>23</v>
      </c>
      <c r="C9" s="37">
        <v>0.97629999999999995</v>
      </c>
      <c r="D9" s="37"/>
      <c r="E9" s="6"/>
      <c r="F9" s="17"/>
      <c r="G9" s="17"/>
      <c r="H9" s="17">
        <v>1.192E-6</v>
      </c>
      <c r="I9" s="17">
        <v>4.7584599999999999E-3</v>
      </c>
      <c r="J9" s="17">
        <v>1.4943000000000001E-7</v>
      </c>
      <c r="K9" s="17">
        <v>3.8799999999999998E-7</v>
      </c>
      <c r="L9" s="17">
        <v>3.2360000000000001E-7</v>
      </c>
      <c r="M9" s="17">
        <v>5.8419999999999995E-7</v>
      </c>
      <c r="N9" s="17"/>
      <c r="O9" s="17"/>
      <c r="P9" s="17">
        <v>9.2839999999999995E-6</v>
      </c>
      <c r="Q9" s="17">
        <v>5.5960000000000001E-7</v>
      </c>
      <c r="R9" s="17">
        <v>2.1739999999999999E-6</v>
      </c>
      <c r="S9" s="17"/>
      <c r="T9" s="17">
        <v>4.3770000000000001E-7</v>
      </c>
      <c r="U9" s="17">
        <v>4.6260000000000003E-7</v>
      </c>
      <c r="V9" s="17">
        <v>4.2200000000000003E-6</v>
      </c>
      <c r="W9" s="17">
        <v>5.6990000000000004E-7</v>
      </c>
      <c r="X9" s="17"/>
      <c r="Y9" s="17"/>
      <c r="Z9" s="17"/>
      <c r="AA9" s="29"/>
      <c r="AB9" s="17"/>
      <c r="AC9" s="2" t="s">
        <v>43</v>
      </c>
    </row>
    <row r="10" spans="1:33" x14ac:dyDescent="0.25">
      <c r="B10" s="6" t="s">
        <v>25</v>
      </c>
      <c r="C10" s="37">
        <v>0.62880000000000003</v>
      </c>
      <c r="D10" s="37"/>
      <c r="E10" s="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B10" s="16"/>
    </row>
    <row r="11" spans="1:33" x14ac:dyDescent="0.25">
      <c r="B11" s="6" t="s">
        <v>82</v>
      </c>
      <c r="C11" s="37">
        <v>1.875</v>
      </c>
      <c r="D11" s="37"/>
      <c r="E11" s="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B11" s="16"/>
      <c r="AE11" s="44">
        <f>IF(ISNUMBER(SEARCH("VT",B11)),$H$7*$C11/1000*$AE$1*1000,"")</f>
        <v>5.3863499999999997E-5</v>
      </c>
      <c r="AF11" s="2">
        <f>AE11*AG11/1000/$AE$2*1000</f>
        <v>7.278851351351351E-3</v>
      </c>
      <c r="AG11" s="63">
        <v>5000</v>
      </c>
    </row>
    <row r="12" spans="1:33" x14ac:dyDescent="0.25">
      <c r="B12" s="6"/>
      <c r="C12" s="37"/>
      <c r="D12" s="37"/>
      <c r="E12" s="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B12" s="16"/>
    </row>
    <row r="13" spans="1:33" s="24" customFormat="1" x14ac:dyDescent="0.25">
      <c r="A13" s="21">
        <v>2</v>
      </c>
      <c r="B13" s="22" t="s">
        <v>51</v>
      </c>
      <c r="C13" s="38"/>
      <c r="D13" s="38"/>
      <c r="E13" s="22"/>
      <c r="F13" s="23" t="s">
        <v>49</v>
      </c>
      <c r="G13" s="23"/>
      <c r="H13" s="23">
        <f>IFERROR(AVERAGE(H16:H18),"")</f>
        <v>3.7519999999999998E-6</v>
      </c>
      <c r="I13" s="23">
        <f t="shared" ref="I13:W13" si="2">IFERROR(AVERAGE(I16:I18),"")</f>
        <v>1.0794999999999999E-2</v>
      </c>
      <c r="J13" s="23">
        <f t="shared" si="2"/>
        <v>2.2075000000000001E-7</v>
      </c>
      <c r="K13" s="23">
        <f t="shared" si="2"/>
        <v>9.2009999999999999E-7</v>
      </c>
      <c r="L13" s="23">
        <f t="shared" si="2"/>
        <v>5.1038999999999995E-7</v>
      </c>
      <c r="M13" s="23">
        <f t="shared" si="2"/>
        <v>1.4589999999999999E-6</v>
      </c>
      <c r="N13" s="23" t="str">
        <f t="shared" si="2"/>
        <v/>
      </c>
      <c r="O13" s="23" t="str">
        <f t="shared" si="2"/>
        <v/>
      </c>
      <c r="P13" s="23">
        <f t="shared" si="2"/>
        <v>5.9499999999999998E-6</v>
      </c>
      <c r="Q13" s="23">
        <f t="shared" si="2"/>
        <v>1.1725E-6</v>
      </c>
      <c r="R13" s="23">
        <f t="shared" si="2"/>
        <v>4.1810000000000003E-6</v>
      </c>
      <c r="S13" s="23" t="str">
        <f t="shared" si="2"/>
        <v/>
      </c>
      <c r="T13" s="23">
        <f t="shared" si="2"/>
        <v>5.9625000000000001E-7</v>
      </c>
      <c r="U13" s="23">
        <f t="shared" si="2"/>
        <v>9.8749999999999986E-7</v>
      </c>
      <c r="V13" s="23">
        <f t="shared" si="2"/>
        <v>1.0254E-6</v>
      </c>
      <c r="W13" s="23">
        <f t="shared" si="2"/>
        <v>1.1255000000000001E-6</v>
      </c>
      <c r="X13" s="23"/>
      <c r="Y13" s="23"/>
      <c r="Z13" s="23"/>
      <c r="AA13" s="30"/>
      <c r="AB13" s="23"/>
      <c r="AE13" s="42"/>
      <c r="AG13" s="64"/>
    </row>
    <row r="14" spans="1:33" s="26" customFormat="1" x14ac:dyDescent="0.25">
      <c r="A14" s="25"/>
      <c r="B14" s="27" t="s">
        <v>52</v>
      </c>
      <c r="C14" s="39"/>
      <c r="D14" s="39"/>
      <c r="E14" s="27"/>
      <c r="F14" s="26" t="str">
        <f>IFERROR(STDEV(F16:F18)/F13,"")</f>
        <v/>
      </c>
      <c r="H14" s="26">
        <f t="shared" ref="H14:W14" si="3">IFERROR(STDEV(H16:H18)/H13,"")</f>
        <v>9.0461421900197587E-3</v>
      </c>
      <c r="I14" s="26">
        <f t="shared" si="3"/>
        <v>3.6026746609782424E-2</v>
      </c>
      <c r="J14" s="26">
        <f t="shared" si="3"/>
        <v>9.9299253530160513E-3</v>
      </c>
      <c r="K14" s="26">
        <f t="shared" si="3"/>
        <v>6.9165971423529584E-3</v>
      </c>
      <c r="L14" s="26">
        <f t="shared" si="3"/>
        <v>3.2668308353178618E-2</v>
      </c>
      <c r="M14" s="26">
        <f t="shared" si="3"/>
        <v>3.1987009978281147E-2</v>
      </c>
      <c r="N14" s="26" t="str">
        <f t="shared" si="3"/>
        <v/>
      </c>
      <c r="O14" s="26" t="str">
        <f t="shared" si="3"/>
        <v/>
      </c>
      <c r="P14" s="26">
        <f t="shared" si="3"/>
        <v>1.9727684987725501E-2</v>
      </c>
      <c r="Q14" s="26">
        <f t="shared" si="3"/>
        <v>7.8399898980172356E-3</v>
      </c>
      <c r="R14" s="26">
        <f t="shared" si="3"/>
        <v>8.0502948539774383E-2</v>
      </c>
      <c r="S14" s="26" t="str">
        <f t="shared" si="3"/>
        <v/>
      </c>
      <c r="T14" s="26">
        <f t="shared" si="3"/>
        <v>3.7356584666459157E-2</v>
      </c>
      <c r="U14" s="26">
        <f t="shared" si="3"/>
        <v>3.938316249646602E-2</v>
      </c>
      <c r="V14" s="26">
        <f t="shared" si="3"/>
        <v>1.5722678575242149E-2</v>
      </c>
      <c r="W14" s="26">
        <f t="shared" si="3"/>
        <v>1.5706503358208501E-2</v>
      </c>
      <c r="AA14" s="33"/>
      <c r="AE14" s="43"/>
      <c r="AG14" s="65"/>
    </row>
    <row r="15" spans="1:33" x14ac:dyDescent="0.25">
      <c r="B15" s="6" t="s">
        <v>23</v>
      </c>
      <c r="C15" s="37">
        <v>0.7792</v>
      </c>
      <c r="D15" s="37"/>
      <c r="E15" s="6"/>
      <c r="F15" s="16"/>
      <c r="G15" s="16"/>
      <c r="H15" s="17">
        <v>2.988E-6</v>
      </c>
      <c r="I15" s="17">
        <v>9.1050000000000002E-3</v>
      </c>
      <c r="J15" s="17">
        <v>1.825E-7</v>
      </c>
      <c r="K15" s="17">
        <v>7.2590000000000001E-7</v>
      </c>
      <c r="L15" s="17">
        <v>4.0390000000000001E-7</v>
      </c>
      <c r="M15" s="17">
        <v>9.9406999999999995E-7</v>
      </c>
      <c r="N15" s="17"/>
      <c r="O15" s="17"/>
      <c r="P15" s="17">
        <v>4.8096999999999999E-6</v>
      </c>
      <c r="Q15" s="17">
        <v>9.9919999999999989E-7</v>
      </c>
      <c r="R15" s="17">
        <v>2.5660000000000001E-6</v>
      </c>
      <c r="S15" s="17"/>
      <c r="T15" s="17">
        <v>3.8350000000000001E-7</v>
      </c>
      <c r="U15" s="17">
        <v>7.1230000000000005E-7</v>
      </c>
      <c r="V15" s="17">
        <v>1.3371000000000001E-6</v>
      </c>
      <c r="W15" s="17">
        <v>1.6096E-6</v>
      </c>
      <c r="X15" s="16"/>
      <c r="Y15" s="17"/>
      <c r="Z15" s="16"/>
      <c r="AA15" s="29"/>
      <c r="AB15" s="16"/>
      <c r="AC15" s="2" t="s">
        <v>50</v>
      </c>
    </row>
    <row r="16" spans="1:33" x14ac:dyDescent="0.25">
      <c r="B16" s="6" t="s">
        <v>25</v>
      </c>
      <c r="C16" s="37">
        <v>0.81859999999999999</v>
      </c>
      <c r="D16" s="37"/>
      <c r="E16" s="6"/>
      <c r="F16" s="16"/>
      <c r="G16" s="16"/>
      <c r="H16" s="16">
        <v>3.7280000000000001E-6</v>
      </c>
      <c r="I16" s="16">
        <v>1.107E-2</v>
      </c>
      <c r="J16" s="16">
        <v>2.223E-7</v>
      </c>
      <c r="K16" s="16">
        <v>9.1559999999999997E-7</v>
      </c>
      <c r="L16" s="16">
        <v>5.2218000000000003E-7</v>
      </c>
      <c r="M16" s="16">
        <v>1.4920000000000001E-6</v>
      </c>
      <c r="N16" s="16"/>
      <c r="O16" s="16"/>
      <c r="P16" s="16">
        <v>6.0329999999999997E-6</v>
      </c>
      <c r="Q16" s="16">
        <v>1.1659999999999999E-6</v>
      </c>
      <c r="R16" s="16">
        <v>4.4190000000000004E-6</v>
      </c>
      <c r="S16" s="16"/>
      <c r="T16" s="16">
        <v>5.8049999999999999E-7</v>
      </c>
      <c r="U16" s="16">
        <v>9.5999999999999991E-7</v>
      </c>
      <c r="V16" s="16">
        <v>1.0139999999999999E-6</v>
      </c>
      <c r="W16" s="16">
        <v>1.113E-6</v>
      </c>
      <c r="X16" s="16"/>
      <c r="Y16" s="16"/>
      <c r="Z16" s="16"/>
      <c r="AB16" s="16"/>
    </row>
    <row r="17" spans="1:33" x14ac:dyDescent="0.25">
      <c r="B17" s="6" t="s">
        <v>42</v>
      </c>
      <c r="C17" s="37">
        <v>0.99470000000000003</v>
      </c>
      <c r="D17" s="37"/>
      <c r="E17" s="6"/>
      <c r="F17" s="16"/>
      <c r="G17" s="16"/>
      <c r="H17" s="16">
        <v>3.7759999999999999E-6</v>
      </c>
      <c r="I17" s="16">
        <v>1.052E-2</v>
      </c>
      <c r="J17" s="16">
        <v>2.192E-7</v>
      </c>
      <c r="K17" s="16">
        <v>9.2460000000000001E-7</v>
      </c>
      <c r="L17" s="16">
        <v>4.9859999999999998E-7</v>
      </c>
      <c r="M17" s="16">
        <v>1.426E-6</v>
      </c>
      <c r="N17" s="16"/>
      <c r="O17" s="16"/>
      <c r="P17" s="16">
        <v>5.8669999999999999E-6</v>
      </c>
      <c r="Q17" s="16">
        <v>1.1790000000000001E-6</v>
      </c>
      <c r="R17" s="16">
        <v>3.9430000000000002E-6</v>
      </c>
      <c r="S17" s="16"/>
      <c r="T17" s="16">
        <v>6.1200000000000003E-7</v>
      </c>
      <c r="U17" s="16">
        <v>1.015E-6</v>
      </c>
      <c r="V17" s="16">
        <v>1.0368E-6</v>
      </c>
      <c r="W17" s="16">
        <v>1.1379999999999999E-6</v>
      </c>
      <c r="X17" s="16"/>
      <c r="Y17" s="16"/>
      <c r="Z17" s="16"/>
      <c r="AB17" s="16"/>
      <c r="AC17" s="2" t="s">
        <v>75</v>
      </c>
    </row>
    <row r="18" spans="1:33" x14ac:dyDescent="0.25">
      <c r="B18" s="6" t="s">
        <v>44</v>
      </c>
      <c r="C18" s="37">
        <v>0.7591</v>
      </c>
      <c r="D18" s="37"/>
      <c r="E18" s="6"/>
      <c r="F18" s="16" t="s">
        <v>49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B18" s="16"/>
    </row>
    <row r="19" spans="1:33" x14ac:dyDescent="0.25">
      <c r="B19" s="6" t="s">
        <v>53</v>
      </c>
      <c r="C19" s="37">
        <v>0.55120000000000002</v>
      </c>
      <c r="D19" s="37">
        <v>25.834199999999999</v>
      </c>
      <c r="E19" s="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B19" s="16"/>
      <c r="AC19" s="2" t="s">
        <v>60</v>
      </c>
    </row>
    <row r="20" spans="1:33" x14ac:dyDescent="0.25">
      <c r="B20" s="6" t="s">
        <v>56</v>
      </c>
      <c r="C20" s="37">
        <v>0.61899999999999999</v>
      </c>
      <c r="D20" s="37">
        <v>24.442299999999999</v>
      </c>
      <c r="E20" s="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B20" s="16"/>
      <c r="AC20" s="2" t="s">
        <v>74</v>
      </c>
    </row>
    <row r="21" spans="1:33" x14ac:dyDescent="0.25">
      <c r="B21" s="6" t="s">
        <v>82</v>
      </c>
      <c r="C21" s="37">
        <v>1.9984999999999999</v>
      </c>
      <c r="D21" s="37"/>
      <c r="E21" s="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B21" s="16"/>
      <c r="AE21" s="44">
        <f>IF(ISNUMBER(SEARCH("VT",B21)),$H$13*$C21/1000*$AE$1*1000,"")</f>
        <v>1.8071076519999999E-4</v>
      </c>
      <c r="AF21" s="2">
        <f>AE21*AG21/1000/$AE$2*1000</f>
        <v>2.4420373675675674E-2</v>
      </c>
      <c r="AG21" s="63">
        <v>5000</v>
      </c>
    </row>
    <row r="22" spans="1:33" x14ac:dyDescent="0.25">
      <c r="B22" s="6"/>
      <c r="C22" s="37"/>
      <c r="D22" s="37"/>
      <c r="E22" s="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B22" s="16"/>
    </row>
    <row r="23" spans="1:33" s="24" customFormat="1" x14ac:dyDescent="0.25">
      <c r="A23" s="21">
        <v>3</v>
      </c>
      <c r="B23" s="22" t="s">
        <v>51</v>
      </c>
      <c r="C23" s="38"/>
      <c r="D23" s="38"/>
      <c r="E23" s="22"/>
      <c r="F23" s="23">
        <f>IFERROR(AVERAGE(F25:F32),"")</f>
        <v>7.2600000000000003E-5</v>
      </c>
      <c r="G23" s="23" t="str">
        <f t="shared" ref="G23:W23" si="4">IFERROR(AVERAGE(G25:G32),"")</f>
        <v/>
      </c>
      <c r="H23" s="23">
        <f t="shared" si="4"/>
        <v>8.6680000000000004E-5</v>
      </c>
      <c r="I23" s="23">
        <f t="shared" si="4"/>
        <v>2.1870000000000001E-2</v>
      </c>
      <c r="J23" s="23">
        <f t="shared" si="4"/>
        <v>4.6792500000000001E-6</v>
      </c>
      <c r="K23" s="23">
        <f t="shared" si="4"/>
        <v>2.00829E-5</v>
      </c>
      <c r="L23" s="23">
        <f t="shared" si="4"/>
        <v>5.9795000000000001E-6</v>
      </c>
      <c r="M23" s="23">
        <f t="shared" si="4"/>
        <v>1.6714999999999998E-5</v>
      </c>
      <c r="N23" s="23" t="str">
        <f t="shared" si="4"/>
        <v/>
      </c>
      <c r="O23" s="23" t="str">
        <f t="shared" si="4"/>
        <v/>
      </c>
      <c r="P23" s="23">
        <f t="shared" si="4"/>
        <v>2.8895E-5</v>
      </c>
      <c r="Q23" s="23">
        <f t="shared" si="4"/>
        <v>1.465E-5</v>
      </c>
      <c r="R23" s="23">
        <f t="shared" si="4"/>
        <v>4.7624999999999997E-6</v>
      </c>
      <c r="S23" s="23" t="str">
        <f t="shared" si="4"/>
        <v/>
      </c>
      <c r="T23" s="23">
        <f t="shared" si="4"/>
        <v>5.2785000000000004E-6</v>
      </c>
      <c r="U23" s="23">
        <f t="shared" si="4"/>
        <v>1.5524999999999998E-5</v>
      </c>
      <c r="V23" s="23">
        <f t="shared" si="4"/>
        <v>7.2078999999999992E-6</v>
      </c>
      <c r="W23" s="23">
        <f t="shared" si="4"/>
        <v>3.1750000000000001E-6</v>
      </c>
      <c r="X23" s="23" t="str">
        <f t="shared" ref="X23" si="5">IFERROR(AVERAGE(X25:X32),"")</f>
        <v/>
      </c>
      <c r="Y23" s="23"/>
      <c r="Z23" s="23"/>
      <c r="AA23" s="30"/>
      <c r="AB23" s="23" t="str">
        <f t="shared" ref="AB23" si="6">IFERROR(AVERAGE(AB25:AB32),"")</f>
        <v/>
      </c>
      <c r="AE23" s="42"/>
      <c r="AG23" s="64"/>
    </row>
    <row r="24" spans="1:33" s="26" customFormat="1" x14ac:dyDescent="0.25">
      <c r="A24" s="25"/>
      <c r="B24" s="27" t="s">
        <v>52</v>
      </c>
      <c r="C24" s="39"/>
      <c r="D24" s="39"/>
      <c r="E24" s="27"/>
      <c r="F24" s="26" t="str">
        <f>IFERROR(STDEV(F25:F32)/F23,"")</f>
        <v/>
      </c>
      <c r="H24" s="26">
        <f>IFERROR(STDEV(H25:H32)/H23,"")</f>
        <v>1.7457412456612989E-2</v>
      </c>
      <c r="I24" s="26">
        <f t="shared" ref="I24:W24" si="7">IFERROR(STDEV(I25:I32)/I23,"")</f>
        <v>1.6166135829596438E-2</v>
      </c>
      <c r="J24" s="26">
        <f t="shared" si="7"/>
        <v>1.8209406877807113E-2</v>
      </c>
      <c r="K24" s="26">
        <f t="shared" si="7"/>
        <v>1.7104724631424036E-2</v>
      </c>
      <c r="L24" s="26">
        <f t="shared" si="7"/>
        <v>1.2180282375150895E-2</v>
      </c>
      <c r="M24" s="26">
        <f t="shared" si="7"/>
        <v>1.5652378644273029E-2</v>
      </c>
      <c r="N24" s="26" t="str">
        <f t="shared" si="7"/>
        <v/>
      </c>
      <c r="O24" s="26" t="str">
        <f t="shared" si="7"/>
        <v/>
      </c>
      <c r="P24" s="26">
        <f t="shared" si="7"/>
        <v>1.4438241941514539E-2</v>
      </c>
      <c r="Q24" s="26">
        <f t="shared" si="7"/>
        <v>1.5445335834791497E-2</v>
      </c>
      <c r="R24" s="26">
        <f t="shared" si="7"/>
        <v>0.34698342207516253</v>
      </c>
      <c r="S24" s="26" t="str">
        <f t="shared" si="7"/>
        <v/>
      </c>
      <c r="T24" s="26">
        <f t="shared" si="7"/>
        <v>1.9960009547560102E-2</v>
      </c>
      <c r="U24" s="26">
        <f t="shared" si="7"/>
        <v>5.693291313901349E-2</v>
      </c>
      <c r="V24" s="26">
        <f t="shared" si="7"/>
        <v>8.5525006151366156E-2</v>
      </c>
      <c r="W24" s="26">
        <f t="shared" si="7"/>
        <v>1.3808069427894787E-2</v>
      </c>
      <c r="AA24" s="33"/>
      <c r="AE24" s="43"/>
      <c r="AG24" s="65"/>
    </row>
    <row r="25" spans="1:33" x14ac:dyDescent="0.25">
      <c r="B25" s="6" t="s">
        <v>23</v>
      </c>
      <c r="C25" s="37">
        <v>0.8619</v>
      </c>
      <c r="D25" s="37"/>
      <c r="E25" s="6"/>
      <c r="F25" s="17"/>
      <c r="G25" s="17"/>
      <c r="H25" s="16">
        <v>8.5610000000000002E-5</v>
      </c>
      <c r="I25" s="16">
        <v>2.162E-2</v>
      </c>
      <c r="J25" s="16">
        <v>4.6190000000000002E-6</v>
      </c>
      <c r="K25" s="16">
        <v>1.984E-5</v>
      </c>
      <c r="L25" s="16">
        <v>5.9279999999999998E-6</v>
      </c>
      <c r="M25" s="16">
        <v>1.6529999999999999E-5</v>
      </c>
      <c r="N25" s="16"/>
      <c r="O25" s="16"/>
      <c r="P25" s="16">
        <v>2.8600000000000001E-5</v>
      </c>
      <c r="Q25" s="16">
        <v>1.449E-5</v>
      </c>
      <c r="R25" s="16">
        <v>3.5939999999999998E-6</v>
      </c>
      <c r="S25" s="16"/>
      <c r="T25" s="16">
        <v>5.2039999999999996E-6</v>
      </c>
      <c r="U25" s="16">
        <v>1.49E-5</v>
      </c>
      <c r="V25" s="16">
        <v>7.6437999999999996E-6</v>
      </c>
      <c r="W25" s="16">
        <v>3.1439999999999999E-6</v>
      </c>
      <c r="X25" s="17"/>
      <c r="Y25" s="16"/>
      <c r="Z25" s="17"/>
      <c r="AB25" s="17"/>
    </row>
    <row r="26" spans="1:33" x14ac:dyDescent="0.25">
      <c r="B26" s="6" t="s">
        <v>25</v>
      </c>
      <c r="C26" s="37">
        <v>0.84109999999999996</v>
      </c>
      <c r="D26" s="37"/>
      <c r="E26" s="6"/>
      <c r="F26" s="16"/>
      <c r="G26" s="16"/>
      <c r="H26" s="16">
        <v>8.7750000000000005E-5</v>
      </c>
      <c r="I26" s="16">
        <v>2.2120000000000001E-2</v>
      </c>
      <c r="J26" s="16">
        <v>4.7395000000000001E-6</v>
      </c>
      <c r="K26" s="16">
        <v>2.0325800000000001E-5</v>
      </c>
      <c r="L26" s="16">
        <v>6.0310000000000004E-6</v>
      </c>
      <c r="M26" s="16">
        <v>1.6900000000000001E-5</v>
      </c>
      <c r="N26" s="16"/>
      <c r="O26" s="16"/>
      <c r="P26" s="16">
        <v>2.919E-5</v>
      </c>
      <c r="Q26" s="16">
        <v>1.4810000000000001E-5</v>
      </c>
      <c r="R26" s="16">
        <v>5.9309999999999996E-6</v>
      </c>
      <c r="S26" s="16"/>
      <c r="T26" s="16">
        <v>5.3530000000000002E-6</v>
      </c>
      <c r="U26" s="16">
        <v>1.615E-5</v>
      </c>
      <c r="V26" s="16">
        <v>6.7719999999999997E-6</v>
      </c>
      <c r="W26" s="16">
        <v>3.2059999999999999E-6</v>
      </c>
      <c r="X26" s="16"/>
      <c r="Y26" s="16"/>
      <c r="Z26" s="16"/>
      <c r="AB26" s="16"/>
    </row>
    <row r="27" spans="1:33" x14ac:dyDescent="0.25">
      <c r="B27" s="6" t="s">
        <v>44</v>
      </c>
      <c r="C27" s="37">
        <v>0.73550000000000004</v>
      </c>
      <c r="D27" s="37"/>
      <c r="E27" s="6"/>
      <c r="F27" s="16">
        <v>7.2600000000000003E-5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B27" s="16"/>
    </row>
    <row r="28" spans="1:33" x14ac:dyDescent="0.25">
      <c r="B28" s="6" t="s">
        <v>45</v>
      </c>
      <c r="C28" s="37"/>
      <c r="D28" s="37"/>
      <c r="E28" s="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B28" s="16"/>
    </row>
    <row r="29" spans="1:33" x14ac:dyDescent="0.25">
      <c r="B29" s="6" t="s">
        <v>53</v>
      </c>
      <c r="C29" s="37">
        <v>0.52400000000000002</v>
      </c>
      <c r="D29" s="37">
        <v>24.163900000000002</v>
      </c>
      <c r="E29" s="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B29" s="16"/>
      <c r="AC29" s="2" t="s">
        <v>60</v>
      </c>
    </row>
    <row r="30" spans="1:33" x14ac:dyDescent="0.25">
      <c r="B30" s="6" t="s">
        <v>56</v>
      </c>
      <c r="C30" s="37"/>
      <c r="D30" s="37"/>
      <c r="E30" s="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B30" s="16"/>
    </row>
    <row r="31" spans="1:33" x14ac:dyDescent="0.25">
      <c r="B31" s="6" t="s">
        <v>54</v>
      </c>
      <c r="C31" s="37"/>
      <c r="D31" s="37"/>
      <c r="E31" s="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B31" s="16"/>
    </row>
    <row r="32" spans="1:33" x14ac:dyDescent="0.25">
      <c r="B32" s="6" t="s">
        <v>55</v>
      </c>
      <c r="C32" s="37"/>
      <c r="D32" s="37"/>
      <c r="E32" s="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B32" s="16"/>
    </row>
    <row r="33" spans="1:33" x14ac:dyDescent="0.25">
      <c r="B33" s="6" t="s">
        <v>82</v>
      </c>
      <c r="C33" s="37">
        <v>2.2702</v>
      </c>
      <c r="D33" s="37"/>
      <c r="E33" s="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B33" s="16"/>
      <c r="AE33" s="44">
        <f>IF(ISNUMBER(SEARCH("VT",B33)),$H$23*$C33/1000*$AE$1*1000,"")</f>
        <v>4.7424205576000007E-3</v>
      </c>
      <c r="AF33" s="2">
        <f>AE33*AG33/1000/$AE$2*1000</f>
        <v>0.12817352858378378</v>
      </c>
      <c r="AG33" s="63">
        <v>1000</v>
      </c>
    </row>
    <row r="34" spans="1:33" x14ac:dyDescent="0.25">
      <c r="B34" s="6"/>
      <c r="C34" s="37"/>
      <c r="D34" s="37"/>
      <c r="E34" s="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B34" s="16"/>
    </row>
    <row r="35" spans="1:33" s="24" customFormat="1" x14ac:dyDescent="0.25">
      <c r="A35" s="21">
        <v>4</v>
      </c>
      <c r="B35" s="22" t="s">
        <v>51</v>
      </c>
      <c r="C35" s="38"/>
      <c r="D35" s="38"/>
      <c r="E35" s="22"/>
      <c r="F35" s="23">
        <f>IFERROR(AVERAGE(F37:F44),"")</f>
        <v>1.8333499999999999E-4</v>
      </c>
      <c r="G35" s="23" t="str">
        <f t="shared" ref="G35:W35" si="8">IFERROR(AVERAGE(G37:G44),"")</f>
        <v/>
      </c>
      <c r="H35" s="23">
        <f t="shared" si="8"/>
        <v>2.3531999999999999E-4</v>
      </c>
      <c r="I35" s="23">
        <f t="shared" si="8"/>
        <v>4.57715E-2</v>
      </c>
      <c r="J35" s="23">
        <f t="shared" si="8"/>
        <v>8.6455000000000005E-6</v>
      </c>
      <c r="K35" s="23">
        <f t="shared" si="8"/>
        <v>7.6859999999999993E-5</v>
      </c>
      <c r="L35" s="23">
        <f t="shared" si="8"/>
        <v>1.241E-5</v>
      </c>
      <c r="M35" s="23">
        <f t="shared" si="8"/>
        <v>5.4125000000000001E-5</v>
      </c>
      <c r="N35" s="23">
        <f t="shared" si="8"/>
        <v>4.4350000000000001E-5</v>
      </c>
      <c r="O35" s="23">
        <f t="shared" si="8"/>
        <v>8.8300000000000002E-6</v>
      </c>
      <c r="P35" s="23">
        <f t="shared" si="8"/>
        <v>3.5064999999999997E-5</v>
      </c>
      <c r="Q35" s="23">
        <f t="shared" si="8"/>
        <v>4.1270000000000003E-5</v>
      </c>
      <c r="R35" s="23">
        <f t="shared" si="8"/>
        <v>2.8992499999999998E-6</v>
      </c>
      <c r="S35" s="23" t="str">
        <f t="shared" si="8"/>
        <v/>
      </c>
      <c r="T35" s="23">
        <f t="shared" si="8"/>
        <v>1.4715000000000001E-5</v>
      </c>
      <c r="U35" s="23">
        <f t="shared" si="8"/>
        <v>4.0374499999999998E-5</v>
      </c>
      <c r="V35" s="23">
        <f t="shared" si="8"/>
        <v>1.906E-5</v>
      </c>
      <c r="W35" s="23">
        <f t="shared" si="8"/>
        <v>9.0112999999999996E-6</v>
      </c>
      <c r="X35" s="23" t="str">
        <f t="shared" ref="X35" si="9">IFERROR(AVERAGE(X37:X44),"")</f>
        <v/>
      </c>
      <c r="Y35" s="23"/>
      <c r="Z35" s="23"/>
      <c r="AA35" s="30"/>
      <c r="AB35" s="23" t="str">
        <f t="shared" ref="AB35" si="10">IFERROR(AVERAGE(AB37:AB44),"")</f>
        <v/>
      </c>
      <c r="AE35" s="42"/>
      <c r="AG35" s="64"/>
    </row>
    <row r="36" spans="1:33" s="26" customFormat="1" x14ac:dyDescent="0.25">
      <c r="A36" s="25"/>
      <c r="B36" s="27" t="s">
        <v>52</v>
      </c>
      <c r="C36" s="39"/>
      <c r="D36" s="39"/>
      <c r="E36" s="27"/>
      <c r="F36" s="26">
        <f>IFERROR(STDEV(F37:F44)/F35,"")</f>
        <v>2.8194019529678836E-2</v>
      </c>
      <c r="H36" s="26">
        <f>IFERROR(STDEV(H37:H44)/H35,"")</f>
        <v>1.039686156257629E-2</v>
      </c>
      <c r="I36" s="26">
        <f t="shared" ref="I36" si="11">IFERROR(STDEV(I37:I44)/I35,"")</f>
        <v>1.972789529675063E-2</v>
      </c>
      <c r="J36" s="26">
        <f t="shared" ref="J36" si="12">IFERROR(STDEV(J37:J44)/J35,"")</f>
        <v>1.2022982688615211E-2</v>
      </c>
      <c r="K36" s="26">
        <f t="shared" ref="K36" si="13">IFERROR(STDEV(K37:K44)/K35,"")</f>
        <v>4.2319687658835077E-3</v>
      </c>
      <c r="L36" s="26">
        <f t="shared" ref="L36" si="14">IFERROR(STDEV(L37:L44)/L35,"")</f>
        <v>6.8374547737618764E-3</v>
      </c>
      <c r="M36" s="26">
        <f t="shared" ref="M36" si="15">IFERROR(STDEV(M37:M44)/M35,"")</f>
        <v>6.9240941160067949E-3</v>
      </c>
      <c r="N36" s="26" t="str">
        <f t="shared" ref="N36" si="16">IFERROR(STDEV(N37:N44)/N35,"")</f>
        <v/>
      </c>
      <c r="O36" s="26">
        <f t="shared" ref="O36" si="17">IFERROR(STDEV(O37:O44)/O35,"")</f>
        <v>1.2812806907118472E-3</v>
      </c>
      <c r="P36" s="26">
        <f t="shared" ref="P36" si="18">IFERROR(STDEV(P37:P44)/P35,"")</f>
        <v>1.6334136397008529E-2</v>
      </c>
      <c r="Q36" s="26">
        <f t="shared" ref="Q36" si="19">IFERROR(STDEV(Q37:Q44)/Q35,"")</f>
        <v>7.1961436418306159E-3</v>
      </c>
      <c r="R36" s="26">
        <f t="shared" ref="R36" si="20">IFERROR(STDEV(R37:R44)/R35,"")</f>
        <v>1.2925109552119027</v>
      </c>
      <c r="S36" s="26" t="str">
        <f t="shared" ref="S36" si="21">IFERROR(STDEV(S37:S44)/S35,"")</f>
        <v/>
      </c>
      <c r="T36" s="26">
        <f t="shared" ref="T36" si="22">IFERROR(STDEV(T37:T44)/T35,"")</f>
        <v>1.3935505711457642E-2</v>
      </c>
      <c r="U36" s="26">
        <f t="shared" ref="U36" si="23">IFERROR(STDEV(U37:U44)/U35,"")</f>
        <v>6.8811317620823709E-2</v>
      </c>
      <c r="V36" s="26" t="str">
        <f t="shared" ref="V36" si="24">IFERROR(STDEV(V37:V44)/V35,"")</f>
        <v/>
      </c>
      <c r="W36" s="26">
        <f t="shared" ref="W36" si="25">IFERROR(STDEV(W37:W44)/W35,"")</f>
        <v>8.3177031955179259E-4</v>
      </c>
      <c r="AA36" s="33"/>
      <c r="AE36" s="43"/>
      <c r="AG36" s="65"/>
    </row>
    <row r="37" spans="1:33" x14ac:dyDescent="0.25">
      <c r="B37" s="6" t="s">
        <v>23</v>
      </c>
      <c r="C37" s="37">
        <v>1.0477000000000001</v>
      </c>
      <c r="D37" s="37"/>
      <c r="E37" s="6"/>
      <c r="F37" s="17"/>
      <c r="G37" s="17"/>
      <c r="H37" s="16">
        <v>2.3358999999999999E-4</v>
      </c>
      <c r="I37" s="16">
        <v>4.5133E-2</v>
      </c>
      <c r="J37" s="16">
        <v>8.5720000000000003E-6</v>
      </c>
      <c r="K37" s="16">
        <v>7.6630000000000003E-5</v>
      </c>
      <c r="L37" s="16">
        <v>1.235E-5</v>
      </c>
      <c r="M37" s="16">
        <v>5.3860000000000003E-5</v>
      </c>
      <c r="N37" s="16"/>
      <c r="O37" s="16">
        <v>8.8219999999999996E-6</v>
      </c>
      <c r="P37" s="16">
        <v>3.4659999999999997E-5</v>
      </c>
      <c r="Q37" s="16">
        <v>4.1060000000000003E-5</v>
      </c>
      <c r="R37" s="17">
        <v>2.495E-7</v>
      </c>
      <c r="S37" s="16"/>
      <c r="T37" s="16">
        <v>1.4569999999999999E-5</v>
      </c>
      <c r="U37" s="16">
        <v>3.841E-5</v>
      </c>
      <c r="V37" s="16">
        <v>1.906E-5</v>
      </c>
      <c r="W37" s="16">
        <v>9.0059999999999998E-6</v>
      </c>
      <c r="X37" s="17"/>
      <c r="Y37" s="16"/>
      <c r="Z37" s="17"/>
      <c r="AB37" s="17"/>
    </row>
    <row r="38" spans="1:33" x14ac:dyDescent="0.25">
      <c r="B38" s="6" t="s">
        <v>25</v>
      </c>
      <c r="C38" s="37">
        <v>0.88729999999999998</v>
      </c>
      <c r="D38" s="37"/>
      <c r="E38" s="6"/>
      <c r="F38" s="16"/>
      <c r="G38" s="16"/>
      <c r="H38" s="16">
        <v>2.3704999999999999E-4</v>
      </c>
      <c r="I38" s="16">
        <v>4.641E-2</v>
      </c>
      <c r="J38" s="16">
        <v>8.7190000000000007E-6</v>
      </c>
      <c r="K38" s="16">
        <v>7.7089999999999995E-5</v>
      </c>
      <c r="L38" s="16">
        <v>1.2469999999999999E-5</v>
      </c>
      <c r="M38" s="16">
        <v>5.4389999999999999E-5</v>
      </c>
      <c r="N38" s="28">
        <v>4.4350000000000001E-5</v>
      </c>
      <c r="O38" s="16">
        <v>8.8380000000000008E-6</v>
      </c>
      <c r="P38" s="16">
        <v>3.5469999999999998E-5</v>
      </c>
      <c r="Q38" s="16">
        <v>4.1480000000000003E-5</v>
      </c>
      <c r="R38" s="16">
        <v>5.5489999999999997E-6</v>
      </c>
      <c r="S38" s="16"/>
      <c r="T38" s="16">
        <v>1.486E-5</v>
      </c>
      <c r="U38" s="16">
        <v>4.2339000000000002E-5</v>
      </c>
      <c r="V38" s="16"/>
      <c r="W38" s="16">
        <v>9.0165999999999994E-6</v>
      </c>
      <c r="X38" s="16"/>
      <c r="Y38" s="16"/>
      <c r="Z38" s="16"/>
      <c r="AB38" s="16"/>
    </row>
    <row r="39" spans="1:33" x14ac:dyDescent="0.25">
      <c r="B39" s="6" t="s">
        <v>44</v>
      </c>
      <c r="C39" s="37">
        <v>1.2191000000000001</v>
      </c>
      <c r="D39" s="37"/>
      <c r="E39" s="6"/>
      <c r="F39" s="16">
        <v>1.8699E-4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B39" s="16"/>
    </row>
    <row r="40" spans="1:33" x14ac:dyDescent="0.25">
      <c r="B40" s="6" t="s">
        <v>45</v>
      </c>
      <c r="C40" s="37">
        <v>1.0058</v>
      </c>
      <c r="D40" s="37"/>
      <c r="E40" s="6"/>
      <c r="F40" s="16">
        <v>1.7967999999999999E-4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B40" s="16"/>
    </row>
    <row r="41" spans="1:33" x14ac:dyDescent="0.25">
      <c r="B41" s="6" t="s">
        <v>53</v>
      </c>
      <c r="C41" s="37">
        <v>1.0117</v>
      </c>
      <c r="D41" s="37">
        <v>26.786200000000001</v>
      </c>
      <c r="E41" s="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B41" s="16"/>
      <c r="AC41" s="2" t="s">
        <v>60</v>
      </c>
    </row>
    <row r="42" spans="1:33" x14ac:dyDescent="0.25">
      <c r="B42" s="6" t="s">
        <v>56</v>
      </c>
      <c r="C42" s="37"/>
      <c r="D42" s="37"/>
      <c r="E42" s="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B42" s="16"/>
    </row>
    <row r="43" spans="1:33" x14ac:dyDescent="0.25">
      <c r="B43" s="6" t="s">
        <v>54</v>
      </c>
      <c r="C43" s="37">
        <v>0.79290000000000005</v>
      </c>
      <c r="D43" s="37">
        <v>2.7810000000000001</v>
      </c>
      <c r="E43" s="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B43" s="16"/>
      <c r="AC43" s="2" t="s">
        <v>63</v>
      </c>
    </row>
    <row r="44" spans="1:33" x14ac:dyDescent="0.25">
      <c r="B44" s="6" t="s">
        <v>55</v>
      </c>
      <c r="C44" s="37"/>
      <c r="D44" s="37"/>
      <c r="E44" s="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B44" s="16"/>
    </row>
    <row r="45" spans="1:33" x14ac:dyDescent="0.25">
      <c r="B45" s="6" t="s">
        <v>82</v>
      </c>
      <c r="C45" s="37">
        <v>2.4357000000000002</v>
      </c>
      <c r="D45" s="37"/>
      <c r="E45" s="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B45" s="16"/>
      <c r="AE45" s="44">
        <f>IF(ISNUMBER(SEARCH("VT",B45)),H35*$C45/1000*$AE$1*1000,"")</f>
        <v>1.3813371068400001E-2</v>
      </c>
      <c r="AF45" s="2">
        <f>AE45*AG45/1000/$AE$2*1000</f>
        <v>0.18666717660000001</v>
      </c>
      <c r="AG45" s="63">
        <v>500</v>
      </c>
    </row>
    <row r="46" spans="1:33" x14ac:dyDescent="0.25">
      <c r="B46" s="6"/>
      <c r="C46" s="37"/>
      <c r="D46" s="37"/>
      <c r="E46" s="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B46" s="16"/>
    </row>
    <row r="47" spans="1:33" s="24" customFormat="1" x14ac:dyDescent="0.25">
      <c r="A47" s="21">
        <v>5</v>
      </c>
      <c r="B47" s="22" t="s">
        <v>51</v>
      </c>
      <c r="C47" s="38"/>
      <c r="D47" s="38"/>
      <c r="E47" s="22"/>
      <c r="F47" s="23">
        <f>IFERROR(AVERAGE(F49:F56),"")</f>
        <v>2.8965000000000002E-4</v>
      </c>
      <c r="G47" s="23" t="str">
        <f t="shared" ref="G47:W47" si="26">IFERROR(AVERAGE(G49:G56),"")</f>
        <v/>
      </c>
      <c r="H47" s="23">
        <f t="shared" si="26"/>
        <v>3.9557500000000001E-4</v>
      </c>
      <c r="I47" s="23">
        <f t="shared" si="26"/>
        <v>6.5460000000000004E-2</v>
      </c>
      <c r="J47" s="23">
        <f t="shared" si="26"/>
        <v>7.7059000000000002E-6</v>
      </c>
      <c r="K47" s="23">
        <f t="shared" si="26"/>
        <v>1.5894999999999999E-4</v>
      </c>
      <c r="L47" s="23">
        <f t="shared" si="26"/>
        <v>1.5145000000000002E-5</v>
      </c>
      <c r="M47" s="23">
        <f t="shared" si="26"/>
        <v>1.0336500000000001E-4</v>
      </c>
      <c r="N47" s="23">
        <f t="shared" si="26"/>
        <v>5.2620999999999996E-5</v>
      </c>
      <c r="O47" s="23">
        <f t="shared" si="26"/>
        <v>2.7805000000000002E-5</v>
      </c>
      <c r="P47" s="23">
        <f t="shared" si="26"/>
        <v>3.2151199999999998E-5</v>
      </c>
      <c r="Q47" s="23">
        <f t="shared" si="26"/>
        <v>7.2564999999999994E-5</v>
      </c>
      <c r="R47" s="23">
        <f t="shared" si="26"/>
        <v>5.6234999999999996E-6</v>
      </c>
      <c r="S47" s="23" t="str">
        <f t="shared" si="26"/>
        <v/>
      </c>
      <c r="T47" s="23">
        <f t="shared" si="26"/>
        <v>2.9414500000000001E-5</v>
      </c>
      <c r="U47" s="23">
        <f t="shared" si="26"/>
        <v>6.6475000000000003E-5</v>
      </c>
      <c r="V47" s="23" t="str">
        <f t="shared" si="26"/>
        <v/>
      </c>
      <c r="W47" s="23">
        <f t="shared" si="26"/>
        <v>1.7649500000000001E-5</v>
      </c>
      <c r="X47" s="23" t="str">
        <f t="shared" ref="X47" si="27">IFERROR(AVERAGE(X49:X56),"")</f>
        <v/>
      </c>
      <c r="Y47" s="23"/>
      <c r="Z47" s="23"/>
      <c r="AA47" s="30"/>
      <c r="AB47" s="23" t="str">
        <f t="shared" ref="AB47" si="28">IFERROR(AVERAGE(AB49:AB56),"")</f>
        <v/>
      </c>
      <c r="AE47" s="42"/>
      <c r="AG47" s="64"/>
    </row>
    <row r="48" spans="1:33" s="26" customFormat="1" x14ac:dyDescent="0.25">
      <c r="A48" s="25"/>
      <c r="B48" s="27" t="s">
        <v>52</v>
      </c>
      <c r="C48" s="39"/>
      <c r="D48" s="39"/>
      <c r="E48" s="27"/>
      <c r="F48" s="26">
        <f>IFERROR(STDEV(F49:F56)/F47,"")</f>
        <v>3.4421562626377807E-2</v>
      </c>
      <c r="H48" s="26">
        <f>IFERROR(STDEV(H49:H56)/H47,"")</f>
        <v>1.8322301730802289E-2</v>
      </c>
      <c r="I48" s="26">
        <f t="shared" ref="I48" si="29">IFERROR(STDEV(I49:I56)/I47,"")</f>
        <v>2.4844876210343061E-2</v>
      </c>
      <c r="J48" s="26">
        <f t="shared" ref="J48" si="30">IFERROR(STDEV(J49:J56)/J47,"")</f>
        <v>1.9985706658849706E-2</v>
      </c>
      <c r="K48" s="26">
        <f t="shared" ref="K48" si="31">IFERROR(STDEV(K49:K56)/K47,"")</f>
        <v>1.823930671824384E-2</v>
      </c>
      <c r="L48" s="26">
        <f t="shared" ref="L48" si="32">IFERROR(STDEV(L49:L56)/L47,"")</f>
        <v>1.5407410880921809E-2</v>
      </c>
      <c r="M48" s="26">
        <f t="shared" ref="M48" si="33">IFERROR(STDEV(M49:M56)/M47,"")</f>
        <v>3.7830024669487781E-2</v>
      </c>
      <c r="N48" s="26">
        <f t="shared" ref="N48" si="34">IFERROR(STDEV(N49:N56)/N47,"")</f>
        <v>0.37090821866386203</v>
      </c>
      <c r="O48" s="26">
        <f t="shared" ref="O48" si="35">IFERROR(STDEV(O49:O56)/O47,"")</f>
        <v>7.7055693112578261E-2</v>
      </c>
      <c r="P48" s="26">
        <f t="shared" ref="P48" si="36">IFERROR(STDEV(P49:P56)/P47,"")</f>
        <v>6.3199570977682404E-2</v>
      </c>
      <c r="Q48" s="26">
        <f t="shared" ref="Q48" si="37">IFERROR(STDEV(Q49:Q56)/Q47,"")</f>
        <v>7.5714458620815481E-2</v>
      </c>
      <c r="R48" s="26">
        <f t="shared" ref="R48" si="38">IFERROR(STDEV(R49:R56)/R47,"")</f>
        <v>0.67032742073539342</v>
      </c>
      <c r="S48" s="26" t="str">
        <f t="shared" ref="S48" si="39">IFERROR(STDEV(S49:S56)/S47,"")</f>
        <v/>
      </c>
      <c r="T48" s="26">
        <f t="shared" ref="T48" si="40">IFERROR(STDEV(T49:T56)/T47,"")</f>
        <v>0.14877981501516416</v>
      </c>
      <c r="U48" s="26">
        <f t="shared" ref="U48" si="41">IFERROR(STDEV(U49:U56)/U47,"")</f>
        <v>0.19178842068136062</v>
      </c>
      <c r="V48" s="26" t="str">
        <f t="shared" ref="V48" si="42">IFERROR(STDEV(V49:V56)/V47,"")</f>
        <v/>
      </c>
      <c r="W48" s="26">
        <f t="shared" ref="W48" si="43">IFERROR(STDEV(W49:W56)/W47,"")</f>
        <v>0.20188170035406169</v>
      </c>
      <c r="AA48" s="33"/>
      <c r="AE48" s="43"/>
      <c r="AG48" s="65"/>
    </row>
    <row r="49" spans="1:33" x14ac:dyDescent="0.25">
      <c r="B49" s="6" t="s">
        <v>23</v>
      </c>
      <c r="C49" s="37">
        <v>0.9778</v>
      </c>
      <c r="D49" s="37"/>
      <c r="E49" s="6"/>
      <c r="F49" s="17"/>
      <c r="G49" s="17"/>
      <c r="H49" s="16">
        <v>3.9044999999999998E-4</v>
      </c>
      <c r="I49" s="16">
        <v>6.4310000000000006E-2</v>
      </c>
      <c r="J49" s="16">
        <v>7.5970000000000003E-6</v>
      </c>
      <c r="K49" s="16">
        <v>1.5689999999999999E-4</v>
      </c>
      <c r="L49" s="16">
        <v>1.4980000000000001E-5</v>
      </c>
      <c r="M49" s="16">
        <v>1.0060000000000001E-4</v>
      </c>
      <c r="N49" s="28">
        <v>6.6421999999999995E-5</v>
      </c>
      <c r="O49" s="16">
        <v>2.6290000000000001E-5</v>
      </c>
      <c r="P49" s="16">
        <v>3.0714399999999999E-5</v>
      </c>
      <c r="Q49" s="16">
        <v>6.868E-5</v>
      </c>
      <c r="R49" s="16">
        <v>2.9579999999999999E-6</v>
      </c>
      <c r="S49" s="16"/>
      <c r="T49" s="16">
        <v>2.6319999999999999E-5</v>
      </c>
      <c r="U49" s="16">
        <v>5.7460000000000002E-5</v>
      </c>
      <c r="V49" s="16"/>
      <c r="W49" s="16">
        <v>1.5130000000000001E-5</v>
      </c>
      <c r="X49" s="17"/>
      <c r="Y49" s="16"/>
      <c r="Z49" s="17"/>
      <c r="AB49" s="17"/>
    </row>
    <row r="50" spans="1:33" x14ac:dyDescent="0.25">
      <c r="B50" s="6" t="s">
        <v>25</v>
      </c>
      <c r="C50" s="37">
        <v>0.79969999999999997</v>
      </c>
      <c r="D50" s="37"/>
      <c r="E50" s="6"/>
      <c r="F50" s="16"/>
      <c r="G50" s="16"/>
      <c r="H50" s="16">
        <v>4.0069999999999998E-4</v>
      </c>
      <c r="I50" s="16">
        <v>6.6610000000000003E-2</v>
      </c>
      <c r="J50" s="16">
        <v>7.8148000000000001E-6</v>
      </c>
      <c r="K50" s="16">
        <v>1.6100000000000001E-4</v>
      </c>
      <c r="L50" s="16">
        <v>1.5310000000000001E-5</v>
      </c>
      <c r="M50" s="16">
        <v>1.0613E-4</v>
      </c>
      <c r="N50" s="28">
        <v>3.8819999999999998E-5</v>
      </c>
      <c r="O50" s="16">
        <v>2.932E-5</v>
      </c>
      <c r="P50" s="16">
        <v>3.3587999999999998E-5</v>
      </c>
      <c r="Q50" s="16">
        <v>7.6450000000000002E-5</v>
      </c>
      <c r="R50" s="16">
        <v>8.2889999999999998E-6</v>
      </c>
      <c r="S50" s="16"/>
      <c r="T50" s="16">
        <v>3.2509000000000003E-5</v>
      </c>
      <c r="U50" s="16">
        <v>7.5489999999999997E-5</v>
      </c>
      <c r="V50" s="16"/>
      <c r="W50" s="16">
        <v>2.0169E-5</v>
      </c>
      <c r="X50" s="16"/>
      <c r="Y50" s="16"/>
      <c r="Z50" s="16"/>
      <c r="AB50" s="16"/>
    </row>
    <row r="51" spans="1:33" x14ac:dyDescent="0.25">
      <c r="B51" s="6" t="s">
        <v>44</v>
      </c>
      <c r="C51" s="37">
        <v>0.89259999999999995</v>
      </c>
      <c r="D51" s="37"/>
      <c r="E51" s="6"/>
      <c r="F51" s="16">
        <v>2.8259999999999998E-4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B51" s="16"/>
    </row>
    <row r="52" spans="1:33" x14ac:dyDescent="0.25">
      <c r="B52" s="6" t="s">
        <v>45</v>
      </c>
      <c r="C52" s="37">
        <v>0.75719999999999998</v>
      </c>
      <c r="D52" s="37"/>
      <c r="E52" s="6"/>
      <c r="F52" s="16">
        <v>2.967E-4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B52" s="16"/>
    </row>
    <row r="53" spans="1:33" x14ac:dyDescent="0.25">
      <c r="B53" s="6" t="s">
        <v>53</v>
      </c>
      <c r="C53" s="37">
        <v>0.6593</v>
      </c>
      <c r="D53" s="37">
        <v>25.122299999999999</v>
      </c>
      <c r="E53" s="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B53" s="16"/>
      <c r="AC53" s="2" t="s">
        <v>60</v>
      </c>
    </row>
    <row r="54" spans="1:33" x14ac:dyDescent="0.25">
      <c r="B54" s="6" t="s">
        <v>56</v>
      </c>
      <c r="C54" s="37"/>
      <c r="D54" s="37"/>
      <c r="E54" s="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B54" s="16"/>
    </row>
    <row r="55" spans="1:33" x14ac:dyDescent="0.25">
      <c r="B55" s="6" t="s">
        <v>54</v>
      </c>
      <c r="C55" s="37">
        <v>0.53949999999999998</v>
      </c>
      <c r="D55" s="37">
        <v>1.8001</v>
      </c>
      <c r="E55" s="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B55" s="16"/>
      <c r="AC55" s="2" t="s">
        <v>63</v>
      </c>
    </row>
    <row r="56" spans="1:33" x14ac:dyDescent="0.25">
      <c r="B56" s="6" t="s">
        <v>55</v>
      </c>
      <c r="C56" s="37"/>
      <c r="D56" s="37"/>
      <c r="E56" s="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B56" s="16"/>
    </row>
    <row r="57" spans="1:33" x14ac:dyDescent="0.25">
      <c r="B57" s="6" t="s">
        <v>82</v>
      </c>
      <c r="C57" s="37">
        <v>1.5091000000000001</v>
      </c>
      <c r="D57" s="37"/>
      <c r="E57" s="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B57" s="16"/>
      <c r="AE57" s="44">
        <f>IF(ISNUMBER(SEARCH("VT",B57)),H47*$C57/1000*$AE$1*1000,"")</f>
        <v>1.4386789803250003E-2</v>
      </c>
      <c r="AF57" s="2">
        <f>AE57*AG57/1000/$AE$2*1000</f>
        <v>0.19441607842229736</v>
      </c>
      <c r="AG57" s="63">
        <v>500</v>
      </c>
    </row>
    <row r="58" spans="1:33" x14ac:dyDescent="0.25">
      <c r="B58" s="6"/>
      <c r="C58" s="37"/>
      <c r="D58" s="37"/>
      <c r="E58" s="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B58" s="16"/>
    </row>
    <row r="59" spans="1:33" s="24" customFormat="1" x14ac:dyDescent="0.25">
      <c r="A59" s="21">
        <v>6</v>
      </c>
      <c r="B59" s="22" t="s">
        <v>51</v>
      </c>
      <c r="C59" s="38"/>
      <c r="D59" s="38"/>
      <c r="E59" s="22"/>
      <c r="F59" s="23">
        <f>IFERROR(AVERAGE(F61:F68),"")</f>
        <v>3.5322499999999998E-4</v>
      </c>
      <c r="G59" s="23" t="str">
        <f t="shared" ref="G59:W59" si="44">IFERROR(AVERAGE(G61:G68),"")</f>
        <v/>
      </c>
      <c r="H59" s="23">
        <f t="shared" si="44"/>
        <v>3.189E-4</v>
      </c>
      <c r="I59" s="23">
        <f t="shared" si="44"/>
        <v>4.4745E-2</v>
      </c>
      <c r="J59" s="23">
        <f t="shared" si="44"/>
        <v>9.3291000000000002E-6</v>
      </c>
      <c r="K59" s="23">
        <f t="shared" si="44"/>
        <v>1.3454999999999999E-4</v>
      </c>
      <c r="L59" s="23">
        <f t="shared" si="44"/>
        <v>1.8838499999999999E-5</v>
      </c>
      <c r="M59" s="23">
        <f t="shared" si="44"/>
        <v>8.4850000000000002E-5</v>
      </c>
      <c r="N59" s="23" t="str">
        <f t="shared" si="44"/>
        <v/>
      </c>
      <c r="O59" s="23">
        <f t="shared" si="44"/>
        <v>1.9174499999999997E-5</v>
      </c>
      <c r="P59" s="23">
        <f t="shared" si="44"/>
        <v>3.9560500000000002E-5</v>
      </c>
      <c r="Q59" s="23">
        <f t="shared" si="44"/>
        <v>6.1484999999999998E-5</v>
      </c>
      <c r="R59" s="23">
        <f t="shared" si="44"/>
        <v>2.8405849999999998E-6</v>
      </c>
      <c r="S59" s="23" t="str">
        <f t="shared" si="44"/>
        <v/>
      </c>
      <c r="T59" s="23">
        <f t="shared" si="44"/>
        <v>2.3639000000000002E-5</v>
      </c>
      <c r="U59" s="23">
        <f t="shared" si="44"/>
        <v>5.5387000000000004E-5</v>
      </c>
      <c r="V59" s="23" t="str">
        <f t="shared" si="44"/>
        <v/>
      </c>
      <c r="W59" s="23">
        <f t="shared" si="44"/>
        <v>1.34595E-5</v>
      </c>
      <c r="X59" s="23" t="str">
        <f t="shared" ref="X59" si="45">IFERROR(AVERAGE(X61:X68),"")</f>
        <v/>
      </c>
      <c r="Y59" s="23"/>
      <c r="Z59" s="23"/>
      <c r="AA59" s="30"/>
      <c r="AB59" s="23" t="str">
        <f t="shared" ref="AB59" si="46">IFERROR(AVERAGE(AB61:AB68),"")</f>
        <v/>
      </c>
      <c r="AE59" s="42"/>
      <c r="AG59" s="64"/>
    </row>
    <row r="60" spans="1:33" s="26" customFormat="1" x14ac:dyDescent="0.25">
      <c r="A60" s="25"/>
      <c r="B60" s="27" t="s">
        <v>52</v>
      </c>
      <c r="C60" s="39"/>
      <c r="D60" s="39"/>
      <c r="E60" s="27"/>
      <c r="F60" s="26">
        <f>IFERROR(STDEV(F61:F68)/F59,"")</f>
        <v>2.2520918078699641E-2</v>
      </c>
      <c r="H60" s="26">
        <f>IFERROR(STDEV(H61:H68)/H59,"")</f>
        <v>1.2860518441147691E-2</v>
      </c>
      <c r="I60" s="26">
        <f t="shared" ref="I60" si="47">IFERROR(STDEV(I61:I68)/I59,"")</f>
        <v>7.1113655499821351E-3</v>
      </c>
      <c r="J60" s="26">
        <f t="shared" ref="J60" si="48">IFERROR(STDEV(J61:J68)/J59,"")</f>
        <v>1.8024245915057267E-2</v>
      </c>
      <c r="K60" s="26">
        <f t="shared" ref="K60" si="49">IFERROR(STDEV(K61:K68)/K59,"")</f>
        <v>2.364905622697484E-2</v>
      </c>
      <c r="L60" s="26">
        <f t="shared" ref="L60" si="50">IFERROR(STDEV(L61:L68)/L59,"")</f>
        <v>1.7378795535173748E-2</v>
      </c>
      <c r="M60" s="26">
        <f t="shared" ref="M60" si="51">IFERROR(STDEV(M61:M68)/M59,"")</f>
        <v>2.7834256324844694E-2</v>
      </c>
      <c r="N60" s="26" t="str">
        <f t="shared" ref="N60" si="52">IFERROR(STDEV(N61:N68)/N59,"")</f>
        <v/>
      </c>
      <c r="O60" s="26">
        <f t="shared" ref="O60" si="53">IFERROR(STDEV(O61:O68)/O59,"")</f>
        <v>3.573425492032465E-2</v>
      </c>
      <c r="P60" s="26">
        <f t="shared" ref="P60" si="54">IFERROR(STDEV(P61:P68)/P59,"")</f>
        <v>4.8957052455604833E-2</v>
      </c>
      <c r="Q60" s="26">
        <f t="shared" ref="Q60" si="55">IFERROR(STDEV(Q61:Q68)/Q59,"")</f>
        <v>4.2206747775142349E-2</v>
      </c>
      <c r="R60" s="26">
        <f t="shared" ref="R60" si="56">IFERROR(STDEV(R61:R68)/R59,"")</f>
        <v>1.2368907769220612</v>
      </c>
      <c r="S60" s="26" t="str">
        <f t="shared" ref="S60" si="57">IFERROR(STDEV(S61:S68)/S59,"")</f>
        <v/>
      </c>
      <c r="T60" s="26">
        <f t="shared" ref="T60" si="58">IFERROR(STDEV(T61:T68)/T59,"")</f>
        <v>7.3046861527879675E-2</v>
      </c>
      <c r="U60" s="26">
        <f t="shared" ref="U60" si="59">IFERROR(STDEV(U61:U68)/U59,"")</f>
        <v>0.10450784680147106</v>
      </c>
      <c r="V60" s="26" t="str">
        <f t="shared" ref="V60" si="60">IFERROR(STDEV(V61:V68)/V59,"")</f>
        <v/>
      </c>
      <c r="W60" s="26">
        <f t="shared" ref="W60" si="61">IFERROR(STDEV(W61:W68)/W59,"")</f>
        <v>7.1501343229309455E-2</v>
      </c>
      <c r="AA60" s="33"/>
      <c r="AE60" s="43"/>
      <c r="AG60" s="65"/>
    </row>
    <row r="61" spans="1:33" x14ac:dyDescent="0.25">
      <c r="B61" s="6" t="s">
        <v>23</v>
      </c>
      <c r="C61" s="37">
        <v>1.0745</v>
      </c>
      <c r="D61" s="37"/>
      <c r="E61" s="6"/>
      <c r="F61" s="17"/>
      <c r="G61" s="17"/>
      <c r="H61" s="16">
        <v>3.1599999999999998E-4</v>
      </c>
      <c r="I61" s="16">
        <v>4.4519999999999997E-2</v>
      </c>
      <c r="J61" s="16">
        <v>9.2102000000000003E-6</v>
      </c>
      <c r="K61" s="16">
        <v>1.3229999999999999E-4</v>
      </c>
      <c r="L61" s="16">
        <v>1.8607E-5</v>
      </c>
      <c r="M61" s="16">
        <v>8.318E-5</v>
      </c>
      <c r="N61" s="16"/>
      <c r="O61" s="16">
        <v>1.8689999999999999E-5</v>
      </c>
      <c r="P61" s="16">
        <v>3.8191000000000001E-5</v>
      </c>
      <c r="Q61" s="16">
        <v>5.965E-5</v>
      </c>
      <c r="R61" s="16">
        <v>3.5616999999999999E-7</v>
      </c>
      <c r="S61" s="16"/>
      <c r="T61" s="16">
        <v>2.2418000000000001E-5</v>
      </c>
      <c r="U61" s="16">
        <v>5.1294000000000001E-5</v>
      </c>
      <c r="V61" s="16"/>
      <c r="W61" s="16">
        <v>1.2779000000000001E-5</v>
      </c>
      <c r="X61" s="17"/>
      <c r="Y61" s="16"/>
      <c r="Z61" s="17"/>
      <c r="AB61" s="17"/>
    </row>
    <row r="62" spans="1:33" x14ac:dyDescent="0.25">
      <c r="B62" s="6" t="s">
        <v>25</v>
      </c>
      <c r="C62" s="37">
        <v>1.2607999999999999</v>
      </c>
      <c r="D62" s="37"/>
      <c r="E62" s="6"/>
      <c r="F62" s="16"/>
      <c r="G62" s="16"/>
      <c r="H62" s="16">
        <v>3.2180000000000002E-4</v>
      </c>
      <c r="I62" s="16">
        <v>4.4970000000000003E-2</v>
      </c>
      <c r="J62" s="16">
        <v>9.448E-6</v>
      </c>
      <c r="K62" s="16">
        <v>1.3679999999999999E-4</v>
      </c>
      <c r="L62" s="16">
        <v>1.9069999999999999E-5</v>
      </c>
      <c r="M62" s="16">
        <v>8.6520000000000005E-5</v>
      </c>
      <c r="N62" s="16"/>
      <c r="O62" s="16">
        <v>1.9658999999999999E-5</v>
      </c>
      <c r="P62" s="16">
        <v>4.0930000000000003E-5</v>
      </c>
      <c r="Q62" s="16">
        <v>6.3319999999999997E-5</v>
      </c>
      <c r="R62" s="16">
        <v>5.3249999999999998E-6</v>
      </c>
      <c r="S62" s="16"/>
      <c r="T62" s="16">
        <v>2.4859999999999999E-5</v>
      </c>
      <c r="U62" s="16">
        <v>5.948E-5</v>
      </c>
      <c r="V62" s="16"/>
      <c r="W62" s="16">
        <v>1.414E-5</v>
      </c>
      <c r="X62" s="16"/>
      <c r="Y62" s="16"/>
      <c r="Z62" s="16"/>
      <c r="AB62" s="16"/>
    </row>
    <row r="63" spans="1:33" x14ac:dyDescent="0.25">
      <c r="B63" s="6" t="s">
        <v>44</v>
      </c>
      <c r="C63" s="37">
        <v>1.1584000000000001</v>
      </c>
      <c r="D63" s="37"/>
      <c r="E63" s="6"/>
      <c r="F63" s="16">
        <v>3.4759999999999999E-4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B63" s="16"/>
    </row>
    <row r="64" spans="1:33" x14ac:dyDescent="0.25">
      <c r="B64" s="6" t="s">
        <v>45</v>
      </c>
      <c r="C64" s="37">
        <v>0.9829</v>
      </c>
      <c r="D64" s="37"/>
      <c r="E64" s="6"/>
      <c r="F64" s="16">
        <v>3.5885000000000002E-4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B64" s="16"/>
    </row>
    <row r="65" spans="1:33" x14ac:dyDescent="0.25">
      <c r="B65" s="6" t="s">
        <v>53</v>
      </c>
      <c r="C65" s="37">
        <v>0.77829999999999999</v>
      </c>
      <c r="D65" s="37">
        <v>25.2212</v>
      </c>
      <c r="E65" s="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B65" s="16"/>
      <c r="AC65" s="2" t="s">
        <v>63</v>
      </c>
    </row>
    <row r="66" spans="1:33" x14ac:dyDescent="0.25">
      <c r="B66" s="6" t="s">
        <v>56</v>
      </c>
      <c r="C66" s="37"/>
      <c r="D66" s="37"/>
      <c r="E66" s="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B66" s="16"/>
    </row>
    <row r="67" spans="1:33" x14ac:dyDescent="0.25">
      <c r="B67" s="6" t="s">
        <v>54</v>
      </c>
      <c r="C67" s="37">
        <v>1.0363</v>
      </c>
      <c r="D67" s="37">
        <v>2.6503000000000001</v>
      </c>
      <c r="E67" s="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B67" s="16"/>
      <c r="AC67" s="2" t="s">
        <v>60</v>
      </c>
    </row>
    <row r="68" spans="1:33" x14ac:dyDescent="0.25">
      <c r="B68" s="6" t="s">
        <v>55</v>
      </c>
      <c r="C68" s="37"/>
      <c r="D68" s="37"/>
      <c r="E68" s="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B68" s="16"/>
    </row>
    <row r="69" spans="1:33" x14ac:dyDescent="0.25">
      <c r="B69" s="6" t="s">
        <v>82</v>
      </c>
      <c r="C69" s="37">
        <v>1.6537999999999999</v>
      </c>
      <c r="D69" s="37"/>
      <c r="E69" s="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B69" s="16"/>
      <c r="AE69" s="44">
        <f>IF(ISNUMBER(SEARCH("VT",B69)),H59*$C69/1000*$AE$1*1000,"")</f>
        <v>1.2710263361999999E-2</v>
      </c>
      <c r="AF69" s="2">
        <f>AE69*AG69/1000/$AE$2*1000</f>
        <v>0.1717603157027027</v>
      </c>
      <c r="AG69" s="63">
        <v>500</v>
      </c>
    </row>
    <row r="70" spans="1:33" x14ac:dyDescent="0.25">
      <c r="B70" s="6" t="s">
        <v>84</v>
      </c>
      <c r="C70" s="37">
        <v>1.639</v>
      </c>
      <c r="D70" s="37"/>
      <c r="E70" s="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B70" s="16"/>
      <c r="AE70" s="44">
        <f>IF(ISNUMBER(SEARCH("VT",B70)),H59*$C70/1000*$AE$1*1000,"")</f>
        <v>1.259651811E-2</v>
      </c>
      <c r="AF70" s="2">
        <f>AE70*AG70/1000/$AE$2*1000</f>
        <v>0.17022321770270271</v>
      </c>
      <c r="AG70" s="63">
        <v>500</v>
      </c>
    </row>
    <row r="71" spans="1:33" x14ac:dyDescent="0.25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B71" s="16"/>
    </row>
    <row r="72" spans="1:33" s="24" customFormat="1" x14ac:dyDescent="0.25">
      <c r="A72" s="21">
        <v>7</v>
      </c>
      <c r="B72" s="22" t="s">
        <v>51</v>
      </c>
      <c r="C72" s="38"/>
      <c r="D72" s="38"/>
      <c r="E72" s="22"/>
      <c r="F72" s="23">
        <f>F77</f>
        <v>5.8549999999999997E-4</v>
      </c>
      <c r="G72" s="23" t="str">
        <f t="shared" ref="G72:W72" si="62">IFERROR(AVERAGE(G74:G81),"")</f>
        <v/>
      </c>
      <c r="H72" s="23">
        <f t="shared" si="62"/>
        <v>8.25255E-4</v>
      </c>
      <c r="I72" s="23">
        <f t="shared" si="62"/>
        <v>4.5335E-2</v>
      </c>
      <c r="J72" s="23">
        <f t="shared" si="62"/>
        <v>1.1708999999999999E-5</v>
      </c>
      <c r="K72" s="23">
        <f t="shared" si="62"/>
        <v>4.171995E-4</v>
      </c>
      <c r="L72" s="23">
        <f t="shared" si="62"/>
        <v>2.9799499999999998E-5</v>
      </c>
      <c r="M72" s="23">
        <f t="shared" si="62"/>
        <v>2.4374999999999999E-4</v>
      </c>
      <c r="N72" s="23">
        <f t="shared" si="62"/>
        <v>3.8614999999999995E-5</v>
      </c>
      <c r="O72" s="23">
        <f t="shared" si="62"/>
        <v>5.4765000000000002E-5</v>
      </c>
      <c r="P72" s="23">
        <f t="shared" si="62"/>
        <v>3.8465000000000005E-5</v>
      </c>
      <c r="Q72" s="23">
        <f t="shared" si="62"/>
        <v>1.4773500000000002E-4</v>
      </c>
      <c r="R72" s="23">
        <f t="shared" si="62"/>
        <v>7.5137999999999991E-6</v>
      </c>
      <c r="S72" s="23" t="str">
        <f t="shared" si="62"/>
        <v/>
      </c>
      <c r="T72" s="23">
        <f t="shared" si="62"/>
        <v>5.4108499999999999E-5</v>
      </c>
      <c r="U72" s="23">
        <f t="shared" si="62"/>
        <v>1.1861E-4</v>
      </c>
      <c r="V72" s="23">
        <f t="shared" si="62"/>
        <v>4.7573500000000001E-5</v>
      </c>
      <c r="W72" s="23">
        <f t="shared" si="62"/>
        <v>3.2143700000000002E-5</v>
      </c>
      <c r="X72" s="23" t="str">
        <f t="shared" ref="X72" si="63">IFERROR(AVERAGE(X74:X81),"")</f>
        <v/>
      </c>
      <c r="Y72" s="23"/>
      <c r="Z72" s="23"/>
      <c r="AA72" s="30"/>
      <c r="AB72" s="23" t="str">
        <f t="shared" ref="AB72" si="64">IFERROR(AVERAGE(AB74:AB81),"")</f>
        <v/>
      </c>
      <c r="AC72" s="24" t="s">
        <v>73</v>
      </c>
      <c r="AE72" s="42"/>
      <c r="AG72" s="64"/>
    </row>
    <row r="73" spans="1:33" s="26" customFormat="1" x14ac:dyDescent="0.25">
      <c r="A73" s="25"/>
      <c r="B73" s="27" t="s">
        <v>52</v>
      </c>
      <c r="C73" s="39"/>
      <c r="D73" s="39"/>
      <c r="E73" s="27"/>
      <c r="F73" s="26">
        <f>IFERROR(STDEV(F74:F81)/F72,"")</f>
        <v>7.0167214324403718E-2</v>
      </c>
      <c r="H73" s="26">
        <f>IFERROR(STDEV(H74:H81)/H72,"")</f>
        <v>7.2745231137937511E-3</v>
      </c>
      <c r="I73" s="26">
        <f t="shared" ref="I73" si="65">IFERROR(STDEV(I74:I81)/I72,"")</f>
        <v>2.3396055404870469E-3</v>
      </c>
      <c r="J73" s="26">
        <f t="shared" ref="J73" si="66">IFERROR(STDEV(J74:J81)/J72,"")</f>
        <v>8.5753832887941507E-3</v>
      </c>
      <c r="K73" s="26">
        <f t="shared" ref="K73" si="67">IFERROR(STDEV(K74:K81)/K72,"")</f>
        <v>1.1187961305352406E-2</v>
      </c>
      <c r="L73" s="26">
        <f t="shared" ref="L73" si="68">IFERROR(STDEV(L74:L81)/L72,"")</f>
        <v>1.3311864435499031E-2</v>
      </c>
      <c r="M73" s="26">
        <f t="shared" ref="M73" si="69">IFERROR(STDEV(M74:M81)/M72,"")</f>
        <v>6.0919968840687077E-3</v>
      </c>
      <c r="N73" s="26">
        <f t="shared" ref="N73" si="70">IFERROR(STDEV(N74:N81)/N72,"")</f>
        <v>1.1170144672375914E-2</v>
      </c>
      <c r="O73" s="26">
        <f t="shared" ref="O73" si="71">IFERROR(STDEV(O74:O81)/O72,"")</f>
        <v>4.0026130223286991E-3</v>
      </c>
      <c r="P73" s="26">
        <f t="shared" ref="P73" si="72">IFERROR(STDEV(P74:P81)/P72,"")</f>
        <v>4.9634428940691427E-3</v>
      </c>
      <c r="Q73" s="26">
        <f t="shared" ref="Q73" si="73">IFERROR(STDEV(Q74:Q81)/Q72,"")</f>
        <v>1.2923060271456646E-3</v>
      </c>
      <c r="R73" s="26">
        <f t="shared" ref="R73" si="74">IFERROR(STDEV(R74:R81)/R72,"")</f>
        <v>0.11533845338207466</v>
      </c>
      <c r="S73" s="26" t="str">
        <f t="shared" ref="S73" si="75">IFERROR(STDEV(S74:S81)/S72,"")</f>
        <v/>
      </c>
      <c r="T73" s="26">
        <f t="shared" ref="T73" si="76">IFERROR(STDEV(T74:T81)/T72,"")</f>
        <v>3.498387227951965E-2</v>
      </c>
      <c r="U73" s="26">
        <f t="shared" ref="U73" si="77">IFERROR(STDEV(U74:U81)/U72,"")</f>
        <v>8.1197153357733615E-2</v>
      </c>
      <c r="V73" s="26">
        <f t="shared" ref="V73" si="78">IFERROR(STDEV(V74:V81)/V72,"")</f>
        <v>2.5713784595472818E-3</v>
      </c>
      <c r="W73" s="26" t="str">
        <f t="shared" ref="W73" si="79">IFERROR(STDEV(W74:W81)/W72,"")</f>
        <v/>
      </c>
      <c r="AA73" s="33"/>
      <c r="AE73" s="43"/>
      <c r="AG73" s="65"/>
    </row>
    <row r="74" spans="1:33" x14ac:dyDescent="0.25">
      <c r="B74" s="6" t="s">
        <v>23</v>
      </c>
      <c r="C74" s="37">
        <v>0.64149999999999996</v>
      </c>
      <c r="D74" s="37"/>
      <c r="E74" s="6"/>
      <c r="F74" s="17"/>
      <c r="G74" s="17"/>
      <c r="H74" s="16">
        <v>8.2950000000000005E-4</v>
      </c>
      <c r="I74" s="16">
        <v>4.5260000000000002E-2</v>
      </c>
      <c r="J74" s="16">
        <v>1.1780000000000001E-5</v>
      </c>
      <c r="K74" s="16">
        <v>4.2049999999999998E-4</v>
      </c>
      <c r="L74" s="16">
        <v>3.008E-5</v>
      </c>
      <c r="M74" s="16">
        <v>2.4479999999999999E-4</v>
      </c>
      <c r="N74" s="16">
        <v>3.8309999999999997E-5</v>
      </c>
      <c r="O74" s="16">
        <v>5.4610000000000001E-5</v>
      </c>
      <c r="P74" s="16">
        <v>3.8600000000000003E-5</v>
      </c>
      <c r="Q74" s="16">
        <v>1.4760000000000001E-4</v>
      </c>
      <c r="R74" s="16">
        <v>6.9009999999999997E-6</v>
      </c>
      <c r="S74" s="16"/>
      <c r="T74" s="16">
        <v>5.2769999999999998E-5</v>
      </c>
      <c r="U74" s="16">
        <v>1.1179999999999999E-4</v>
      </c>
      <c r="V74" s="16">
        <v>4.7660000000000001E-5</v>
      </c>
      <c r="W74" s="16"/>
      <c r="X74" s="17"/>
      <c r="Y74" s="16"/>
      <c r="Z74" s="17"/>
      <c r="AB74" s="17"/>
    </row>
    <row r="75" spans="1:33" x14ac:dyDescent="0.25">
      <c r="B75" s="6" t="s">
        <v>25</v>
      </c>
      <c r="C75" s="37">
        <v>0.56079999999999997</v>
      </c>
      <c r="D75" s="37"/>
      <c r="E75" s="6"/>
      <c r="F75" s="16"/>
      <c r="G75" s="16"/>
      <c r="H75" s="16">
        <v>8.2100999999999995E-4</v>
      </c>
      <c r="I75" s="16">
        <v>4.5409999999999999E-2</v>
      </c>
      <c r="J75" s="16">
        <v>1.1637999999999999E-5</v>
      </c>
      <c r="K75" s="16">
        <v>4.1389900000000002E-4</v>
      </c>
      <c r="L75" s="16">
        <v>2.9519E-5</v>
      </c>
      <c r="M75" s="16">
        <v>2.4269999999999999E-4</v>
      </c>
      <c r="N75" s="16">
        <v>3.892E-5</v>
      </c>
      <c r="O75" s="16">
        <v>5.4920000000000003E-5</v>
      </c>
      <c r="P75" s="16">
        <v>3.8330000000000001E-5</v>
      </c>
      <c r="Q75" s="16">
        <v>1.4787000000000001E-4</v>
      </c>
      <c r="R75" s="16">
        <v>8.1265999999999994E-6</v>
      </c>
      <c r="S75" s="16"/>
      <c r="T75" s="16">
        <v>5.5447E-5</v>
      </c>
      <c r="U75" s="16">
        <v>1.2542E-4</v>
      </c>
      <c r="V75" s="16">
        <v>4.7487000000000001E-5</v>
      </c>
      <c r="W75" s="16">
        <v>3.2143700000000002E-5</v>
      </c>
      <c r="X75" s="16"/>
      <c r="Y75" s="16"/>
      <c r="Z75" s="16"/>
      <c r="AB75" s="16"/>
    </row>
    <row r="76" spans="1:33" x14ac:dyDescent="0.25">
      <c r="B76" s="6" t="s">
        <v>44</v>
      </c>
      <c r="C76" s="37">
        <v>0.60589999999999999</v>
      </c>
      <c r="D76" s="37"/>
      <c r="E76" s="6"/>
      <c r="F76" s="17">
        <v>5.2740000000000003E-4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B76" s="16"/>
      <c r="AC76" s="2" t="s">
        <v>72</v>
      </c>
    </row>
    <row r="77" spans="1:33" x14ac:dyDescent="0.25">
      <c r="B77" s="6" t="s">
        <v>45</v>
      </c>
      <c r="C77" s="37">
        <v>0.55130000000000001</v>
      </c>
      <c r="D77" s="37"/>
      <c r="E77" s="6"/>
      <c r="F77" s="16">
        <v>5.8549999999999997E-4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B77" s="16"/>
    </row>
    <row r="78" spans="1:33" x14ac:dyDescent="0.25">
      <c r="B78" s="6" t="s">
        <v>53</v>
      </c>
      <c r="C78" s="37">
        <v>0.49359999999999998</v>
      </c>
      <c r="D78" s="37">
        <v>24.202200000000001</v>
      </c>
      <c r="E78" s="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B78" s="16"/>
      <c r="AC78" s="2" t="s">
        <v>60</v>
      </c>
    </row>
    <row r="79" spans="1:33" x14ac:dyDescent="0.25">
      <c r="B79" s="6" t="s">
        <v>56</v>
      </c>
      <c r="C79" s="37"/>
      <c r="D79" s="37"/>
      <c r="E79" s="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B79" s="16"/>
    </row>
    <row r="80" spans="1:33" x14ac:dyDescent="0.25">
      <c r="B80" s="6" t="s">
        <v>54</v>
      </c>
      <c r="C80" s="37">
        <v>0.3221</v>
      </c>
      <c r="D80" s="37">
        <v>1.8960999999999999</v>
      </c>
      <c r="E80" s="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B80" s="16"/>
      <c r="AC80" s="2" t="s">
        <v>63</v>
      </c>
    </row>
    <row r="81" spans="1:33" x14ac:dyDescent="0.25">
      <c r="B81" s="6" t="s">
        <v>55</v>
      </c>
      <c r="C81" s="37"/>
      <c r="D81" s="37"/>
      <c r="E81" s="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B81" s="16"/>
    </row>
    <row r="82" spans="1:33" x14ac:dyDescent="0.25">
      <c r="B82" s="6" t="s">
        <v>82</v>
      </c>
      <c r="C82" s="37">
        <v>1.5242</v>
      </c>
      <c r="D82" s="37"/>
      <c r="E82" s="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B82" s="16"/>
      <c r="AE82" s="44">
        <f>IF(ISNUMBER(SEARCH("VT",B82)),H72*$C82/1000*$AE$1*1000,"")</f>
        <v>3.0314273471100002E-2</v>
      </c>
      <c r="AF82" s="2">
        <f>AE82*AG82/1000/$AE$2*1000</f>
        <v>0.16386093768162163</v>
      </c>
      <c r="AG82" s="63">
        <v>200</v>
      </c>
    </row>
    <row r="83" spans="1:33" x14ac:dyDescent="0.25">
      <c r="B83" s="3"/>
      <c r="E83" s="3"/>
      <c r="F83" s="2"/>
      <c r="G83" s="2"/>
      <c r="I83" s="2"/>
      <c r="X83" s="2"/>
      <c r="Z83" s="2"/>
      <c r="AB83" s="2"/>
    </row>
    <row r="84" spans="1:33" s="24" customFormat="1" x14ac:dyDescent="0.25">
      <c r="A84" s="21">
        <v>8</v>
      </c>
      <c r="B84" s="22" t="s">
        <v>51</v>
      </c>
      <c r="C84" s="38"/>
      <c r="D84" s="38"/>
      <c r="E84" s="22"/>
      <c r="F84" s="23">
        <f>IFERROR(AVERAGE(F86:F93),"")</f>
        <v>7.1769999999999994E-4</v>
      </c>
      <c r="G84" s="23" t="str">
        <f t="shared" ref="G84:W84" si="80">IFERROR(AVERAGE(G86:G93),"")</f>
        <v/>
      </c>
      <c r="H84" s="23">
        <f t="shared" si="80"/>
        <v>1.3254949999999999E-3</v>
      </c>
      <c r="I84" s="23">
        <f t="shared" si="80"/>
        <v>5.4410500000000001E-2</v>
      </c>
      <c r="J84" s="23">
        <f t="shared" si="80"/>
        <v>2.4680000000000001E-5</v>
      </c>
      <c r="K84" s="23">
        <f t="shared" si="80"/>
        <v>6.7325250000000001E-4</v>
      </c>
      <c r="L84" s="23">
        <f t="shared" si="80"/>
        <v>6.3974999999999996E-5</v>
      </c>
      <c r="M84" s="23">
        <f t="shared" si="80"/>
        <v>3.6485000000000001E-4</v>
      </c>
      <c r="N84" s="23">
        <f t="shared" si="80"/>
        <v>5.2503999999999997E-5</v>
      </c>
      <c r="O84" s="23">
        <f t="shared" si="80"/>
        <v>6.6611000000000003E-5</v>
      </c>
      <c r="P84" s="23">
        <f t="shared" si="80"/>
        <v>6.0505000000000004E-5</v>
      </c>
      <c r="Q84" s="23">
        <f t="shared" si="80"/>
        <v>2.0868500000000001E-4</v>
      </c>
      <c r="R84" s="23">
        <f t="shared" si="80"/>
        <v>1.13015E-5</v>
      </c>
      <c r="S84" s="23">
        <f t="shared" si="80"/>
        <v>8.8420000000000011E-6</v>
      </c>
      <c r="T84" s="23">
        <f t="shared" si="80"/>
        <v>6.6970000000000004E-5</v>
      </c>
      <c r="U84" s="23">
        <f t="shared" si="80"/>
        <v>1.5337700000000001E-4</v>
      </c>
      <c r="V84" s="23">
        <f t="shared" si="80"/>
        <v>4.2166000000000003E-5</v>
      </c>
      <c r="W84" s="23">
        <f t="shared" si="80"/>
        <v>3.4230000000000003E-5</v>
      </c>
      <c r="X84" s="23" t="str">
        <f t="shared" ref="X84" si="81">IFERROR(AVERAGE(X86:X93),"")</f>
        <v/>
      </c>
      <c r="Y84" s="23"/>
      <c r="Z84" s="23"/>
      <c r="AA84" s="30"/>
      <c r="AB84" s="23" t="str">
        <f t="shared" ref="AB84" si="82">IFERROR(AVERAGE(AB86:AB93),"")</f>
        <v/>
      </c>
      <c r="AE84" s="42"/>
      <c r="AG84" s="64"/>
    </row>
    <row r="85" spans="1:33" s="26" customFormat="1" x14ac:dyDescent="0.25">
      <c r="A85" s="25"/>
      <c r="B85" s="27" t="s">
        <v>52</v>
      </c>
      <c r="C85" s="39"/>
      <c r="D85" s="39"/>
      <c r="E85" s="27"/>
      <c r="F85" s="26">
        <f>IFERROR(STDEV(F86:F93)/F84,"")</f>
        <v>1.201992856412977E-2</v>
      </c>
      <c r="H85" s="26">
        <f>IFERROR(STDEV(H86:H93)/H84,"")</f>
        <v>1.0141192467988431E-2</v>
      </c>
      <c r="I85" s="26">
        <f t="shared" ref="I85" si="83">IFERROR(STDEV(I86:I93)/I84,"")</f>
        <v>2.0832232202277794E-2</v>
      </c>
      <c r="J85" s="26">
        <f t="shared" ref="J85" si="84">IFERROR(STDEV(J86:J93)/J84,"")</f>
        <v>1.1460401639976447E-2</v>
      </c>
      <c r="K85" s="26">
        <f t="shared" ref="K85" si="85">IFERROR(STDEV(K86:K93)/K84,"")</f>
        <v>1.1022737633432849E-2</v>
      </c>
      <c r="L85" s="26">
        <f t="shared" ref="L85" si="86">IFERROR(STDEV(L86:L93)/L84,"")</f>
        <v>1.0942332370061487E-2</v>
      </c>
      <c r="M85" s="26">
        <f t="shared" ref="M85" si="87">IFERROR(STDEV(M86:M93)/M84,"")</f>
        <v>1.4535564914071866E-2</v>
      </c>
      <c r="N85" s="26">
        <f t="shared" ref="N85" si="88">IFERROR(STDEV(N86:N93)/N84,"")</f>
        <v>4.0025928570897894E-2</v>
      </c>
      <c r="O85" s="26">
        <f t="shared" ref="O85" si="89">IFERROR(STDEV(O86:O93)/O84,"")</f>
        <v>4.2037243901138473E-3</v>
      </c>
      <c r="P85" s="26">
        <f t="shared" ref="P85" si="90">IFERROR(STDEV(P86:P93)/P84,"")</f>
        <v>1.5543376894109662E-2</v>
      </c>
      <c r="Q85" s="26">
        <f t="shared" ref="Q85" si="91">IFERROR(STDEV(Q86:Q93)/Q84,"")</f>
        <v>8.4370984265974679E-3</v>
      </c>
      <c r="R85" s="26">
        <f t="shared" ref="R85" si="92">IFERROR(STDEV(R86:R93)/R84,"")</f>
        <v>0.69556307449903554</v>
      </c>
      <c r="S85" s="26">
        <f t="shared" ref="S85" si="93">IFERROR(STDEV(S86:S93)/S84,"")</f>
        <v>0.12347578264555854</v>
      </c>
      <c r="T85" s="26">
        <f t="shared" ref="T85" si="94">IFERROR(STDEV(T86:T93)/T84,"")</f>
        <v>1.8160723661951091E-2</v>
      </c>
      <c r="U85" s="26">
        <f t="shared" ref="U85" si="95">IFERROR(STDEV(U86:U93)/U84,"")</f>
        <v>6.3870445676720913E-2</v>
      </c>
      <c r="V85" s="26">
        <f t="shared" ref="V85" si="96">IFERROR(STDEV(V86:V93)/V84,"")</f>
        <v>3.8301757060903927E-2</v>
      </c>
      <c r="W85" s="26">
        <f t="shared" ref="W85" si="97">IFERROR(STDEV(W86:W93)/W84,"")</f>
        <v>9.9156077992855474E-3</v>
      </c>
      <c r="AA85" s="33"/>
      <c r="AE85" s="43"/>
      <c r="AG85" s="65"/>
    </row>
    <row r="86" spans="1:33" x14ac:dyDescent="0.25">
      <c r="B86" s="6" t="s">
        <v>23</v>
      </c>
      <c r="C86" s="37">
        <v>0.61070000000000002</v>
      </c>
      <c r="D86" s="37"/>
      <c r="E86" s="6"/>
      <c r="F86" s="17"/>
      <c r="G86" s="17"/>
      <c r="H86" s="16">
        <v>1.31599E-3</v>
      </c>
      <c r="I86" s="16">
        <v>5.3608999999999997E-2</v>
      </c>
      <c r="J86" s="16">
        <v>2.4479999999999999E-5</v>
      </c>
      <c r="K86" s="16">
        <v>6.6800500000000005E-4</v>
      </c>
      <c r="L86" s="16">
        <v>6.3479999999999995E-5</v>
      </c>
      <c r="M86" s="16">
        <v>3.611E-4</v>
      </c>
      <c r="N86" s="16">
        <v>5.1017999999999998E-5</v>
      </c>
      <c r="O86" s="16">
        <v>6.6413000000000003E-5</v>
      </c>
      <c r="P86" s="16">
        <v>5.9840000000000003E-5</v>
      </c>
      <c r="Q86" s="16">
        <v>2.0744000000000001E-4</v>
      </c>
      <c r="R86" s="16">
        <v>5.7429999999999999E-6</v>
      </c>
      <c r="S86" s="16">
        <v>8.0700000000000007E-6</v>
      </c>
      <c r="T86" s="16">
        <v>6.6110000000000002E-5</v>
      </c>
      <c r="U86" s="16">
        <v>1.4645000000000001E-4</v>
      </c>
      <c r="V86" s="16">
        <v>4.3307999999999999E-5</v>
      </c>
      <c r="W86" s="16">
        <v>3.447E-5</v>
      </c>
      <c r="X86" s="17"/>
      <c r="Y86" s="16"/>
      <c r="Z86" s="17"/>
      <c r="AB86" s="17"/>
    </row>
    <row r="87" spans="1:33" x14ac:dyDescent="0.25">
      <c r="B87" s="6" t="s">
        <v>25</v>
      </c>
      <c r="C87" s="37">
        <v>0.58940000000000003</v>
      </c>
      <c r="D87" s="37"/>
      <c r="E87" s="6"/>
      <c r="F87" s="16"/>
      <c r="G87" s="16"/>
      <c r="H87" s="16">
        <v>1.335E-3</v>
      </c>
      <c r="I87" s="16">
        <v>5.5211999999999997E-2</v>
      </c>
      <c r="J87" s="16">
        <v>2.4879999999999999E-5</v>
      </c>
      <c r="K87" s="16">
        <v>6.7849999999999996E-4</v>
      </c>
      <c r="L87" s="16">
        <v>6.4469999999999998E-5</v>
      </c>
      <c r="M87" s="16">
        <v>3.6860000000000001E-4</v>
      </c>
      <c r="N87" s="16">
        <v>5.3990000000000003E-5</v>
      </c>
      <c r="O87" s="16">
        <v>6.6809000000000004E-5</v>
      </c>
      <c r="P87" s="16">
        <v>6.1169999999999999E-5</v>
      </c>
      <c r="Q87" s="16">
        <v>2.0992999999999999E-4</v>
      </c>
      <c r="R87" s="16">
        <v>1.6860000000000001E-5</v>
      </c>
      <c r="S87" s="16">
        <v>9.6139999999999998E-6</v>
      </c>
      <c r="T87" s="16">
        <v>6.7830000000000006E-5</v>
      </c>
      <c r="U87" s="16">
        <v>1.60304E-4</v>
      </c>
      <c r="V87" s="16">
        <v>4.1023999999999999E-5</v>
      </c>
      <c r="W87" s="16">
        <v>3.3989999999999998E-5</v>
      </c>
      <c r="X87" s="16"/>
      <c r="Y87" s="16"/>
      <c r="Z87" s="16"/>
      <c r="AB87" s="16"/>
    </row>
    <row r="88" spans="1:33" x14ac:dyDescent="0.25">
      <c r="B88" s="6" t="s">
        <v>44</v>
      </c>
      <c r="C88" s="37">
        <v>0.65769999999999995</v>
      </c>
      <c r="D88" s="37"/>
      <c r="E88" s="6"/>
      <c r="F88" s="16">
        <v>7.2380000000000003E-4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B88" s="16"/>
    </row>
    <row r="89" spans="1:33" x14ac:dyDescent="0.25">
      <c r="B89" s="6" t="s">
        <v>45</v>
      </c>
      <c r="C89" s="37">
        <v>0.56930000000000003</v>
      </c>
      <c r="D89" s="37"/>
      <c r="E89" s="6"/>
      <c r="F89" s="16">
        <v>7.1159999999999995E-4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B89" s="16"/>
      <c r="AC89" s="2" t="s">
        <v>58</v>
      </c>
    </row>
    <row r="90" spans="1:33" x14ac:dyDescent="0.25">
      <c r="B90" s="6" t="s">
        <v>53</v>
      </c>
      <c r="C90" s="37">
        <v>0.35289999999999999</v>
      </c>
      <c r="D90" s="37">
        <v>19.7667</v>
      </c>
      <c r="E90" s="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B90" s="16"/>
      <c r="AC90" s="2" t="s">
        <v>59</v>
      </c>
    </row>
    <row r="91" spans="1:33" x14ac:dyDescent="0.25">
      <c r="B91" s="6" t="s">
        <v>56</v>
      </c>
      <c r="C91" s="37"/>
      <c r="D91" s="37"/>
      <c r="E91" s="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B91" s="16"/>
    </row>
    <row r="92" spans="1:33" x14ac:dyDescent="0.25">
      <c r="B92" s="6" t="s">
        <v>54</v>
      </c>
      <c r="C92" s="37">
        <v>0.42230000000000001</v>
      </c>
      <c r="D92" s="37">
        <v>1.7604</v>
      </c>
      <c r="E92" s="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B92" s="16"/>
      <c r="AC92" s="2" t="s">
        <v>60</v>
      </c>
    </row>
    <row r="93" spans="1:33" x14ac:dyDescent="0.25">
      <c r="B93" s="6" t="s">
        <v>55</v>
      </c>
      <c r="C93" s="37"/>
      <c r="D93" s="37"/>
      <c r="E93" s="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B93" s="16"/>
    </row>
    <row r="94" spans="1:33" x14ac:dyDescent="0.25">
      <c r="B94" s="6" t="s">
        <v>82</v>
      </c>
      <c r="C94" s="37">
        <v>1.6244000000000001</v>
      </c>
      <c r="D94" s="37"/>
      <c r="E94" s="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B94" s="16"/>
      <c r="AE94" s="44">
        <f>IF(ISNUMBER(SEARCH("VT",B94)),H84*$C94/1000*$AE$1*1000,"")</f>
        <v>5.1890531279799999E-2</v>
      </c>
      <c r="AF94" s="2">
        <f>AE94*AG94/1000/$AE$2*1000</f>
        <v>0.14024467913459462</v>
      </c>
      <c r="AG94" s="63">
        <v>100</v>
      </c>
    </row>
    <row r="95" spans="1:33" x14ac:dyDescent="0.25">
      <c r="B95" s="3"/>
      <c r="E95" s="3"/>
      <c r="F95" s="2"/>
      <c r="G95" s="2"/>
      <c r="I95" s="2"/>
      <c r="X95" s="2"/>
      <c r="Z95" s="2"/>
      <c r="AB95" s="2"/>
    </row>
    <row r="96" spans="1:33" s="24" customFormat="1" x14ac:dyDescent="0.25">
      <c r="A96" s="21">
        <v>9</v>
      </c>
      <c r="B96" s="22" t="s">
        <v>51</v>
      </c>
      <c r="C96" s="38"/>
      <c r="D96" s="38"/>
      <c r="E96" s="22"/>
      <c r="F96" s="23">
        <f>IFERROR(AVERAGE(F98:F105),"")</f>
        <v>8.2065000000000003E-4</v>
      </c>
      <c r="G96" s="23" t="str">
        <f t="shared" ref="G96" si="98">IFERROR(AVERAGE(G98:G105),"")</f>
        <v/>
      </c>
      <c r="H96" s="23">
        <f>H99</f>
        <v>3.4736799999999998E-3</v>
      </c>
      <c r="I96" s="23">
        <f t="shared" ref="I96:V96" si="99">I99</f>
        <v>5.1158000000000002E-2</v>
      </c>
      <c r="J96" s="23">
        <f t="shared" si="99"/>
        <v>1.2077400000000001E-5</v>
      </c>
      <c r="K96" s="23">
        <f t="shared" si="99"/>
        <v>1.6389E-3</v>
      </c>
      <c r="L96" s="23">
        <f t="shared" si="99"/>
        <v>5.6817799999999997E-5</v>
      </c>
      <c r="M96" s="23">
        <f t="shared" si="99"/>
        <v>9.3108000000000004E-4</v>
      </c>
      <c r="N96" s="23">
        <f t="shared" si="99"/>
        <v>7.7737800000000006E-5</v>
      </c>
      <c r="O96" s="23">
        <f t="shared" si="99"/>
        <v>2.1654000000000001E-4</v>
      </c>
      <c r="P96" s="23">
        <f t="shared" si="99"/>
        <v>5.2318499999999997E-5</v>
      </c>
      <c r="Q96" s="23">
        <f t="shared" si="99"/>
        <v>5.0064499999999997E-4</v>
      </c>
      <c r="R96" s="23">
        <f t="shared" si="99"/>
        <v>2.9444599999999999E-5</v>
      </c>
      <c r="S96" s="23">
        <f t="shared" si="99"/>
        <v>4.5338200000000002E-6</v>
      </c>
      <c r="T96" s="23">
        <f t="shared" si="99"/>
        <v>2.1689300000000001E-4</v>
      </c>
      <c r="U96" s="23">
        <f t="shared" si="99"/>
        <v>3.6543300000000002E-4</v>
      </c>
      <c r="V96" s="23">
        <f t="shared" si="99"/>
        <v>2.02423E-4</v>
      </c>
      <c r="W96" s="23">
        <f>W99</f>
        <v>4.8081000000000003E-5</v>
      </c>
      <c r="X96" s="23" t="str">
        <f t="shared" ref="X96:Z96" si="100">IFERROR(AVERAGE(X98:X105),"")</f>
        <v/>
      </c>
      <c r="Y96" s="23" t="str">
        <f t="shared" si="100"/>
        <v/>
      </c>
      <c r="Z96" s="23" t="str">
        <f t="shared" si="100"/>
        <v/>
      </c>
      <c r="AA96" s="30">
        <f>IFERROR(AVERAGE(AA98:AA105),"")</f>
        <v>5.4870000000000001</v>
      </c>
      <c r="AB96" s="23" t="str">
        <f t="shared" ref="AB96" si="101">IFERROR(AVERAGE(AB98:AB105),"")</f>
        <v/>
      </c>
      <c r="AC96" s="24" t="s">
        <v>71</v>
      </c>
      <c r="AE96" s="42"/>
      <c r="AG96" s="64"/>
    </row>
    <row r="97" spans="1:33" s="26" customFormat="1" x14ac:dyDescent="0.25">
      <c r="A97" s="25"/>
      <c r="B97" s="27" t="s">
        <v>52</v>
      </c>
      <c r="C97" s="39"/>
      <c r="D97" s="39"/>
      <c r="E97" s="27"/>
      <c r="F97" s="26">
        <f>IFERROR(STDEV(F98:F105)/F96,"")</f>
        <v>3.1449945181635235E-2</v>
      </c>
      <c r="H97" s="26">
        <f>IFERROR(STDEV(H98:H105)/H96,"")</f>
        <v>1.3508327191779143E-2</v>
      </c>
      <c r="I97" s="26">
        <f t="shared" ref="I97:W97" si="102">IFERROR(STDEV(I98:I105)/I96,"")</f>
        <v>2.1313551284054447E-2</v>
      </c>
      <c r="J97" s="26">
        <f t="shared" si="102"/>
        <v>2.5913314235941991E-2</v>
      </c>
      <c r="K97" s="26">
        <f t="shared" si="102"/>
        <v>9.9277119013377629E-2</v>
      </c>
      <c r="L97" s="26">
        <f t="shared" si="102"/>
        <v>0.10638374218887121</v>
      </c>
      <c r="M97" s="26">
        <f t="shared" si="102"/>
        <v>0.29252415472079135</v>
      </c>
      <c r="N97" s="26">
        <f t="shared" si="102"/>
        <v>4.2413053872332865E-2</v>
      </c>
      <c r="O97" s="26">
        <f t="shared" si="102"/>
        <v>0.45445668577506154</v>
      </c>
      <c r="P97" s="26">
        <f t="shared" si="102"/>
        <v>0.25811083562621423</v>
      </c>
      <c r="Q97" s="26">
        <f t="shared" si="102"/>
        <v>0.44824365291028306</v>
      </c>
      <c r="R97" s="26">
        <f t="shared" si="102"/>
        <v>0.23545570823925685</v>
      </c>
      <c r="S97" s="26">
        <f t="shared" si="102"/>
        <v>0.54496172602494375</v>
      </c>
      <c r="T97" s="26">
        <f t="shared" si="102"/>
        <v>0.48731955540944855</v>
      </c>
      <c r="U97" s="26">
        <f t="shared" si="102"/>
        <v>0.37543902010295249</v>
      </c>
      <c r="V97" s="26">
        <f t="shared" si="102"/>
        <v>1.0361116130449521</v>
      </c>
      <c r="W97" s="26">
        <f t="shared" si="102"/>
        <v>0.59648393207597972</v>
      </c>
      <c r="AA97" s="33"/>
      <c r="AE97" s="43"/>
      <c r="AG97" s="65"/>
    </row>
    <row r="98" spans="1:33" x14ac:dyDescent="0.25">
      <c r="B98" s="6" t="s">
        <v>23</v>
      </c>
      <c r="C98" s="37">
        <v>0.48620000000000002</v>
      </c>
      <c r="D98" s="37"/>
      <c r="E98" s="6"/>
      <c r="F98" s="17"/>
      <c r="G98" s="17"/>
      <c r="H98" s="16">
        <v>3.5400399999999999E-3</v>
      </c>
      <c r="I98" s="16">
        <v>4.9616E-2</v>
      </c>
      <c r="J98" s="16">
        <v>1.252E-5</v>
      </c>
      <c r="K98" s="17">
        <v>1.869E-3</v>
      </c>
      <c r="L98" s="17">
        <v>6.5365999999999997E-5</v>
      </c>
      <c r="M98" s="17">
        <v>1.3162600000000001E-3</v>
      </c>
      <c r="N98" s="16">
        <v>7.3075000000000001E-5</v>
      </c>
      <c r="O98" s="17">
        <v>3.5571000000000002E-4</v>
      </c>
      <c r="P98" s="17">
        <v>7.1415999999999995E-5</v>
      </c>
      <c r="Q98" s="17">
        <v>8.1800999999999998E-4</v>
      </c>
      <c r="R98" s="17">
        <v>1.9640000000000002E-5</v>
      </c>
      <c r="S98" s="17">
        <v>8.028E-6</v>
      </c>
      <c r="T98" s="17">
        <v>3.6636999999999998E-4</v>
      </c>
      <c r="U98" s="17">
        <v>5.5946000000000001E-4</v>
      </c>
      <c r="V98" s="17">
        <v>4.9903000000000002E-4</v>
      </c>
      <c r="W98" s="17">
        <v>8.8640000000000005E-5</v>
      </c>
      <c r="X98" s="17"/>
      <c r="Y98" s="16"/>
      <c r="Z98" s="17"/>
      <c r="AB98" s="17"/>
      <c r="AC98" s="2" t="s">
        <v>57</v>
      </c>
    </row>
    <row r="99" spans="1:33" x14ac:dyDescent="0.25">
      <c r="B99" s="6" t="s">
        <v>25</v>
      </c>
      <c r="C99" s="37">
        <v>0.4884</v>
      </c>
      <c r="D99" s="37"/>
      <c r="E99" s="6"/>
      <c r="F99" s="16"/>
      <c r="G99" s="16"/>
      <c r="H99" s="16">
        <v>3.4736799999999998E-3</v>
      </c>
      <c r="I99" s="16">
        <v>5.1158000000000002E-2</v>
      </c>
      <c r="J99" s="16">
        <v>1.2077400000000001E-5</v>
      </c>
      <c r="K99" s="16">
        <v>1.6389E-3</v>
      </c>
      <c r="L99" s="16">
        <v>5.6817799999999997E-5</v>
      </c>
      <c r="M99" s="16">
        <v>9.3108000000000004E-4</v>
      </c>
      <c r="N99" s="16">
        <v>7.7737800000000006E-5</v>
      </c>
      <c r="O99" s="16">
        <v>2.1654000000000001E-4</v>
      </c>
      <c r="P99" s="16">
        <v>5.2318499999999997E-5</v>
      </c>
      <c r="Q99" s="16">
        <v>5.0064499999999997E-4</v>
      </c>
      <c r="R99" s="16">
        <v>2.9444599999999999E-5</v>
      </c>
      <c r="S99" s="16">
        <v>4.5338200000000002E-6</v>
      </c>
      <c r="T99" s="16">
        <v>2.1689300000000001E-4</v>
      </c>
      <c r="U99" s="16">
        <v>3.6543300000000002E-4</v>
      </c>
      <c r="V99" s="16">
        <v>2.02423E-4</v>
      </c>
      <c r="W99" s="16">
        <v>4.8081000000000003E-5</v>
      </c>
      <c r="X99" s="16"/>
      <c r="Y99" s="16"/>
      <c r="Z99" s="16"/>
      <c r="AB99" s="16"/>
    </row>
    <row r="100" spans="1:33" x14ac:dyDescent="0.25">
      <c r="B100" s="6" t="s">
        <v>44</v>
      </c>
      <c r="C100" s="37">
        <v>0.53990000000000005</v>
      </c>
      <c r="D100" s="37"/>
      <c r="E100" s="6"/>
      <c r="F100" s="16">
        <v>8.3889999999999995E-4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B100" s="16"/>
    </row>
    <row r="101" spans="1:33" x14ac:dyDescent="0.25">
      <c r="B101" s="6" t="s">
        <v>45</v>
      </c>
      <c r="C101" s="37">
        <v>0.49959999999999999</v>
      </c>
      <c r="D101" s="37"/>
      <c r="E101" s="6"/>
      <c r="F101" s="16">
        <v>8.0239999999999999E-4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B101" s="16"/>
    </row>
    <row r="102" spans="1:33" x14ac:dyDescent="0.25">
      <c r="B102" s="6" t="s">
        <v>53</v>
      </c>
      <c r="C102" s="37">
        <v>0.2964</v>
      </c>
      <c r="D102" s="37">
        <v>16.2941</v>
      </c>
      <c r="E102" s="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B102" s="16"/>
      <c r="AC102" s="2" t="s">
        <v>60</v>
      </c>
    </row>
    <row r="103" spans="1:33" x14ac:dyDescent="0.25">
      <c r="B103" s="6" t="s">
        <v>54</v>
      </c>
      <c r="C103" s="37">
        <v>0.27629999999999999</v>
      </c>
      <c r="D103" s="37">
        <v>1.8718999999999999</v>
      </c>
      <c r="E103" s="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B103" s="16"/>
      <c r="AC103" s="2" t="s">
        <v>63</v>
      </c>
    </row>
    <row r="104" spans="1:33" x14ac:dyDescent="0.25">
      <c r="B104" s="6" t="s">
        <v>64</v>
      </c>
      <c r="C104" s="37">
        <v>0.70069999999999999</v>
      </c>
      <c r="D104" s="37"/>
      <c r="E104" s="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 t="e">
        <f>NA()</f>
        <v>#N/A</v>
      </c>
      <c r="Z104" s="16"/>
      <c r="AB104" s="16"/>
    </row>
    <row r="105" spans="1:33" x14ac:dyDescent="0.25">
      <c r="B105" s="6" t="s">
        <v>65</v>
      </c>
      <c r="C105" s="37">
        <v>0.73880000000000001</v>
      </c>
      <c r="D105" s="37"/>
      <c r="E105" s="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5">
        <v>5.4870000000000001</v>
      </c>
      <c r="AB105" s="16"/>
    </row>
    <row r="106" spans="1:33" x14ac:dyDescent="0.25">
      <c r="B106" s="6" t="s">
        <v>82</v>
      </c>
      <c r="C106" s="37">
        <v>1.7686999999999999</v>
      </c>
      <c r="D106" s="37"/>
      <c r="E106" s="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B106" s="16"/>
      <c r="AE106" s="44">
        <f>IF(ISNUMBER(SEARCH("VT",B106)),H96*$C106/1000*$AE$1*1000,"")</f>
        <v>0.14806793736560001</v>
      </c>
      <c r="AF106" s="2">
        <f>AE106*AG106/1000/$AE$2*1000</f>
        <v>0.40018361450162165</v>
      </c>
      <c r="AG106" s="63">
        <v>100</v>
      </c>
    </row>
    <row r="107" spans="1:33" x14ac:dyDescent="0.25">
      <c r="B107" s="6"/>
      <c r="C107" s="37"/>
      <c r="D107" s="37"/>
      <c r="E107" s="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B107" s="16"/>
      <c r="AE107" s="44" t="str">
        <f>IF(ISNUMBER(SEARCH("VT",B107)),H98*$C107/1000*$AE$1*1000,"")</f>
        <v/>
      </c>
    </row>
  </sheetData>
  <mergeCells count="1">
    <mergeCell ref="H3:W3"/>
  </mergeCells>
  <conditionalFormatting sqref="A14 F14:W14 AC14:JD14">
    <cfRule type="cellIs" dxfId="35" priority="36" stopIfTrue="1" operator="greaterThan">
      <formula>0.05</formula>
    </cfRule>
  </conditionalFormatting>
  <conditionalFormatting sqref="A8 F8:W8 AC8:JD8">
    <cfRule type="cellIs" dxfId="34" priority="35" stopIfTrue="1" operator="greaterThan">
      <formula>0.05</formula>
    </cfRule>
  </conditionalFormatting>
  <conditionalFormatting sqref="A24 F24:W24 AC24:JD24">
    <cfRule type="cellIs" dxfId="33" priority="34" stopIfTrue="1" operator="greaterThan">
      <formula>0.05</formula>
    </cfRule>
  </conditionalFormatting>
  <conditionalFormatting sqref="A36 F36:W36 AC36:JD36">
    <cfRule type="cellIs" dxfId="32" priority="33" stopIfTrue="1" operator="greaterThan">
      <formula>0.05</formula>
    </cfRule>
  </conditionalFormatting>
  <conditionalFormatting sqref="A48 F48:W48 AC48:JD48">
    <cfRule type="cellIs" dxfId="31" priority="32" stopIfTrue="1" operator="greaterThan">
      <formula>0.05</formula>
    </cfRule>
  </conditionalFormatting>
  <conditionalFormatting sqref="A60 F60:W60 AC60:JD60">
    <cfRule type="cellIs" dxfId="30" priority="31" stopIfTrue="1" operator="greaterThan">
      <formula>0.05</formula>
    </cfRule>
  </conditionalFormatting>
  <conditionalFormatting sqref="A73 F73:W73 AC73:JD73">
    <cfRule type="cellIs" dxfId="29" priority="30" stopIfTrue="1" operator="greaterThan">
      <formula>0.05</formula>
    </cfRule>
  </conditionalFormatting>
  <conditionalFormatting sqref="A85 F85:W85 AC85:JD85">
    <cfRule type="cellIs" dxfId="28" priority="29" stopIfTrue="1" operator="greaterThan">
      <formula>0.05</formula>
    </cfRule>
  </conditionalFormatting>
  <conditionalFormatting sqref="A97 F97:W97 AC97:JD97">
    <cfRule type="cellIs" dxfId="27" priority="28" stopIfTrue="1" operator="greaterThan">
      <formula>0.05</formula>
    </cfRule>
  </conditionalFormatting>
  <conditionalFormatting sqref="X14:Y14">
    <cfRule type="cellIs" dxfId="26" priority="27" stopIfTrue="1" operator="greaterThan">
      <formula>0.05</formula>
    </cfRule>
  </conditionalFormatting>
  <conditionalFormatting sqref="X8:Y8">
    <cfRule type="cellIs" dxfId="25" priority="26" stopIfTrue="1" operator="greaterThan">
      <formula>0.05</formula>
    </cfRule>
  </conditionalFormatting>
  <conditionalFormatting sqref="X24:Y24">
    <cfRule type="cellIs" dxfId="24" priority="25" stopIfTrue="1" operator="greaterThan">
      <formula>0.05</formula>
    </cfRule>
  </conditionalFormatting>
  <conditionalFormatting sqref="X36:Y36">
    <cfRule type="cellIs" dxfId="23" priority="24" stopIfTrue="1" operator="greaterThan">
      <formula>0.05</formula>
    </cfRule>
  </conditionalFormatting>
  <conditionalFormatting sqref="X48:Y48">
    <cfRule type="cellIs" dxfId="22" priority="23" stopIfTrue="1" operator="greaterThan">
      <formula>0.05</formula>
    </cfRule>
  </conditionalFormatting>
  <conditionalFormatting sqref="X60:Y60">
    <cfRule type="cellIs" dxfId="21" priority="22" stopIfTrue="1" operator="greaterThan">
      <formula>0.05</formula>
    </cfRule>
  </conditionalFormatting>
  <conditionalFormatting sqref="X73:Y73">
    <cfRule type="cellIs" dxfId="20" priority="21" stopIfTrue="1" operator="greaterThan">
      <formula>0.05</formula>
    </cfRule>
  </conditionalFormatting>
  <conditionalFormatting sqref="X85:Y85">
    <cfRule type="cellIs" dxfId="19" priority="20" stopIfTrue="1" operator="greaterThan">
      <formula>0.05</formula>
    </cfRule>
  </conditionalFormatting>
  <conditionalFormatting sqref="X97:Y97">
    <cfRule type="cellIs" dxfId="18" priority="19" stopIfTrue="1" operator="greaterThan">
      <formula>0.05</formula>
    </cfRule>
  </conditionalFormatting>
  <conditionalFormatting sqref="Z14:AA14">
    <cfRule type="cellIs" dxfId="17" priority="18" stopIfTrue="1" operator="greaterThan">
      <formula>0.05</formula>
    </cfRule>
  </conditionalFormatting>
  <conditionalFormatting sqref="Z8:AA8">
    <cfRule type="cellIs" dxfId="16" priority="17" stopIfTrue="1" operator="greaterThan">
      <formula>0.05</formula>
    </cfRule>
  </conditionalFormatting>
  <conditionalFormatting sqref="Z24:AA24">
    <cfRule type="cellIs" dxfId="15" priority="16" stopIfTrue="1" operator="greaterThan">
      <formula>0.05</formula>
    </cfRule>
  </conditionalFormatting>
  <conditionalFormatting sqref="Z36:AA36">
    <cfRule type="cellIs" dxfId="14" priority="15" stopIfTrue="1" operator="greaterThan">
      <formula>0.05</formula>
    </cfRule>
  </conditionalFormatting>
  <conditionalFormatting sqref="Z48:AA48">
    <cfRule type="cellIs" dxfId="13" priority="14" stopIfTrue="1" operator="greaterThan">
      <formula>0.05</formula>
    </cfRule>
  </conditionalFormatting>
  <conditionalFormatting sqref="Z60:AA60">
    <cfRule type="cellIs" dxfId="12" priority="13" stopIfTrue="1" operator="greaterThan">
      <formula>0.05</formula>
    </cfRule>
  </conditionalFormatting>
  <conditionalFormatting sqref="Z73:AA73">
    <cfRule type="cellIs" dxfId="11" priority="12" stopIfTrue="1" operator="greaterThan">
      <formula>0.05</formula>
    </cfRule>
  </conditionalFormatting>
  <conditionalFormatting sqref="Z85:AA85">
    <cfRule type="cellIs" dxfId="10" priority="11" stopIfTrue="1" operator="greaterThan">
      <formula>0.05</formula>
    </cfRule>
  </conditionalFormatting>
  <conditionalFormatting sqref="Z97:AA97">
    <cfRule type="cellIs" dxfId="9" priority="10" stopIfTrue="1" operator="greaterThan">
      <formula>0.05</formula>
    </cfRule>
  </conditionalFormatting>
  <conditionalFormatting sqref="AB14">
    <cfRule type="cellIs" dxfId="8" priority="9" stopIfTrue="1" operator="greaterThan">
      <formula>0.05</formula>
    </cfRule>
  </conditionalFormatting>
  <conditionalFormatting sqref="AB8">
    <cfRule type="cellIs" dxfId="7" priority="8" stopIfTrue="1" operator="greaterThan">
      <formula>0.05</formula>
    </cfRule>
  </conditionalFormatting>
  <conditionalFormatting sqref="AB24">
    <cfRule type="cellIs" dxfId="6" priority="7" stopIfTrue="1" operator="greaterThan">
      <formula>0.05</formula>
    </cfRule>
  </conditionalFormatting>
  <conditionalFormatting sqref="AB36">
    <cfRule type="cellIs" dxfId="5" priority="6" stopIfTrue="1" operator="greaterThan">
      <formula>0.05</formula>
    </cfRule>
  </conditionalFormatting>
  <conditionalFormatting sqref="AB48">
    <cfRule type="cellIs" dxfId="4" priority="5" stopIfTrue="1" operator="greaterThan">
      <formula>0.05</formula>
    </cfRule>
  </conditionalFormatting>
  <conditionalFormatting sqref="AB60">
    <cfRule type="cellIs" dxfId="3" priority="4" stopIfTrue="1" operator="greaterThan">
      <formula>0.05</formula>
    </cfRule>
  </conditionalFormatting>
  <conditionalFormatting sqref="AB73">
    <cfRule type="cellIs" dxfId="2" priority="3" stopIfTrue="1" operator="greaterThan">
      <formula>0.05</formula>
    </cfRule>
  </conditionalFormatting>
  <conditionalFormatting sqref="AB85">
    <cfRule type="cellIs" dxfId="1" priority="2" stopIfTrue="1" operator="greaterThan">
      <formula>0.05</formula>
    </cfRule>
  </conditionalFormatting>
  <conditionalFormatting sqref="AB97">
    <cfRule type="cellIs" dxfId="0" priority="1" stopIfTrue="1" operator="greaterThan">
      <formula>0.05</formula>
    </cfRule>
  </conditionalFormatting>
  <pageMargins left="0.7" right="0.7" top="0.75" bottom="0.75" header="0.3" footer="0.3"/>
  <pageSetup scale="44" fitToWidth="0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"/>
  <sheetViews>
    <sheetView showGridLines="0" zoomScaleNormal="100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H6" sqref="H6:H14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/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/>
      <c r="AF2" s="63"/>
    </row>
    <row r="3" spans="1:33" x14ac:dyDescent="0.25">
      <c r="F3" s="19" t="s">
        <v>48</v>
      </c>
      <c r="G3" s="18"/>
      <c r="H3" s="105" t="s">
        <v>22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8"/>
      <c r="Y3" s="34" t="s">
        <v>68</v>
      </c>
      <c r="Z3" s="18"/>
      <c r="AA3" s="31" t="s">
        <v>69</v>
      </c>
    </row>
    <row r="4" spans="1:33" x14ac:dyDescent="0.25">
      <c r="A4" s="10" t="s">
        <v>62</v>
      </c>
      <c r="B4" s="11" t="s">
        <v>24</v>
      </c>
      <c r="C4" s="13" t="s">
        <v>5</v>
      </c>
      <c r="D4" s="36" t="s">
        <v>150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D4" s="2" t="s">
        <v>153</v>
      </c>
      <c r="AE4" s="108" t="s">
        <v>165</v>
      </c>
    </row>
    <row r="5" spans="1:33" x14ac:dyDescent="0.25">
      <c r="A5" s="10"/>
      <c r="B5" s="11"/>
      <c r="C5" s="2" t="s">
        <v>144</v>
      </c>
      <c r="D5" s="37" t="s">
        <v>3</v>
      </c>
      <c r="E5" s="11"/>
      <c r="F5" s="2" t="s">
        <v>47</v>
      </c>
      <c r="G5" s="2"/>
      <c r="H5" s="2" t="s">
        <v>47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"/>
      <c r="Y5" s="2" t="s">
        <v>47</v>
      </c>
      <c r="Z5" s="2"/>
      <c r="AA5" s="5" t="s">
        <v>70</v>
      </c>
      <c r="AE5" s="108"/>
    </row>
    <row r="6" spans="1:33" s="76" customFormat="1" x14ac:dyDescent="0.25">
      <c r="A6" s="71">
        <v>1</v>
      </c>
      <c r="B6" s="72" t="s">
        <v>51</v>
      </c>
      <c r="C6" s="73">
        <f>VLOOKUP($A6,Samples!$A$3:$J$18,7,FALSE)</f>
        <v>18.999999999941792</v>
      </c>
      <c r="D6" s="78">
        <f>VLOOKUP($A6,Samples!$A$3:$J$18,2,FALSE)</f>
        <v>200</v>
      </c>
      <c r="E6" s="72"/>
      <c r="F6" s="74" t="s">
        <v>49</v>
      </c>
      <c r="G6" s="74"/>
      <c r="H6" s="74">
        <v>1.192E-6</v>
      </c>
      <c r="I6" s="74">
        <v>4.7584599999999999E-3</v>
      </c>
      <c r="J6" s="74">
        <v>1.4943000000000001E-7</v>
      </c>
      <c r="K6" s="74">
        <v>3.8799999999999998E-7</v>
      </c>
      <c r="L6" s="74">
        <v>3.2360000000000001E-7</v>
      </c>
      <c r="M6" s="74">
        <v>5.8419999999999995E-7</v>
      </c>
      <c r="N6" s="74" t="s">
        <v>121</v>
      </c>
      <c r="O6" s="74" t="s">
        <v>121</v>
      </c>
      <c r="P6" s="74">
        <v>9.2839999999999995E-6</v>
      </c>
      <c r="Q6" s="74">
        <v>5.5960000000000001E-7</v>
      </c>
      <c r="R6" s="74">
        <v>2.1739999999999999E-6</v>
      </c>
      <c r="S6" s="74" t="s">
        <v>121</v>
      </c>
      <c r="T6" s="74">
        <v>4.3770000000000001E-7</v>
      </c>
      <c r="U6" s="74">
        <v>4.6260000000000003E-7</v>
      </c>
      <c r="V6" s="74">
        <v>4.2200000000000003E-6</v>
      </c>
      <c r="W6" s="74">
        <v>5.6990000000000004E-7</v>
      </c>
      <c r="X6" s="74"/>
      <c r="Y6" s="74"/>
      <c r="Z6" s="74"/>
      <c r="AA6" s="75"/>
      <c r="AB6" s="73"/>
      <c r="AD6" s="79">
        <f>H6/K6</f>
        <v>3.0721649484536084</v>
      </c>
      <c r="AE6" s="109">
        <f>H6/SUM(K6,M6,O6,Q6)</f>
        <v>0.77816947382164781</v>
      </c>
      <c r="AG6" s="77"/>
    </row>
    <row r="7" spans="1:33" s="76" customFormat="1" x14ac:dyDescent="0.25">
      <c r="A7" s="71">
        <v>2</v>
      </c>
      <c r="B7" s="72" t="s">
        <v>51</v>
      </c>
      <c r="C7" s="73">
        <f>VLOOKUP($A7,Samples!$A$3:$J$18,7,FALSE)</f>
        <v>163.99999999988358</v>
      </c>
      <c r="D7" s="78">
        <f>VLOOKUP($A7,Samples!$A$3:$J$18,2,FALSE)</f>
        <v>200</v>
      </c>
      <c r="E7" s="72"/>
      <c r="F7" s="74" t="s">
        <v>49</v>
      </c>
      <c r="G7" s="74"/>
      <c r="H7" s="74">
        <v>3.7519999999999998E-6</v>
      </c>
      <c r="I7" s="74">
        <v>1.0794999999999999E-2</v>
      </c>
      <c r="J7" s="74">
        <v>2.2075000000000001E-7</v>
      </c>
      <c r="K7" s="74">
        <v>9.2009999999999999E-7</v>
      </c>
      <c r="L7" s="74">
        <v>5.1038999999999995E-7</v>
      </c>
      <c r="M7" s="74">
        <v>1.4589999999999999E-6</v>
      </c>
      <c r="N7" s="74" t="s">
        <v>121</v>
      </c>
      <c r="O7" s="74" t="s">
        <v>121</v>
      </c>
      <c r="P7" s="74">
        <v>5.9499999999999998E-6</v>
      </c>
      <c r="Q7" s="74">
        <v>1.1725E-6</v>
      </c>
      <c r="R7" s="74">
        <v>4.1810000000000003E-6</v>
      </c>
      <c r="S7" s="74" t="s">
        <v>121</v>
      </c>
      <c r="T7" s="74">
        <v>5.9625000000000001E-7</v>
      </c>
      <c r="U7" s="74">
        <v>9.8749999999999986E-7</v>
      </c>
      <c r="V7" s="74">
        <v>1.0254E-6</v>
      </c>
      <c r="W7" s="74">
        <v>1.1255000000000001E-6</v>
      </c>
      <c r="X7" s="74"/>
      <c r="Y7" s="74"/>
      <c r="Z7" s="74"/>
      <c r="AA7" s="75"/>
      <c r="AB7" s="73"/>
      <c r="AD7" s="79">
        <f t="shared" ref="AD7:AD14" si="0">H7/K7</f>
        <v>4.0778176285186394</v>
      </c>
      <c r="AE7" s="109">
        <f t="shared" ref="AE7:AE14" si="1">H7/SUM(K7,M7,O7,Q7)</f>
        <v>1.0564252731163419</v>
      </c>
      <c r="AG7" s="77"/>
    </row>
    <row r="8" spans="1:33" s="76" customFormat="1" x14ac:dyDescent="0.25">
      <c r="A8" s="71">
        <v>3</v>
      </c>
      <c r="B8" s="72" t="s">
        <v>51</v>
      </c>
      <c r="C8" s="73">
        <f>VLOOKUP($A8,Samples!$A$3:$J$18,7,FALSE)</f>
        <v>190.66666666668607</v>
      </c>
      <c r="D8" s="78">
        <f>VLOOKUP($A8,Samples!$A$3:$J$18,2,FALSE)</f>
        <v>300</v>
      </c>
      <c r="E8" s="72"/>
      <c r="F8" s="74">
        <v>7.2600000000000003E-5</v>
      </c>
      <c r="G8" s="74" t="s">
        <v>121</v>
      </c>
      <c r="H8" s="74">
        <v>8.6680000000000004E-5</v>
      </c>
      <c r="I8" s="74">
        <v>2.1870000000000001E-2</v>
      </c>
      <c r="J8" s="74">
        <v>4.6792500000000001E-6</v>
      </c>
      <c r="K8" s="74">
        <v>2.00829E-5</v>
      </c>
      <c r="L8" s="74">
        <v>5.9795000000000001E-6</v>
      </c>
      <c r="M8" s="74">
        <v>1.6714999999999998E-5</v>
      </c>
      <c r="N8" s="74" t="s">
        <v>121</v>
      </c>
      <c r="O8" s="74" t="s">
        <v>121</v>
      </c>
      <c r="P8" s="74">
        <v>2.8895E-5</v>
      </c>
      <c r="Q8" s="74">
        <v>1.465E-5</v>
      </c>
      <c r="R8" s="74">
        <v>4.7624999999999997E-6</v>
      </c>
      <c r="S8" s="74" t="s">
        <v>121</v>
      </c>
      <c r="T8" s="74">
        <v>5.2785000000000004E-6</v>
      </c>
      <c r="U8" s="74">
        <v>1.5524999999999998E-5</v>
      </c>
      <c r="V8" s="74">
        <v>7.2078999999999992E-6</v>
      </c>
      <c r="W8" s="74">
        <v>3.1750000000000001E-6</v>
      </c>
      <c r="X8" s="74" t="s">
        <v>121</v>
      </c>
      <c r="Y8" s="74"/>
      <c r="Z8" s="74"/>
      <c r="AA8" s="75"/>
      <c r="AB8" s="73"/>
      <c r="AD8" s="79">
        <f t="shared" si="0"/>
        <v>4.316109725189091</v>
      </c>
      <c r="AE8" s="109">
        <f t="shared" si="1"/>
        <v>1.6848112362214978</v>
      </c>
      <c r="AG8" s="77"/>
    </row>
    <row r="9" spans="1:33" s="76" customFormat="1" x14ac:dyDescent="0.25">
      <c r="A9" s="71">
        <v>4</v>
      </c>
      <c r="B9" s="72" t="s">
        <v>51</v>
      </c>
      <c r="C9" s="73">
        <f>VLOOKUP($A9,Samples!$A$3:$J$18,7,FALSE)</f>
        <v>283.5</v>
      </c>
      <c r="D9" s="78">
        <f>VLOOKUP($A9,Samples!$A$3:$J$18,2,FALSE)</f>
        <v>300</v>
      </c>
      <c r="E9" s="72"/>
      <c r="F9" s="74">
        <v>1.8333499999999999E-4</v>
      </c>
      <c r="G9" s="74" t="s">
        <v>121</v>
      </c>
      <c r="H9" s="74">
        <v>2.3531999999999999E-4</v>
      </c>
      <c r="I9" s="74">
        <v>4.57715E-2</v>
      </c>
      <c r="J9" s="74">
        <v>8.6455000000000005E-6</v>
      </c>
      <c r="K9" s="74">
        <v>7.6859999999999993E-5</v>
      </c>
      <c r="L9" s="74">
        <v>1.241E-5</v>
      </c>
      <c r="M9" s="74">
        <v>5.4125000000000001E-5</v>
      </c>
      <c r="N9" s="74">
        <v>4.4350000000000001E-5</v>
      </c>
      <c r="O9" s="74">
        <v>8.8300000000000002E-6</v>
      </c>
      <c r="P9" s="74">
        <v>3.5064999999999997E-5</v>
      </c>
      <c r="Q9" s="74">
        <v>4.1270000000000003E-5</v>
      </c>
      <c r="R9" s="74">
        <v>2.8992499999999998E-6</v>
      </c>
      <c r="S9" s="74" t="s">
        <v>121</v>
      </c>
      <c r="T9" s="74">
        <v>1.4715000000000001E-5</v>
      </c>
      <c r="U9" s="74">
        <v>4.0374499999999998E-5</v>
      </c>
      <c r="V9" s="74">
        <v>1.906E-5</v>
      </c>
      <c r="W9" s="74">
        <v>9.0112999999999996E-6</v>
      </c>
      <c r="X9" s="74" t="s">
        <v>121</v>
      </c>
      <c r="Y9" s="74"/>
      <c r="Z9" s="74"/>
      <c r="AA9" s="75"/>
      <c r="AB9" s="73"/>
      <c r="AD9" s="79">
        <f t="shared" si="0"/>
        <v>3.0616705698672915</v>
      </c>
      <c r="AE9" s="109">
        <f t="shared" si="1"/>
        <v>1.2995002346964133</v>
      </c>
      <c r="AG9" s="77"/>
    </row>
    <row r="10" spans="1:33" s="76" customFormat="1" x14ac:dyDescent="0.25">
      <c r="A10" s="71">
        <v>5</v>
      </c>
      <c r="B10" s="72" t="s">
        <v>51</v>
      </c>
      <c r="C10" s="73">
        <f>VLOOKUP($A10,Samples!$A$3:$J$18,7,FALSE)</f>
        <v>427.24999999988358</v>
      </c>
      <c r="D10" s="78">
        <f>VLOOKUP($A10,Samples!$A$3:$J$18,2,FALSE)</f>
        <v>300</v>
      </c>
      <c r="E10" s="72"/>
      <c r="F10" s="74">
        <v>2.8965000000000002E-4</v>
      </c>
      <c r="G10" s="74" t="s">
        <v>121</v>
      </c>
      <c r="H10" s="74">
        <v>3.9557500000000001E-4</v>
      </c>
      <c r="I10" s="74">
        <v>6.5460000000000004E-2</v>
      </c>
      <c r="J10" s="74">
        <v>7.7059000000000002E-6</v>
      </c>
      <c r="K10" s="74">
        <v>1.5894999999999999E-4</v>
      </c>
      <c r="L10" s="74">
        <v>1.5145000000000002E-5</v>
      </c>
      <c r="M10" s="74">
        <v>1.0336500000000001E-4</v>
      </c>
      <c r="N10" s="74">
        <v>5.2620999999999996E-5</v>
      </c>
      <c r="O10" s="74">
        <v>2.7805000000000002E-5</v>
      </c>
      <c r="P10" s="74">
        <v>3.2151199999999998E-5</v>
      </c>
      <c r="Q10" s="74">
        <v>7.2564999999999994E-5</v>
      </c>
      <c r="R10" s="74">
        <v>5.6234999999999996E-6</v>
      </c>
      <c r="S10" s="74" t="s">
        <v>121</v>
      </c>
      <c r="T10" s="74">
        <v>2.9414500000000001E-5</v>
      </c>
      <c r="U10" s="74">
        <v>6.6475000000000003E-5</v>
      </c>
      <c r="V10" s="74" t="s">
        <v>121</v>
      </c>
      <c r="W10" s="74">
        <v>1.7649500000000001E-5</v>
      </c>
      <c r="X10" s="74" t="s">
        <v>121</v>
      </c>
      <c r="Y10" s="74"/>
      <c r="Z10" s="74"/>
      <c r="AA10" s="75"/>
      <c r="AB10" s="73"/>
      <c r="AD10" s="79">
        <f t="shared" si="0"/>
        <v>2.4886756841774145</v>
      </c>
      <c r="AE10" s="109">
        <f t="shared" si="1"/>
        <v>1.0906847539876203</v>
      </c>
      <c r="AG10" s="77"/>
    </row>
    <row r="11" spans="1:33" s="76" customFormat="1" x14ac:dyDescent="0.25">
      <c r="A11" s="71">
        <v>6</v>
      </c>
      <c r="B11" s="72" t="s">
        <v>51</v>
      </c>
      <c r="C11" s="73">
        <f>VLOOKUP($A11,Samples!$A$3:$J$18,7,FALSE)</f>
        <v>450.83333333325572</v>
      </c>
      <c r="D11" s="78">
        <f>VLOOKUP($A11,Samples!$A$3:$J$18,2,FALSE)</f>
        <v>325</v>
      </c>
      <c r="E11" s="72"/>
      <c r="F11" s="74">
        <v>3.5322499999999998E-4</v>
      </c>
      <c r="G11" s="74" t="s">
        <v>121</v>
      </c>
      <c r="H11" s="74">
        <v>3.189E-4</v>
      </c>
      <c r="I11" s="74">
        <v>4.4745E-2</v>
      </c>
      <c r="J11" s="74">
        <v>9.3291000000000002E-6</v>
      </c>
      <c r="K11" s="74">
        <v>1.3454999999999999E-4</v>
      </c>
      <c r="L11" s="74">
        <v>1.8838499999999999E-5</v>
      </c>
      <c r="M11" s="74">
        <v>8.4850000000000002E-5</v>
      </c>
      <c r="N11" s="74" t="s">
        <v>121</v>
      </c>
      <c r="O11" s="74">
        <v>1.9174499999999997E-5</v>
      </c>
      <c r="P11" s="74">
        <v>3.9560500000000002E-5</v>
      </c>
      <c r="Q11" s="74">
        <v>6.1484999999999998E-5</v>
      </c>
      <c r="R11" s="74">
        <v>2.8405849999999998E-6</v>
      </c>
      <c r="S11" s="74" t="s">
        <v>121</v>
      </c>
      <c r="T11" s="74">
        <v>2.3639000000000002E-5</v>
      </c>
      <c r="U11" s="74">
        <v>5.5387000000000004E-5</v>
      </c>
      <c r="V11" s="74" t="s">
        <v>121</v>
      </c>
      <c r="W11" s="74">
        <v>1.34595E-5</v>
      </c>
      <c r="X11" s="74" t="s">
        <v>121</v>
      </c>
      <c r="Y11" s="74"/>
      <c r="Z11" s="74"/>
      <c r="AA11" s="75"/>
      <c r="AB11" s="73"/>
      <c r="AD11" s="79">
        <f t="shared" si="0"/>
        <v>2.3701226309921966</v>
      </c>
      <c r="AE11" s="109">
        <f t="shared" si="1"/>
        <v>1.0627892134726613</v>
      </c>
      <c r="AG11" s="77"/>
    </row>
    <row r="12" spans="1:33" s="76" customFormat="1" x14ac:dyDescent="0.25">
      <c r="A12" s="71">
        <v>7</v>
      </c>
      <c r="B12" s="72" t="s">
        <v>51</v>
      </c>
      <c r="C12" s="73">
        <f>VLOOKUP($A12,Samples!$A$3:$J$18,7,FALSE)</f>
        <v>597.75</v>
      </c>
      <c r="D12" s="78">
        <f>VLOOKUP($A12,Samples!$A$3:$J$18,2,FALSE)</f>
        <v>325</v>
      </c>
      <c r="E12" s="72"/>
      <c r="F12" s="74">
        <v>5.8549999999999997E-4</v>
      </c>
      <c r="G12" s="74" t="s">
        <v>121</v>
      </c>
      <c r="H12" s="74">
        <v>8.25255E-4</v>
      </c>
      <c r="I12" s="74">
        <v>4.5335E-2</v>
      </c>
      <c r="J12" s="74">
        <v>1.1708999999999999E-5</v>
      </c>
      <c r="K12" s="74">
        <v>4.171995E-4</v>
      </c>
      <c r="L12" s="74">
        <v>2.9799499999999998E-5</v>
      </c>
      <c r="M12" s="74">
        <v>2.4374999999999999E-4</v>
      </c>
      <c r="N12" s="74">
        <v>3.8614999999999995E-5</v>
      </c>
      <c r="O12" s="74">
        <v>5.4765000000000002E-5</v>
      </c>
      <c r="P12" s="74">
        <v>3.8465000000000005E-5</v>
      </c>
      <c r="Q12" s="74">
        <v>1.4773500000000002E-4</v>
      </c>
      <c r="R12" s="74">
        <v>7.5137999999999991E-6</v>
      </c>
      <c r="S12" s="74" t="s">
        <v>121</v>
      </c>
      <c r="T12" s="74">
        <v>5.4108499999999999E-5</v>
      </c>
      <c r="U12" s="74">
        <v>1.1861E-4</v>
      </c>
      <c r="V12" s="74">
        <v>4.7573500000000001E-5</v>
      </c>
      <c r="W12" s="74">
        <v>3.2143700000000002E-5</v>
      </c>
      <c r="X12" s="74" t="s">
        <v>121</v>
      </c>
      <c r="Y12" s="74"/>
      <c r="Z12" s="74"/>
      <c r="AA12" s="75"/>
      <c r="AB12" s="73"/>
      <c r="AD12" s="79">
        <f t="shared" si="0"/>
        <v>1.9780824281908296</v>
      </c>
      <c r="AE12" s="109">
        <f t="shared" si="1"/>
        <v>0.95576521846384754</v>
      </c>
      <c r="AG12" s="77"/>
    </row>
    <row r="13" spans="1:33" s="76" customFormat="1" x14ac:dyDescent="0.25">
      <c r="A13" s="71">
        <v>8</v>
      </c>
      <c r="B13" s="72" t="s">
        <v>51</v>
      </c>
      <c r="C13" s="73">
        <f>VLOOKUP($A13,Samples!$A$3:$J$18,7,FALSE)</f>
        <v>617.33333333325572</v>
      </c>
      <c r="D13" s="78">
        <f>VLOOKUP($A13,Samples!$A$3:$J$18,2,FALSE)</f>
        <v>350</v>
      </c>
      <c r="E13" s="72"/>
      <c r="F13" s="74">
        <v>7.1769999999999994E-4</v>
      </c>
      <c r="G13" s="74" t="s">
        <v>121</v>
      </c>
      <c r="H13" s="74">
        <v>1.3254949999999999E-3</v>
      </c>
      <c r="I13" s="74">
        <v>5.4410500000000001E-2</v>
      </c>
      <c r="J13" s="74">
        <v>2.4680000000000001E-5</v>
      </c>
      <c r="K13" s="74">
        <v>6.7325250000000001E-4</v>
      </c>
      <c r="L13" s="74">
        <v>6.3974999999999996E-5</v>
      </c>
      <c r="M13" s="74">
        <v>3.6485000000000001E-4</v>
      </c>
      <c r="N13" s="74">
        <v>5.2503999999999997E-5</v>
      </c>
      <c r="O13" s="74">
        <v>6.6611000000000003E-5</v>
      </c>
      <c r="P13" s="74">
        <v>6.0505000000000004E-5</v>
      </c>
      <c r="Q13" s="74">
        <v>2.0868500000000001E-4</v>
      </c>
      <c r="R13" s="74">
        <v>1.13015E-5</v>
      </c>
      <c r="S13" s="74">
        <v>8.8420000000000011E-6</v>
      </c>
      <c r="T13" s="74">
        <v>6.6970000000000004E-5</v>
      </c>
      <c r="U13" s="74">
        <v>1.5337700000000001E-4</v>
      </c>
      <c r="V13" s="74">
        <v>4.2166000000000003E-5</v>
      </c>
      <c r="W13" s="74">
        <v>3.4230000000000003E-5</v>
      </c>
      <c r="X13" s="74" t="s">
        <v>121</v>
      </c>
      <c r="Y13" s="74"/>
      <c r="Z13" s="74"/>
      <c r="AA13" s="75"/>
      <c r="AB13" s="73"/>
      <c r="AD13" s="79">
        <f t="shared" si="0"/>
        <v>1.9687932833520854</v>
      </c>
      <c r="AE13" s="109">
        <f t="shared" si="1"/>
        <v>1.009210075997498</v>
      </c>
      <c r="AG13" s="77"/>
    </row>
    <row r="14" spans="1:33" s="76" customFormat="1" x14ac:dyDescent="0.25">
      <c r="A14" s="71">
        <v>9</v>
      </c>
      <c r="B14" s="72" t="s">
        <v>51</v>
      </c>
      <c r="C14" s="73">
        <f>VLOOKUP($A14,Samples!$A$3:$J$18,7,FALSE)</f>
        <v>835.99999999988358</v>
      </c>
      <c r="D14" s="78">
        <f>VLOOKUP($A14,Samples!$A$3:$J$18,2,FALSE)</f>
        <v>350</v>
      </c>
      <c r="E14" s="72"/>
      <c r="F14" s="74">
        <v>8.2065000000000003E-4</v>
      </c>
      <c r="G14" s="74" t="s">
        <v>121</v>
      </c>
      <c r="H14" s="74">
        <v>3.4736799999999998E-3</v>
      </c>
      <c r="I14" s="74">
        <v>5.1158000000000002E-2</v>
      </c>
      <c r="J14" s="74">
        <v>1.2077400000000001E-5</v>
      </c>
      <c r="K14" s="74">
        <v>1.6389E-3</v>
      </c>
      <c r="L14" s="74">
        <v>5.6817799999999997E-5</v>
      </c>
      <c r="M14" s="74">
        <v>9.3108000000000004E-4</v>
      </c>
      <c r="N14" s="74">
        <v>7.7737800000000006E-5</v>
      </c>
      <c r="O14" s="74">
        <v>2.1654000000000001E-4</v>
      </c>
      <c r="P14" s="74">
        <v>5.2318499999999997E-5</v>
      </c>
      <c r="Q14" s="74">
        <v>5.0064499999999997E-4</v>
      </c>
      <c r="R14" s="74">
        <v>2.9444599999999999E-5</v>
      </c>
      <c r="S14" s="74">
        <v>4.5338200000000002E-6</v>
      </c>
      <c r="T14" s="74">
        <v>2.1689300000000001E-4</v>
      </c>
      <c r="U14" s="74">
        <v>3.6543300000000002E-4</v>
      </c>
      <c r="V14" s="74">
        <v>2.02423E-4</v>
      </c>
      <c r="W14" s="74">
        <v>4.8081000000000003E-5</v>
      </c>
      <c r="X14" s="74" t="s">
        <v>121</v>
      </c>
      <c r="Y14" s="74" t="s">
        <v>121</v>
      </c>
      <c r="Z14" s="74" t="s">
        <v>121</v>
      </c>
      <c r="AA14" s="75">
        <v>5.4870000000000001</v>
      </c>
      <c r="AB14" s="73"/>
      <c r="AD14" s="79">
        <f t="shared" si="0"/>
        <v>2.1195191897004086</v>
      </c>
      <c r="AE14" s="109">
        <f t="shared" si="1"/>
        <v>1.0567403826701731</v>
      </c>
      <c r="AG14" s="77"/>
    </row>
  </sheetData>
  <mergeCells count="1">
    <mergeCell ref="H3:W3"/>
  </mergeCells>
  <pageMargins left="0.7" right="0.7" top="0.75" bottom="0.75" header="0.3" footer="0.3"/>
  <pageSetup scale="25" fitToHeight="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3"/>
  <sheetViews>
    <sheetView showGridLines="0" tabSelected="1" topLeftCell="A25" zoomScale="85" zoomScaleNormal="85" workbookViewId="0">
      <pane xSplit="9255" topLeftCell="S1" activePane="topRight"/>
      <selection activeCell="C10" sqref="C10:E10"/>
      <selection pane="topRight" activeCell="V49" sqref="V49"/>
    </sheetView>
  </sheetViews>
  <sheetFormatPr defaultRowHeight="15" x14ac:dyDescent="0.25"/>
  <cols>
    <col min="1" max="1" width="12.42578125" style="54" customWidth="1"/>
    <col min="2" max="2" width="9.140625" style="54"/>
    <col min="3" max="3" width="47.140625" style="45" customWidth="1"/>
    <col min="4" max="4" width="11.85546875" style="54" customWidth="1"/>
    <col min="5" max="5" width="9.140625" style="54"/>
    <col min="6" max="6" width="10.28515625" style="58" bestFit="1" customWidth="1"/>
    <col min="7" max="9" width="9.140625" style="60"/>
    <col min="10" max="10" width="9.140625" style="59"/>
    <col min="11" max="11" width="12.28515625" style="112" customWidth="1"/>
    <col min="12" max="38" width="9.140625" style="57"/>
    <col min="39" max="39" width="16.5703125" style="57" customWidth="1"/>
    <col min="40" max="45" width="9.140625" style="57"/>
    <col min="46" max="46" width="9.140625" style="45"/>
    <col min="47" max="47" width="10.7109375" style="45" customWidth="1"/>
    <col min="48" max="51" width="9.140625" style="46"/>
    <col min="52" max="16384" width="9.140625" style="45"/>
  </cols>
  <sheetData>
    <row r="1" spans="1:51" x14ac:dyDescent="0.25">
      <c r="G1" s="107" t="s">
        <v>97</v>
      </c>
      <c r="H1" s="107"/>
      <c r="I1" s="107"/>
      <c r="J1" s="107"/>
      <c r="L1" s="106" t="s">
        <v>105</v>
      </c>
      <c r="M1" s="106"/>
      <c r="N1" s="106"/>
      <c r="O1" s="106"/>
      <c r="P1" s="106"/>
      <c r="Q1" s="106"/>
      <c r="R1" s="106"/>
      <c r="S1" s="106"/>
      <c r="T1" s="106"/>
      <c r="U1" s="106"/>
      <c r="V1" s="67"/>
      <c r="W1" s="106" t="s">
        <v>116</v>
      </c>
      <c r="X1" s="106"/>
      <c r="Y1" s="106"/>
      <c r="Z1" s="106"/>
      <c r="AA1" s="106"/>
      <c r="AB1" s="106"/>
      <c r="AC1" s="106"/>
      <c r="AD1" s="106"/>
      <c r="AE1" s="106"/>
      <c r="AF1" s="106"/>
      <c r="AG1" s="67"/>
      <c r="AH1" s="69" t="s">
        <v>126</v>
      </c>
      <c r="AI1" s="69"/>
      <c r="AJ1" s="69"/>
      <c r="AK1" s="69"/>
      <c r="AL1" s="69"/>
      <c r="AM1" s="68"/>
      <c r="AN1" s="68" t="s">
        <v>127</v>
      </c>
      <c r="AO1" s="68"/>
      <c r="AP1" s="68"/>
      <c r="AQ1" s="68"/>
      <c r="AR1" s="68"/>
      <c r="AS1" s="67"/>
    </row>
    <row r="2" spans="1:51" x14ac:dyDescent="0.25">
      <c r="A2" s="54" t="s">
        <v>6</v>
      </c>
      <c r="B2" s="54" t="s">
        <v>90</v>
      </c>
      <c r="C2" s="45" t="s">
        <v>112</v>
      </c>
      <c r="D2" s="54" t="s">
        <v>92</v>
      </c>
      <c r="E2" s="54" t="s">
        <v>91</v>
      </c>
      <c r="F2" s="58" t="s">
        <v>94</v>
      </c>
      <c r="G2" s="60" t="s">
        <v>99</v>
      </c>
      <c r="H2" s="60" t="s">
        <v>100</v>
      </c>
      <c r="I2" s="60" t="s">
        <v>148</v>
      </c>
      <c r="J2" s="59" t="s">
        <v>101</v>
      </c>
      <c r="L2" s="57">
        <v>14</v>
      </c>
      <c r="M2" s="57">
        <v>15</v>
      </c>
      <c r="N2" s="57">
        <v>16</v>
      </c>
      <c r="O2" s="57">
        <v>17</v>
      </c>
      <c r="P2" s="57">
        <v>18</v>
      </c>
      <c r="Q2" s="57">
        <v>19</v>
      </c>
      <c r="R2" s="57">
        <v>20</v>
      </c>
      <c r="S2" s="57">
        <v>21</v>
      </c>
      <c r="T2" s="57">
        <v>22</v>
      </c>
      <c r="U2" s="57">
        <v>23</v>
      </c>
      <c r="W2" s="57">
        <v>14</v>
      </c>
      <c r="X2" s="57">
        <v>15</v>
      </c>
      <c r="Y2" s="57">
        <v>16</v>
      </c>
      <c r="Z2" s="57">
        <v>17</v>
      </c>
      <c r="AA2" s="57">
        <v>18</v>
      </c>
      <c r="AB2" s="57">
        <v>19</v>
      </c>
      <c r="AC2" s="57">
        <v>20</v>
      </c>
      <c r="AD2" s="57">
        <v>21</v>
      </c>
      <c r="AE2" s="57">
        <v>22</v>
      </c>
      <c r="AF2" s="57">
        <v>23</v>
      </c>
      <c r="AH2" s="70" t="s">
        <v>101</v>
      </c>
      <c r="AI2" s="70" t="s">
        <v>117</v>
      </c>
      <c r="AJ2" s="70" t="s">
        <v>118</v>
      </c>
      <c r="AK2" s="70" t="s">
        <v>119</v>
      </c>
      <c r="AL2" s="70" t="s">
        <v>106</v>
      </c>
      <c r="AM2" s="59"/>
      <c r="AN2" s="59" t="s">
        <v>101</v>
      </c>
      <c r="AO2" s="59" t="s">
        <v>117</v>
      </c>
      <c r="AP2" s="59" t="s">
        <v>118</v>
      </c>
      <c r="AQ2" s="59" t="s">
        <v>119</v>
      </c>
      <c r="AR2" s="59" t="s">
        <v>106</v>
      </c>
      <c r="AT2" s="47" t="s">
        <v>88</v>
      </c>
      <c r="AU2" s="48" t="s">
        <v>89</v>
      </c>
      <c r="AV2" s="49">
        <v>12</v>
      </c>
      <c r="AW2" s="49">
        <v>13</v>
      </c>
      <c r="AX2" s="49">
        <v>1</v>
      </c>
      <c r="AY2" s="49">
        <v>2</v>
      </c>
    </row>
    <row r="3" spans="1:51" x14ac:dyDescent="0.25">
      <c r="A3" s="56">
        <v>42592</v>
      </c>
      <c r="B3" s="55">
        <v>1</v>
      </c>
      <c r="C3" s="45" t="s">
        <v>113</v>
      </c>
      <c r="D3" s="54">
        <v>1000</v>
      </c>
      <c r="E3" s="54">
        <v>100</v>
      </c>
      <c r="F3" s="58">
        <f>D3/E3</f>
        <v>10</v>
      </c>
      <c r="G3" s="61">
        <v>6541221</v>
      </c>
      <c r="H3" s="61">
        <v>12975907</v>
      </c>
      <c r="I3" s="61"/>
      <c r="J3" s="61">
        <v>203996898</v>
      </c>
      <c r="K3" s="113">
        <f>SUM(L3:U3)/J3</f>
        <v>0.94512356261417274</v>
      </c>
      <c r="L3" s="61">
        <v>16776952</v>
      </c>
      <c r="M3" s="61">
        <v>77890445</v>
      </c>
      <c r="N3" s="61">
        <v>95431286</v>
      </c>
      <c r="O3" s="61">
        <v>2676168</v>
      </c>
      <c r="P3" s="61"/>
      <c r="Q3" s="61">
        <v>27424</v>
      </c>
      <c r="R3" s="61"/>
      <c r="S3" s="61"/>
      <c r="T3" s="61"/>
      <c r="U3" s="61"/>
      <c r="V3" s="61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9"/>
      <c r="AI3" s="69"/>
      <c r="AJ3" s="69"/>
      <c r="AK3" s="69"/>
      <c r="AL3" s="69"/>
      <c r="AM3" s="68"/>
      <c r="AN3" s="68"/>
      <c r="AO3" s="68"/>
      <c r="AP3" s="68"/>
      <c r="AQ3" s="68"/>
      <c r="AR3" s="68"/>
      <c r="AS3" s="61"/>
      <c r="AT3" s="46">
        <f t="shared" ref="AT3:AT32" si="0">SUMPRODUCT($AV$2:$AY$2,AV3:AY3)</f>
        <v>15</v>
      </c>
      <c r="AU3" s="51" t="str">
        <f t="shared" ref="AU3:AU32" si="1">IF(AV3,"C",CHAR(185)&amp;CHAR(179)&amp;"C")&amp;IF(AX3&gt;0,"H"&amp;IF(AX3=1,"",AX3),"")&amp;IF(AY3&gt;0,"D"&amp;IF(AY3=1,"",AY3),"")&amp;"+"</f>
        <v>CH3+</v>
      </c>
      <c r="AV3" s="50">
        <v>1</v>
      </c>
      <c r="AW3" s="50">
        <v>0</v>
      </c>
      <c r="AX3" s="50">
        <v>3</v>
      </c>
      <c r="AY3" s="50">
        <v>0</v>
      </c>
    </row>
    <row r="4" spans="1:51" x14ac:dyDescent="0.25">
      <c r="A4" s="56">
        <v>42592</v>
      </c>
      <c r="B4" s="55">
        <v>2</v>
      </c>
      <c r="C4" s="45" t="s">
        <v>93</v>
      </c>
      <c r="D4" s="54">
        <v>500</v>
      </c>
      <c r="E4" s="54">
        <v>500</v>
      </c>
      <c r="F4" s="58">
        <f>D4/E4</f>
        <v>1</v>
      </c>
      <c r="G4" s="61">
        <v>724941</v>
      </c>
      <c r="H4" s="61">
        <v>1691999</v>
      </c>
      <c r="I4" s="61"/>
      <c r="J4" s="61">
        <v>27650279</v>
      </c>
      <c r="K4" s="113">
        <f t="shared" ref="K4:K40" si="2">SUM(L4:U4)/J4</f>
        <v>0.95316969496040171</v>
      </c>
      <c r="L4" s="61">
        <v>2604104</v>
      </c>
      <c r="M4" s="61">
        <v>10777670</v>
      </c>
      <c r="N4" s="61">
        <v>12751873</v>
      </c>
      <c r="O4" s="61">
        <v>221761</v>
      </c>
      <c r="P4" s="61"/>
      <c r="Q4" s="61"/>
      <c r="R4" s="61"/>
      <c r="S4" s="61"/>
      <c r="T4" s="61"/>
      <c r="U4" s="61"/>
      <c r="V4" s="61"/>
      <c r="W4" s="68"/>
      <c r="X4" s="68"/>
      <c r="Y4" s="68"/>
      <c r="Z4" s="68"/>
      <c r="AA4" s="68"/>
      <c r="AB4" s="68"/>
      <c r="AC4" s="68"/>
      <c r="AD4" s="68" t="str">
        <f t="shared" ref="AD4" si="3">IF(S4/SUM($L4:$U4)=0,"",S4/SUM($L4:$U4))</f>
        <v/>
      </c>
      <c r="AE4" s="68" t="str">
        <f t="shared" ref="AE4" si="4">IF(T4/SUM($L4:$U4)=0,"",T4/SUM($L4:$U4))</f>
        <v/>
      </c>
      <c r="AF4" s="68" t="str">
        <f t="shared" ref="AF4" si="5">IF(U4/SUM($L4:$U4)=0,"",U4/SUM($L4:$U4))</f>
        <v/>
      </c>
      <c r="AG4" s="68"/>
      <c r="AH4" s="69"/>
      <c r="AI4" s="69"/>
      <c r="AJ4" s="69"/>
      <c r="AK4" s="69"/>
      <c r="AL4" s="69"/>
      <c r="AM4" s="68"/>
      <c r="AN4" s="68"/>
      <c r="AO4" s="68"/>
      <c r="AP4" s="68"/>
      <c r="AQ4" s="68"/>
      <c r="AR4" s="68"/>
      <c r="AS4" s="61"/>
      <c r="AT4" s="46">
        <f t="shared" si="0"/>
        <v>16</v>
      </c>
      <c r="AU4" s="51" t="str">
        <f t="shared" si="1"/>
        <v>CH2D+</v>
      </c>
      <c r="AV4" s="50">
        <v>1</v>
      </c>
      <c r="AW4" s="50">
        <v>0</v>
      </c>
      <c r="AX4" s="50">
        <v>2</v>
      </c>
      <c r="AY4" s="50">
        <v>1</v>
      </c>
    </row>
    <row r="5" spans="1:51" x14ac:dyDescent="0.25">
      <c r="A5" s="56">
        <v>42592</v>
      </c>
      <c r="B5" s="55">
        <v>3</v>
      </c>
      <c r="C5" s="45" t="s">
        <v>95</v>
      </c>
      <c r="D5" s="54">
        <v>100</v>
      </c>
      <c r="E5" s="54">
        <v>500</v>
      </c>
      <c r="F5" s="58">
        <f t="shared" ref="F5:F19" si="6">D5/E5</f>
        <v>0.2</v>
      </c>
      <c r="G5" s="61">
        <v>6396685</v>
      </c>
      <c r="H5" s="61">
        <v>15213729</v>
      </c>
      <c r="I5" s="61"/>
      <c r="J5" s="61">
        <v>12195073</v>
      </c>
      <c r="K5" s="113">
        <f t="shared" si="2"/>
        <v>0.98323642671101685</v>
      </c>
      <c r="L5" s="61">
        <v>531980</v>
      </c>
      <c r="M5" s="61">
        <v>1520553</v>
      </c>
      <c r="N5" s="61">
        <v>4453143</v>
      </c>
      <c r="O5" s="61">
        <v>5295497</v>
      </c>
      <c r="P5" s="61">
        <v>187335</v>
      </c>
      <c r="Q5" s="61">
        <v>2132</v>
      </c>
      <c r="R5" s="61"/>
      <c r="S5" s="61"/>
      <c r="T5" s="61"/>
      <c r="U5" s="61"/>
      <c r="V5" s="61" t="s">
        <v>117</v>
      </c>
      <c r="W5" s="68">
        <f t="shared" ref="W5:AB5" si="7">IF(L5/SUM($L5:$U5)=0,0,L5/SUM($L5:$U5))</f>
        <v>4.436627235910677E-2</v>
      </c>
      <c r="X5" s="68">
        <f t="shared" si="7"/>
        <v>0.12681166309721584</v>
      </c>
      <c r="Y5" s="68">
        <f t="shared" si="7"/>
        <v>0.37138493024559155</v>
      </c>
      <c r="Z5" s="68">
        <f t="shared" si="7"/>
        <v>0.44163589266294379</v>
      </c>
      <c r="AA5" s="68">
        <f t="shared" si="7"/>
        <v>1.5623436280298632E-2</v>
      </c>
      <c r="AB5" s="68">
        <f t="shared" si="7"/>
        <v>1.7780535484344454E-4</v>
      </c>
      <c r="AC5" s="68">
        <f>IF(R5/SUM($L5:$U5)=0,0,R5/SUM($L5:$U5))</f>
        <v>0</v>
      </c>
      <c r="AD5" s="68">
        <f t="shared" ref="AD5:AF5" si="8">IF(S5/SUM($L5:$U5)=0,0,S5/SUM($L5:$U5))</f>
        <v>0</v>
      </c>
      <c r="AE5" s="68">
        <f t="shared" si="8"/>
        <v>0</v>
      </c>
      <c r="AF5" s="68">
        <f t="shared" si="8"/>
        <v>0</v>
      </c>
      <c r="AG5" s="68"/>
      <c r="AH5" s="69">
        <f t="array" ref="AH5">Y5-SUMPRODUCT(Y$46:Y$49,TRANSPOSE(AI5:AL5))</f>
        <v>0.20889788400027332</v>
      </c>
      <c r="AI5" s="69">
        <f t="array" ref="AI5">Z5-SUMPRODUCT(Z$47:Z$49,TRANSPOSE(AJ5:AL5))</f>
        <v>0.43685889061048089</v>
      </c>
      <c r="AJ5" s="69">
        <f t="array" ref="AJ5">AA5-SUMPRODUCT($AA$48:$AA$49,TRANSPOSE(AK5:AL5))</f>
        <v>1.5549121783513411E-2</v>
      </c>
      <c r="AK5" s="69">
        <f t="shared" ref="AK5:AK40" si="9">AB5/$AB$48</f>
        <v>3.6416466964872606E-4</v>
      </c>
      <c r="AL5" s="69">
        <f t="shared" ref="AL5:AL40" si="10">AC5/$AC$49</f>
        <v>0</v>
      </c>
      <c r="AM5" s="68" t="str">
        <f t="shared" ref="AM5:AM40" si="11">V5</f>
        <v>CH3D</v>
      </c>
      <c r="AN5" s="68">
        <f t="shared" ref="AN5:AN40" si="12">AH5/SUM($AH5:$AL5)</f>
        <v>0.31571306651593245</v>
      </c>
      <c r="AO5" s="68">
        <f t="shared" ref="AO5:AO40" si="13">AI5/SUM($AH5:$AL5)</f>
        <v>0.6602367498811178</v>
      </c>
      <c r="AP5" s="68">
        <f t="shared" ref="AP5:AP40" si="14">AJ5/SUM($AH5:$AL5)</f>
        <v>2.3499811610807324E-2</v>
      </c>
      <c r="AQ5" s="68">
        <f t="shared" ref="AQ5:AQ40" si="15">AK5/SUM($AH5:$AL5)</f>
        <v>5.5037199214239235E-4</v>
      </c>
      <c r="AR5" s="68">
        <f t="shared" ref="AR5:AR40" si="16">AL5/SUM($AH5:$AL5)</f>
        <v>0</v>
      </c>
      <c r="AS5" s="61"/>
      <c r="AT5" s="46">
        <f t="shared" si="0"/>
        <v>16</v>
      </c>
      <c r="AU5" s="48" t="str">
        <f t="shared" si="1"/>
        <v>CH4+</v>
      </c>
      <c r="AV5" s="50">
        <v>1</v>
      </c>
      <c r="AW5" s="50">
        <v>0</v>
      </c>
      <c r="AX5" s="50">
        <v>4</v>
      </c>
      <c r="AY5" s="50">
        <v>0</v>
      </c>
    </row>
    <row r="6" spans="1:51" x14ac:dyDescent="0.25">
      <c r="A6" s="56">
        <v>42592</v>
      </c>
      <c r="B6" s="55">
        <v>4</v>
      </c>
      <c r="C6" s="45" t="s">
        <v>96</v>
      </c>
      <c r="D6" s="54">
        <v>100</v>
      </c>
      <c r="E6" s="54">
        <v>500</v>
      </c>
      <c r="F6" s="58">
        <f t="shared" si="6"/>
        <v>0.2</v>
      </c>
      <c r="G6" s="61">
        <v>5464286</v>
      </c>
      <c r="H6" s="61">
        <v>12889736</v>
      </c>
      <c r="I6" s="61"/>
      <c r="J6" s="61">
        <v>7481360</v>
      </c>
      <c r="K6" s="113">
        <f t="shared" si="2"/>
        <v>0.98169129676957134</v>
      </c>
      <c r="L6" s="61">
        <v>225489</v>
      </c>
      <c r="M6" s="61">
        <v>514779</v>
      </c>
      <c r="N6" s="61">
        <v>1535961</v>
      </c>
      <c r="O6" s="61">
        <v>2512738</v>
      </c>
      <c r="P6" s="61">
        <v>2518227</v>
      </c>
      <c r="Q6" s="61">
        <v>37192</v>
      </c>
      <c r="R6" s="61"/>
      <c r="S6" s="61"/>
      <c r="T6" s="61"/>
      <c r="U6" s="61"/>
      <c r="V6" s="61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9"/>
      <c r="AI6" s="69"/>
      <c r="AJ6" s="69"/>
      <c r="AK6" s="69"/>
      <c r="AL6" s="69"/>
      <c r="AM6" s="68"/>
      <c r="AN6" s="68"/>
      <c r="AO6" s="68"/>
      <c r="AP6" s="68"/>
      <c r="AQ6" s="68"/>
      <c r="AR6" s="68"/>
      <c r="AS6" s="61"/>
      <c r="AT6" s="46">
        <f t="shared" si="0"/>
        <v>16</v>
      </c>
      <c r="AU6" s="53" t="str">
        <f t="shared" si="1"/>
        <v>¹³CH3+</v>
      </c>
      <c r="AV6" s="50">
        <v>0</v>
      </c>
      <c r="AW6" s="50">
        <v>1</v>
      </c>
      <c r="AX6" s="50">
        <v>3</v>
      </c>
      <c r="AY6" s="50">
        <v>0</v>
      </c>
    </row>
    <row r="7" spans="1:51" x14ac:dyDescent="0.25">
      <c r="A7" s="56">
        <v>42592</v>
      </c>
      <c r="B7" s="55">
        <v>5</v>
      </c>
      <c r="C7" s="45" t="s">
        <v>96</v>
      </c>
      <c r="D7" s="54">
        <v>100</v>
      </c>
      <c r="E7" s="54">
        <v>500</v>
      </c>
      <c r="F7" s="58">
        <f t="shared" si="6"/>
        <v>0.2</v>
      </c>
      <c r="G7" s="61">
        <v>6835704</v>
      </c>
      <c r="H7" s="61">
        <v>15960025</v>
      </c>
      <c r="I7" s="61"/>
      <c r="J7" s="61">
        <v>5761648</v>
      </c>
      <c r="K7" s="113">
        <f t="shared" si="2"/>
        <v>0.98648546388116731</v>
      </c>
      <c r="L7" s="61">
        <v>136717</v>
      </c>
      <c r="M7" s="61">
        <v>254929</v>
      </c>
      <c r="N7" s="61">
        <v>794890</v>
      </c>
      <c r="O7" s="61">
        <v>1717613</v>
      </c>
      <c r="P7" s="61">
        <v>2741928</v>
      </c>
      <c r="Q7" s="61">
        <v>37705</v>
      </c>
      <c r="R7" s="61"/>
      <c r="S7" s="61"/>
      <c r="T7" s="61"/>
      <c r="U7" s="61"/>
      <c r="V7" s="61" t="s">
        <v>118</v>
      </c>
      <c r="W7" s="68">
        <f t="shared" ref="W7:AF7" si="17">IF(L7/SUM($L7:$U7)=0,0,L7/SUM($L7:$U7))</f>
        <v>2.4053878209966535E-2</v>
      </c>
      <c r="X7" s="68">
        <f t="shared" si="17"/>
        <v>4.4852001712943949E-2</v>
      </c>
      <c r="Y7" s="68">
        <f t="shared" si="17"/>
        <v>0.13985230256895848</v>
      </c>
      <c r="Z7" s="68">
        <f t="shared" si="17"/>
        <v>0.30219543958582507</v>
      </c>
      <c r="AA7" s="68">
        <f t="shared" si="17"/>
        <v>0.48241259077142651</v>
      </c>
      <c r="AB7" s="68">
        <f t="shared" si="17"/>
        <v>6.6337871508794673E-3</v>
      </c>
      <c r="AC7" s="68">
        <f t="shared" si="17"/>
        <v>0</v>
      </c>
      <c r="AD7" s="68">
        <f t="shared" si="17"/>
        <v>0</v>
      </c>
      <c r="AE7" s="68">
        <f t="shared" si="17"/>
        <v>0</v>
      </c>
      <c r="AF7" s="68">
        <f t="shared" si="17"/>
        <v>0</v>
      </c>
      <c r="AG7" s="68"/>
      <c r="AH7" s="69">
        <f t="array" ref="AH7">Y7-SUMPRODUCT(Y$46:Y$49,TRANSPOSE(AI7:AL7))</f>
        <v>1.5540820493299481E-2</v>
      </c>
      <c r="AI7" s="69">
        <f t="array" ref="AI7">Z7-SUMPRODUCT(Z$47:Z$49,TRANSPOSE(AJ7:AL7))</f>
        <v>0.15433551585064467</v>
      </c>
      <c r="AJ7" s="69">
        <f t="array" ref="AJ7">AA7-SUMPRODUCT($AA$48:$AA$49,TRANSPOSE(AK7:AL7))</f>
        <v>0.47963997149720983</v>
      </c>
      <c r="AK7" s="69">
        <f t="shared" si="9"/>
        <v>1.3586716263112883E-2</v>
      </c>
      <c r="AL7" s="69">
        <f t="shared" si="10"/>
        <v>0</v>
      </c>
      <c r="AM7" s="68" t="str">
        <f t="shared" si="11"/>
        <v>CH2D2</v>
      </c>
      <c r="AN7" s="68">
        <f t="shared" si="12"/>
        <v>2.3436509755467242E-2</v>
      </c>
      <c r="AO7" s="68">
        <f t="shared" si="13"/>
        <v>0.23274741667650248</v>
      </c>
      <c r="AP7" s="68">
        <f t="shared" si="14"/>
        <v>0.72332647275303452</v>
      </c>
      <c r="AQ7" s="68">
        <f t="shared" si="15"/>
        <v>2.0489600814995672E-2</v>
      </c>
      <c r="AR7" s="68">
        <f t="shared" si="16"/>
        <v>0</v>
      </c>
      <c r="AS7" s="61"/>
      <c r="AT7" s="46">
        <f t="shared" si="0"/>
        <v>17</v>
      </c>
      <c r="AU7" s="51" t="str">
        <f t="shared" si="1"/>
        <v>CHD2+</v>
      </c>
      <c r="AV7" s="50">
        <v>1</v>
      </c>
      <c r="AW7" s="50">
        <v>0</v>
      </c>
      <c r="AX7" s="50">
        <v>1</v>
      </c>
      <c r="AY7" s="50">
        <v>2</v>
      </c>
    </row>
    <row r="8" spans="1:51" x14ac:dyDescent="0.25">
      <c r="A8" s="56">
        <v>42592</v>
      </c>
      <c r="B8" s="55">
        <v>6</v>
      </c>
      <c r="C8" s="45" t="s">
        <v>96</v>
      </c>
      <c r="D8" s="54">
        <v>100</v>
      </c>
      <c r="E8" s="54">
        <v>50</v>
      </c>
      <c r="F8" s="58">
        <f t="shared" si="6"/>
        <v>2</v>
      </c>
      <c r="G8" s="61">
        <v>33950938</v>
      </c>
      <c r="H8" s="61">
        <v>64255448</v>
      </c>
      <c r="I8" s="61"/>
      <c r="J8" s="61">
        <v>25904023</v>
      </c>
      <c r="K8" s="113">
        <f t="shared" si="2"/>
        <v>0.98095106694431211</v>
      </c>
      <c r="L8" s="61">
        <v>679025</v>
      </c>
      <c r="M8" s="61">
        <v>1240498</v>
      </c>
      <c r="N8" s="61">
        <v>3560397</v>
      </c>
      <c r="O8" s="61">
        <v>7613692</v>
      </c>
      <c r="P8" s="61">
        <v>12100425</v>
      </c>
      <c r="Q8" s="61">
        <v>194218</v>
      </c>
      <c r="R8" s="61">
        <v>22324</v>
      </c>
      <c r="S8" s="61"/>
      <c r="T8" s="61"/>
      <c r="U8" s="61"/>
      <c r="V8" s="61" t="s">
        <v>118</v>
      </c>
      <c r="W8" s="68">
        <f t="shared" ref="W8:W9" si="18">IF(L8/SUM($L8:$U8)=0,0,L8/SUM($L8:$U8))</f>
        <v>2.6722138051242357E-2</v>
      </c>
      <c r="X8" s="68">
        <f t="shared" ref="X8:X9" si="19">IF(M8/SUM($L8:$U8)=0,0,M8/SUM($L8:$U8))</f>
        <v>4.8818171360833613E-2</v>
      </c>
      <c r="Y8" s="68">
        <f t="shared" ref="Y8:Y9" si="20">IF(N8/SUM($L8:$U8)=0,0,N8/SUM($L8:$U8))</f>
        <v>0.14011475299323167</v>
      </c>
      <c r="Z8" s="68">
        <f t="shared" ref="Z8:Z9" si="21">IF(O8/SUM($L8:$U8)=0,0,O8/SUM($L8:$U8))</f>
        <v>0.2996268601356939</v>
      </c>
      <c r="AA8" s="68">
        <f t="shared" ref="AA8:AA9" si="22">IF(P8/SUM($L8:$U8)=0,0,P8/SUM($L8:$U8))</f>
        <v>0.47619635113391157</v>
      </c>
      <c r="AB8" s="68">
        <f t="shared" ref="AB8:AB9" si="23">IF(Q8/SUM($L8:$U8)=0,0,Q8/SUM($L8:$U8))</f>
        <v>7.6431945922995305E-3</v>
      </c>
      <c r="AC8" s="68">
        <f t="shared" ref="AC8:AC9" si="24">IF(R8/SUM($L8:$U8)=0,0,R8/SUM($L8:$U8))</f>
        <v>8.7853173278735596E-4</v>
      </c>
      <c r="AD8" s="68">
        <f t="shared" ref="AD8:AD9" si="25">IF(S8/SUM($L8:$U8)=0,0,S8/SUM($L8:$U8))</f>
        <v>0</v>
      </c>
      <c r="AE8" s="68">
        <f t="shared" ref="AE8:AE9" si="26">IF(T8/SUM($L8:$U8)=0,0,T8/SUM($L8:$U8))</f>
        <v>0</v>
      </c>
      <c r="AF8" s="68">
        <f t="shared" ref="AF8:AF9" si="27">IF(U8/SUM($L8:$U8)=0,0,U8/SUM($L8:$U8))</f>
        <v>0</v>
      </c>
      <c r="AG8" s="68"/>
      <c r="AH8" s="69">
        <f t="array" ref="AH8">Y8-SUMPRODUCT(Y$46:Y$49,TRANSPOSE(AI8:AL8))</f>
        <v>1.6924241706864296E-2</v>
      </c>
      <c r="AI8" s="69">
        <f t="array" ref="AI8">Z8-SUMPRODUCT(Z$47:Z$49,TRANSPOSE(AJ8:AL8))</f>
        <v>0.15353075554506468</v>
      </c>
      <c r="AJ8" s="69">
        <f t="array" ref="AJ8">AA8-SUMPRODUCT($AA$48:$AA$49,TRANSPOSE(AK8:AL8))</f>
        <v>0.47233557048615032</v>
      </c>
      <c r="AK8" s="69">
        <f t="shared" si="9"/>
        <v>1.5654092286570456E-2</v>
      </c>
      <c r="AL8" s="69">
        <f t="shared" si="10"/>
        <v>1.6928010813146526E-3</v>
      </c>
      <c r="AM8" s="68" t="str">
        <f t="shared" si="11"/>
        <v>CH2D2</v>
      </c>
      <c r="AN8" s="68">
        <f t="shared" si="12"/>
        <v>2.5637450840178329E-2</v>
      </c>
      <c r="AO8" s="68">
        <f t="shared" si="13"/>
        <v>0.23257391769260632</v>
      </c>
      <c r="AP8" s="68">
        <f t="shared" si="14"/>
        <v>0.7155109326697211</v>
      </c>
      <c r="AQ8" s="68">
        <f t="shared" si="15"/>
        <v>2.3713382755682882E-2</v>
      </c>
      <c r="AR8" s="68">
        <f t="shared" si="16"/>
        <v>2.5643160418113682E-3</v>
      </c>
      <c r="AS8" s="61"/>
      <c r="AT8" s="46">
        <f t="shared" si="0"/>
        <v>17</v>
      </c>
      <c r="AU8" s="48" t="str">
        <f t="shared" si="1"/>
        <v>CH3D+</v>
      </c>
      <c r="AV8" s="50">
        <v>1</v>
      </c>
      <c r="AW8" s="50">
        <v>0</v>
      </c>
      <c r="AX8" s="50">
        <v>3</v>
      </c>
      <c r="AY8" s="50">
        <v>1</v>
      </c>
    </row>
    <row r="9" spans="1:51" x14ac:dyDescent="0.25">
      <c r="A9" s="56">
        <v>42592</v>
      </c>
      <c r="B9" s="55">
        <v>7</v>
      </c>
      <c r="C9" s="45" t="s">
        <v>110</v>
      </c>
      <c r="D9" s="54">
        <v>10</v>
      </c>
      <c r="E9" s="54">
        <v>500</v>
      </c>
      <c r="F9" s="58">
        <f t="shared" si="6"/>
        <v>0.02</v>
      </c>
      <c r="G9" s="61">
        <v>17262112</v>
      </c>
      <c r="H9" s="61">
        <v>37203799</v>
      </c>
      <c r="I9" s="61"/>
      <c r="J9" s="61">
        <v>2005629</v>
      </c>
      <c r="K9" s="113">
        <f t="shared" si="2"/>
        <v>0.99265417482495522</v>
      </c>
      <c r="L9" s="61">
        <v>51908</v>
      </c>
      <c r="M9" s="61">
        <v>85723</v>
      </c>
      <c r="N9" s="61">
        <v>278239</v>
      </c>
      <c r="O9" s="61">
        <v>602612</v>
      </c>
      <c r="P9" s="61">
        <v>959418</v>
      </c>
      <c r="Q9" s="61">
        <v>12996</v>
      </c>
      <c r="R9" s="61"/>
      <c r="S9" s="61"/>
      <c r="T9" s="61"/>
      <c r="U9" s="61"/>
      <c r="V9" s="61" t="s">
        <v>118</v>
      </c>
      <c r="W9" s="68">
        <f t="shared" si="18"/>
        <v>2.6072682852343869E-2</v>
      </c>
      <c r="X9" s="68">
        <f t="shared" si="19"/>
        <v>4.3057497729665439E-2</v>
      </c>
      <c r="Y9" s="68">
        <f t="shared" si="20"/>
        <v>0.13975566779982479</v>
      </c>
      <c r="Z9" s="68">
        <f t="shared" si="21"/>
        <v>0.30268381673377215</v>
      </c>
      <c r="AA9" s="68">
        <f t="shared" si="22"/>
        <v>0.48190262072956097</v>
      </c>
      <c r="AB9" s="68">
        <f t="shared" si="23"/>
        <v>6.5277141548327989E-3</v>
      </c>
      <c r="AC9" s="68">
        <f t="shared" si="24"/>
        <v>0</v>
      </c>
      <c r="AD9" s="68">
        <f t="shared" si="25"/>
        <v>0</v>
      </c>
      <c r="AE9" s="68">
        <f t="shared" si="26"/>
        <v>0</v>
      </c>
      <c r="AF9" s="68">
        <f t="shared" si="27"/>
        <v>0</v>
      </c>
      <c r="AG9" s="68"/>
      <c r="AH9" s="69">
        <f t="array" ref="AH9">Y9-SUMPRODUCT(Y$46:Y$49,TRANSPOSE(AI9:AL9))</f>
        <v>1.5271006213074395E-2</v>
      </c>
      <c r="AI9" s="69">
        <f t="array" ref="AI9">Z9-SUMPRODUCT(Z$47:Z$49,TRANSPOSE(AJ9:AL9))</f>
        <v>0.15501121507540394</v>
      </c>
      <c r="AJ9" s="69">
        <f t="array" ref="AJ9">AA9-SUMPRODUCT($AA$48:$AA$49,TRANSPOSE(AK9:AL9))</f>
        <v>0.47917433511070945</v>
      </c>
      <c r="AK9" s="69">
        <f t="shared" si="9"/>
        <v>1.3369467251698141E-2</v>
      </c>
      <c r="AL9" s="69">
        <f t="shared" si="10"/>
        <v>0</v>
      </c>
      <c r="AM9" s="68" t="str">
        <f t="shared" si="11"/>
        <v>CH2D2</v>
      </c>
      <c r="AN9" s="68">
        <f t="shared" si="12"/>
        <v>2.3039237549788354E-2</v>
      </c>
      <c r="AO9" s="68">
        <f t="shared" si="13"/>
        <v>0.23386410542783576</v>
      </c>
      <c r="AP9" s="68">
        <f t="shared" si="14"/>
        <v>0.7229262551753598</v>
      </c>
      <c r="AQ9" s="68">
        <f t="shared" si="15"/>
        <v>2.0170401847016059E-2</v>
      </c>
      <c r="AR9" s="68">
        <f t="shared" si="16"/>
        <v>0</v>
      </c>
      <c r="AS9" s="61"/>
      <c r="AT9" s="46">
        <f t="shared" si="0"/>
        <v>17</v>
      </c>
      <c r="AU9" s="52" t="str">
        <f t="shared" si="1"/>
        <v>CH5+</v>
      </c>
      <c r="AV9" s="50">
        <v>1</v>
      </c>
      <c r="AW9" s="50">
        <v>0</v>
      </c>
      <c r="AX9" s="50">
        <v>5</v>
      </c>
      <c r="AY9" s="50">
        <v>0</v>
      </c>
    </row>
    <row r="10" spans="1:51" x14ac:dyDescent="0.25">
      <c r="A10" s="56">
        <v>42592</v>
      </c>
      <c r="B10" s="55">
        <v>8</v>
      </c>
      <c r="C10" s="45" t="s">
        <v>98</v>
      </c>
      <c r="D10" s="54">
        <v>100</v>
      </c>
      <c r="E10" s="54">
        <v>500</v>
      </c>
      <c r="F10" s="58">
        <f t="shared" si="6"/>
        <v>0.2</v>
      </c>
      <c r="G10" s="61">
        <f>3321347+5434240</f>
        <v>8755587</v>
      </c>
      <c r="H10" s="61">
        <f>7903554+13260868</f>
        <v>21164422</v>
      </c>
      <c r="I10" s="61"/>
      <c r="J10" s="61">
        <v>21964026</v>
      </c>
      <c r="K10" s="113">
        <f t="shared" si="2"/>
        <v>0.98960541204968522</v>
      </c>
      <c r="L10" s="61">
        <v>520358</v>
      </c>
      <c r="M10" s="61">
        <v>534037</v>
      </c>
      <c r="N10" s="61">
        <v>1042794</v>
      </c>
      <c r="O10" s="61">
        <v>4631831</v>
      </c>
      <c r="P10" s="61">
        <v>4440768</v>
      </c>
      <c r="Q10" s="61">
        <v>10458256</v>
      </c>
      <c r="R10" s="61">
        <v>94184</v>
      </c>
      <c r="S10" s="61">
        <v>13491</v>
      </c>
      <c r="T10" s="61"/>
      <c r="U10" s="61"/>
      <c r="V10" s="61" t="s">
        <v>119</v>
      </c>
      <c r="W10" s="68">
        <f t="shared" ref="W10:W12" si="28">IF(L10/SUM($L10:$U10)=0,0,L10/SUM($L10:$U10))</f>
        <v>2.3940224843723826E-2</v>
      </c>
      <c r="X10" s="68">
        <f t="shared" ref="X10:X12" si="29">IF(M10/SUM($L10:$U10)=0,0,M10/SUM($L10:$U10))</f>
        <v>2.4569557602396312E-2</v>
      </c>
      <c r="Y10" s="68">
        <f t="shared" ref="Y10:Y12" si="30">IF(N10/SUM($L10:$U10)=0,0,N10/SUM($L10:$U10))</f>
        <v>4.7976052690044436E-2</v>
      </c>
      <c r="Z10" s="68">
        <f t="shared" ref="Z10:Z12" si="31">IF(O10/SUM($L10:$U10)=0,0,O10/SUM($L10:$U10))</f>
        <v>0.21309766656442328</v>
      </c>
      <c r="AA10" s="68">
        <f t="shared" ref="AA10:AA12" si="32">IF(P10/SUM($L10:$U10)=0,0,P10/SUM($L10:$U10))</f>
        <v>0.20430738914134838</v>
      </c>
      <c r="AB10" s="68">
        <f t="shared" ref="AB10:AB12" si="33">IF(Q10/SUM($L10:$U10)=0,0,Q10/SUM($L10:$U10))</f>
        <v>0.48115528177374761</v>
      </c>
      <c r="AC10" s="68">
        <f t="shared" ref="AC10:AC12" si="34">IF(R10/SUM($L10:$U10)=0,0,R10/SUM($L10:$U10))</f>
        <v>4.3331439829526692E-3</v>
      </c>
      <c r="AD10" s="68">
        <f t="shared" ref="AD10:AD12" si="35">IF(S10/SUM($L10:$U10)=0,0,S10/SUM($L10:$U10))</f>
        <v>6.2068340136344239E-4</v>
      </c>
      <c r="AE10" s="68">
        <f t="shared" ref="AE10:AE12" si="36">IF(T10/SUM($L10:$U10)=0,0,T10/SUM($L10:$U10))</f>
        <v>0</v>
      </c>
      <c r="AF10" s="68">
        <f t="shared" ref="AF10:AF12" si="37">IF(U10/SUM($L10:$U10)=0,0,U10/SUM($L10:$U10))</f>
        <v>0</v>
      </c>
      <c r="AG10" s="68"/>
      <c r="AH10" s="69">
        <f t="array" ref="AH10">Y10-SUMPRODUCT(Y$46:Y$49,TRANSPOSE(AI10:AL10))</f>
        <v>3.1489438679267873E-3</v>
      </c>
      <c r="AI10" s="69">
        <f t="array" ref="AI10">Z10-SUMPRODUCT(Z$47:Z$49,TRANSPOSE(AJ10:AL10))</f>
        <v>1.7002700149424121E-3</v>
      </c>
      <c r="AJ10" s="69">
        <f t="array" ref="AJ10">AA10-SUMPRODUCT($AA$48:$AA$49,TRANSPOSE(AK10:AL10))</f>
        <v>-7.9727689779263144E-5</v>
      </c>
      <c r="AK10" s="69">
        <f t="shared" si="9"/>
        <v>0.98545825231841511</v>
      </c>
      <c r="AL10" s="69">
        <f t="shared" si="10"/>
        <v>8.3493293936711937E-3</v>
      </c>
      <c r="AM10" s="68" t="str">
        <f t="shared" si="11"/>
        <v>CHD3</v>
      </c>
      <c r="AN10" s="68">
        <f t="shared" si="12"/>
        <v>3.1534309860857005E-3</v>
      </c>
      <c r="AO10" s="68">
        <f t="shared" si="13"/>
        <v>1.7026928312195808E-3</v>
      </c>
      <c r="AP10" s="68">
        <f t="shared" si="14"/>
        <v>-7.9841298525427384E-5</v>
      </c>
      <c r="AQ10" s="68">
        <f t="shared" si="15"/>
        <v>0.98686249062950959</v>
      </c>
      <c r="AR10" s="68">
        <f t="shared" si="16"/>
        <v>8.3612268517105955E-3</v>
      </c>
      <c r="AS10" s="61"/>
      <c r="AT10" s="46">
        <f t="shared" si="0"/>
        <v>17</v>
      </c>
      <c r="AU10" s="53" t="str">
        <f t="shared" si="1"/>
        <v>¹³CH2D+</v>
      </c>
      <c r="AV10" s="50">
        <v>0</v>
      </c>
      <c r="AW10" s="50">
        <v>1</v>
      </c>
      <c r="AX10" s="50">
        <v>2</v>
      </c>
      <c r="AY10" s="50">
        <v>1</v>
      </c>
    </row>
    <row r="11" spans="1:51" x14ac:dyDescent="0.25">
      <c r="A11" s="56">
        <v>42592</v>
      </c>
      <c r="B11" s="55">
        <v>9</v>
      </c>
      <c r="C11" s="45" t="s">
        <v>93</v>
      </c>
      <c r="D11" s="54">
        <v>100</v>
      </c>
      <c r="E11" s="54">
        <v>500</v>
      </c>
      <c r="F11" s="58">
        <f t="shared" si="6"/>
        <v>0.2</v>
      </c>
      <c r="G11" s="61">
        <v>267389</v>
      </c>
      <c r="H11" s="61">
        <v>652637</v>
      </c>
      <c r="I11" s="61"/>
      <c r="J11" s="61">
        <v>8787279</v>
      </c>
      <c r="K11" s="113">
        <f t="shared" si="2"/>
        <v>0.96007569578705765</v>
      </c>
      <c r="L11" s="61">
        <v>705217</v>
      </c>
      <c r="M11" s="61">
        <v>3447498</v>
      </c>
      <c r="N11" s="61">
        <v>4222442</v>
      </c>
      <c r="O11" s="61">
        <v>58111</v>
      </c>
      <c r="P11" s="61"/>
      <c r="Q11" s="61">
        <v>3185</v>
      </c>
      <c r="R11" s="61"/>
      <c r="S11" s="61"/>
      <c r="T11" s="61"/>
      <c r="U11" s="61"/>
      <c r="V11" s="61" t="s">
        <v>101</v>
      </c>
      <c r="W11" s="68">
        <f t="shared" si="28"/>
        <v>8.3591646868654404E-2</v>
      </c>
      <c r="X11" s="68">
        <f t="shared" si="29"/>
        <v>0.40864306361927222</v>
      </c>
      <c r="Y11" s="68">
        <f t="shared" si="30"/>
        <v>0.50049967681915608</v>
      </c>
      <c r="Z11" s="68">
        <f t="shared" si="31"/>
        <v>6.8880843643649766E-3</v>
      </c>
      <c r="AA11" s="68">
        <f t="shared" si="32"/>
        <v>0</v>
      </c>
      <c r="AB11" s="68">
        <f t="shared" si="33"/>
        <v>3.7752832855229563E-4</v>
      </c>
      <c r="AC11" s="68">
        <f t="shared" si="34"/>
        <v>0</v>
      </c>
      <c r="AD11" s="68">
        <f t="shared" si="35"/>
        <v>0</v>
      </c>
      <c r="AE11" s="68">
        <f t="shared" si="36"/>
        <v>0</v>
      </c>
      <c r="AF11" s="68">
        <f t="shared" si="37"/>
        <v>0</v>
      </c>
      <c r="AG11" s="68"/>
      <c r="AH11" s="69">
        <f t="array" ref="AH11">Y11-SUMPRODUCT(Y$46:Y$49,TRANSPOSE(AI11:AL11))</f>
        <v>0.49800338808001215</v>
      </c>
      <c r="AI11" s="69">
        <f t="array" ref="AI11">Z11-SUMPRODUCT(Z$47:Z$49,TRANSPOSE(AJ11:AL11))</f>
        <v>6.7698802419446777E-3</v>
      </c>
      <c r="AJ11" s="69">
        <f t="array" ref="AJ11">AA11-SUMPRODUCT($AA$48:$AA$49,TRANSPOSE(AK11:AL11))</f>
        <v>-1.5778955466910535E-4</v>
      </c>
      <c r="AK11" s="69">
        <f t="shared" si="9"/>
        <v>7.7321900215735406E-4</v>
      </c>
      <c r="AL11" s="69">
        <f t="shared" si="10"/>
        <v>0</v>
      </c>
      <c r="AM11" s="68" t="str">
        <f t="shared" si="11"/>
        <v>CH4</v>
      </c>
      <c r="AN11" s="68">
        <f t="shared" si="12"/>
        <v>0.98538687208078002</v>
      </c>
      <c r="AO11" s="68">
        <f t="shared" si="13"/>
        <v>1.3395393034754908E-2</v>
      </c>
      <c r="AP11" s="68">
        <f t="shared" si="14"/>
        <v>-3.1221425284244859E-4</v>
      </c>
      <c r="AQ11" s="68">
        <f t="shared" si="15"/>
        <v>1.5299491373075608E-3</v>
      </c>
      <c r="AR11" s="68">
        <f t="shared" si="16"/>
        <v>0</v>
      </c>
      <c r="AS11" s="61"/>
      <c r="AT11" s="46">
        <f t="shared" si="0"/>
        <v>17</v>
      </c>
      <c r="AU11" s="53" t="str">
        <f t="shared" si="1"/>
        <v>¹³CH4+</v>
      </c>
      <c r="AV11" s="50">
        <v>0</v>
      </c>
      <c r="AW11" s="50">
        <v>1</v>
      </c>
      <c r="AX11" s="50">
        <v>4</v>
      </c>
      <c r="AY11" s="50">
        <v>0</v>
      </c>
    </row>
    <row r="12" spans="1:51" x14ac:dyDescent="0.25">
      <c r="A12" s="56">
        <v>42592</v>
      </c>
      <c r="B12" s="55">
        <v>10</v>
      </c>
      <c r="C12" s="45" t="s">
        <v>107</v>
      </c>
      <c r="D12" s="54">
        <v>100</v>
      </c>
      <c r="E12" s="54">
        <v>500</v>
      </c>
      <c r="F12" s="58">
        <f t="shared" si="6"/>
        <v>0.2</v>
      </c>
      <c r="G12" s="61">
        <v>5547916</v>
      </c>
      <c r="H12" s="61">
        <v>13560374</v>
      </c>
      <c r="I12" s="61"/>
      <c r="J12" s="61">
        <v>883413</v>
      </c>
      <c r="K12" s="113">
        <f t="shared" si="2"/>
        <v>1.0322261501698526</v>
      </c>
      <c r="L12" s="61">
        <v>23101</v>
      </c>
      <c r="M12" s="61"/>
      <c r="N12" s="61">
        <v>59297</v>
      </c>
      <c r="O12" s="61">
        <v>47882</v>
      </c>
      <c r="P12" s="61">
        <v>332594</v>
      </c>
      <c r="Q12" s="61"/>
      <c r="R12" s="61">
        <v>449008</v>
      </c>
      <c r="S12" s="61"/>
      <c r="T12" s="61"/>
      <c r="U12" s="61"/>
      <c r="V12" s="61" t="s">
        <v>106</v>
      </c>
      <c r="W12" s="68">
        <f t="shared" si="28"/>
        <v>2.5333321635913418E-2</v>
      </c>
      <c r="X12" s="68">
        <f t="shared" si="29"/>
        <v>0</v>
      </c>
      <c r="Y12" s="68">
        <f t="shared" si="30"/>
        <v>6.5027053938996493E-2</v>
      </c>
      <c r="Z12" s="68">
        <f t="shared" si="31"/>
        <v>5.2508986908393847E-2</v>
      </c>
      <c r="AA12" s="68">
        <f t="shared" si="32"/>
        <v>0.36473359491688617</v>
      </c>
      <c r="AB12" s="68">
        <f t="shared" si="33"/>
        <v>0</v>
      </c>
      <c r="AC12" s="68">
        <f t="shared" si="34"/>
        <v>0.49239704259981004</v>
      </c>
      <c r="AD12" s="68">
        <f t="shared" si="35"/>
        <v>0</v>
      </c>
      <c r="AE12" s="68">
        <f t="shared" si="36"/>
        <v>0</v>
      </c>
      <c r="AF12" s="68">
        <f t="shared" si="37"/>
        <v>0</v>
      </c>
      <c r="AG12" s="68"/>
      <c r="AH12" s="69">
        <f t="array" ref="AH12">Y12-SUMPRODUCT(Y$46:Y$49,TRANSPOSE(AI12:AL12))</f>
        <v>-1.2377447849667697E-2</v>
      </c>
      <c r="AI12" s="69">
        <f t="array" ref="AI12">Z12-SUMPRODUCT(Z$47:Z$49,TRANSPOSE(AJ12:AL12))</f>
        <v>5.513764542999787E-2</v>
      </c>
      <c r="AJ12" s="69">
        <f t="array" ref="AJ12">AA12-SUMPRODUCT($AA$48:$AA$49,TRANSPOSE(AK12:AL12))</f>
        <v>-8.6985380229653297E-3</v>
      </c>
      <c r="AK12" s="69">
        <f t="shared" si="9"/>
        <v>0</v>
      </c>
      <c r="AL12" s="69">
        <f t="shared" si="10"/>
        <v>0.94877648130536807</v>
      </c>
      <c r="AM12" s="68" t="str">
        <f t="shared" si="11"/>
        <v>CD4</v>
      </c>
      <c r="AN12" s="68">
        <f t="shared" si="12"/>
        <v>-1.2593577044947405E-2</v>
      </c>
      <c r="AO12" s="68">
        <f t="shared" si="13"/>
        <v>5.6100433161454417E-2</v>
      </c>
      <c r="AP12" s="68">
        <f t="shared" si="14"/>
        <v>-8.8504278184908195E-3</v>
      </c>
      <c r="AQ12" s="68">
        <f t="shared" si="15"/>
        <v>0</v>
      </c>
      <c r="AR12" s="68">
        <f t="shared" si="16"/>
        <v>0.96534357170198382</v>
      </c>
      <c r="AS12" s="61"/>
      <c r="AT12" s="46">
        <f t="shared" si="0"/>
        <v>18</v>
      </c>
      <c r="AU12" s="51" t="str">
        <f t="shared" si="1"/>
        <v>CD3+</v>
      </c>
      <c r="AV12" s="50">
        <v>1</v>
      </c>
      <c r="AW12" s="50">
        <v>0</v>
      </c>
      <c r="AX12" s="50">
        <v>0</v>
      </c>
      <c r="AY12" s="50">
        <v>3</v>
      </c>
    </row>
    <row r="13" spans="1:51" x14ac:dyDescent="0.25">
      <c r="A13" s="56">
        <v>42592</v>
      </c>
      <c r="B13" s="55">
        <v>11</v>
      </c>
      <c r="C13" s="66" t="s">
        <v>109</v>
      </c>
      <c r="D13" s="54">
        <v>100</v>
      </c>
      <c r="E13" s="54">
        <v>1</v>
      </c>
      <c r="F13" s="58">
        <f t="shared" si="6"/>
        <v>100</v>
      </c>
      <c r="G13" s="61">
        <v>51654460</v>
      </c>
      <c r="H13" s="61">
        <v>98416431</v>
      </c>
      <c r="I13" s="61">
        <v>616784</v>
      </c>
      <c r="J13" s="61">
        <v>555758</v>
      </c>
      <c r="K13" s="113">
        <f t="shared" si="2"/>
        <v>0.92938113351494711</v>
      </c>
      <c r="L13" s="61">
        <v>16930</v>
      </c>
      <c r="M13" s="61">
        <v>13872</v>
      </c>
      <c r="N13" s="61">
        <v>49534</v>
      </c>
      <c r="O13" s="61">
        <v>29242</v>
      </c>
      <c r="P13" s="61">
        <v>148097</v>
      </c>
      <c r="Q13" s="61">
        <v>47115</v>
      </c>
      <c r="R13" s="61">
        <v>211721</v>
      </c>
      <c r="S13" s="61"/>
      <c r="T13" s="61"/>
      <c r="U13" s="61"/>
      <c r="V13" s="87" t="s">
        <v>120</v>
      </c>
      <c r="W13" s="88">
        <f t="shared" ref="W13" si="38">IF(L13/SUM($L13:$U13)=0,0,L13/SUM($L13:$U13))</f>
        <v>3.2777617514438223E-2</v>
      </c>
      <c r="X13" s="88">
        <f t="shared" ref="X13" si="39">IF(M13/SUM($L13:$U13)=0,0,M13/SUM($L13:$U13))</f>
        <v>2.6857124049633019E-2</v>
      </c>
      <c r="Y13" s="88">
        <f t="shared" ref="Y13" si="40">IF(N13/SUM($L13:$U13)=0,0,N13/SUM($L13:$U13))</f>
        <v>9.5901152153584343E-2</v>
      </c>
      <c r="Z13" s="88">
        <f t="shared" ref="Z13" si="41">IF(O13/SUM($L13:$U13)=0,0,O13/SUM($L13:$U13))</f>
        <v>5.6614476748801087E-2</v>
      </c>
      <c r="AA13" s="88">
        <f t="shared" ref="AA13" si="42">IF(P13/SUM($L13:$U13)=0,0,P13/SUM($L13:$U13))</f>
        <v>0.28672574253016875</v>
      </c>
      <c r="AB13" s="88">
        <f t="shared" ref="AB13" si="43">IF(Q13/SUM($L13:$U13)=0,0,Q13/SUM($L13:$U13))</f>
        <v>9.1217805622726328E-2</v>
      </c>
      <c r="AC13" s="88">
        <f t="shared" ref="AC13" si="44">IF(R13/SUM($L13:$U13)=0,0,R13/SUM($L13:$U13))</f>
        <v>0.40990608138064821</v>
      </c>
      <c r="AD13" s="88">
        <f t="shared" ref="AD13" si="45">IF(S13/SUM($L13:$U13)=0,0,S13/SUM($L13:$U13))</f>
        <v>0</v>
      </c>
      <c r="AE13" s="88">
        <f t="shared" ref="AE13" si="46">IF(T13/SUM($L13:$U13)=0,0,T13/SUM($L13:$U13))</f>
        <v>0</v>
      </c>
      <c r="AF13" s="88">
        <f t="shared" ref="AF13" si="47">IF(U13/SUM($L13:$U13)=0,0,U13/SUM($L13:$U13))</f>
        <v>0</v>
      </c>
      <c r="AG13" s="68"/>
      <c r="AH13" s="69">
        <f t="array" ref="AH13">Y13-SUMPRODUCT(Y$46:Y$49,TRANSPOSE(AI13:AL13))</f>
        <v>3.474630608586237E-2</v>
      </c>
      <c r="AI13" s="69">
        <f t="array" ref="AI13">Z13-SUMPRODUCT(Z$47:Z$49,TRANSPOSE(AJ13:AL13))</f>
        <v>3.535085452403073E-2</v>
      </c>
      <c r="AJ13" s="69">
        <f t="array" ref="AJ13">AA13-SUMPRODUCT($AA$48:$AA$49,TRANSPOSE(AK13:AL13))</f>
        <v>-6.2270410294662237E-2</v>
      </c>
      <c r="AK13" s="69">
        <f t="shared" si="9"/>
        <v>0.18682396871528506</v>
      </c>
      <c r="AL13" s="69">
        <f t="shared" si="10"/>
        <v>0.78982856498202958</v>
      </c>
      <c r="AM13" s="68" t="str">
        <f t="shared" si="11"/>
        <v>EF-D2O-1-9</v>
      </c>
      <c r="AN13" s="68">
        <f t="shared" si="12"/>
        <v>3.5294095721591222E-2</v>
      </c>
      <c r="AO13" s="68">
        <f t="shared" si="13"/>
        <v>3.5908175111565112E-2</v>
      </c>
      <c r="AP13" s="68">
        <f t="shared" si="14"/>
        <v>-6.3252128618552741E-2</v>
      </c>
      <c r="AQ13" s="68">
        <f t="shared" si="15"/>
        <v>0.18976932450404341</v>
      </c>
      <c r="AR13" s="68">
        <f t="shared" si="16"/>
        <v>0.80228053328135307</v>
      </c>
      <c r="AS13" s="61"/>
      <c r="AT13" s="46">
        <f t="shared" si="0"/>
        <v>18</v>
      </c>
      <c r="AU13" s="48" t="str">
        <f t="shared" si="1"/>
        <v>CH2D2+</v>
      </c>
      <c r="AV13" s="50">
        <v>1</v>
      </c>
      <c r="AW13" s="50">
        <v>0</v>
      </c>
      <c r="AX13" s="50">
        <v>2</v>
      </c>
      <c r="AY13" s="50">
        <v>2</v>
      </c>
    </row>
    <row r="14" spans="1:51" x14ac:dyDescent="0.25">
      <c r="A14" s="56">
        <v>42592</v>
      </c>
      <c r="B14" s="55">
        <v>12</v>
      </c>
      <c r="C14" s="66" t="s">
        <v>111</v>
      </c>
      <c r="D14" s="54">
        <v>100</v>
      </c>
      <c r="E14" s="54">
        <v>1</v>
      </c>
      <c r="F14" s="58">
        <f t="shared" si="6"/>
        <v>100</v>
      </c>
      <c r="G14" s="61"/>
      <c r="H14" s="61"/>
      <c r="I14" s="61"/>
      <c r="J14" s="61"/>
      <c r="K14" s="113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9"/>
      <c r="AI14" s="69"/>
      <c r="AJ14" s="69"/>
      <c r="AK14" s="69"/>
      <c r="AL14" s="69"/>
      <c r="AM14" s="68"/>
      <c r="AN14" s="68"/>
      <c r="AO14" s="68"/>
      <c r="AP14" s="68"/>
      <c r="AQ14" s="68"/>
      <c r="AR14" s="68"/>
      <c r="AS14" s="61"/>
      <c r="AT14" s="46">
        <f t="shared" si="0"/>
        <v>18</v>
      </c>
      <c r="AU14" s="52" t="str">
        <f t="shared" si="1"/>
        <v>CH4D+</v>
      </c>
      <c r="AV14" s="50">
        <v>1</v>
      </c>
      <c r="AW14" s="50">
        <v>0</v>
      </c>
      <c r="AX14" s="50">
        <v>4</v>
      </c>
      <c r="AY14" s="50">
        <v>1</v>
      </c>
    </row>
    <row r="15" spans="1:51" x14ac:dyDescent="0.25">
      <c r="A15" s="56">
        <v>42592</v>
      </c>
      <c r="B15" s="55">
        <v>13</v>
      </c>
      <c r="C15" s="66" t="s">
        <v>114</v>
      </c>
      <c r="D15" s="54">
        <v>500</v>
      </c>
      <c r="E15" s="54">
        <v>1</v>
      </c>
      <c r="F15" s="58">
        <f t="shared" si="6"/>
        <v>500</v>
      </c>
      <c r="G15" s="61">
        <v>22191443</v>
      </c>
      <c r="H15" s="61">
        <v>41561668</v>
      </c>
      <c r="I15" s="61">
        <v>5573896</v>
      </c>
      <c r="J15" s="61">
        <v>4585980</v>
      </c>
      <c r="K15" s="113">
        <f t="shared" si="2"/>
        <v>0.99881399395549042</v>
      </c>
      <c r="L15" s="61">
        <v>118424</v>
      </c>
      <c r="M15" s="61">
        <v>71433</v>
      </c>
      <c r="N15" s="61">
        <v>366622</v>
      </c>
      <c r="O15" s="61">
        <v>300864</v>
      </c>
      <c r="P15" s="61">
        <v>1531991</v>
      </c>
      <c r="Q15" s="61">
        <v>386547</v>
      </c>
      <c r="R15" s="61">
        <v>1804660</v>
      </c>
      <c r="S15" s="61"/>
      <c r="T15" s="61"/>
      <c r="U15" s="61"/>
      <c r="V15" s="61" t="s">
        <v>120</v>
      </c>
      <c r="W15" s="68">
        <f t="shared" ref="W15:AF15" si="48">IF(L15/SUM($L15:$U15)=0,0,L15/SUM($L15:$U15))</f>
        <v>2.5853714659469264E-2</v>
      </c>
      <c r="X15" s="68">
        <f t="shared" si="48"/>
        <v>1.5594882787862831E-2</v>
      </c>
      <c r="Y15" s="68">
        <f t="shared" si="48"/>
        <v>8.0039017225257886E-2</v>
      </c>
      <c r="Z15" s="68">
        <f t="shared" si="48"/>
        <v>6.5683071060820108E-2</v>
      </c>
      <c r="AA15" s="68">
        <f t="shared" si="48"/>
        <v>0.33445634478547404</v>
      </c>
      <c r="AB15" s="68">
        <f t="shared" si="48"/>
        <v>8.4388940083715003E-2</v>
      </c>
      <c r="AC15" s="68">
        <f t="shared" si="48"/>
        <v>0.39398402939740085</v>
      </c>
      <c r="AD15" s="68">
        <f t="shared" si="48"/>
        <v>0</v>
      </c>
      <c r="AE15" s="68">
        <f t="shared" si="48"/>
        <v>0</v>
      </c>
      <c r="AF15" s="68">
        <f t="shared" si="48"/>
        <v>0</v>
      </c>
      <c r="AG15" s="68"/>
      <c r="AH15" s="69">
        <f t="array" ref="AH15">Y15-SUMPRODUCT(Y$46:Y$49,TRANSPOSE(AI15:AL15))</f>
        <v>1.5148782417178319E-2</v>
      </c>
      <c r="AI15" s="69">
        <f t="array" ref="AI15">Z15-SUMPRODUCT(Z$47:Z$49,TRANSPOSE(AJ15:AL15))</f>
        <v>2.8484517966013721E-2</v>
      </c>
      <c r="AJ15" s="69">
        <f t="array" ref="AJ15">AA15-SUMPRODUCT($AA$48:$AA$49,TRANSPOSE(AK15:AL15))</f>
        <v>3.8957160024499782E-4</v>
      </c>
      <c r="AK15" s="69">
        <f t="shared" si="9"/>
        <v>0.17283771073515136</v>
      </c>
      <c r="AL15" s="69">
        <f t="shared" si="10"/>
        <v>0.75914911902909321</v>
      </c>
      <c r="AM15" s="68" t="str">
        <f t="shared" si="11"/>
        <v>EF-D2O-1-9</v>
      </c>
      <c r="AN15" s="68">
        <f t="shared" si="12"/>
        <v>1.5521139175207284E-2</v>
      </c>
      <c r="AO15" s="68">
        <f t="shared" si="13"/>
        <v>2.9184666827602446E-2</v>
      </c>
      <c r="AP15" s="68">
        <f t="shared" si="14"/>
        <v>3.9914726210960348E-4</v>
      </c>
      <c r="AQ15" s="68">
        <f t="shared" si="15"/>
        <v>0.17708605808493635</v>
      </c>
      <c r="AR15" s="68">
        <f t="shared" si="16"/>
        <v>0.77780898865014425</v>
      </c>
      <c r="AS15" s="61"/>
      <c r="AT15" s="46">
        <f t="shared" si="0"/>
        <v>18</v>
      </c>
      <c r="AU15" s="53" t="str">
        <f t="shared" si="1"/>
        <v>¹³CHD2+</v>
      </c>
      <c r="AV15" s="50">
        <v>0</v>
      </c>
      <c r="AW15" s="50">
        <v>1</v>
      </c>
      <c r="AX15" s="50">
        <v>1</v>
      </c>
      <c r="AY15" s="50">
        <v>2</v>
      </c>
    </row>
    <row r="16" spans="1:51" x14ac:dyDescent="0.25">
      <c r="A16" s="56">
        <v>42592</v>
      </c>
      <c r="B16" s="55">
        <v>14</v>
      </c>
      <c r="C16" s="66" t="s">
        <v>115</v>
      </c>
      <c r="D16" s="54">
        <v>500</v>
      </c>
      <c r="E16" s="54">
        <v>1</v>
      </c>
      <c r="F16" s="58">
        <f t="shared" si="6"/>
        <v>500</v>
      </c>
      <c r="G16" s="61"/>
      <c r="H16" s="61"/>
      <c r="I16" s="61"/>
      <c r="J16" s="61"/>
      <c r="K16" s="113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9"/>
      <c r="AI16" s="69"/>
      <c r="AJ16" s="69"/>
      <c r="AK16" s="69"/>
      <c r="AL16" s="69"/>
      <c r="AM16" s="68"/>
      <c r="AN16" s="68"/>
      <c r="AO16" s="68"/>
      <c r="AP16" s="68"/>
      <c r="AQ16" s="68"/>
      <c r="AR16" s="68"/>
      <c r="AS16" s="61"/>
      <c r="AT16" s="46">
        <f t="shared" si="0"/>
        <v>18</v>
      </c>
      <c r="AU16" s="53" t="str">
        <f t="shared" si="1"/>
        <v>¹³CH3D+</v>
      </c>
      <c r="AV16" s="50">
        <v>0</v>
      </c>
      <c r="AW16" s="50">
        <v>1</v>
      </c>
      <c r="AX16" s="50">
        <v>3</v>
      </c>
      <c r="AY16" s="50">
        <v>1</v>
      </c>
    </row>
    <row r="17" spans="1:51" x14ac:dyDescent="0.25">
      <c r="A17" s="56">
        <v>42592</v>
      </c>
      <c r="B17" s="55">
        <v>15</v>
      </c>
      <c r="C17" s="45" t="s">
        <v>124</v>
      </c>
      <c r="D17" s="54">
        <v>1000</v>
      </c>
      <c r="E17" s="54">
        <v>1</v>
      </c>
      <c r="F17" s="58">
        <f t="shared" si="6"/>
        <v>1000</v>
      </c>
      <c r="G17" s="61"/>
      <c r="H17" s="61"/>
      <c r="I17" s="61"/>
      <c r="J17" s="61"/>
      <c r="K17" s="113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9"/>
      <c r="AI17" s="69"/>
      <c r="AJ17" s="69"/>
      <c r="AK17" s="69"/>
      <c r="AL17" s="69"/>
      <c r="AM17" s="68"/>
      <c r="AN17" s="68"/>
      <c r="AO17" s="68"/>
      <c r="AP17" s="68"/>
      <c r="AQ17" s="68"/>
      <c r="AR17" s="68"/>
      <c r="AS17" s="61"/>
      <c r="AT17" s="46">
        <f t="shared" si="0"/>
        <v>18</v>
      </c>
      <c r="AU17" s="53" t="str">
        <f t="shared" si="1"/>
        <v>¹³CH5+</v>
      </c>
      <c r="AV17" s="50">
        <v>0</v>
      </c>
      <c r="AW17" s="50">
        <v>1</v>
      </c>
      <c r="AX17" s="50">
        <v>5</v>
      </c>
      <c r="AY17" s="50">
        <v>0</v>
      </c>
    </row>
    <row r="18" spans="1:51" x14ac:dyDescent="0.25">
      <c r="A18" s="56">
        <v>42592</v>
      </c>
      <c r="B18" s="55">
        <v>16</v>
      </c>
      <c r="C18" s="45" t="s">
        <v>123</v>
      </c>
      <c r="D18" s="54">
        <v>1000</v>
      </c>
      <c r="E18" s="54">
        <v>1</v>
      </c>
      <c r="F18" s="58">
        <f t="shared" si="6"/>
        <v>1000</v>
      </c>
      <c r="G18" s="61">
        <v>65203860</v>
      </c>
      <c r="H18" s="61">
        <v>79007476</v>
      </c>
      <c r="I18" s="61">
        <v>319170</v>
      </c>
      <c r="J18" s="61">
        <v>156074</v>
      </c>
      <c r="K18" s="113">
        <f t="shared" si="2"/>
        <v>0.92817509642861717</v>
      </c>
      <c r="L18" s="61">
        <v>13239</v>
      </c>
      <c r="M18" s="61">
        <v>55215</v>
      </c>
      <c r="N18" s="61">
        <v>76410</v>
      </c>
      <c r="O18" s="61"/>
      <c r="P18" s="61"/>
      <c r="Q18" s="61"/>
      <c r="R18" s="61"/>
      <c r="S18" s="61"/>
      <c r="T18" s="61"/>
      <c r="U18" s="61"/>
      <c r="V18" s="61" t="s">
        <v>125</v>
      </c>
      <c r="W18" s="68">
        <f t="shared" ref="W18:AF19" si="49">IF(L18/SUM($L18:$U18)=0,0,L18/SUM($L18:$U18))</f>
        <v>9.1389165009940362E-2</v>
      </c>
      <c r="X18" s="68">
        <f t="shared" si="49"/>
        <v>0.3811505964214712</v>
      </c>
      <c r="Y18" s="68">
        <f t="shared" si="49"/>
        <v>0.52746023856858848</v>
      </c>
      <c r="Z18" s="68">
        <f t="shared" si="49"/>
        <v>0</v>
      </c>
      <c r="AA18" s="68">
        <f t="shared" si="49"/>
        <v>0</v>
      </c>
      <c r="AB18" s="68">
        <f t="shared" si="49"/>
        <v>0</v>
      </c>
      <c r="AC18" s="68">
        <f t="shared" si="49"/>
        <v>0</v>
      </c>
      <c r="AD18" s="68">
        <f t="shared" si="49"/>
        <v>0</v>
      </c>
      <c r="AE18" s="68">
        <f t="shared" si="49"/>
        <v>0</v>
      </c>
      <c r="AF18" s="68">
        <f t="shared" si="49"/>
        <v>0</v>
      </c>
      <c r="AG18" s="61"/>
      <c r="AH18" s="69">
        <f t="array" ref="AH18">Y18-SUMPRODUCT(Y$46:Y$49,TRANSPOSE(AI18:AL18))</f>
        <v>0.52746023856858848</v>
      </c>
      <c r="AI18" s="69">
        <f t="array" ref="AI18">Z18-SUMPRODUCT(Z$47:Z$49,TRANSPOSE(AJ18:AL18))</f>
        <v>0</v>
      </c>
      <c r="AJ18" s="69">
        <f t="array" ref="AJ18">AA18-SUMPRODUCT($AA$48:$AA$49,TRANSPOSE(AK18:AL18))</f>
        <v>0</v>
      </c>
      <c r="AK18" s="69">
        <f t="shared" si="9"/>
        <v>0</v>
      </c>
      <c r="AL18" s="69">
        <f t="shared" si="10"/>
        <v>0</v>
      </c>
      <c r="AM18" s="68" t="str">
        <f t="shared" si="11"/>
        <v>EF-D2O-1-2</v>
      </c>
      <c r="AN18" s="68">
        <f t="shared" si="12"/>
        <v>1</v>
      </c>
      <c r="AO18" s="68">
        <f t="shared" si="13"/>
        <v>0</v>
      </c>
      <c r="AP18" s="68">
        <f t="shared" si="14"/>
        <v>0</v>
      </c>
      <c r="AQ18" s="68">
        <f t="shared" si="15"/>
        <v>0</v>
      </c>
      <c r="AR18" s="68">
        <f t="shared" si="16"/>
        <v>0</v>
      </c>
      <c r="AS18" s="61"/>
      <c r="AT18" s="46">
        <f t="shared" si="0"/>
        <v>19</v>
      </c>
      <c r="AU18" s="48" t="str">
        <f t="shared" si="1"/>
        <v>CHD3+</v>
      </c>
      <c r="AV18" s="50">
        <v>1</v>
      </c>
      <c r="AW18" s="50">
        <v>0</v>
      </c>
      <c r="AX18" s="50">
        <v>1</v>
      </c>
      <c r="AY18" s="50">
        <v>3</v>
      </c>
    </row>
    <row r="19" spans="1:51" x14ac:dyDescent="0.25">
      <c r="A19" s="56">
        <v>42592</v>
      </c>
      <c r="B19" s="55">
        <v>17</v>
      </c>
      <c r="C19" s="45" t="s">
        <v>93</v>
      </c>
      <c r="D19" s="54">
        <v>100</v>
      </c>
      <c r="E19" s="54">
        <v>500</v>
      </c>
      <c r="F19" s="58">
        <f t="shared" si="6"/>
        <v>0.2</v>
      </c>
      <c r="G19" s="61">
        <v>297758</v>
      </c>
      <c r="H19" s="61">
        <v>669380</v>
      </c>
      <c r="J19" s="61">
        <v>9147082</v>
      </c>
      <c r="K19" s="113">
        <f t="shared" si="2"/>
        <v>0.96023879527919398</v>
      </c>
      <c r="L19" s="61">
        <v>741000</v>
      </c>
      <c r="M19" s="61">
        <v>3596009</v>
      </c>
      <c r="N19" s="61">
        <v>4387574</v>
      </c>
      <c r="O19" s="61">
        <v>58800</v>
      </c>
      <c r="P19" s="61"/>
      <c r="Q19" s="61"/>
      <c r="R19" s="61"/>
      <c r="S19" s="61"/>
      <c r="T19" s="61"/>
      <c r="U19" s="61"/>
      <c r="V19" s="61" t="s">
        <v>101</v>
      </c>
      <c r="W19" s="68">
        <f t="shared" si="49"/>
        <v>8.4363849327759019E-2</v>
      </c>
      <c r="X19" s="68">
        <f t="shared" si="49"/>
        <v>0.40941047430130278</v>
      </c>
      <c r="Y19" s="68">
        <f t="shared" si="49"/>
        <v>0.49953121707205528</v>
      </c>
      <c r="Z19" s="68">
        <f t="shared" si="49"/>
        <v>6.6944592988829018E-3</v>
      </c>
      <c r="AA19" s="68">
        <f t="shared" si="49"/>
        <v>0</v>
      </c>
      <c r="AB19" s="68">
        <f t="shared" si="49"/>
        <v>0</v>
      </c>
      <c r="AC19" s="68">
        <f t="shared" si="49"/>
        <v>0</v>
      </c>
      <c r="AD19" s="68">
        <f t="shared" si="49"/>
        <v>0</v>
      </c>
      <c r="AE19" s="68">
        <f t="shared" si="49"/>
        <v>0</v>
      </c>
      <c r="AF19" s="68">
        <f t="shared" si="49"/>
        <v>0</v>
      </c>
      <c r="AG19" s="61"/>
      <c r="AH19" s="69">
        <f t="array" ref="AH19">Y19-SUMPRODUCT(Y$46:Y$49,TRANSPOSE(AI19:AL19))</f>
        <v>0.49707482396394431</v>
      </c>
      <c r="AI19" s="69">
        <f t="array" ref="AI19">Z19-SUMPRODUCT(Z$47:Z$49,TRANSPOSE(AJ19:AL19))</f>
        <v>6.6944592988829018E-3</v>
      </c>
      <c r="AJ19" s="69">
        <f t="array" ref="AJ19">AA19-SUMPRODUCT($AA$48:$AA$49,TRANSPOSE(AK19:AL19))</f>
        <v>0</v>
      </c>
      <c r="AK19" s="69">
        <f t="shared" si="9"/>
        <v>0</v>
      </c>
      <c r="AL19" s="69">
        <f t="shared" si="10"/>
        <v>0</v>
      </c>
      <c r="AM19" s="68" t="str">
        <f t="shared" si="11"/>
        <v>CH4</v>
      </c>
      <c r="AN19" s="68">
        <f t="shared" si="12"/>
        <v>0.98671125945686078</v>
      </c>
      <c r="AO19" s="68">
        <f t="shared" si="13"/>
        <v>1.3288740543139187E-2</v>
      </c>
      <c r="AP19" s="68">
        <f t="shared" si="14"/>
        <v>0</v>
      </c>
      <c r="AQ19" s="68">
        <f t="shared" si="15"/>
        <v>0</v>
      </c>
      <c r="AR19" s="68">
        <f t="shared" si="16"/>
        <v>0</v>
      </c>
      <c r="AS19" s="61"/>
      <c r="AT19" s="46">
        <f t="shared" si="0"/>
        <v>19</v>
      </c>
      <c r="AU19" s="52" t="str">
        <f t="shared" si="1"/>
        <v>CH3D2+</v>
      </c>
      <c r="AV19" s="50">
        <v>1</v>
      </c>
      <c r="AW19" s="50">
        <v>0</v>
      </c>
      <c r="AX19" s="50">
        <v>3</v>
      </c>
      <c r="AY19" s="50">
        <v>2</v>
      </c>
    </row>
    <row r="20" spans="1:51" x14ac:dyDescent="0.25">
      <c r="A20" s="56">
        <v>42593</v>
      </c>
      <c r="B20" s="55">
        <v>18</v>
      </c>
      <c r="C20" s="45" t="s">
        <v>135</v>
      </c>
      <c r="D20" s="54">
        <v>1000</v>
      </c>
      <c r="E20" s="54">
        <v>1</v>
      </c>
      <c r="F20" s="58">
        <f t="shared" ref="F20:F25" si="50">D20/E20</f>
        <v>1000</v>
      </c>
      <c r="G20" s="61">
        <v>64071755</v>
      </c>
      <c r="H20" s="61">
        <v>79919161</v>
      </c>
      <c r="I20" s="61">
        <v>284008</v>
      </c>
      <c r="J20" s="61">
        <v>703042</v>
      </c>
      <c r="K20" s="113">
        <f t="shared" si="2"/>
        <v>0.93072960079198686</v>
      </c>
      <c r="L20" s="61">
        <v>44776</v>
      </c>
      <c r="M20" s="61">
        <v>188972</v>
      </c>
      <c r="N20" s="61">
        <v>272104</v>
      </c>
      <c r="O20" s="61">
        <v>83923</v>
      </c>
      <c r="P20" s="61">
        <v>41646</v>
      </c>
      <c r="Q20" s="61">
        <v>21399</v>
      </c>
      <c r="R20" s="61">
        <v>1522</v>
      </c>
      <c r="S20" s="61"/>
      <c r="T20" s="61"/>
      <c r="U20" s="61"/>
      <c r="V20" s="87" t="s">
        <v>130</v>
      </c>
      <c r="W20" s="88">
        <f t="shared" ref="W20" si="51">IF(L20/SUM($L20:$U20)=0,0,L20/SUM($L20:$U20))</f>
        <v>6.8429047806804394E-2</v>
      </c>
      <c r="X20" s="88">
        <f t="shared" ref="X20" si="52">IF(M20/SUM($L20:$U20)=0,0,M20/SUM($L20:$U20))</f>
        <v>0.28879698995326603</v>
      </c>
      <c r="Y20" s="88">
        <f t="shared" ref="Y20" si="53">IF(N20/SUM($L20:$U20)=0,0,N20/SUM($L20:$U20))</f>
        <v>0.41584370252864711</v>
      </c>
      <c r="Z20" s="88">
        <f t="shared" ref="Z20" si="54">IF(O20/SUM($L20:$U20)=0,0,O20/SUM($L20:$U20))</f>
        <v>0.12825556054784806</v>
      </c>
      <c r="AA20" s="88">
        <f t="shared" ref="AA20" si="55">IF(P20/SUM($L20:$U20)=0,0,P20/SUM($L20:$U20))</f>
        <v>6.3645616512465961E-2</v>
      </c>
      <c r="AB20" s="88">
        <f t="shared" ref="AB20" si="56">IF(Q20/SUM($L20:$U20)=0,0,Q20/SUM($L20:$U20))</f>
        <v>3.2703081874616027E-2</v>
      </c>
      <c r="AC20" s="88">
        <f t="shared" ref="AC20" si="57">IF(R20/SUM($L20:$U20)=0,0,R20/SUM($L20:$U20))</f>
        <v>2.3260007763524272E-3</v>
      </c>
      <c r="AD20" s="88">
        <f t="shared" ref="AD20" si="58">IF(S20/SUM($L20:$U20)=0,0,S20/SUM($L20:$U20))</f>
        <v>0</v>
      </c>
      <c r="AE20" s="88">
        <f t="shared" ref="AE20" si="59">IF(T20/SUM($L20:$U20)=0,0,T20/SUM($L20:$U20))</f>
        <v>0</v>
      </c>
      <c r="AF20" s="88">
        <f t="shared" ref="AF20" si="60">IF(U20/SUM($L20:$U20)=0,0,U20/SUM($L20:$U20))</f>
        <v>0</v>
      </c>
      <c r="AG20" s="61"/>
      <c r="AH20" s="69">
        <f t="array" ref="AH20">Y20-SUMPRODUCT(Y$46:Y$49,TRANSPOSE(AI20:AL20))</f>
        <v>0.36941301444899688</v>
      </c>
      <c r="AI20" s="69">
        <f t="array" ref="AI20">Z20-SUMPRODUCT(Z$47:Z$49,TRANSPOSE(AJ20:AL20))</f>
        <v>9.9315892305670589E-2</v>
      </c>
      <c r="AJ20" s="69">
        <f t="array" ref="AJ20">AA20-SUMPRODUCT($AA$48:$AA$49,TRANSPOSE(AK20:AL20))</f>
        <v>4.8213195171444762E-2</v>
      </c>
      <c r="AK20" s="69">
        <f t="shared" si="9"/>
        <v>6.6979461995679418E-2</v>
      </c>
      <c r="AL20" s="69">
        <f t="shared" si="10"/>
        <v>4.4818604523886342E-3</v>
      </c>
      <c r="AM20" s="68" t="str">
        <f t="shared" si="11"/>
        <v>EF-D2O-1-3</v>
      </c>
      <c r="AN20" s="68">
        <f t="shared" si="12"/>
        <v>0.62782267938345315</v>
      </c>
      <c r="AO20" s="68">
        <f t="shared" si="13"/>
        <v>0.16878877347000817</v>
      </c>
      <c r="AP20" s="68">
        <f t="shared" si="14"/>
        <v>8.1939011865411582E-2</v>
      </c>
      <c r="AQ20" s="68">
        <f t="shared" si="15"/>
        <v>0.11383254960984987</v>
      </c>
      <c r="AR20" s="68">
        <f t="shared" si="16"/>
        <v>7.6169856712773112E-3</v>
      </c>
      <c r="AT20" s="46">
        <f t="shared" si="0"/>
        <v>19</v>
      </c>
      <c r="AU20" s="53" t="str">
        <f t="shared" si="1"/>
        <v>¹³CD3+</v>
      </c>
      <c r="AV20" s="50">
        <v>0</v>
      </c>
      <c r="AW20" s="50">
        <v>1</v>
      </c>
      <c r="AX20" s="50">
        <v>0</v>
      </c>
      <c r="AY20" s="50">
        <v>3</v>
      </c>
    </row>
    <row r="21" spans="1:51" x14ac:dyDescent="0.25">
      <c r="A21" s="56">
        <v>42593</v>
      </c>
      <c r="B21" s="55">
        <v>19</v>
      </c>
      <c r="C21" s="45" t="s">
        <v>134</v>
      </c>
      <c r="D21" s="54">
        <v>500</v>
      </c>
      <c r="E21" s="54">
        <v>1</v>
      </c>
      <c r="F21" s="58">
        <f t="shared" si="50"/>
        <v>500</v>
      </c>
      <c r="G21" s="61">
        <v>29861636</v>
      </c>
      <c r="H21" s="61">
        <v>43020734</v>
      </c>
      <c r="I21" s="61">
        <v>742433</v>
      </c>
      <c r="J21" s="61">
        <v>488476</v>
      </c>
      <c r="K21" s="113">
        <f t="shared" si="2"/>
        <v>1.0070341224543273</v>
      </c>
      <c r="L21" s="61">
        <v>25920</v>
      </c>
      <c r="M21" s="61">
        <v>93261</v>
      </c>
      <c r="N21" s="61">
        <v>151423</v>
      </c>
      <c r="O21" s="61">
        <v>72234</v>
      </c>
      <c r="P21" s="61">
        <v>63827</v>
      </c>
      <c r="Q21" s="61">
        <v>30265</v>
      </c>
      <c r="R21" s="61">
        <v>54982</v>
      </c>
      <c r="S21" s="61"/>
      <c r="T21" s="61"/>
      <c r="U21" s="61"/>
      <c r="V21" s="87" t="s">
        <v>131</v>
      </c>
      <c r="W21" s="88">
        <f t="shared" ref="W21:W23" si="61">IF(L21/SUM($L21:$U21)=0,0,L21/SUM($L21:$U21))</f>
        <v>5.2692351477500038E-2</v>
      </c>
      <c r="X21" s="88">
        <f t="shared" ref="X21:X23" si="62">IF(M21/SUM($L21:$U21)=0,0,M21/SUM($L21:$U21))</f>
        <v>0.18958878823854672</v>
      </c>
      <c r="Y21" s="88">
        <f t="shared" ref="Y21:Y23" si="63">IF(N21/SUM($L21:$U21)=0,0,N21/SUM($L21:$U21))</f>
        <v>0.30782538340190929</v>
      </c>
      <c r="Z21" s="88">
        <f t="shared" ref="Z21:Z23" si="64">IF(O21/SUM($L21:$U21)=0,0,O21/SUM($L21:$U21))</f>
        <v>0.14684333783278311</v>
      </c>
      <c r="AA21" s="88">
        <f t="shared" ref="AA21:AA23" si="65">IF(P21/SUM($L21:$U21)=0,0,P21/SUM($L21:$U21))</f>
        <v>0.1297528826294134</v>
      </c>
      <c r="AB21" s="88">
        <f t="shared" ref="AB21:AB23" si="66">IF(Q21/SUM($L21:$U21)=0,0,Q21/SUM($L21:$U21))</f>
        <v>6.1525232155344861E-2</v>
      </c>
      <c r="AC21" s="88">
        <f t="shared" ref="AC21:AC23" si="67">IF(R21/SUM($L21:$U21)=0,0,R21/SUM($L21:$U21))</f>
        <v>0.1117720242645026</v>
      </c>
      <c r="AD21" s="88">
        <f t="shared" ref="AD21:AD23" si="68">IF(S21/SUM($L21:$U21)=0,0,S21/SUM($L21:$U21))</f>
        <v>0</v>
      </c>
      <c r="AE21" s="88">
        <f t="shared" ref="AE21:AE23" si="69">IF(T21/SUM($L21:$U21)=0,0,T21/SUM($L21:$U21))</f>
        <v>0</v>
      </c>
      <c r="AF21" s="88">
        <f t="shared" ref="AF21:AF23" si="70">IF(U21/SUM($L21:$U21)=0,0,U21/SUM($L21:$U21))</f>
        <v>0</v>
      </c>
      <c r="AG21" s="61"/>
      <c r="AH21" s="69">
        <f t="array" ref="AH21">Y21-SUMPRODUCT(Y$46:Y$49,TRANSPOSE(AI21:AL21))</f>
        <v>0.24446363041090274</v>
      </c>
      <c r="AI21" s="69">
        <f t="array" ref="AI21">Z21-SUMPRODUCT(Z$47:Z$49,TRANSPOSE(AJ21:AL21))</f>
        <v>0.11398540917522873</v>
      </c>
      <c r="AJ21" s="69">
        <f t="array" ref="AJ21">AA21-SUMPRODUCT($AA$48:$AA$49,TRANSPOSE(AK21:AL21))</f>
        <v>1.9270654567052736E-2</v>
      </c>
      <c r="AK21" s="69">
        <f t="shared" si="9"/>
        <v>0.12601035476484918</v>
      </c>
      <c r="AL21" s="69">
        <f t="shared" si="10"/>
        <v>0.21536820637698506</v>
      </c>
      <c r="AM21" s="68" t="str">
        <f t="shared" si="11"/>
        <v>EF-D2O-1-4</v>
      </c>
      <c r="AN21" s="68">
        <f t="shared" si="12"/>
        <v>0.33995859204332052</v>
      </c>
      <c r="AO21" s="68">
        <f t="shared" si="13"/>
        <v>0.15851159189430222</v>
      </c>
      <c r="AP21" s="68">
        <f t="shared" si="14"/>
        <v>2.6798360898743559E-2</v>
      </c>
      <c r="AQ21" s="68">
        <f t="shared" si="15"/>
        <v>0.17523384855544108</v>
      </c>
      <c r="AR21" s="68">
        <f t="shared" si="16"/>
        <v>0.29949760660819258</v>
      </c>
      <c r="AT21" s="46">
        <f t="shared" si="0"/>
        <v>19</v>
      </c>
      <c r="AU21" s="53" t="str">
        <f t="shared" si="1"/>
        <v>¹³CH2D2+</v>
      </c>
      <c r="AV21" s="50">
        <v>0</v>
      </c>
      <c r="AW21" s="50">
        <v>1</v>
      </c>
      <c r="AX21" s="50">
        <v>2</v>
      </c>
      <c r="AY21" s="50">
        <v>2</v>
      </c>
    </row>
    <row r="22" spans="1:51" x14ac:dyDescent="0.25">
      <c r="A22" s="56">
        <v>42593</v>
      </c>
      <c r="B22" s="55">
        <v>20</v>
      </c>
      <c r="C22" s="45" t="s">
        <v>132</v>
      </c>
      <c r="D22" s="54">
        <v>500</v>
      </c>
      <c r="E22" s="54">
        <v>1</v>
      </c>
      <c r="F22" s="58">
        <f t="shared" si="50"/>
        <v>500</v>
      </c>
      <c r="G22" s="61">
        <v>35077901</v>
      </c>
      <c r="H22" s="61">
        <v>56561065</v>
      </c>
      <c r="I22" s="61">
        <v>812862</v>
      </c>
      <c r="J22" s="61">
        <v>503076</v>
      </c>
      <c r="K22" s="113">
        <f t="shared" si="2"/>
        <v>0.99415595257972955</v>
      </c>
      <c r="L22" s="61">
        <v>26075</v>
      </c>
      <c r="M22" s="61">
        <v>82863</v>
      </c>
      <c r="N22" s="61">
        <v>142320</v>
      </c>
      <c r="O22" s="61">
        <v>70785</v>
      </c>
      <c r="P22" s="61">
        <v>58077</v>
      </c>
      <c r="Q22" s="61">
        <v>40174</v>
      </c>
      <c r="R22" s="61">
        <v>79842</v>
      </c>
      <c r="S22" s="61"/>
      <c r="T22" s="61"/>
      <c r="U22" s="61"/>
      <c r="V22" s="87" t="s">
        <v>136</v>
      </c>
      <c r="W22" s="88">
        <f t="shared" si="61"/>
        <v>5.213581905721644E-2</v>
      </c>
      <c r="X22" s="88">
        <f t="shared" si="62"/>
        <v>0.16568093478573828</v>
      </c>
      <c r="Y22" s="88">
        <f t="shared" si="63"/>
        <v>0.28456259897307934</v>
      </c>
      <c r="Z22" s="88">
        <f t="shared" si="64"/>
        <v>0.14153150343106674</v>
      </c>
      <c r="AA22" s="88">
        <f t="shared" si="65"/>
        <v>0.11612241470320073</v>
      </c>
      <c r="AB22" s="88">
        <f t="shared" si="66"/>
        <v>8.0326151286849973E-2</v>
      </c>
      <c r="AC22" s="88">
        <f t="shared" si="67"/>
        <v>0.15964057776284851</v>
      </c>
      <c r="AD22" s="88">
        <f t="shared" si="68"/>
        <v>0</v>
      </c>
      <c r="AE22" s="88">
        <f t="shared" si="69"/>
        <v>0</v>
      </c>
      <c r="AF22" s="88">
        <f t="shared" si="70"/>
        <v>0</v>
      </c>
      <c r="AG22" s="61"/>
      <c r="AH22" s="69">
        <f t="array" ref="AH22">Y22-SUMPRODUCT(Y$46:Y$49,TRANSPOSE(AI22:AL22))</f>
        <v>0.22047137174244896</v>
      </c>
      <c r="AI22" s="69">
        <f t="array" ref="AI22">Z22-SUMPRODUCT(Z$47:Z$49,TRANSPOSE(AJ22:AL22))</f>
        <v>0.11787677514487124</v>
      </c>
      <c r="AJ22" s="69">
        <f t="array" ref="AJ22">AA22-SUMPRODUCT($AA$48:$AA$49,TRANSPOSE(AK22:AL22))</f>
        <v>-3.8521074204425715E-2</v>
      </c>
      <c r="AK22" s="69">
        <f t="shared" si="9"/>
        <v>0.16451667821413643</v>
      </c>
      <c r="AL22" s="69">
        <f t="shared" si="10"/>
        <v>0.30760384921014111</v>
      </c>
      <c r="AM22" s="68" t="str">
        <f t="shared" si="11"/>
        <v>EF-D2O-1-5</v>
      </c>
      <c r="AN22" s="68">
        <f t="shared" si="12"/>
        <v>0.28560406394402965</v>
      </c>
      <c r="AO22" s="68">
        <f t="shared" si="13"/>
        <v>0.15270048786796675</v>
      </c>
      <c r="AP22" s="68">
        <f t="shared" si="14"/>
        <v>-4.990115157956021E-2</v>
      </c>
      <c r="AQ22" s="68">
        <f t="shared" si="15"/>
        <v>0.21311897101732821</v>
      </c>
      <c r="AR22" s="68">
        <f t="shared" si="16"/>
        <v>0.39847762875023579</v>
      </c>
      <c r="AT22" s="46">
        <f t="shared" si="0"/>
        <v>19</v>
      </c>
      <c r="AU22" s="53" t="str">
        <f t="shared" si="1"/>
        <v>¹³CH4D+</v>
      </c>
      <c r="AV22" s="50">
        <v>0</v>
      </c>
      <c r="AW22" s="50">
        <v>1</v>
      </c>
      <c r="AX22" s="50">
        <v>4</v>
      </c>
      <c r="AY22" s="50">
        <v>1</v>
      </c>
    </row>
    <row r="23" spans="1:51" x14ac:dyDescent="0.25">
      <c r="A23" s="56">
        <v>42593</v>
      </c>
      <c r="B23" s="55">
        <v>21</v>
      </c>
      <c r="C23" s="45" t="s">
        <v>138</v>
      </c>
      <c r="D23" s="54">
        <v>500</v>
      </c>
      <c r="E23" s="54">
        <v>1</v>
      </c>
      <c r="F23" s="58">
        <f t="shared" si="50"/>
        <v>500</v>
      </c>
      <c r="G23" s="61">
        <v>27810788</v>
      </c>
      <c r="H23" s="61">
        <v>47977516</v>
      </c>
      <c r="I23" s="61">
        <v>642987</v>
      </c>
      <c r="J23" s="61">
        <v>700801</v>
      </c>
      <c r="K23" s="113">
        <f t="shared" si="2"/>
        <v>0.97548804867572958</v>
      </c>
      <c r="L23" s="61">
        <v>43807</v>
      </c>
      <c r="M23" s="61">
        <v>186444</v>
      </c>
      <c r="N23" s="61">
        <v>252759</v>
      </c>
      <c r="O23" s="61">
        <v>44361</v>
      </c>
      <c r="P23" s="61">
        <v>55947</v>
      </c>
      <c r="Q23" s="61">
        <v>31889</v>
      </c>
      <c r="R23" s="61">
        <v>68416</v>
      </c>
      <c r="S23" s="61"/>
      <c r="T23" s="61"/>
      <c r="U23" s="61"/>
      <c r="V23" s="87" t="s">
        <v>140</v>
      </c>
      <c r="W23" s="88">
        <f t="shared" si="61"/>
        <v>6.4080640938060887E-2</v>
      </c>
      <c r="X23" s="88">
        <f t="shared" si="62"/>
        <v>0.27272926744711634</v>
      </c>
      <c r="Y23" s="88">
        <f t="shared" si="63"/>
        <v>0.36973448816087229</v>
      </c>
      <c r="Z23" s="88">
        <f t="shared" si="64"/>
        <v>6.4891029119851146E-2</v>
      </c>
      <c r="AA23" s="88">
        <f t="shared" si="65"/>
        <v>8.1838966798952056E-2</v>
      </c>
      <c r="AB23" s="88">
        <f t="shared" si="66"/>
        <v>4.6647055467706616E-2</v>
      </c>
      <c r="AC23" s="88">
        <f t="shared" si="67"/>
        <v>0.10007855206744068</v>
      </c>
      <c r="AD23" s="88">
        <f t="shared" si="68"/>
        <v>0</v>
      </c>
      <c r="AE23" s="88">
        <f t="shared" si="69"/>
        <v>0</v>
      </c>
      <c r="AF23" s="88">
        <f t="shared" si="70"/>
        <v>0</v>
      </c>
      <c r="AG23" s="61"/>
      <c r="AH23" s="69">
        <f t="array" ref="AH23">Y23-SUMPRODUCT(Y$46:Y$49,TRANSPOSE(AI23:AL23))</f>
        <v>0.33773349678365416</v>
      </c>
      <c r="AI23" s="69">
        <f t="array" ref="AI23">Z23-SUMPRODUCT(Z$47:Z$49,TRANSPOSE(AJ23:AL23))</f>
        <v>4.849086867692412E-2</v>
      </c>
      <c r="AJ23" s="69">
        <f t="array" ref="AJ23">AA23-SUMPRODUCT($AA$48:$AA$49,TRANSPOSE(AK23:AL23))</f>
        <v>-1.35565777219053E-2</v>
      </c>
      <c r="AK23" s="69">
        <f t="shared" si="9"/>
        <v>9.5538233701905173E-2</v>
      </c>
      <c r="AL23" s="69">
        <f t="shared" si="10"/>
        <v>0.19283661003190411</v>
      </c>
      <c r="AM23" s="68" t="str">
        <f t="shared" si="11"/>
        <v>EF-D2O-1-6(1)</v>
      </c>
      <c r="AN23" s="68">
        <f t="shared" si="12"/>
        <v>0.51091031153519983</v>
      </c>
      <c r="AO23" s="68">
        <f t="shared" si="13"/>
        <v>7.3355130771082036E-2</v>
      </c>
      <c r="AP23" s="68">
        <f t="shared" si="14"/>
        <v>-2.0507872074313607E-2</v>
      </c>
      <c r="AQ23" s="68">
        <f t="shared" si="15"/>
        <v>0.14452658444901254</v>
      </c>
      <c r="AR23" s="68">
        <f t="shared" si="16"/>
        <v>0.29171584531901934</v>
      </c>
      <c r="AT23" s="46">
        <f t="shared" si="0"/>
        <v>20</v>
      </c>
      <c r="AU23" s="48" t="str">
        <f t="shared" si="1"/>
        <v>CD4+</v>
      </c>
      <c r="AV23" s="50">
        <v>1</v>
      </c>
      <c r="AW23" s="50">
        <v>0</v>
      </c>
      <c r="AX23" s="50">
        <v>0</v>
      </c>
      <c r="AY23" s="50">
        <v>4</v>
      </c>
    </row>
    <row r="24" spans="1:51" x14ac:dyDescent="0.25">
      <c r="A24" s="56">
        <v>42593</v>
      </c>
      <c r="B24" s="55">
        <v>22</v>
      </c>
      <c r="C24" s="45" t="s">
        <v>137</v>
      </c>
      <c r="D24" s="54">
        <v>500</v>
      </c>
      <c r="E24" s="54">
        <v>1</v>
      </c>
      <c r="F24" s="58">
        <f t="shared" si="50"/>
        <v>500</v>
      </c>
      <c r="G24" s="61">
        <v>29758052</v>
      </c>
      <c r="H24" s="61">
        <v>51711127</v>
      </c>
      <c r="I24" s="61">
        <v>431759</v>
      </c>
      <c r="J24" s="61">
        <v>552149</v>
      </c>
      <c r="K24" s="113">
        <f t="shared" si="2"/>
        <v>1.0799693560977199</v>
      </c>
      <c r="L24" s="61">
        <v>34899</v>
      </c>
      <c r="M24" s="61">
        <v>139475</v>
      </c>
      <c r="N24" s="61">
        <v>202302</v>
      </c>
      <c r="O24" s="61">
        <v>50560</v>
      </c>
      <c r="P24" s="61">
        <v>68424</v>
      </c>
      <c r="Q24" s="61">
        <v>31386</v>
      </c>
      <c r="R24" s="61">
        <v>69258</v>
      </c>
      <c r="S24" s="61"/>
      <c r="T24" s="61"/>
      <c r="V24" s="87" t="s">
        <v>141</v>
      </c>
      <c r="W24" s="88">
        <f t="shared" ref="W24" si="71">IF(L24/SUM($L24:$U24)=0,0,L24/SUM($L24:$U24))</f>
        <v>5.8525517185864927E-2</v>
      </c>
      <c r="X24" s="88">
        <f t="shared" ref="X24" si="72">IF(M24/SUM($L24:$U24)=0,0,M24/SUM($L24:$U24))</f>
        <v>0.23389915211033299</v>
      </c>
      <c r="Y24" s="88">
        <f t="shared" ref="Y24" si="73">IF(N24/SUM($L24:$U24)=0,0,N24/SUM($L24:$U24))</f>
        <v>0.33925984061820819</v>
      </c>
      <c r="Z24" s="88">
        <f t="shared" ref="Z24" si="74">IF(O24/SUM($L24:$U24)=0,0,O24/SUM($L24:$U24))</f>
        <v>8.4788966701548202E-2</v>
      </c>
      <c r="AA24" s="88">
        <f t="shared" ref="AA24" si="75">IF(P24/SUM($L24:$U24)=0,0,P24/SUM($L24:$U24))</f>
        <v>0.11474684053771231</v>
      </c>
      <c r="AB24" s="88">
        <f t="shared" ref="AB24" si="76">IF(Q24/SUM($L24:$U24)=0,0,Q24/SUM($L24:$U24))</f>
        <v>5.2634226837317881E-2</v>
      </c>
      <c r="AC24" s="88">
        <f t="shared" ref="AC24" si="77">IF(R24/SUM($L24:$U24)=0,0,R24/SUM($L24:$U24))</f>
        <v>0.11614545600901553</v>
      </c>
      <c r="AD24" s="88">
        <f t="shared" ref="AD24" si="78">IF(S24/SUM($L24:$U24)=0,0,S24/SUM($L24:$U24))</f>
        <v>0</v>
      </c>
      <c r="AE24" s="88">
        <f t="shared" ref="AE24" si="79">IF(T24/SUM($L24:$U24)=0,0,T24/SUM($L24:$U24))</f>
        <v>0</v>
      </c>
      <c r="AF24" s="88">
        <f t="shared" ref="AF24" si="80">IF(U24/SUM($L24:$U24)=0,0,U24/SUM($L24:$U24))</f>
        <v>0</v>
      </c>
      <c r="AH24" s="69">
        <f t="array" ref="AH24">Y24-SUMPRODUCT(Y$46:Y$49,TRANSPOSE(AI24:AL24))</f>
        <v>0.29794619273173029</v>
      </c>
      <c r="AI24" s="69">
        <f t="array" ref="AI24">Z24-SUMPRODUCT(Z$47:Z$49,TRANSPOSE(AJ24:AL24))</f>
        <v>6.025188961922686E-2</v>
      </c>
      <c r="AJ24" s="69">
        <f t="array" ref="AJ24">AA24-SUMPRODUCT($AA$48:$AA$49,TRANSPOSE(AK24:AL24))</f>
        <v>4.663850799346711E-3</v>
      </c>
      <c r="AK24" s="69">
        <f t="shared" si="9"/>
        <v>0.10780061064698952</v>
      </c>
      <c r="AL24" s="69">
        <f t="shared" si="10"/>
        <v>0.22379516434545638</v>
      </c>
      <c r="AM24" s="68" t="str">
        <f t="shared" si="11"/>
        <v>EF-D2O-1-6(2)</v>
      </c>
      <c r="AN24" s="68">
        <f t="shared" si="12"/>
        <v>0.42903432309586481</v>
      </c>
      <c r="AO24" s="68">
        <f t="shared" si="13"/>
        <v>8.6761063939176181E-2</v>
      </c>
      <c r="AP24" s="68">
        <f t="shared" si="14"/>
        <v>6.7158168807999316E-3</v>
      </c>
      <c r="AQ24" s="68">
        <f t="shared" si="15"/>
        <v>0.15522991448289963</v>
      </c>
      <c r="AR24" s="68">
        <f t="shared" si="16"/>
        <v>0.32225888160125943</v>
      </c>
      <c r="AT24" s="46">
        <f t="shared" si="0"/>
        <v>20</v>
      </c>
      <c r="AU24" s="52" t="str">
        <f t="shared" si="1"/>
        <v>CH2D3+</v>
      </c>
      <c r="AV24" s="50">
        <v>1</v>
      </c>
      <c r="AW24" s="50">
        <v>0</v>
      </c>
      <c r="AX24" s="50">
        <v>2</v>
      </c>
      <c r="AY24" s="50">
        <v>3</v>
      </c>
    </row>
    <row r="25" spans="1:51" x14ac:dyDescent="0.25">
      <c r="A25" s="56">
        <v>42593</v>
      </c>
      <c r="B25" s="55">
        <v>23</v>
      </c>
      <c r="C25" s="45" t="s">
        <v>139</v>
      </c>
      <c r="D25" s="54">
        <v>500</v>
      </c>
      <c r="E25" s="54">
        <v>1</v>
      </c>
      <c r="F25" s="58">
        <f t="shared" si="50"/>
        <v>500</v>
      </c>
      <c r="G25" s="61">
        <v>21944579</v>
      </c>
      <c r="H25" s="61">
        <v>38868626</v>
      </c>
      <c r="I25" s="61">
        <v>1295206</v>
      </c>
      <c r="J25" s="61">
        <v>887947</v>
      </c>
      <c r="K25" s="113">
        <f t="shared" si="2"/>
        <v>1.0317575260685603</v>
      </c>
      <c r="L25" s="61">
        <v>27358</v>
      </c>
      <c r="M25" s="61">
        <v>33883</v>
      </c>
      <c r="N25" s="61">
        <v>105573</v>
      </c>
      <c r="O25" s="61">
        <v>104896</v>
      </c>
      <c r="P25" s="61">
        <v>268410</v>
      </c>
      <c r="Q25" s="61">
        <v>96938</v>
      </c>
      <c r="R25" s="61">
        <v>277094</v>
      </c>
      <c r="S25" s="61">
        <v>1994</v>
      </c>
      <c r="T25" s="61"/>
      <c r="V25" s="57" t="s">
        <v>143</v>
      </c>
      <c r="W25" s="68">
        <f t="shared" ref="W25" si="81">IF(L25/SUM($L25:$U25)=0,0,L25/SUM($L25:$U25))</f>
        <v>2.9862052554942117E-2</v>
      </c>
      <c r="X25" s="68">
        <f t="shared" ref="X25" si="82">IF(M25/SUM($L25:$U25)=0,0,M25/SUM($L25:$U25))</f>
        <v>3.6984279798198107E-2</v>
      </c>
      <c r="Y25" s="68">
        <f t="shared" ref="Y25" si="83">IF(N25/SUM($L25:$U25)=0,0,N25/SUM($L25:$U25))</f>
        <v>0.11523599950226274</v>
      </c>
      <c r="Z25" s="68">
        <f t="shared" ref="Z25" si="84">IF(O25/SUM($L25:$U25)=0,0,O25/SUM($L25:$U25))</f>
        <v>0.1144970343154912</v>
      </c>
      <c r="AA25" s="68">
        <f t="shared" ref="AA25" si="85">IF(P25/SUM($L25:$U25)=0,0,P25/SUM($L25:$U25))</f>
        <v>0.29297732020878769</v>
      </c>
      <c r="AB25" s="68">
        <f t="shared" ref="AB25" si="86">IF(Q25/SUM($L25:$U25)=0,0,Q25/SUM($L25:$U25))</f>
        <v>0.10581064590141746</v>
      </c>
      <c r="AC25" s="68">
        <f t="shared" ref="AC25" si="87">IF(R25/SUM($L25:$U25)=0,0,R25/SUM($L25:$U25))</f>
        <v>0.30245615873452486</v>
      </c>
      <c r="AD25" s="68">
        <f t="shared" ref="AD25" si="88">IF(S25/SUM($L25:$U25)=0,0,S25/SUM($L25:$U25))</f>
        <v>2.1765089843758527E-3</v>
      </c>
      <c r="AE25" s="68">
        <f t="shared" ref="AE25" si="89">IF(T25/SUM($L25:$U25)=0,0,T25/SUM($L25:$U25))</f>
        <v>0</v>
      </c>
      <c r="AF25" s="68">
        <f t="shared" ref="AF25" si="90">IF(U25/SUM($L25:$U25)=0,0,U25/SUM($L25:$U25))</f>
        <v>0</v>
      </c>
      <c r="AH25" s="69">
        <f t="array" ref="AH25">Y25-SUMPRODUCT(Y$46:Y$49,TRANSPOSE(AI25:AL25))</f>
        <v>4.4246387862148323E-2</v>
      </c>
      <c r="AI25" s="69">
        <f t="array" ref="AI25">Z25-SUMPRODUCT(Z$47:Z$49,TRANSPOSE(AJ25:AL25))</f>
        <v>6.2149400265369387E-2</v>
      </c>
      <c r="AJ25" s="69">
        <f t="array" ref="AJ25">AA25-SUMPRODUCT($AA$48:$AA$49,TRANSPOSE(AK25:AL25))</f>
        <v>1.9371660337035024E-2</v>
      </c>
      <c r="AK25" s="69">
        <f t="shared" si="9"/>
        <v>0.21671168983597497</v>
      </c>
      <c r="AL25" s="69">
        <f t="shared" si="10"/>
        <v>0.58278841099073464</v>
      </c>
      <c r="AM25" s="68" t="str">
        <f t="shared" si="11"/>
        <v>EF-D2O-1-7</v>
      </c>
      <c r="AN25" s="68">
        <f t="shared" si="12"/>
        <v>4.7820101219415108E-2</v>
      </c>
      <c r="AO25" s="68">
        <f t="shared" si="13"/>
        <v>6.7169112666897984E-2</v>
      </c>
      <c r="AP25" s="68">
        <f t="shared" si="14"/>
        <v>2.0936279838056952E-2</v>
      </c>
      <c r="AQ25" s="68">
        <f t="shared" si="15"/>
        <v>0.23421516295688968</v>
      </c>
      <c r="AR25" s="68">
        <f t="shared" si="16"/>
        <v>0.62985934331874027</v>
      </c>
      <c r="AT25" s="46">
        <f t="shared" si="0"/>
        <v>20</v>
      </c>
      <c r="AU25" s="53" t="str">
        <f t="shared" si="1"/>
        <v>¹³CHD3+</v>
      </c>
      <c r="AV25" s="50">
        <v>0</v>
      </c>
      <c r="AW25" s="50">
        <v>1</v>
      </c>
      <c r="AX25" s="50">
        <v>1</v>
      </c>
      <c r="AY25" s="50">
        <v>3</v>
      </c>
    </row>
    <row r="26" spans="1:51" x14ac:dyDescent="0.25">
      <c r="A26" s="56">
        <v>42593</v>
      </c>
      <c r="B26" s="55">
        <v>24</v>
      </c>
      <c r="C26" s="45" t="s">
        <v>147</v>
      </c>
      <c r="D26" s="54">
        <v>100</v>
      </c>
      <c r="E26" s="54">
        <v>50</v>
      </c>
      <c r="F26" s="58">
        <f t="shared" ref="F26:F32" si="91">D26/E26</f>
        <v>2</v>
      </c>
      <c r="G26" s="61">
        <v>3113226</v>
      </c>
      <c r="H26" s="61">
        <v>7248988</v>
      </c>
      <c r="I26" s="61">
        <v>35436245</v>
      </c>
      <c r="J26" s="61"/>
      <c r="K26" s="113" t="e">
        <f t="shared" si="2"/>
        <v>#DIV/0!</v>
      </c>
      <c r="L26" s="61"/>
      <c r="M26" s="61"/>
      <c r="N26" s="61"/>
      <c r="O26" s="61"/>
      <c r="P26" s="61"/>
      <c r="Q26" s="61"/>
      <c r="R26" s="61"/>
      <c r="S26" s="61"/>
      <c r="T26" s="61"/>
      <c r="AH26" s="69"/>
      <c r="AI26" s="69"/>
      <c r="AJ26" s="69"/>
      <c r="AK26" s="69"/>
      <c r="AL26" s="69"/>
      <c r="AM26" s="68"/>
      <c r="AN26" s="68"/>
      <c r="AO26" s="68"/>
      <c r="AP26" s="68"/>
      <c r="AQ26" s="68"/>
      <c r="AR26" s="68"/>
      <c r="AT26" s="46">
        <f t="shared" si="0"/>
        <v>20</v>
      </c>
      <c r="AU26" s="53" t="str">
        <f t="shared" si="1"/>
        <v>¹³CH3D2+</v>
      </c>
      <c r="AV26" s="50">
        <v>0</v>
      </c>
      <c r="AW26" s="50">
        <v>1</v>
      </c>
      <c r="AX26" s="50">
        <v>3</v>
      </c>
      <c r="AY26" s="50">
        <v>2</v>
      </c>
    </row>
    <row r="27" spans="1:51" x14ac:dyDescent="0.25">
      <c r="A27" s="56">
        <v>42593</v>
      </c>
      <c r="B27" s="55">
        <v>25</v>
      </c>
      <c r="C27" s="45" t="s">
        <v>142</v>
      </c>
      <c r="D27" s="54">
        <v>500</v>
      </c>
      <c r="E27" s="54">
        <v>1</v>
      </c>
      <c r="F27" s="58">
        <f t="shared" si="91"/>
        <v>500</v>
      </c>
      <c r="G27" s="61">
        <v>29242067</v>
      </c>
      <c r="H27" s="61">
        <v>49906178</v>
      </c>
      <c r="I27" s="61">
        <v>2461395</v>
      </c>
      <c r="J27" s="61">
        <v>2083373</v>
      </c>
      <c r="K27" s="113">
        <f t="shared" si="2"/>
        <v>0.99461978243934235</v>
      </c>
      <c r="L27" s="61">
        <v>52229</v>
      </c>
      <c r="M27" s="61">
        <v>60482</v>
      </c>
      <c r="N27" s="61">
        <v>207508</v>
      </c>
      <c r="O27" s="61">
        <v>211322</v>
      </c>
      <c r="P27" s="61">
        <v>625870</v>
      </c>
      <c r="Q27" s="61">
        <v>218454</v>
      </c>
      <c r="R27" s="61">
        <v>688606</v>
      </c>
      <c r="S27" s="61">
        <v>7693</v>
      </c>
      <c r="T27" s="61"/>
      <c r="V27" s="57" t="s">
        <v>145</v>
      </c>
      <c r="W27" s="68">
        <f t="shared" ref="W27:W28" si="92">IF(L27/SUM($L27:$U27)=0,0,L27/SUM($L27:$U27))</f>
        <v>2.520505133763544E-2</v>
      </c>
      <c r="X27" s="68">
        <f t="shared" ref="X27:X28" si="93">IF(M27/SUM($L27:$U27)=0,0,M27/SUM($L27:$U27))</f>
        <v>2.9187844205381428E-2</v>
      </c>
      <c r="Y27" s="68">
        <f t="shared" ref="Y27:Y28" si="94">IF(N27/SUM($L27:$U27)=0,0,N27/SUM($L27:$U27))</f>
        <v>0.10014072245246998</v>
      </c>
      <c r="Z27" s="68">
        <f t="shared" ref="Z27:Z28" si="95">IF(O27/SUM($L27:$U27)=0,0,O27/SUM($L27:$U27))</f>
        <v>0.10198131035960474</v>
      </c>
      <c r="AA27" s="68">
        <f t="shared" ref="AA27:AA28" si="96">IF(P27/SUM($L27:$U27)=0,0,P27/SUM($L27:$U27))</f>
        <v>0.3020369044149015</v>
      </c>
      <c r="AB27" s="68">
        <f t="shared" ref="AB27:AB28" si="97">IF(Q27/SUM($L27:$U27)=0,0,Q27/SUM($L27:$U27))</f>
        <v>0.10542312288023535</v>
      </c>
      <c r="AC27" s="68">
        <f t="shared" ref="AC27:AC28" si="98">IF(R27/SUM($L27:$U27)=0,0,R27/SUM($L27:$U27))</f>
        <v>0.33231250036194049</v>
      </c>
      <c r="AD27" s="68">
        <f t="shared" ref="AD27:AD28" si="99">IF(S27/SUM($L27:$U27)=0,0,S27/SUM($L27:$U27))</f>
        <v>3.7125439878310791E-3</v>
      </c>
      <c r="AE27" s="68">
        <f t="shared" ref="AE27:AE28" si="100">IF(T27/SUM($L27:$U27)=0,0,T27/SUM($L27:$U27))</f>
        <v>0</v>
      </c>
      <c r="AF27" s="68">
        <f t="shared" ref="AF27:AF28" si="101">IF(U27/SUM($L27:$U27)=0,0,U27/SUM($L27:$U27))</f>
        <v>0</v>
      </c>
      <c r="AH27" s="69">
        <f t="array" ref="AH27">Y27-SUMPRODUCT(Y$46:Y$49,TRANSPOSE(AI27:AL27))</f>
        <v>3.0564579693273738E-2</v>
      </c>
      <c r="AI27" s="69">
        <f t="array" ref="AI27">Z27-SUMPRODUCT(Z$47:Z$49,TRANSPOSE(AJ27:AL27))</f>
        <v>5.3859838340624466E-2</v>
      </c>
      <c r="AJ27" s="69">
        <f t="array" ref="AJ27">AA27-SUMPRODUCT($AA$48:$AA$49,TRANSPOSE(AK27:AL27))</f>
        <v>5.9502701139203529E-3</v>
      </c>
      <c r="AK27" s="69">
        <f t="shared" si="9"/>
        <v>0.21591800061826655</v>
      </c>
      <c r="AL27" s="69">
        <f t="shared" si="10"/>
        <v>0.64031717802870569</v>
      </c>
      <c r="AM27" s="68" t="str">
        <f t="shared" si="11"/>
        <v>EF-D2O-1-8</v>
      </c>
      <c r="AN27" s="68">
        <f t="shared" si="12"/>
        <v>3.2288465148546386E-2</v>
      </c>
      <c r="AO27" s="68">
        <f t="shared" si="13"/>
        <v>5.6897609279093195E-2</v>
      </c>
      <c r="AP27" s="68">
        <f t="shared" si="14"/>
        <v>6.2858737507859421E-3</v>
      </c>
      <c r="AQ27" s="68">
        <f t="shared" si="15"/>
        <v>0.22809608075326976</v>
      </c>
      <c r="AR27" s="68">
        <f t="shared" si="16"/>
        <v>0.67643197106830466</v>
      </c>
      <c r="AT27" s="46">
        <f t="shared" si="0"/>
        <v>21</v>
      </c>
      <c r="AU27" s="52" t="str">
        <f t="shared" si="1"/>
        <v>CHD4+</v>
      </c>
      <c r="AV27" s="50">
        <v>1</v>
      </c>
      <c r="AW27" s="50">
        <v>0</v>
      </c>
      <c r="AX27" s="50">
        <v>1</v>
      </c>
      <c r="AY27" s="50">
        <v>4</v>
      </c>
    </row>
    <row r="28" spans="1:51" x14ac:dyDescent="0.25">
      <c r="A28" s="56">
        <v>42593</v>
      </c>
      <c r="B28" s="55">
        <v>26</v>
      </c>
      <c r="C28" s="45" t="s">
        <v>146</v>
      </c>
      <c r="D28" s="54">
        <v>10</v>
      </c>
      <c r="E28" s="54">
        <v>500</v>
      </c>
      <c r="F28" s="58">
        <f t="shared" si="91"/>
        <v>0.02</v>
      </c>
      <c r="G28" s="61">
        <v>1617032</v>
      </c>
      <c r="H28" s="61">
        <v>4340224</v>
      </c>
      <c r="I28" s="61"/>
      <c r="J28" s="61">
        <v>3227589</v>
      </c>
      <c r="K28" s="113">
        <f t="shared" si="2"/>
        <v>0.98815927306729578</v>
      </c>
      <c r="L28" s="61">
        <v>71284</v>
      </c>
      <c r="M28" s="61">
        <v>71122</v>
      </c>
      <c r="N28" s="61">
        <v>141434</v>
      </c>
      <c r="O28" s="61">
        <v>684252</v>
      </c>
      <c r="P28" s="61">
        <v>650850</v>
      </c>
      <c r="Q28" s="61">
        <v>1557228</v>
      </c>
      <c r="R28" s="61">
        <v>13202</v>
      </c>
      <c r="S28" s="61"/>
      <c r="T28" s="61"/>
      <c r="V28" s="61" t="s">
        <v>119</v>
      </c>
      <c r="W28" s="68">
        <f t="shared" si="92"/>
        <v>2.235048153680411E-2</v>
      </c>
      <c r="X28" s="68">
        <f t="shared" si="93"/>
        <v>2.2299687838232732E-2</v>
      </c>
      <c r="Y28" s="68">
        <f t="shared" si="94"/>
        <v>4.4345407183608562E-2</v>
      </c>
      <c r="Z28" s="68">
        <f t="shared" si="95"/>
        <v>0.21454129527693852</v>
      </c>
      <c r="AA28" s="68">
        <f t="shared" si="96"/>
        <v>0.20406838713075803</v>
      </c>
      <c r="AB28" s="68">
        <f t="shared" si="97"/>
        <v>0.48825536814143977</v>
      </c>
      <c r="AC28" s="68">
        <f t="shared" si="98"/>
        <v>4.1393728922182798E-3</v>
      </c>
      <c r="AD28" s="68">
        <f t="shared" si="99"/>
        <v>0</v>
      </c>
      <c r="AE28" s="68">
        <f t="shared" si="100"/>
        <v>0</v>
      </c>
      <c r="AF28" s="68">
        <f t="shared" si="101"/>
        <v>0</v>
      </c>
      <c r="AH28" s="69">
        <f t="array" ref="AH28">Y28-SUMPRODUCT(Y$46:Y$49,TRANSPOSE(AI28:AL28))</f>
        <v>-3.9991620535510808E-4</v>
      </c>
      <c r="AI28" s="69">
        <f t="array" ref="AI28">Z28-SUMPRODUCT(Z$47:Z$49,TRANSPOSE(AJ28:AL28))</f>
        <v>9.4867773225934537E-4</v>
      </c>
      <c r="AJ28" s="69">
        <f t="array" ref="AJ28">AA28-SUMPRODUCT($AA$48:$AA$49,TRANSPOSE(AK28:AL28))</f>
        <v>-3.1392854027167405E-3</v>
      </c>
      <c r="AK28" s="69">
        <f t="shared" si="9"/>
        <v>1</v>
      </c>
      <c r="AL28" s="69">
        <f t="shared" si="10"/>
        <v>7.9759610796070191E-3</v>
      </c>
      <c r="AM28" s="68" t="str">
        <f t="shared" si="11"/>
        <v>CHD3</v>
      </c>
      <c r="AN28" s="68">
        <f t="shared" si="12"/>
        <v>-3.9777401835794037E-4</v>
      </c>
      <c r="AO28" s="68">
        <f t="shared" si="13"/>
        <v>9.4359605495961216E-4</v>
      </c>
      <c r="AP28" s="68">
        <f t="shared" si="14"/>
        <v>-3.1224695390931929E-3</v>
      </c>
      <c r="AQ28" s="68">
        <f t="shared" si="15"/>
        <v>0.99464341037326676</v>
      </c>
      <c r="AR28" s="68">
        <f t="shared" si="16"/>
        <v>7.933237129224769E-3</v>
      </c>
      <c r="AT28" s="46">
        <f t="shared" si="0"/>
        <v>21</v>
      </c>
      <c r="AU28" s="53" t="str">
        <f t="shared" si="1"/>
        <v>¹³CD4+</v>
      </c>
      <c r="AV28" s="50">
        <v>0</v>
      </c>
      <c r="AW28" s="50">
        <v>1</v>
      </c>
      <c r="AX28" s="50">
        <v>0</v>
      </c>
      <c r="AY28" s="50">
        <v>4</v>
      </c>
    </row>
    <row r="29" spans="1:51" x14ac:dyDescent="0.25">
      <c r="A29" s="56">
        <v>42593</v>
      </c>
      <c r="B29" s="55">
        <v>27</v>
      </c>
      <c r="C29" s="45" t="s">
        <v>149</v>
      </c>
      <c r="D29" s="54">
        <v>10</v>
      </c>
      <c r="E29" s="54">
        <v>500</v>
      </c>
      <c r="F29" s="58">
        <f t="shared" si="91"/>
        <v>0.02</v>
      </c>
      <c r="G29" s="61">
        <v>1130439</v>
      </c>
      <c r="H29" s="61">
        <v>3123546</v>
      </c>
      <c r="I29" s="61"/>
      <c r="J29" s="61">
        <v>1947090</v>
      </c>
      <c r="K29" s="113">
        <f t="shared" si="2"/>
        <v>0.97392467733900334</v>
      </c>
      <c r="L29" s="61">
        <v>72184</v>
      </c>
      <c r="M29" s="61">
        <v>183585</v>
      </c>
      <c r="N29" s="61">
        <v>696498</v>
      </c>
      <c r="O29" s="61">
        <v>933611</v>
      </c>
      <c r="P29" s="61">
        <v>10441</v>
      </c>
      <c r="Q29" s="61"/>
      <c r="R29" s="61"/>
      <c r="S29" s="61"/>
      <c r="T29" s="61"/>
      <c r="V29" s="57" t="s">
        <v>117</v>
      </c>
      <c r="W29" s="68">
        <f t="shared" ref="W29:W32" si="102">IF(L29/SUM($L29:$U29)=0,0,L29/SUM($L29:$U29))</f>
        <v>3.8065325506942659E-2</v>
      </c>
      <c r="X29" s="68">
        <f t="shared" ref="X29:X32" si="103">IF(M29/SUM($L29:$U29)=0,0,M29/SUM($L29:$U29))</f>
        <v>9.6811243256013355E-2</v>
      </c>
      <c r="Y29" s="68">
        <f t="shared" ref="Y29:Y32" si="104">IF(N29/SUM($L29:$U29)=0,0,N29/SUM($L29:$U29))</f>
        <v>0.36728946975693433</v>
      </c>
      <c r="Z29" s="68">
        <f t="shared" ref="Z29:Z32" si="105">IF(O29/SUM($L29:$U29)=0,0,O29/SUM($L29:$U29))</f>
        <v>0.49232803130696895</v>
      </c>
      <c r="AA29" s="68">
        <f t="shared" ref="AA29:AA32" si="106">IF(P29/SUM($L29:$U29)=0,0,P29/SUM($L29:$U29))</f>
        <v>5.5059301731407006E-3</v>
      </c>
      <c r="AB29" s="68">
        <f t="shared" ref="AB29:AB32" si="107">IF(Q29/SUM($L29:$U29)=0,0,Q29/SUM($L29:$U29))</f>
        <v>0</v>
      </c>
      <c r="AC29" s="68">
        <f t="shared" ref="AC29:AC32" si="108">IF(R29/SUM($L29:$U29)=0,0,R29/SUM($L29:$U29))</f>
        <v>0</v>
      </c>
      <c r="AD29" s="68">
        <f t="shared" ref="AD29:AD32" si="109">IF(S29/SUM($L29:$U29)=0,0,S29/SUM($L29:$U29))</f>
        <v>0</v>
      </c>
      <c r="AE29" s="68">
        <f t="shared" ref="AE29:AE32" si="110">IF(T29/SUM($L29:$U29)=0,0,T29/SUM($L29:$U29))</f>
        <v>0</v>
      </c>
      <c r="AF29" s="68">
        <f t="shared" ref="AF29:AF32" si="111">IF(U29/SUM($L29:$U29)=0,0,U29/SUM($L29:$U29))</f>
        <v>0</v>
      </c>
      <c r="AH29" s="69">
        <f t="array" ref="AH29">Y29-SUMPRODUCT(Y$46:Y$49,TRANSPOSE(AI29:AL29))</f>
        <v>0.18648040585250983</v>
      </c>
      <c r="AI29" s="69">
        <f t="array" ref="AI29">Z29-SUMPRODUCT(Z$47:Z$49,TRANSPOSE(AJ29:AL29))</f>
        <v>0.49066416431796783</v>
      </c>
      <c r="AJ29" s="69">
        <f t="array" ref="AJ29">AA29-SUMPRODUCT($AA$48:$AA$49,TRANSPOSE(AK29:AL29))</f>
        <v>5.5059301731407006E-3</v>
      </c>
      <c r="AK29" s="69">
        <f t="shared" si="9"/>
        <v>0</v>
      </c>
      <c r="AL29" s="69">
        <f t="shared" si="10"/>
        <v>0</v>
      </c>
      <c r="AM29" s="68" t="str">
        <f t="shared" si="11"/>
        <v>CH3D</v>
      </c>
      <c r="AN29" s="68">
        <f t="shared" si="12"/>
        <v>0.2731711260134479</v>
      </c>
      <c r="AO29" s="68">
        <f t="shared" si="13"/>
        <v>0.71876335558384197</v>
      </c>
      <c r="AP29" s="68">
        <f t="shared" si="14"/>
        <v>8.065518402710083E-3</v>
      </c>
      <c r="AQ29" s="68">
        <f t="shared" si="15"/>
        <v>0</v>
      </c>
      <c r="AR29" s="68">
        <f t="shared" si="16"/>
        <v>0</v>
      </c>
      <c r="AT29" s="46">
        <f t="shared" si="0"/>
        <v>21</v>
      </c>
      <c r="AU29" s="53" t="str">
        <f t="shared" si="1"/>
        <v>¹³CH2D3+</v>
      </c>
      <c r="AV29" s="50">
        <v>0</v>
      </c>
      <c r="AW29" s="50">
        <v>1</v>
      </c>
      <c r="AX29" s="50">
        <v>2</v>
      </c>
      <c r="AY29" s="50">
        <v>3</v>
      </c>
    </row>
    <row r="30" spans="1:51" x14ac:dyDescent="0.25">
      <c r="A30" s="56">
        <v>42593</v>
      </c>
      <c r="B30" s="55">
        <v>28</v>
      </c>
      <c r="C30" s="45" t="s">
        <v>132</v>
      </c>
      <c r="D30" s="54">
        <v>500</v>
      </c>
      <c r="E30" s="54">
        <v>1</v>
      </c>
      <c r="F30" s="58">
        <f t="shared" si="91"/>
        <v>500</v>
      </c>
      <c r="G30" s="61">
        <v>23284782</v>
      </c>
      <c r="H30" s="61">
        <v>37748792</v>
      </c>
      <c r="I30" s="61">
        <v>429448</v>
      </c>
      <c r="J30" s="61">
        <v>272285</v>
      </c>
      <c r="K30" s="113">
        <f t="shared" si="2"/>
        <v>0.97888242099270983</v>
      </c>
      <c r="L30" s="61">
        <v>11463</v>
      </c>
      <c r="M30" s="61">
        <v>23372</v>
      </c>
      <c r="N30" s="61">
        <v>57249</v>
      </c>
      <c r="O30" s="61">
        <v>44465</v>
      </c>
      <c r="P30" s="61">
        <v>44628</v>
      </c>
      <c r="Q30" s="61">
        <v>28849</v>
      </c>
      <c r="R30" s="61">
        <v>56509</v>
      </c>
      <c r="S30" s="61"/>
      <c r="T30" s="61"/>
      <c r="V30" s="61" t="s">
        <v>136</v>
      </c>
      <c r="W30" s="68">
        <f t="shared" si="102"/>
        <v>4.3007484945691933E-2</v>
      </c>
      <c r="X30" s="68">
        <f t="shared" si="103"/>
        <v>8.7688296096197493E-2</v>
      </c>
      <c r="Y30" s="68">
        <f t="shared" si="104"/>
        <v>0.21478980246496707</v>
      </c>
      <c r="Z30" s="68">
        <f t="shared" si="105"/>
        <v>0.166826120396946</v>
      </c>
      <c r="AA30" s="68">
        <f t="shared" si="106"/>
        <v>0.16743767235072318</v>
      </c>
      <c r="AB30" s="68">
        <f t="shared" si="107"/>
        <v>0.10823719211360609</v>
      </c>
      <c r="AC30" s="68">
        <f t="shared" si="108"/>
        <v>0.21201343163186823</v>
      </c>
      <c r="AD30" s="68">
        <f t="shared" si="109"/>
        <v>0</v>
      </c>
      <c r="AE30" s="68">
        <f t="shared" si="110"/>
        <v>0</v>
      </c>
      <c r="AF30" s="68">
        <f t="shared" si="111"/>
        <v>0</v>
      </c>
      <c r="AH30" s="69">
        <f t="array" ref="AH30">Y30-SUMPRODUCT(Y$46:Y$49,TRANSPOSE(AI30:AL30))</f>
        <v>0.13717388602857739</v>
      </c>
      <c r="AI30" s="69">
        <f t="array" ref="AI30">Z30-SUMPRODUCT(Z$47:Z$49,TRANSPOSE(AJ30:AL30))</f>
        <v>0.13092822446859886</v>
      </c>
      <c r="AJ30" s="69">
        <f t="array" ref="AJ30">AA30-SUMPRODUCT($AA$48:$AA$49,TRANSPOSE(AK30:AL30))</f>
        <v>-3.8590736206999043E-2</v>
      </c>
      <c r="AK30" s="69">
        <f t="shared" si="9"/>
        <v>0.2216815199095804</v>
      </c>
      <c r="AL30" s="69">
        <f t="shared" si="10"/>
        <v>0.40851861455359145</v>
      </c>
      <c r="AM30" s="68" t="str">
        <f t="shared" si="11"/>
        <v>EF-D2O-1-5</v>
      </c>
      <c r="AN30" s="68">
        <f t="shared" si="12"/>
        <v>0.15955804317135472</v>
      </c>
      <c r="AO30" s="68">
        <f t="shared" si="13"/>
        <v>0.15229320898408738</v>
      </c>
      <c r="AP30" s="68">
        <f t="shared" si="14"/>
        <v>-4.4888006981503269E-2</v>
      </c>
      <c r="AQ30" s="68">
        <f t="shared" si="15"/>
        <v>0.25785570816777414</v>
      </c>
      <c r="AR30" s="68">
        <f t="shared" si="16"/>
        <v>0.47518104665828692</v>
      </c>
      <c r="AT30" s="46">
        <f t="shared" si="0"/>
        <v>22</v>
      </c>
      <c r="AU30" s="52" t="str">
        <f t="shared" si="1"/>
        <v>CD5+</v>
      </c>
      <c r="AV30" s="50">
        <v>1</v>
      </c>
      <c r="AW30" s="50">
        <v>0</v>
      </c>
      <c r="AX30" s="50">
        <v>0</v>
      </c>
      <c r="AY30" s="50">
        <v>5</v>
      </c>
    </row>
    <row r="31" spans="1:51" x14ac:dyDescent="0.25">
      <c r="A31" s="56">
        <v>42593</v>
      </c>
      <c r="B31" s="55">
        <v>29</v>
      </c>
      <c r="C31" s="45" t="s">
        <v>123</v>
      </c>
      <c r="D31" s="54">
        <v>1000</v>
      </c>
      <c r="E31" s="54">
        <v>1</v>
      </c>
      <c r="F31" s="58">
        <f t="shared" si="91"/>
        <v>1000</v>
      </c>
      <c r="G31" s="61">
        <v>58333773</v>
      </c>
      <c r="H31" s="61">
        <v>78256037</v>
      </c>
      <c r="I31" s="61">
        <v>24798</v>
      </c>
      <c r="J31" s="61">
        <v>35513</v>
      </c>
      <c r="K31" s="113">
        <f t="shared" si="2"/>
        <v>0.94632951313603464</v>
      </c>
      <c r="L31" s="61">
        <v>2603</v>
      </c>
      <c r="M31" s="61">
        <v>11792</v>
      </c>
      <c r="N31" s="61">
        <v>19212</v>
      </c>
      <c r="O31" s="61"/>
      <c r="P31" s="61"/>
      <c r="Q31" s="61"/>
      <c r="R31" s="61"/>
      <c r="S31" s="61"/>
      <c r="T31" s="61"/>
      <c r="V31" s="61" t="s">
        <v>125</v>
      </c>
      <c r="W31" s="68">
        <f t="shared" si="102"/>
        <v>7.7454101824024763E-2</v>
      </c>
      <c r="X31" s="68">
        <f t="shared" si="103"/>
        <v>0.35087928110215133</v>
      </c>
      <c r="Y31" s="68">
        <f t="shared" si="104"/>
        <v>0.57166661707382393</v>
      </c>
      <c r="Z31" s="68">
        <f t="shared" si="105"/>
        <v>0</v>
      </c>
      <c r="AA31" s="68">
        <f t="shared" si="106"/>
        <v>0</v>
      </c>
      <c r="AB31" s="68">
        <f t="shared" si="107"/>
        <v>0</v>
      </c>
      <c r="AC31" s="68">
        <f t="shared" si="108"/>
        <v>0</v>
      </c>
      <c r="AD31" s="68">
        <f t="shared" si="109"/>
        <v>0</v>
      </c>
      <c r="AE31" s="68">
        <f t="shared" si="110"/>
        <v>0</v>
      </c>
      <c r="AF31" s="68">
        <f t="shared" si="111"/>
        <v>0</v>
      </c>
      <c r="AH31" s="69">
        <f t="array" ref="AH31">Y31-SUMPRODUCT(Y$46:Y$49,TRANSPOSE(AI31:AL31))</f>
        <v>0.57166661707382393</v>
      </c>
      <c r="AI31" s="69">
        <f t="array" ref="AI31">Z31-SUMPRODUCT(Z$47:Z$49,TRANSPOSE(AJ31:AL31))</f>
        <v>0</v>
      </c>
      <c r="AJ31" s="69">
        <f t="array" ref="AJ31">AA31-SUMPRODUCT($AA$48:$AA$49,TRANSPOSE(AK31:AL31))</f>
        <v>0</v>
      </c>
      <c r="AK31" s="69">
        <f t="shared" si="9"/>
        <v>0</v>
      </c>
      <c r="AL31" s="69">
        <f t="shared" si="10"/>
        <v>0</v>
      </c>
      <c r="AM31" s="68" t="str">
        <f t="shared" si="11"/>
        <v>EF-D2O-1-2</v>
      </c>
      <c r="AN31" s="68">
        <f t="shared" si="12"/>
        <v>1</v>
      </c>
      <c r="AO31" s="68">
        <f t="shared" si="13"/>
        <v>0</v>
      </c>
      <c r="AP31" s="68">
        <f t="shared" si="14"/>
        <v>0</v>
      </c>
      <c r="AQ31" s="68">
        <f t="shared" si="15"/>
        <v>0</v>
      </c>
      <c r="AR31" s="68">
        <f t="shared" si="16"/>
        <v>0</v>
      </c>
      <c r="AT31" s="46">
        <f t="shared" si="0"/>
        <v>22</v>
      </c>
      <c r="AU31" s="53" t="str">
        <f t="shared" si="1"/>
        <v>¹³CHD4+</v>
      </c>
      <c r="AV31" s="50">
        <v>0</v>
      </c>
      <c r="AW31" s="50">
        <v>1</v>
      </c>
      <c r="AX31" s="50">
        <v>1</v>
      </c>
      <c r="AY31" s="50">
        <v>4</v>
      </c>
    </row>
    <row r="32" spans="1:51" x14ac:dyDescent="0.25">
      <c r="A32" s="56">
        <v>42593</v>
      </c>
      <c r="B32" s="55">
        <v>30</v>
      </c>
      <c r="C32" s="45" t="s">
        <v>151</v>
      </c>
      <c r="D32" s="54">
        <v>500</v>
      </c>
      <c r="E32" s="54">
        <v>1</v>
      </c>
      <c r="F32" s="58">
        <f t="shared" si="91"/>
        <v>500</v>
      </c>
      <c r="G32" s="61">
        <v>33031813</v>
      </c>
      <c r="H32" s="61">
        <v>55104712</v>
      </c>
      <c r="I32" s="61">
        <v>445466</v>
      </c>
      <c r="J32" s="61">
        <v>339333</v>
      </c>
      <c r="K32" s="113">
        <f t="shared" si="2"/>
        <v>0.95568954389935545</v>
      </c>
      <c r="L32" s="61">
        <v>13402</v>
      </c>
      <c r="M32" s="61">
        <v>26533</v>
      </c>
      <c r="N32" s="61">
        <v>57598</v>
      </c>
      <c r="O32" s="61">
        <v>62376</v>
      </c>
      <c r="P32" s="61">
        <v>63702</v>
      </c>
      <c r="Q32" s="61">
        <v>33774</v>
      </c>
      <c r="R32" s="61">
        <v>66912</v>
      </c>
      <c r="S32" s="61"/>
      <c r="T32" s="61"/>
      <c r="V32" s="61" t="s">
        <v>136</v>
      </c>
      <c r="W32" s="68">
        <f t="shared" si="102"/>
        <v>4.1326315075378435E-2</v>
      </c>
      <c r="X32" s="68">
        <f t="shared" si="103"/>
        <v>8.1816976413596185E-2</v>
      </c>
      <c r="Y32" s="68">
        <f t="shared" si="104"/>
        <v>0.17760879687447001</v>
      </c>
      <c r="Z32" s="68">
        <f t="shared" si="105"/>
        <v>0.19234220483075698</v>
      </c>
      <c r="AA32" s="68">
        <f t="shared" si="106"/>
        <v>0.19643104931590485</v>
      </c>
      <c r="AB32" s="68">
        <f t="shared" si="107"/>
        <v>0.10414527423935467</v>
      </c>
      <c r="AC32" s="68">
        <f t="shared" si="108"/>
        <v>0.20632938325053884</v>
      </c>
      <c r="AD32" s="68">
        <f t="shared" si="109"/>
        <v>0</v>
      </c>
      <c r="AE32" s="68">
        <f t="shared" si="110"/>
        <v>0</v>
      </c>
      <c r="AF32" s="68">
        <f t="shared" si="111"/>
        <v>0</v>
      </c>
      <c r="AH32" s="69">
        <f t="array" ref="AH32">Y32-SUMPRODUCT(Y$46:Y$49,TRANSPOSE(AI32:AL32))</f>
        <v>9.0001917659321015E-2</v>
      </c>
      <c r="AI32" s="69">
        <f t="array" ref="AI32">Z32-SUMPRODUCT(Z$47:Z$49,TRANSPOSE(AJ32:AL32))</f>
        <v>0.1476611295957172</v>
      </c>
      <c r="AJ32" s="69">
        <f t="array" ref="AJ32">AA32-SUMPRODUCT($AA$48:$AA$49,TRANSPOSE(AK32:AL32))</f>
        <v>-3.576363238806779E-3</v>
      </c>
      <c r="AK32" s="69">
        <f t="shared" si="9"/>
        <v>0.21330082787576327</v>
      </c>
      <c r="AL32" s="69">
        <f t="shared" si="10"/>
        <v>0.39756629161856083</v>
      </c>
      <c r="AM32" s="68" t="str">
        <f t="shared" si="11"/>
        <v>EF-D2O-1-5</v>
      </c>
      <c r="AN32" s="68">
        <f t="shared" si="12"/>
        <v>0.10651696848441571</v>
      </c>
      <c r="AO32" s="68">
        <f t="shared" si="13"/>
        <v>0.17475645293532613</v>
      </c>
      <c r="AP32" s="68">
        <f t="shared" si="14"/>
        <v>-4.2326139298361079E-3</v>
      </c>
      <c r="AQ32" s="68">
        <f t="shared" si="15"/>
        <v>0.25244081627842346</v>
      </c>
      <c r="AR32" s="68">
        <f t="shared" si="16"/>
        <v>0.47051837623167087</v>
      </c>
      <c r="AT32" s="46">
        <f t="shared" si="0"/>
        <v>23</v>
      </c>
      <c r="AU32" s="53" t="str">
        <f t="shared" si="1"/>
        <v>¹³CD5+</v>
      </c>
      <c r="AV32" s="50">
        <v>0</v>
      </c>
      <c r="AW32" s="50">
        <v>1</v>
      </c>
      <c r="AX32" s="50">
        <v>0</v>
      </c>
      <c r="AY32" s="50">
        <v>5</v>
      </c>
    </row>
    <row r="33" spans="1:44" x14ac:dyDescent="0.25">
      <c r="A33" s="56">
        <v>42593</v>
      </c>
      <c r="B33" s="55">
        <v>31</v>
      </c>
      <c r="C33" s="45" t="s">
        <v>129</v>
      </c>
      <c r="D33" s="54">
        <v>500</v>
      </c>
      <c r="E33" s="54">
        <v>1</v>
      </c>
      <c r="F33" s="58">
        <f t="shared" ref="F33:F34" si="112">D33/E33</f>
        <v>500</v>
      </c>
      <c r="G33" s="61">
        <v>46737901</v>
      </c>
      <c r="H33" s="61">
        <v>80827961</v>
      </c>
      <c r="I33" s="61">
        <v>241583</v>
      </c>
      <c r="J33" s="61">
        <v>278521</v>
      </c>
      <c r="K33" s="113">
        <f t="shared" si="2"/>
        <v>0.95762976579862924</v>
      </c>
      <c r="L33" s="61">
        <v>12496</v>
      </c>
      <c r="M33" s="61">
        <v>30554</v>
      </c>
      <c r="N33" s="61">
        <v>58176</v>
      </c>
      <c r="O33" s="61">
        <v>50335</v>
      </c>
      <c r="P33" s="61">
        <v>49855</v>
      </c>
      <c r="Q33" s="61">
        <v>19628</v>
      </c>
      <c r="R33" s="61">
        <v>45676</v>
      </c>
      <c r="S33" s="61"/>
      <c r="T33" s="61"/>
      <c r="V33" s="61" t="s">
        <v>131</v>
      </c>
      <c r="W33" s="68">
        <f t="shared" ref="W33:W34" si="113">IF(L33/SUM($L33:$U33)=0,0,L33/SUM($L33:$U33))</f>
        <v>4.6850629874025197E-2</v>
      </c>
      <c r="X33" s="68">
        <f t="shared" ref="X33:X34" si="114">IF(M33/SUM($L33:$U33)=0,0,M33/SUM($L33:$U33))</f>
        <v>0.11455458908218356</v>
      </c>
      <c r="Y33" s="68">
        <f t="shared" ref="Y33:Y34" si="115">IF(N33/SUM($L33:$U33)=0,0,N33/SUM($L33:$U33))</f>
        <v>0.21811637672465506</v>
      </c>
      <c r="Z33" s="68">
        <f t="shared" ref="Z33:Z34" si="116">IF(O33/SUM($L33:$U33)=0,0,O33/SUM($L33:$U33))</f>
        <v>0.18871850629874026</v>
      </c>
      <c r="AA33" s="68">
        <f t="shared" ref="AA33:AA34" si="117">IF(P33/SUM($L33:$U33)=0,0,P33/SUM($L33:$U33))</f>
        <v>0.18691886622675466</v>
      </c>
      <c r="AB33" s="68">
        <f t="shared" ref="AB33:AB34" si="118">IF(Q33/SUM($L33:$U33)=0,0,Q33/SUM($L33:$U33))</f>
        <v>7.359028194361128E-2</v>
      </c>
      <c r="AC33" s="68">
        <f t="shared" ref="AC33:AC34" si="119">IF(R33/SUM($L33:$U33)=0,0,R33/SUM($L33:$U33))</f>
        <v>0.17125074985003</v>
      </c>
      <c r="AD33" s="68">
        <f t="shared" ref="AD33:AD34" si="120">IF(S33/SUM($L33:$U33)=0,0,S33/SUM($L33:$U33))</f>
        <v>0</v>
      </c>
      <c r="AE33" s="68">
        <f t="shared" ref="AE33:AE34" si="121">IF(T33/SUM($L33:$U33)=0,0,T33/SUM($L33:$U33))</f>
        <v>0</v>
      </c>
      <c r="AF33" s="68">
        <f t="shared" ref="AF33:AF34" si="122">IF(U33/SUM($L33:$U33)=0,0,U33/SUM($L33:$U33))</f>
        <v>0</v>
      </c>
      <c r="AH33" s="69">
        <f t="array" ref="AH33">Y33-SUMPRODUCT(Y$46:Y$49,TRANSPOSE(AI33:AL33))</f>
        <v>0.13298253982844138</v>
      </c>
      <c r="AI33" s="69">
        <f t="array" ref="AI33">Z33-SUMPRODUCT(Z$47:Z$49,TRANSPOSE(AJ33:AL33))</f>
        <v>0.14843927878879526</v>
      </c>
      <c r="AJ33" s="69">
        <f t="array" ref="AJ33">AA33-SUMPRODUCT($AA$48:$AA$49,TRANSPOSE(AK33:AL33))</f>
        <v>2.6285549833269639E-2</v>
      </c>
      <c r="AK33" s="69">
        <f t="shared" si="9"/>
        <v>0.15072088653881088</v>
      </c>
      <c r="AL33" s="69">
        <f t="shared" si="10"/>
        <v>0.32997493852876347</v>
      </c>
      <c r="AM33" s="68" t="str">
        <f t="shared" si="11"/>
        <v>EF-D2O-1-4</v>
      </c>
      <c r="AN33" s="68">
        <f t="shared" si="12"/>
        <v>0.16867326378402303</v>
      </c>
      <c r="AO33" s="68">
        <f t="shared" si="13"/>
        <v>0.18827838345810946</v>
      </c>
      <c r="AP33" s="68">
        <f t="shared" si="14"/>
        <v>3.3340237646648785E-2</v>
      </c>
      <c r="AQ33" s="68">
        <f t="shared" si="15"/>
        <v>0.19117234402140251</v>
      </c>
      <c r="AR33" s="68">
        <f t="shared" si="16"/>
        <v>0.41853577108981621</v>
      </c>
    </row>
    <row r="34" spans="1:44" x14ac:dyDescent="0.25">
      <c r="A34" s="56">
        <v>42593</v>
      </c>
      <c r="B34" s="55">
        <v>32</v>
      </c>
      <c r="C34" s="45" t="s">
        <v>137</v>
      </c>
      <c r="D34" s="54">
        <v>500</v>
      </c>
      <c r="E34" s="54">
        <v>1</v>
      </c>
      <c r="F34" s="58">
        <f t="shared" si="112"/>
        <v>500</v>
      </c>
      <c r="G34" s="61">
        <v>44105609</v>
      </c>
      <c r="H34" s="61">
        <v>85839295</v>
      </c>
      <c r="I34" s="61">
        <v>343446</v>
      </c>
      <c r="J34" s="61">
        <v>241052</v>
      </c>
      <c r="K34" s="113">
        <f t="shared" si="2"/>
        <v>1.0549383535502712</v>
      </c>
      <c r="L34" s="61">
        <v>9681</v>
      </c>
      <c r="M34" s="61">
        <v>16865</v>
      </c>
      <c r="N34" s="61">
        <v>45464</v>
      </c>
      <c r="O34" s="61">
        <v>40900</v>
      </c>
      <c r="P34" s="61">
        <v>55657</v>
      </c>
      <c r="Q34" s="61">
        <v>24852</v>
      </c>
      <c r="R34" s="61">
        <v>60876</v>
      </c>
      <c r="S34" s="61"/>
      <c r="T34" s="61"/>
      <c r="V34" s="61" t="s">
        <v>141</v>
      </c>
      <c r="W34" s="68">
        <f t="shared" si="113"/>
        <v>3.8069958119506871E-2</v>
      </c>
      <c r="X34" s="68">
        <f t="shared" si="114"/>
        <v>6.6320611887768138E-2</v>
      </c>
      <c r="Y34" s="68">
        <f t="shared" si="115"/>
        <v>0.17878448258911894</v>
      </c>
      <c r="Z34" s="68">
        <f t="shared" si="116"/>
        <v>0.16083682337442734</v>
      </c>
      <c r="AA34" s="68">
        <f t="shared" si="117"/>
        <v>0.21886785033130812</v>
      </c>
      <c r="AB34" s="68">
        <f t="shared" si="118"/>
        <v>9.7729015513478443E-2</v>
      </c>
      <c r="AC34" s="68">
        <f t="shared" si="119"/>
        <v>0.23939125818439214</v>
      </c>
      <c r="AD34" s="68">
        <f t="shared" si="120"/>
        <v>0</v>
      </c>
      <c r="AE34" s="68">
        <f t="shared" si="121"/>
        <v>0</v>
      </c>
      <c r="AF34" s="68">
        <f t="shared" si="122"/>
        <v>0</v>
      </c>
      <c r="AH34" s="69">
        <f t="array" ref="AH34">Y34-SUMPRODUCT(Y$46:Y$49,TRANSPOSE(AI34:AL34))</f>
        <v>9.8364277290105537E-2</v>
      </c>
      <c r="AI34" s="69">
        <f t="array" ref="AI34">Z34-SUMPRODUCT(Z$47:Z$49,TRANSPOSE(AJ34:AL34))</f>
        <v>0.11896163015883987</v>
      </c>
      <c r="AJ34" s="69">
        <f t="array" ref="AJ34">AA34-SUMPRODUCT($AA$48:$AA$49,TRANSPOSE(AK34:AL34))</f>
        <v>-3.5318660227524334E-3</v>
      </c>
      <c r="AK34" s="69">
        <f t="shared" si="9"/>
        <v>0.20015963344240775</v>
      </c>
      <c r="AL34" s="69">
        <f t="shared" si="10"/>
        <v>0.46127164857902841</v>
      </c>
      <c r="AM34" s="68" t="str">
        <f t="shared" si="11"/>
        <v>EF-D2O-1-6(2)</v>
      </c>
      <c r="AN34" s="68">
        <f t="shared" si="12"/>
        <v>0.11238737574757954</v>
      </c>
      <c r="AO34" s="68">
        <f t="shared" si="13"/>
        <v>0.13592114735692765</v>
      </c>
      <c r="AP34" s="68">
        <f t="shared" si="14"/>
        <v>-4.0353791510967059E-3</v>
      </c>
      <c r="AQ34" s="68">
        <f t="shared" si="15"/>
        <v>0.22869497497393276</v>
      </c>
      <c r="AR34" s="68">
        <f t="shared" si="16"/>
        <v>0.52703188107265675</v>
      </c>
    </row>
    <row r="35" spans="1:44" x14ac:dyDescent="0.25">
      <c r="A35" s="56">
        <v>42593</v>
      </c>
      <c r="B35" s="55">
        <v>33</v>
      </c>
      <c r="C35" s="45" t="s">
        <v>133</v>
      </c>
      <c r="D35" s="54">
        <v>500</v>
      </c>
      <c r="E35" s="54">
        <v>1</v>
      </c>
      <c r="F35" s="58">
        <f t="shared" ref="F35:F38" si="123">D35/E35</f>
        <v>500</v>
      </c>
      <c r="G35" s="61">
        <v>56689559</v>
      </c>
      <c r="H35" s="61">
        <v>104194748</v>
      </c>
      <c r="I35" s="61">
        <v>348042</v>
      </c>
      <c r="J35" s="61">
        <v>316397</v>
      </c>
      <c r="K35" s="113">
        <f t="shared" si="2"/>
        <v>0.98586585839941587</v>
      </c>
      <c r="L35" s="61">
        <v>12725</v>
      </c>
      <c r="M35" s="61">
        <v>21807</v>
      </c>
      <c r="N35" s="61">
        <v>51863</v>
      </c>
      <c r="O35" s="61">
        <v>54152</v>
      </c>
      <c r="P35" s="61">
        <v>64206</v>
      </c>
      <c r="Q35" s="61">
        <v>33292</v>
      </c>
      <c r="R35" s="61">
        <v>73880</v>
      </c>
      <c r="S35" s="61"/>
      <c r="T35" s="61"/>
      <c r="V35" s="61" t="s">
        <v>140</v>
      </c>
      <c r="W35" s="68">
        <f t="shared" ref="W35:W38" si="124">IF(L35/SUM($L35:$U35)=0,0,L35/SUM($L35:$U35))</f>
        <v>4.0795062915765005E-2</v>
      </c>
      <c r="X35" s="68">
        <f t="shared" ref="X35:X38" si="125">IF(M35/SUM($L35:$U35)=0,0,M35/SUM($L35:$U35))</f>
        <v>6.9911036306804522E-2</v>
      </c>
      <c r="Y35" s="68">
        <f t="shared" ref="Y35:Y38" si="126">IF(N35/SUM($L35:$U35)=0,0,N35/SUM($L35:$U35))</f>
        <v>0.16626753225935723</v>
      </c>
      <c r="Z35" s="68">
        <f t="shared" ref="Z35:Z38" si="127">IF(O35/SUM($L35:$U35)=0,0,O35/SUM($L35:$U35))</f>
        <v>0.17360583473591409</v>
      </c>
      <c r="AA35" s="68">
        <f t="shared" ref="AA35:AA38" si="128">IF(P35/SUM($L35:$U35)=0,0,P35/SUM($L35:$U35))</f>
        <v>0.2058379418129358</v>
      </c>
      <c r="AB35" s="68">
        <f t="shared" ref="AB35:AB38" si="129">IF(Q35/SUM($L35:$U35)=0,0,Q35/SUM($L35:$U35))</f>
        <v>0.10673078464374448</v>
      </c>
      <c r="AC35" s="68">
        <f t="shared" ref="AC35:AC38" si="130">IF(R35/SUM($L35:$U35)=0,0,R35/SUM($L35:$U35))</f>
        <v>0.23685180732547889</v>
      </c>
      <c r="AD35" s="68">
        <f t="shared" ref="AD35:AD38" si="131">IF(S35/SUM($L35:$U35)=0,0,S35/SUM($L35:$U35))</f>
        <v>0</v>
      </c>
      <c r="AE35" s="68">
        <f t="shared" ref="AE35:AE38" si="132">IF(T35/SUM($L35:$U35)=0,0,T35/SUM($L35:$U35))</f>
        <v>0</v>
      </c>
      <c r="AF35" s="68">
        <f t="shared" ref="AF35:AF38" si="133">IF(U35/SUM($L35:$U35)=0,0,U35/SUM($L35:$U35))</f>
        <v>0</v>
      </c>
      <c r="AH35" s="69">
        <f t="array" ref="AH35">Y35-SUMPRODUCT(Y$46:Y$49,TRANSPOSE(AI35:AL35))</f>
        <v>8.2527560777244241E-2</v>
      </c>
      <c r="AI35" s="69">
        <f t="array" ref="AI35">Z35-SUMPRODUCT(Z$47:Z$49,TRANSPOSE(AJ35:AL35))</f>
        <v>0.13226776515379071</v>
      </c>
      <c r="AJ35" s="69">
        <f t="array" ref="AJ35">AA35-SUMPRODUCT($AA$48:$AA$49,TRANSPOSE(AK35:AL35))</f>
        <v>-1.8398191525196755E-2</v>
      </c>
      <c r="AK35" s="69">
        <f t="shared" si="9"/>
        <v>0.21859623387248919</v>
      </c>
      <c r="AL35" s="69">
        <f t="shared" si="10"/>
        <v>0.45637850129762653</v>
      </c>
      <c r="AM35" s="68" t="str">
        <f t="shared" si="11"/>
        <v>EF-D2O-1-6(1)</v>
      </c>
      <c r="AN35" s="68">
        <f t="shared" si="12"/>
        <v>9.4709920825658059E-2</v>
      </c>
      <c r="AO35" s="68">
        <f t="shared" si="13"/>
        <v>0.15179255811661416</v>
      </c>
      <c r="AP35" s="68">
        <f t="shared" si="14"/>
        <v>-2.1114052642243416E-2</v>
      </c>
      <c r="AQ35" s="68">
        <f t="shared" si="15"/>
        <v>0.25086446040410654</v>
      </c>
      <c r="AR35" s="68">
        <f t="shared" si="16"/>
        <v>0.52374711329586465</v>
      </c>
    </row>
    <row r="36" spans="1:44" x14ac:dyDescent="0.25">
      <c r="A36" s="56">
        <v>42593</v>
      </c>
      <c r="B36" s="55">
        <v>34</v>
      </c>
      <c r="C36" s="45" t="s">
        <v>108</v>
      </c>
      <c r="D36" s="54">
        <v>500</v>
      </c>
      <c r="E36" s="54">
        <v>1</v>
      </c>
      <c r="F36" s="58">
        <f t="shared" si="123"/>
        <v>500</v>
      </c>
      <c r="G36" s="61">
        <v>51383702</v>
      </c>
      <c r="H36" s="61">
        <v>97236997</v>
      </c>
      <c r="I36" s="61">
        <v>5259385</v>
      </c>
      <c r="J36" s="61">
        <v>4251276</v>
      </c>
      <c r="K36" s="113">
        <f t="shared" si="2"/>
        <v>1.0017698215782744</v>
      </c>
      <c r="L36" s="61">
        <v>108463</v>
      </c>
      <c r="M36" s="61">
        <v>62341</v>
      </c>
      <c r="N36" s="61">
        <v>329057</v>
      </c>
      <c r="O36" s="61">
        <v>280020</v>
      </c>
      <c r="P36" s="61">
        <v>1421452</v>
      </c>
      <c r="Q36" s="61">
        <v>357023</v>
      </c>
      <c r="R36" s="61">
        <v>1681952</v>
      </c>
      <c r="S36" s="61">
        <v>18492</v>
      </c>
      <c r="T36" s="61"/>
      <c r="V36" s="61" t="s">
        <v>120</v>
      </c>
      <c r="W36" s="68">
        <f t="shared" si="124"/>
        <v>2.5467972198741428E-2</v>
      </c>
      <c r="X36" s="68">
        <f t="shared" si="125"/>
        <v>1.463816098431483E-2</v>
      </c>
      <c r="Y36" s="68">
        <f t="shared" si="126"/>
        <v>7.7265192072884376E-2</v>
      </c>
      <c r="Z36" s="68">
        <f t="shared" si="127"/>
        <v>6.5750915750915753E-2</v>
      </c>
      <c r="AA36" s="68">
        <f t="shared" si="128"/>
        <v>0.33376819761435145</v>
      </c>
      <c r="AB36" s="68">
        <f t="shared" si="129"/>
        <v>8.3831830562599796E-2</v>
      </c>
      <c r="AC36" s="68">
        <f t="shared" si="130"/>
        <v>0.39493566262797031</v>
      </c>
      <c r="AD36" s="68">
        <f t="shared" si="131"/>
        <v>4.3420681882220345E-3</v>
      </c>
      <c r="AE36" s="68">
        <f t="shared" si="132"/>
        <v>0</v>
      </c>
      <c r="AF36" s="68">
        <f t="shared" si="133"/>
        <v>0</v>
      </c>
      <c r="AH36" s="69">
        <f t="array" ref="AH36">Y36-SUMPRODUCT(Y$46:Y$49,TRANSPOSE(AI36:AL36))</f>
        <v>1.2232088473762281E-2</v>
      </c>
      <c r="AI36" s="69">
        <f t="array" ref="AI36">Z36-SUMPRODUCT(Z$47:Z$49,TRANSPOSE(AJ36:AL36))</f>
        <v>2.9152847628378289E-2</v>
      </c>
      <c r="AJ36" s="69">
        <f t="array" ref="AJ36">AA36-SUMPRODUCT($AA$48:$AA$49,TRANSPOSE(AK36:AL36))</f>
        <v>-7.8744449445483644E-4</v>
      </c>
      <c r="AK36" s="69">
        <f t="shared" si="9"/>
        <v>0.17169668995490708</v>
      </c>
      <c r="AL36" s="69">
        <f t="shared" si="10"/>
        <v>0.76098277591546648</v>
      </c>
      <c r="AM36" s="68" t="str">
        <f t="shared" si="11"/>
        <v>EF-D2O-1-9</v>
      </c>
      <c r="AN36" s="68">
        <f t="shared" si="12"/>
        <v>1.2567942125597925E-2</v>
      </c>
      <c r="AO36" s="68">
        <f t="shared" si="13"/>
        <v>2.9953290689136124E-2</v>
      </c>
      <c r="AP36" s="68">
        <f t="shared" si="14"/>
        <v>-8.0906517759883156E-4</v>
      </c>
      <c r="AQ36" s="68">
        <f t="shared" si="15"/>
        <v>0.17641092664908556</v>
      </c>
      <c r="AR36" s="68">
        <f t="shared" si="16"/>
        <v>0.78187690571377921</v>
      </c>
    </row>
    <row r="37" spans="1:44" x14ac:dyDescent="0.25">
      <c r="A37" s="56">
        <v>42593</v>
      </c>
      <c r="B37" s="55">
        <v>35</v>
      </c>
      <c r="C37" s="45" t="s">
        <v>128</v>
      </c>
      <c r="D37" s="54">
        <v>500</v>
      </c>
      <c r="E37" s="54">
        <v>1</v>
      </c>
      <c r="F37" s="58">
        <f t="shared" si="123"/>
        <v>500</v>
      </c>
      <c r="G37" s="61">
        <v>55618810</v>
      </c>
      <c r="H37" s="61">
        <v>96244144</v>
      </c>
      <c r="I37" s="61">
        <v>37842</v>
      </c>
      <c r="J37" s="61">
        <v>108896</v>
      </c>
      <c r="K37" s="113">
        <f t="shared" si="2"/>
        <v>0.96793270643549811</v>
      </c>
      <c r="L37" s="61">
        <v>6109</v>
      </c>
      <c r="M37" s="61">
        <v>15998</v>
      </c>
      <c r="N37" s="61">
        <v>35959</v>
      </c>
      <c r="O37" s="61">
        <v>19300</v>
      </c>
      <c r="P37" s="61">
        <v>11702</v>
      </c>
      <c r="Q37" s="61">
        <v>6901</v>
      </c>
      <c r="R37" s="61">
        <v>9435</v>
      </c>
      <c r="S37" s="61"/>
      <c r="T37" s="61"/>
      <c r="V37" s="61" t="s">
        <v>130</v>
      </c>
      <c r="W37" s="68">
        <f t="shared" si="124"/>
        <v>5.7957952259876287E-2</v>
      </c>
      <c r="X37" s="68">
        <f t="shared" si="125"/>
        <v>0.15177792114151265</v>
      </c>
      <c r="Y37" s="68">
        <f t="shared" si="126"/>
        <v>0.34115403589996585</v>
      </c>
      <c r="Z37" s="68">
        <f t="shared" si="127"/>
        <v>0.18310500550263747</v>
      </c>
      <c r="AA37" s="68">
        <f t="shared" si="128"/>
        <v>0.11102045463170278</v>
      </c>
      <c r="AB37" s="68">
        <f t="shared" si="129"/>
        <v>6.5471898599673631E-2</v>
      </c>
      <c r="AC37" s="68">
        <f t="shared" si="130"/>
        <v>8.9512731964631317E-2</v>
      </c>
      <c r="AD37" s="68">
        <f t="shared" si="131"/>
        <v>0</v>
      </c>
      <c r="AE37" s="68">
        <f t="shared" si="132"/>
        <v>0</v>
      </c>
      <c r="AF37" s="68">
        <f t="shared" si="133"/>
        <v>0</v>
      </c>
      <c r="AH37" s="69">
        <f t="array" ref="AH37">Y37-SUMPRODUCT(Y$46:Y$49,TRANSPOSE(AI37:AL37))</f>
        <v>0.26750563902646118</v>
      </c>
      <c r="AI37" s="69">
        <f t="array" ref="AI37">Z37-SUMPRODUCT(Z$47:Z$49,TRANSPOSE(AJ37:AL37))</f>
        <v>0.14957075785778726</v>
      </c>
      <c r="AJ37" s="69">
        <f t="array" ref="AJ37">AA37-SUMPRODUCT($AA$48:$AA$49,TRANSPOSE(AK37:AL37))</f>
        <v>1.5770067334904561E-2</v>
      </c>
      <c r="AK37" s="69">
        <f t="shared" si="9"/>
        <v>0.13409355610137905</v>
      </c>
      <c r="AL37" s="69">
        <f t="shared" si="10"/>
        <v>0.17247783296386965</v>
      </c>
      <c r="AM37" s="68" t="str">
        <f t="shared" si="11"/>
        <v>EF-D2O-1-3</v>
      </c>
      <c r="AN37" s="68">
        <f t="shared" si="12"/>
        <v>0.36177871258887595</v>
      </c>
      <c r="AO37" s="68">
        <f t="shared" si="13"/>
        <v>0.20228177774368397</v>
      </c>
      <c r="AP37" s="68">
        <f t="shared" si="14"/>
        <v>2.1327679964523297E-2</v>
      </c>
      <c r="AQ37" s="68">
        <f t="shared" si="15"/>
        <v>0.18135017366128264</v>
      </c>
      <c r="AR37" s="68">
        <f t="shared" si="16"/>
        <v>0.23326165604163421</v>
      </c>
    </row>
    <row r="38" spans="1:44" x14ac:dyDescent="0.25">
      <c r="A38" s="56">
        <v>42593</v>
      </c>
      <c r="B38" s="55">
        <v>36</v>
      </c>
      <c r="C38" s="45" t="s">
        <v>139</v>
      </c>
      <c r="D38" s="54">
        <v>500</v>
      </c>
      <c r="E38" s="54">
        <v>1</v>
      </c>
      <c r="F38" s="58">
        <f t="shared" si="123"/>
        <v>500</v>
      </c>
      <c r="G38" s="61">
        <v>49513965</v>
      </c>
      <c r="H38" s="61">
        <v>95236545</v>
      </c>
      <c r="I38" s="61">
        <v>1137350</v>
      </c>
      <c r="J38" s="61">
        <v>829690</v>
      </c>
      <c r="K38" s="113">
        <f t="shared" si="2"/>
        <v>0.97820149694464198</v>
      </c>
      <c r="L38" s="61">
        <v>24673</v>
      </c>
      <c r="M38" s="61">
        <v>29774</v>
      </c>
      <c r="N38" s="61">
        <v>87943</v>
      </c>
      <c r="O38" s="61">
        <v>94302</v>
      </c>
      <c r="P38" s="61">
        <v>236434</v>
      </c>
      <c r="Q38" s="61">
        <v>88377</v>
      </c>
      <c r="R38" s="61">
        <v>248749</v>
      </c>
      <c r="S38" s="61">
        <v>1352</v>
      </c>
      <c r="T38" s="61"/>
      <c r="V38" s="57" t="s">
        <v>143</v>
      </c>
      <c r="W38" s="68">
        <f t="shared" si="124"/>
        <v>3.0400293739311291E-2</v>
      </c>
      <c r="X38" s="68">
        <f t="shared" si="125"/>
        <v>3.6685378583644242E-2</v>
      </c>
      <c r="Y38" s="68">
        <f t="shared" si="126"/>
        <v>0.1083570312615512</v>
      </c>
      <c r="Z38" s="68">
        <f t="shared" si="127"/>
        <v>0.11619213310925032</v>
      </c>
      <c r="AA38" s="68">
        <f t="shared" si="128"/>
        <v>0.2913169476739888</v>
      </c>
      <c r="AB38" s="68">
        <f t="shared" si="129"/>
        <v>0.1088917748064327</v>
      </c>
      <c r="AC38" s="68">
        <f t="shared" si="130"/>
        <v>0.30649060379199711</v>
      </c>
      <c r="AD38" s="68">
        <f t="shared" si="131"/>
        <v>1.6658370338243774E-3</v>
      </c>
      <c r="AE38" s="68">
        <f t="shared" si="132"/>
        <v>0</v>
      </c>
      <c r="AF38" s="68">
        <f t="shared" si="133"/>
        <v>0</v>
      </c>
      <c r="AH38" s="69">
        <f t="array" ref="AH38">Y38-SUMPRODUCT(Y$46:Y$49,TRANSPOSE(AI38:AL38))</f>
        <v>3.6657990830595288E-2</v>
      </c>
      <c r="AI38" s="69">
        <f t="array" ref="AI38">Z38-SUMPRODUCT(Z$47:Z$49,TRANSPOSE(AJ38:AL38))</f>
        <v>6.4306184543653638E-2</v>
      </c>
      <c r="AJ38" s="69">
        <f t="array" ref="AJ38">AA38-SUMPRODUCT($AA$48:$AA$49,TRANSPOSE(AK38:AL38))</f>
        <v>1.3363808488879192E-2</v>
      </c>
      <c r="AK38" s="69">
        <f t="shared" si="9"/>
        <v>0.2230221763273855</v>
      </c>
      <c r="AL38" s="69">
        <f t="shared" si="10"/>
        <v>0.59056219160777079</v>
      </c>
      <c r="AM38" s="68" t="str">
        <f t="shared" si="11"/>
        <v>EF-D2O-1-7</v>
      </c>
      <c r="AN38" s="68">
        <f t="shared" si="12"/>
        <v>3.9505876562104698E-2</v>
      </c>
      <c r="AO38" s="68">
        <f t="shared" si="13"/>
        <v>6.9302002952141908E-2</v>
      </c>
      <c r="AP38" s="68">
        <f t="shared" si="14"/>
        <v>1.4402015947928996E-2</v>
      </c>
      <c r="AQ38" s="68">
        <f t="shared" si="15"/>
        <v>0.24034832157926433</v>
      </c>
      <c r="AR38" s="68">
        <f t="shared" si="16"/>
        <v>0.63644178295856013</v>
      </c>
    </row>
    <row r="39" spans="1:44" x14ac:dyDescent="0.25">
      <c r="A39" s="56">
        <v>42593</v>
      </c>
      <c r="B39" s="55">
        <v>37</v>
      </c>
      <c r="C39" s="45" t="s">
        <v>107</v>
      </c>
      <c r="D39" s="54">
        <v>100</v>
      </c>
      <c r="E39" s="54">
        <v>500</v>
      </c>
      <c r="F39" s="58">
        <f t="shared" ref="F39:F42" si="134">D39/E39</f>
        <v>0.2</v>
      </c>
      <c r="G39" s="61">
        <v>4969773</v>
      </c>
      <c r="H39" s="61">
        <v>12400946</v>
      </c>
      <c r="I39" s="61"/>
      <c r="J39" s="61">
        <v>678257</v>
      </c>
      <c r="K39" s="113">
        <f t="shared" si="2"/>
        <v>0.98349003401365565</v>
      </c>
      <c r="L39" s="61">
        <v>16013</v>
      </c>
      <c r="M39" s="61"/>
      <c r="N39" s="61">
        <v>41052</v>
      </c>
      <c r="O39" s="61"/>
      <c r="P39" s="61">
        <v>262550</v>
      </c>
      <c r="Q39" s="61"/>
      <c r="R39" s="61">
        <v>346191</v>
      </c>
      <c r="S39" s="61">
        <v>1253</v>
      </c>
      <c r="T39" s="61"/>
      <c r="V39" s="61" t="s">
        <v>106</v>
      </c>
      <c r="W39" s="68">
        <f t="shared" ref="W39:W42" si="135">IF(L39/SUM($L39:$U39)=0,0,L39/SUM($L39:$U39))</f>
        <v>2.4005372838084786E-2</v>
      </c>
      <c r="X39" s="68">
        <f t="shared" ref="X39:X42" si="136">IF(M39/SUM($L39:$U39)=0,0,M39/SUM($L39:$U39))</f>
        <v>0</v>
      </c>
      <c r="Y39" s="68">
        <f t="shared" ref="Y39:Y42" si="137">IF(N39/SUM($L39:$U39)=0,0,N39/SUM($L39:$U39))</f>
        <v>6.1541782660904057E-2</v>
      </c>
      <c r="Z39" s="68">
        <f t="shared" ref="Z39:Z42" si="138">IF(O39/SUM($L39:$U39)=0,0,O39/SUM($L39:$U39))</f>
        <v>0</v>
      </c>
      <c r="AA39" s="68">
        <f t="shared" ref="AA39:AA42" si="139">IF(P39/SUM($L39:$U39)=0,0,P39/SUM($L39:$U39))</f>
        <v>0.39359337030157754</v>
      </c>
      <c r="AB39" s="68">
        <f t="shared" ref="AB39:AB42" si="140">IF(Q39/SUM($L39:$U39)=0,0,Q39/SUM($L39:$U39))</f>
        <v>0</v>
      </c>
      <c r="AC39" s="68">
        <f t="shared" ref="AC39:AC42" si="141">IF(R39/SUM($L39:$U39)=0,0,R39/SUM($L39:$U39))</f>
        <v>0.51898107963463502</v>
      </c>
      <c r="AD39" s="68">
        <f t="shared" ref="AD39:AD42" si="142">IF(S39/SUM($L39:$U39)=0,0,S39/SUM($L39:$U39))</f>
        <v>1.8783945647986161E-3</v>
      </c>
      <c r="AE39" s="68">
        <f t="shared" ref="AE39:AE42" si="143">IF(T39/SUM($L39:$U39)=0,0,T39/SUM($L39:$U39))</f>
        <v>0</v>
      </c>
      <c r="AF39" s="68">
        <f t="shared" ref="AF39:AF42" si="144">IF(U39/SUM($L39:$U39)=0,0,U39/SUM($L39:$U39))</f>
        <v>0</v>
      </c>
      <c r="AH39" s="69">
        <f t="array" ref="AH39">Y39-SUMPRODUCT(Y$46:Y$49,TRANSPOSE(AI39:AL39))</f>
        <v>0</v>
      </c>
      <c r="AI39" s="69">
        <f t="array" ref="AI39">Z39-SUMPRODUCT(Z$47:Z$49,TRANSPOSE(AJ39:AL39))</f>
        <v>0</v>
      </c>
      <c r="AJ39" s="69">
        <f t="array" ref="AJ39">AA39-SUMPRODUCT($AA$48:$AA$49,TRANSPOSE(AK39:AL39))</f>
        <v>0</v>
      </c>
      <c r="AK39" s="69">
        <f t="shared" si="9"/>
        <v>0</v>
      </c>
      <c r="AL39" s="69">
        <f t="shared" si="10"/>
        <v>1</v>
      </c>
      <c r="AM39" s="68" t="str">
        <f t="shared" si="11"/>
        <v>CD4</v>
      </c>
      <c r="AN39" s="68">
        <f t="shared" si="12"/>
        <v>0</v>
      </c>
      <c r="AO39" s="68">
        <f t="shared" si="13"/>
        <v>0</v>
      </c>
      <c r="AP39" s="68">
        <f t="shared" si="14"/>
        <v>0</v>
      </c>
      <c r="AQ39" s="68">
        <f t="shared" si="15"/>
        <v>0</v>
      </c>
      <c r="AR39" s="68">
        <f t="shared" si="16"/>
        <v>1</v>
      </c>
    </row>
    <row r="40" spans="1:44" x14ac:dyDescent="0.25">
      <c r="A40" s="56">
        <v>42593</v>
      </c>
      <c r="B40" s="55">
        <v>38</v>
      </c>
      <c r="C40" s="45" t="s">
        <v>152</v>
      </c>
      <c r="D40" s="54">
        <v>10</v>
      </c>
      <c r="E40" s="54">
        <v>500</v>
      </c>
      <c r="F40" s="58">
        <f t="shared" si="134"/>
        <v>0.02</v>
      </c>
      <c r="G40" s="61">
        <v>6960597</v>
      </c>
      <c r="H40" s="61">
        <v>16490428</v>
      </c>
      <c r="I40" s="61"/>
      <c r="J40" s="61">
        <v>2473196</v>
      </c>
      <c r="K40" s="113">
        <f t="shared" si="2"/>
        <v>0.98103223521306038</v>
      </c>
      <c r="L40" s="61">
        <v>93920</v>
      </c>
      <c r="M40" s="61">
        <v>235103</v>
      </c>
      <c r="N40" s="61">
        <v>890275</v>
      </c>
      <c r="O40" s="61">
        <v>1191504</v>
      </c>
      <c r="P40" s="61">
        <v>15483</v>
      </c>
      <c r="Q40" s="61"/>
      <c r="R40" s="61"/>
      <c r="S40" s="61"/>
      <c r="T40" s="61"/>
      <c r="V40" s="61" t="s">
        <v>117</v>
      </c>
      <c r="W40" s="68">
        <f t="shared" si="135"/>
        <v>3.8709384923865088E-2</v>
      </c>
      <c r="X40" s="68">
        <f t="shared" si="136"/>
        <v>9.6898344588537619E-2</v>
      </c>
      <c r="Y40" s="68">
        <f t="shared" si="137"/>
        <v>0.36692927665134145</v>
      </c>
      <c r="Z40" s="68">
        <f t="shared" si="138"/>
        <v>0.49108163303156882</v>
      </c>
      <c r="AA40" s="68">
        <f t="shared" si="139"/>
        <v>6.381360804687001E-3</v>
      </c>
      <c r="AB40" s="68">
        <f t="shared" si="140"/>
        <v>0</v>
      </c>
      <c r="AC40" s="68">
        <f t="shared" si="141"/>
        <v>0</v>
      </c>
      <c r="AD40" s="68">
        <f t="shared" si="142"/>
        <v>0</v>
      </c>
      <c r="AE40" s="68">
        <f t="shared" si="143"/>
        <v>0</v>
      </c>
      <c r="AF40" s="68">
        <f t="shared" si="144"/>
        <v>0</v>
      </c>
      <c r="AH40" s="69">
        <f t="array" ref="AH40">Y40-SUMPRODUCT(Y$46:Y$49,TRANSPOSE(AI40:AL40))</f>
        <v>0.18655219333506642</v>
      </c>
      <c r="AI40" s="69">
        <f t="array" ref="AI40">Z40-SUMPRODUCT(Z$47:Z$49,TRANSPOSE(AJ40:AL40))</f>
        <v>0.4891532148980407</v>
      </c>
      <c r="AJ40" s="69">
        <f t="array" ref="AJ40">AA40-SUMPRODUCT($AA$48:$AA$49,TRANSPOSE(AK40:AL40))</f>
        <v>6.381360804687001E-3</v>
      </c>
      <c r="AK40" s="69">
        <f t="shared" si="9"/>
        <v>0</v>
      </c>
      <c r="AL40" s="69">
        <f t="shared" si="10"/>
        <v>0</v>
      </c>
      <c r="AM40" s="68" t="str">
        <f t="shared" si="11"/>
        <v>CH3D</v>
      </c>
      <c r="AN40" s="68">
        <f t="shared" si="12"/>
        <v>0.27350214342704787</v>
      </c>
      <c r="AO40" s="68">
        <f t="shared" si="13"/>
        <v>0.71714221284203938</v>
      </c>
      <c r="AP40" s="68">
        <f t="shared" si="14"/>
        <v>9.3556437309127941E-3</v>
      </c>
      <c r="AQ40" s="68">
        <f t="shared" si="15"/>
        <v>0</v>
      </c>
      <c r="AR40" s="68">
        <f t="shared" si="16"/>
        <v>0</v>
      </c>
    </row>
    <row r="41" spans="1:44" x14ac:dyDescent="0.25">
      <c r="A41" s="56">
        <v>42593</v>
      </c>
      <c r="B41" s="55">
        <v>39</v>
      </c>
      <c r="E41" s="54">
        <v>1</v>
      </c>
      <c r="F41" s="58">
        <f t="shared" si="134"/>
        <v>0</v>
      </c>
      <c r="G41" s="61"/>
      <c r="H41" s="61"/>
      <c r="I41" s="61"/>
      <c r="J41" s="61"/>
      <c r="K41" s="114"/>
      <c r="L41" s="61"/>
      <c r="M41" s="61"/>
      <c r="N41" s="61"/>
      <c r="O41" s="61"/>
      <c r="P41" s="61"/>
      <c r="Q41" s="61"/>
      <c r="R41" s="61"/>
      <c r="S41" s="61"/>
      <c r="T41" s="61"/>
      <c r="V41" s="61"/>
      <c r="W41" s="68" t="e">
        <f t="shared" si="135"/>
        <v>#DIV/0!</v>
      </c>
      <c r="X41" s="68" t="e">
        <f t="shared" si="136"/>
        <v>#DIV/0!</v>
      </c>
      <c r="Y41" s="68" t="e">
        <f t="shared" si="137"/>
        <v>#DIV/0!</v>
      </c>
      <c r="Z41" s="68" t="e">
        <f t="shared" si="138"/>
        <v>#DIV/0!</v>
      </c>
      <c r="AA41" s="68" t="e">
        <f t="shared" si="139"/>
        <v>#DIV/0!</v>
      </c>
      <c r="AB41" s="68" t="e">
        <f t="shared" si="140"/>
        <v>#DIV/0!</v>
      </c>
      <c r="AC41" s="68" t="e">
        <f t="shared" si="141"/>
        <v>#DIV/0!</v>
      </c>
      <c r="AD41" s="68" t="e">
        <f t="shared" si="142"/>
        <v>#DIV/0!</v>
      </c>
      <c r="AE41" s="68" t="e">
        <f t="shared" si="143"/>
        <v>#DIV/0!</v>
      </c>
      <c r="AF41" s="68" t="e">
        <f t="shared" si="144"/>
        <v>#DIV/0!</v>
      </c>
      <c r="AH41" s="69"/>
      <c r="AI41" s="69"/>
      <c r="AJ41" s="69"/>
      <c r="AK41" s="69"/>
      <c r="AL41" s="69"/>
      <c r="AM41" s="68"/>
      <c r="AN41" s="68"/>
      <c r="AO41" s="68"/>
      <c r="AP41" s="68"/>
      <c r="AQ41" s="68"/>
      <c r="AR41" s="68"/>
    </row>
    <row r="42" spans="1:44" x14ac:dyDescent="0.25">
      <c r="A42" s="56">
        <v>42593</v>
      </c>
      <c r="B42" s="55">
        <v>40</v>
      </c>
      <c r="E42" s="54">
        <v>1</v>
      </c>
      <c r="F42" s="58">
        <f t="shared" si="134"/>
        <v>0</v>
      </c>
      <c r="G42" s="61"/>
      <c r="H42" s="61"/>
      <c r="I42" s="61"/>
      <c r="J42" s="61"/>
      <c r="K42" s="114"/>
      <c r="L42" s="61"/>
      <c r="M42" s="61"/>
      <c r="N42" s="61"/>
      <c r="O42" s="61"/>
      <c r="P42" s="61"/>
      <c r="Q42" s="61"/>
      <c r="R42" s="61"/>
      <c r="S42" s="61"/>
      <c r="T42" s="61"/>
      <c r="V42" s="61"/>
      <c r="W42" s="68" t="e">
        <f t="shared" si="135"/>
        <v>#DIV/0!</v>
      </c>
      <c r="X42" s="68" t="e">
        <f t="shared" si="136"/>
        <v>#DIV/0!</v>
      </c>
      <c r="Y42" s="68" t="e">
        <f t="shared" si="137"/>
        <v>#DIV/0!</v>
      </c>
      <c r="Z42" s="68" t="e">
        <f t="shared" si="138"/>
        <v>#DIV/0!</v>
      </c>
      <c r="AA42" s="68" t="e">
        <f t="shared" si="139"/>
        <v>#DIV/0!</v>
      </c>
      <c r="AB42" s="68" t="e">
        <f t="shared" si="140"/>
        <v>#DIV/0!</v>
      </c>
      <c r="AC42" s="68" t="e">
        <f t="shared" si="141"/>
        <v>#DIV/0!</v>
      </c>
      <c r="AD42" s="68" t="e">
        <f t="shared" si="142"/>
        <v>#DIV/0!</v>
      </c>
      <c r="AE42" s="68" t="e">
        <f t="shared" si="143"/>
        <v>#DIV/0!</v>
      </c>
      <c r="AF42" s="68" t="e">
        <f t="shared" si="144"/>
        <v>#DIV/0!</v>
      </c>
      <c r="AH42" s="69"/>
      <c r="AI42" s="69"/>
      <c r="AJ42" s="69"/>
      <c r="AK42" s="69"/>
      <c r="AL42" s="69"/>
      <c r="AM42" s="68"/>
      <c r="AN42" s="68"/>
      <c r="AO42" s="68"/>
      <c r="AP42" s="68"/>
      <c r="AQ42" s="68"/>
      <c r="AR42" s="68"/>
    </row>
    <row r="43" spans="1:44" x14ac:dyDescent="0.25"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</row>
    <row r="44" spans="1:44" x14ac:dyDescent="0.25">
      <c r="U44" s="60"/>
      <c r="V44" s="59" t="s">
        <v>122</v>
      </c>
      <c r="W44" s="59">
        <v>14</v>
      </c>
      <c r="X44" s="59">
        <v>15</v>
      </c>
      <c r="Y44" s="59">
        <v>16</v>
      </c>
      <c r="Z44" s="59">
        <v>17</v>
      </c>
      <c r="AA44" s="59">
        <v>18</v>
      </c>
      <c r="AB44" s="59">
        <v>19</v>
      </c>
      <c r="AC44" s="59">
        <v>20</v>
      </c>
      <c r="AD44" s="59">
        <v>21</v>
      </c>
      <c r="AE44" s="59">
        <v>22</v>
      </c>
      <c r="AF44" s="59">
        <v>23</v>
      </c>
    </row>
    <row r="45" spans="1:44" x14ac:dyDescent="0.25">
      <c r="T45" s="57">
        <v>17</v>
      </c>
      <c r="U45" s="104" t="s">
        <v>163</v>
      </c>
      <c r="V45" s="61" t="s">
        <v>101</v>
      </c>
      <c r="W45" s="95">
        <v>8.3591646868654404E-2</v>
      </c>
      <c r="X45" s="96">
        <v>0.40864306361927222</v>
      </c>
      <c r="Y45" s="96">
        <v>0.50049967681915608</v>
      </c>
      <c r="Z45" s="96">
        <v>6.8880843643649766E-3</v>
      </c>
      <c r="AA45" s="96">
        <v>0</v>
      </c>
      <c r="AB45" s="96">
        <v>3.7752832855229563E-4</v>
      </c>
      <c r="AC45" s="96">
        <v>0</v>
      </c>
      <c r="AD45" s="96">
        <v>0</v>
      </c>
      <c r="AE45" s="96">
        <v>0</v>
      </c>
      <c r="AF45" s="97">
        <v>0</v>
      </c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</row>
    <row r="46" spans="1:44" x14ac:dyDescent="0.25">
      <c r="T46" s="57">
        <v>38</v>
      </c>
      <c r="V46" s="61" t="s">
        <v>117</v>
      </c>
      <c r="W46" s="98">
        <v>3.8709384923865088E-2</v>
      </c>
      <c r="X46" s="99">
        <v>9.6898344588537619E-2</v>
      </c>
      <c r="Y46" s="99">
        <v>0.36692927665134145</v>
      </c>
      <c r="Z46" s="99">
        <v>0.49108163303156882</v>
      </c>
      <c r="AA46" s="99">
        <v>6.381360804687001E-3</v>
      </c>
      <c r="AB46" s="99">
        <v>0</v>
      </c>
      <c r="AC46" s="99">
        <v>0</v>
      </c>
      <c r="AD46" s="99">
        <v>0</v>
      </c>
      <c r="AE46" s="99">
        <v>0</v>
      </c>
      <c r="AF46" s="100">
        <v>0</v>
      </c>
    </row>
    <row r="47" spans="1:44" x14ac:dyDescent="0.25">
      <c r="T47" s="57">
        <v>5</v>
      </c>
      <c r="V47" s="61" t="s">
        <v>118</v>
      </c>
      <c r="W47" s="98">
        <v>2.4053878209966535E-2</v>
      </c>
      <c r="X47" s="99">
        <v>4.4852001712943949E-2</v>
      </c>
      <c r="Y47" s="99">
        <v>0.13985230256895848</v>
      </c>
      <c r="Z47" s="99">
        <v>0.30219543958582507</v>
      </c>
      <c r="AA47" s="99">
        <v>0.48241259077142651</v>
      </c>
      <c r="AB47" s="99">
        <v>6.6337871508794673E-3</v>
      </c>
      <c r="AC47" s="99">
        <v>0</v>
      </c>
      <c r="AD47" s="99">
        <v>0</v>
      </c>
      <c r="AE47" s="99">
        <v>0</v>
      </c>
      <c r="AF47" s="100">
        <v>0</v>
      </c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</row>
    <row r="48" spans="1:44" x14ac:dyDescent="0.25">
      <c r="T48" s="57">
        <v>26</v>
      </c>
      <c r="V48" s="61" t="s">
        <v>119</v>
      </c>
      <c r="W48" s="98">
        <v>2.235048153680411E-2</v>
      </c>
      <c r="X48" s="99">
        <v>2.2299687838232732E-2</v>
      </c>
      <c r="Y48" s="99">
        <v>4.4345407183608562E-2</v>
      </c>
      <c r="Z48" s="99">
        <v>0.21454129527693852</v>
      </c>
      <c r="AA48" s="99">
        <v>0.20406838713075803</v>
      </c>
      <c r="AB48" s="99">
        <v>0.48825536814143977</v>
      </c>
      <c r="AC48" s="99">
        <v>4.1393728922182798E-3</v>
      </c>
      <c r="AD48" s="99">
        <v>0</v>
      </c>
      <c r="AE48" s="99">
        <v>0</v>
      </c>
      <c r="AF48" s="100">
        <v>0</v>
      </c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</row>
    <row r="49" spans="20:44" x14ac:dyDescent="0.25">
      <c r="T49" s="57">
        <v>37</v>
      </c>
      <c r="V49" s="61" t="s">
        <v>106</v>
      </c>
      <c r="W49" s="101">
        <v>2.4005372838084786E-2</v>
      </c>
      <c r="X49" s="102">
        <v>0</v>
      </c>
      <c r="Y49" s="102">
        <v>6.1541782660904057E-2</v>
      </c>
      <c r="Z49" s="102">
        <v>0</v>
      </c>
      <c r="AA49" s="102">
        <v>0.39359337030157754</v>
      </c>
      <c r="AB49" s="102">
        <v>0</v>
      </c>
      <c r="AC49" s="102">
        <v>0.51898107963463502</v>
      </c>
      <c r="AD49" s="102">
        <v>1.8783945647986161E-3</v>
      </c>
      <c r="AE49" s="102">
        <v>0</v>
      </c>
      <c r="AF49" s="103">
        <v>0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</row>
    <row r="50" spans="20:44" x14ac:dyDescent="0.25">
      <c r="V50" s="61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9" t="s">
        <v>126</v>
      </c>
      <c r="AI50" s="69"/>
      <c r="AJ50" s="69"/>
      <c r="AK50" s="69"/>
      <c r="AL50" s="69"/>
      <c r="AM50" s="68"/>
      <c r="AN50" s="68" t="s">
        <v>127</v>
      </c>
      <c r="AO50" s="68"/>
      <c r="AP50" s="68"/>
      <c r="AQ50" s="68"/>
      <c r="AR50" s="68"/>
    </row>
    <row r="51" spans="20:44" x14ac:dyDescent="0.25">
      <c r="T51" s="57">
        <v>15</v>
      </c>
      <c r="U51" s="104" t="s">
        <v>164</v>
      </c>
      <c r="V51" s="61" t="s">
        <v>167</v>
      </c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70" t="s">
        <v>101</v>
      </c>
      <c r="AI51" s="70" t="s">
        <v>117</v>
      </c>
      <c r="AJ51" s="70" t="s">
        <v>118</v>
      </c>
      <c r="AK51" s="70" t="s">
        <v>119</v>
      </c>
      <c r="AL51" s="70" t="s">
        <v>106</v>
      </c>
      <c r="AM51" s="59"/>
      <c r="AN51" s="59" t="s">
        <v>101</v>
      </c>
      <c r="AO51" s="59" t="s">
        <v>117</v>
      </c>
      <c r="AP51" s="59" t="s">
        <v>118</v>
      </c>
      <c r="AQ51" s="59" t="s">
        <v>119</v>
      </c>
      <c r="AR51" s="59" t="s">
        <v>106</v>
      </c>
    </row>
    <row r="52" spans="20:44" x14ac:dyDescent="0.25">
      <c r="T52" s="57">
        <v>29</v>
      </c>
      <c r="V52" s="61" t="s">
        <v>125</v>
      </c>
      <c r="W52" s="95">
        <v>7.7454101824024763E-2</v>
      </c>
      <c r="X52" s="96">
        <v>0.35087928110215133</v>
      </c>
      <c r="Y52" s="96">
        <v>0.57166661707382393</v>
      </c>
      <c r="Z52" s="96">
        <v>0</v>
      </c>
      <c r="AA52" s="96">
        <v>0</v>
      </c>
      <c r="AB52" s="96">
        <v>0</v>
      </c>
      <c r="AC52" s="96">
        <v>0</v>
      </c>
      <c r="AD52" s="96">
        <v>0</v>
      </c>
      <c r="AE52" s="96">
        <v>0</v>
      </c>
      <c r="AF52" s="97">
        <v>0</v>
      </c>
      <c r="AH52" s="69">
        <f t="array" ref="AH52">Y52-SUMPRODUCT(Y$46:Y$49,TRANSPOSE(AI52:AL52))</f>
        <v>0.57166661707382393</v>
      </c>
      <c r="AI52" s="69">
        <f t="array" ref="AI52">Z52-SUMPRODUCT(Z$47:Z$49,TRANSPOSE(AJ52:AL52))</f>
        <v>0</v>
      </c>
      <c r="AJ52" s="69">
        <f t="array" ref="AJ52">AA52-SUMPRODUCT($AA$48:$AA$49,TRANSPOSE(AK52:AL52))</f>
        <v>0</v>
      </c>
      <c r="AK52" s="69">
        <f>AB52/$AB$48</f>
        <v>0</v>
      </c>
      <c r="AL52" s="69">
        <f>AC52/$AC$49</f>
        <v>0</v>
      </c>
      <c r="AM52" s="68" t="str">
        <f t="shared" ref="AM52:AM57" si="145">V52</f>
        <v>EF-D2O-1-2</v>
      </c>
      <c r="AN52" s="68">
        <f t="shared" ref="AN52:AN60" si="146">AH52/SUM($AH52:$AL52)</f>
        <v>1</v>
      </c>
      <c r="AO52" s="68">
        <f t="shared" ref="AO52:AO60" si="147">AI52/SUM($AH52:$AL52)</f>
        <v>0</v>
      </c>
      <c r="AP52" s="68">
        <f t="shared" ref="AP52:AP60" si="148">AJ52/SUM($AH52:$AL52)</f>
        <v>0</v>
      </c>
      <c r="AQ52" s="68">
        <f t="shared" ref="AQ52:AQ60" si="149">AK52/SUM($AH52:$AL52)</f>
        <v>0</v>
      </c>
      <c r="AR52" s="68">
        <f t="shared" ref="AR52:AR60" si="150">AL52/SUM($AH52:$AL52)</f>
        <v>0</v>
      </c>
    </row>
    <row r="53" spans="20:44" x14ac:dyDescent="0.25">
      <c r="T53" s="57">
        <v>35</v>
      </c>
      <c r="V53" s="61" t="s">
        <v>130</v>
      </c>
      <c r="W53" s="98">
        <v>5.7957952259876287E-2</v>
      </c>
      <c r="X53" s="99">
        <v>0.15177792114151265</v>
      </c>
      <c r="Y53" s="99">
        <v>0.34115403589996585</v>
      </c>
      <c r="Z53" s="99">
        <v>0.18310500550263747</v>
      </c>
      <c r="AA53" s="99">
        <v>0.11102045463170278</v>
      </c>
      <c r="AB53" s="99">
        <v>6.5471898599673631E-2</v>
      </c>
      <c r="AC53" s="99">
        <v>8.9512731964631317E-2</v>
      </c>
      <c r="AD53" s="99">
        <v>0</v>
      </c>
      <c r="AE53" s="99">
        <v>0</v>
      </c>
      <c r="AF53" s="100">
        <v>0</v>
      </c>
      <c r="AH53" s="69">
        <f t="array" ref="AH53">Y53-SUMPRODUCT(Y$46:Y$49,TRANSPOSE(AI53:AL53))</f>
        <v>0.26750563902646118</v>
      </c>
      <c r="AI53" s="69">
        <f t="array" ref="AI53">Z53-SUMPRODUCT(Z$47:Z$49,TRANSPOSE(AJ53:AL53))</f>
        <v>0.14957075785778726</v>
      </c>
      <c r="AJ53" s="69">
        <f t="array" ref="AJ53">AA53-SUMPRODUCT($AA$48:$AA$49,TRANSPOSE(AK53:AL53))</f>
        <v>1.5770067334904561E-2</v>
      </c>
      <c r="AK53" s="69">
        <f t="shared" ref="AK53:AK60" si="151">AB53/$AB$48</f>
        <v>0.13409355610137905</v>
      </c>
      <c r="AL53" s="69">
        <f t="shared" ref="AL53:AL60" si="152">AC53/$AC$49</f>
        <v>0.17247783296386965</v>
      </c>
      <c r="AM53" s="68" t="str">
        <f t="shared" si="145"/>
        <v>EF-D2O-1-3</v>
      </c>
      <c r="AN53" s="68">
        <f t="shared" si="146"/>
        <v>0.36177871258887595</v>
      </c>
      <c r="AO53" s="68">
        <f t="shared" si="147"/>
        <v>0.20228177774368397</v>
      </c>
      <c r="AP53" s="68">
        <f t="shared" si="148"/>
        <v>2.1327679964523297E-2</v>
      </c>
      <c r="AQ53" s="68">
        <f t="shared" si="149"/>
        <v>0.18135017366128264</v>
      </c>
      <c r="AR53" s="68">
        <f t="shared" si="150"/>
        <v>0.23326165604163421</v>
      </c>
    </row>
    <row r="54" spans="20:44" x14ac:dyDescent="0.25">
      <c r="T54" s="57">
        <v>31</v>
      </c>
      <c r="V54" s="61" t="s">
        <v>131</v>
      </c>
      <c r="W54" s="98">
        <v>4.6850629874025197E-2</v>
      </c>
      <c r="X54" s="99">
        <v>0.11455458908218356</v>
      </c>
      <c r="Y54" s="99">
        <v>0.21811637672465506</v>
      </c>
      <c r="Z54" s="99">
        <v>0.18871850629874026</v>
      </c>
      <c r="AA54" s="99">
        <v>0.18691886622675466</v>
      </c>
      <c r="AB54" s="99">
        <v>7.359028194361128E-2</v>
      </c>
      <c r="AC54" s="99">
        <v>0.17125074985003</v>
      </c>
      <c r="AD54" s="99">
        <v>0</v>
      </c>
      <c r="AE54" s="99">
        <v>0</v>
      </c>
      <c r="AF54" s="100">
        <v>0</v>
      </c>
      <c r="AH54" s="69">
        <f t="array" ref="AH54">Y54-SUMPRODUCT(Y$46:Y$49,TRANSPOSE(AI54:AL54))</f>
        <v>0.13298253982844138</v>
      </c>
      <c r="AI54" s="69">
        <f t="array" ref="AI54">Z54-SUMPRODUCT(Z$47:Z$49,TRANSPOSE(AJ54:AL54))</f>
        <v>0.14843927878879526</v>
      </c>
      <c r="AJ54" s="69">
        <f t="array" ref="AJ54">AA54-SUMPRODUCT($AA$48:$AA$49,TRANSPOSE(AK54:AL54))</f>
        <v>2.6285549833269639E-2</v>
      </c>
      <c r="AK54" s="69">
        <f t="shared" si="151"/>
        <v>0.15072088653881088</v>
      </c>
      <c r="AL54" s="69">
        <f t="shared" si="152"/>
        <v>0.32997493852876347</v>
      </c>
      <c r="AM54" s="68" t="str">
        <f t="shared" si="145"/>
        <v>EF-D2O-1-4</v>
      </c>
      <c r="AN54" s="68">
        <f t="shared" si="146"/>
        <v>0.16867326378402303</v>
      </c>
      <c r="AO54" s="68">
        <f t="shared" si="147"/>
        <v>0.18827838345810946</v>
      </c>
      <c r="AP54" s="68">
        <f t="shared" si="148"/>
        <v>3.3340237646648785E-2</v>
      </c>
      <c r="AQ54" s="68">
        <f t="shared" si="149"/>
        <v>0.19117234402140251</v>
      </c>
      <c r="AR54" s="68">
        <f t="shared" si="150"/>
        <v>0.41853577108981621</v>
      </c>
    </row>
    <row r="55" spans="20:44" x14ac:dyDescent="0.25">
      <c r="T55" s="57">
        <v>30</v>
      </c>
      <c r="V55" s="61" t="s">
        <v>136</v>
      </c>
      <c r="W55" s="98">
        <v>4.1326315075378435E-2</v>
      </c>
      <c r="X55" s="99">
        <v>8.1816976413596185E-2</v>
      </c>
      <c r="Y55" s="99">
        <v>0.17760879687447001</v>
      </c>
      <c r="Z55" s="99">
        <v>0.19234220483075698</v>
      </c>
      <c r="AA55" s="99">
        <v>0.19643104931590485</v>
      </c>
      <c r="AB55" s="99">
        <v>0.10414527423935467</v>
      </c>
      <c r="AC55" s="99">
        <v>0.20632938325053884</v>
      </c>
      <c r="AD55" s="99">
        <v>0</v>
      </c>
      <c r="AE55" s="99">
        <v>0</v>
      </c>
      <c r="AF55" s="100">
        <v>0</v>
      </c>
      <c r="AH55" s="69">
        <f t="array" ref="AH55">Y55-SUMPRODUCT(Y$46:Y$49,TRANSPOSE(AI55:AL55))</f>
        <v>9.0001917659321015E-2</v>
      </c>
      <c r="AI55" s="69">
        <f t="array" ref="AI55">Z55-SUMPRODUCT(Z$47:Z$49,TRANSPOSE(AJ55:AL55))</f>
        <v>0.1476611295957172</v>
      </c>
      <c r="AJ55" s="69">
        <f t="array" ref="AJ55">AA55-SUMPRODUCT($AA$48:$AA$49,TRANSPOSE(AK55:AL55))</f>
        <v>-3.576363238806779E-3</v>
      </c>
      <c r="AK55" s="69">
        <f t="shared" si="151"/>
        <v>0.21330082787576327</v>
      </c>
      <c r="AL55" s="69">
        <f t="shared" si="152"/>
        <v>0.39756629161856083</v>
      </c>
      <c r="AM55" s="68" t="str">
        <f t="shared" si="145"/>
        <v>EF-D2O-1-5</v>
      </c>
      <c r="AN55" s="68">
        <f t="shared" si="146"/>
        <v>0.10651696848441571</v>
      </c>
      <c r="AO55" s="68">
        <f t="shared" si="147"/>
        <v>0.17475645293532613</v>
      </c>
      <c r="AP55" s="68">
        <f t="shared" si="148"/>
        <v>-4.2326139298361079E-3</v>
      </c>
      <c r="AQ55" s="68">
        <f t="shared" si="149"/>
        <v>0.25244081627842346</v>
      </c>
      <c r="AR55" s="68">
        <f t="shared" si="150"/>
        <v>0.47051837623167087</v>
      </c>
    </row>
    <row r="56" spans="20:44" x14ac:dyDescent="0.25">
      <c r="T56" s="57">
        <v>33</v>
      </c>
      <c r="V56" s="61" t="s">
        <v>140</v>
      </c>
      <c r="W56" s="98">
        <v>4.0795062915765005E-2</v>
      </c>
      <c r="X56" s="99">
        <v>6.9911036306804522E-2</v>
      </c>
      <c r="Y56" s="99">
        <v>0.16626753225935723</v>
      </c>
      <c r="Z56" s="99">
        <v>0.17360583473591409</v>
      </c>
      <c r="AA56" s="99">
        <v>0.2058379418129358</v>
      </c>
      <c r="AB56" s="99">
        <v>0.10673078464374448</v>
      </c>
      <c r="AC56" s="99">
        <v>0.23685180732547889</v>
      </c>
      <c r="AD56" s="99">
        <v>0</v>
      </c>
      <c r="AE56" s="99">
        <v>0</v>
      </c>
      <c r="AF56" s="100">
        <v>0</v>
      </c>
      <c r="AH56" s="69">
        <f t="array" ref="AH56">Y56-SUMPRODUCT(Y$46:Y$49,TRANSPOSE(AI56:AL56))</f>
        <v>8.2527560777244241E-2</v>
      </c>
      <c r="AI56" s="69">
        <f t="array" ref="AI56">Z56-SUMPRODUCT(Z$47:Z$49,TRANSPOSE(AJ56:AL56))</f>
        <v>0.13226776515379071</v>
      </c>
      <c r="AJ56" s="69">
        <f t="array" ref="AJ56">AA56-SUMPRODUCT($AA$48:$AA$49,TRANSPOSE(AK56:AL56))</f>
        <v>-1.8398191525196755E-2</v>
      </c>
      <c r="AK56" s="69">
        <f t="shared" si="151"/>
        <v>0.21859623387248919</v>
      </c>
      <c r="AL56" s="69">
        <f t="shared" si="152"/>
        <v>0.45637850129762653</v>
      </c>
      <c r="AM56" s="68" t="str">
        <f t="shared" si="145"/>
        <v>EF-D2O-1-6(1)</v>
      </c>
      <c r="AN56" s="68">
        <f t="shared" si="146"/>
        <v>9.4709920825658059E-2</v>
      </c>
      <c r="AO56" s="68">
        <f t="shared" si="147"/>
        <v>0.15179255811661416</v>
      </c>
      <c r="AP56" s="68">
        <f t="shared" si="148"/>
        <v>-2.1114052642243416E-2</v>
      </c>
      <c r="AQ56" s="68">
        <f t="shared" si="149"/>
        <v>0.25086446040410654</v>
      </c>
      <c r="AR56" s="68">
        <f t="shared" si="150"/>
        <v>0.52374711329586465</v>
      </c>
    </row>
    <row r="57" spans="20:44" x14ac:dyDescent="0.25">
      <c r="T57" s="57">
        <v>32</v>
      </c>
      <c r="V57" s="61" t="s">
        <v>141</v>
      </c>
      <c r="W57" s="98">
        <v>3.8069958119506871E-2</v>
      </c>
      <c r="X57" s="99">
        <v>6.6320611887768138E-2</v>
      </c>
      <c r="Y57" s="99">
        <v>0.17878448258911894</v>
      </c>
      <c r="Z57" s="99">
        <v>0.16083682337442734</v>
      </c>
      <c r="AA57" s="99">
        <v>0.21886785033130812</v>
      </c>
      <c r="AB57" s="99">
        <v>9.7729015513478443E-2</v>
      </c>
      <c r="AC57" s="99">
        <v>0.23939125818439214</v>
      </c>
      <c r="AD57" s="99">
        <v>0</v>
      </c>
      <c r="AE57" s="99">
        <v>0</v>
      </c>
      <c r="AF57" s="100">
        <v>0</v>
      </c>
      <c r="AH57" s="69">
        <f t="array" ref="AH57">Y57-SUMPRODUCT(Y$46:Y$49,TRANSPOSE(AI57:AL57))</f>
        <v>9.8364277290105537E-2</v>
      </c>
      <c r="AI57" s="69">
        <f t="array" ref="AI57">Z57-SUMPRODUCT(Z$47:Z$49,TRANSPOSE(AJ57:AL57))</f>
        <v>0.11896163015883987</v>
      </c>
      <c r="AJ57" s="69">
        <f t="array" ref="AJ57">AA57-SUMPRODUCT($AA$48:$AA$49,TRANSPOSE(AK57:AL57))</f>
        <v>-3.5318660227524334E-3</v>
      </c>
      <c r="AK57" s="69">
        <f t="shared" si="151"/>
        <v>0.20015963344240775</v>
      </c>
      <c r="AL57" s="69">
        <f t="shared" si="152"/>
        <v>0.46127164857902841</v>
      </c>
      <c r="AM57" s="68" t="str">
        <f t="shared" si="145"/>
        <v>EF-D2O-1-6(2)</v>
      </c>
      <c r="AN57" s="68">
        <f t="shared" si="146"/>
        <v>0.11238737574757954</v>
      </c>
      <c r="AO57" s="68">
        <f t="shared" si="147"/>
        <v>0.13592114735692765</v>
      </c>
      <c r="AP57" s="68">
        <f t="shared" si="148"/>
        <v>-4.0353791510967059E-3</v>
      </c>
      <c r="AQ57" s="68">
        <f t="shared" si="149"/>
        <v>0.22869497497393276</v>
      </c>
      <c r="AR57" s="68">
        <f t="shared" si="150"/>
        <v>0.52703188107265675</v>
      </c>
    </row>
    <row r="58" spans="20:44" x14ac:dyDescent="0.25">
      <c r="T58" s="57">
        <v>36</v>
      </c>
      <c r="V58" s="57" t="s">
        <v>143</v>
      </c>
      <c r="W58" s="98">
        <v>3.0400293739311291E-2</v>
      </c>
      <c r="X58" s="99">
        <v>3.6685378583644242E-2</v>
      </c>
      <c r="Y58" s="99">
        <v>0.1083570312615512</v>
      </c>
      <c r="Z58" s="99">
        <v>0.11619213310925032</v>
      </c>
      <c r="AA58" s="99">
        <v>0.2913169476739888</v>
      </c>
      <c r="AB58" s="99">
        <v>0.1088917748064327</v>
      </c>
      <c r="AC58" s="99">
        <v>0.30649060379199711</v>
      </c>
      <c r="AD58" s="99">
        <v>1.6658370338243774E-3</v>
      </c>
      <c r="AE58" s="99">
        <v>0</v>
      </c>
      <c r="AF58" s="100">
        <v>0</v>
      </c>
      <c r="AH58" s="69">
        <f t="array" ref="AH58">Y58-SUMPRODUCT(Y$46:Y$49,TRANSPOSE(AI58:AL58))</f>
        <v>3.6657990830595288E-2</v>
      </c>
      <c r="AI58" s="69">
        <f t="array" ref="AI58">Z58-SUMPRODUCT(Z$47:Z$49,TRANSPOSE(AJ58:AL58))</f>
        <v>6.4306184543653638E-2</v>
      </c>
      <c r="AJ58" s="69">
        <f t="array" ref="AJ58">AA58-SUMPRODUCT($AA$48:$AA$49,TRANSPOSE(AK58:AL58))</f>
        <v>1.3363808488879192E-2</v>
      </c>
      <c r="AK58" s="69">
        <f t="shared" si="151"/>
        <v>0.2230221763273855</v>
      </c>
      <c r="AL58" s="69">
        <f t="shared" si="152"/>
        <v>0.59056219160777079</v>
      </c>
      <c r="AM58" s="68" t="str">
        <f t="shared" ref="AM58:AM59" si="153">V58</f>
        <v>EF-D2O-1-7</v>
      </c>
      <c r="AN58" s="68">
        <f t="shared" si="146"/>
        <v>3.9505876562104698E-2</v>
      </c>
      <c r="AO58" s="68">
        <f t="shared" si="147"/>
        <v>6.9302002952141908E-2</v>
      </c>
      <c r="AP58" s="68">
        <f t="shared" si="148"/>
        <v>1.4402015947928996E-2</v>
      </c>
      <c r="AQ58" s="68">
        <f t="shared" si="149"/>
        <v>0.24034832157926433</v>
      </c>
      <c r="AR58" s="68">
        <f t="shared" si="150"/>
        <v>0.63644178295856013</v>
      </c>
    </row>
    <row r="59" spans="20:44" x14ac:dyDescent="0.25">
      <c r="T59" s="57">
        <v>25</v>
      </c>
      <c r="V59" s="57" t="s">
        <v>145</v>
      </c>
      <c r="W59" s="98">
        <v>2.520505133763544E-2</v>
      </c>
      <c r="X59" s="99">
        <v>2.9187844205381428E-2</v>
      </c>
      <c r="Y59" s="99">
        <v>0.10014072245246998</v>
      </c>
      <c r="Z59" s="99">
        <v>0.10198131035960474</v>
      </c>
      <c r="AA59" s="99">
        <v>0.3020369044149015</v>
      </c>
      <c r="AB59" s="99">
        <v>0.10542312288023535</v>
      </c>
      <c r="AC59" s="99">
        <v>0.33231250036194049</v>
      </c>
      <c r="AD59" s="99">
        <v>3.7125439878310791E-3</v>
      </c>
      <c r="AE59" s="99">
        <v>0</v>
      </c>
      <c r="AF59" s="100">
        <v>0</v>
      </c>
      <c r="AH59" s="69">
        <f t="array" ref="AH59">Y59-SUMPRODUCT(Y$46:Y$49,TRANSPOSE(AI59:AL59))</f>
        <v>3.0564579693273738E-2</v>
      </c>
      <c r="AI59" s="69">
        <f t="array" ref="AI59">Z59-SUMPRODUCT(Z$47:Z$49,TRANSPOSE(AJ59:AL59))</f>
        <v>5.3859838340624466E-2</v>
      </c>
      <c r="AJ59" s="69">
        <f t="array" ref="AJ59">AA59-SUMPRODUCT($AA$48:$AA$49,TRANSPOSE(AK59:AL59))</f>
        <v>5.9502701139203529E-3</v>
      </c>
      <c r="AK59" s="69">
        <f t="shared" si="151"/>
        <v>0.21591800061826655</v>
      </c>
      <c r="AL59" s="69">
        <f t="shared" si="152"/>
        <v>0.64031717802870569</v>
      </c>
      <c r="AM59" s="68" t="str">
        <f t="shared" si="153"/>
        <v>EF-D2O-1-8</v>
      </c>
      <c r="AN59" s="68">
        <f t="shared" si="146"/>
        <v>3.2288465148546386E-2</v>
      </c>
      <c r="AO59" s="68">
        <f t="shared" si="147"/>
        <v>5.6897609279093195E-2</v>
      </c>
      <c r="AP59" s="68">
        <f t="shared" si="148"/>
        <v>6.2858737507859421E-3</v>
      </c>
      <c r="AQ59" s="68">
        <f t="shared" si="149"/>
        <v>0.22809608075326976</v>
      </c>
      <c r="AR59" s="68">
        <f t="shared" si="150"/>
        <v>0.67643197106830466</v>
      </c>
    </row>
    <row r="60" spans="20:44" x14ac:dyDescent="0.25">
      <c r="T60" s="57">
        <v>34</v>
      </c>
      <c r="V60" s="61" t="s">
        <v>120</v>
      </c>
      <c r="W60" s="101">
        <v>2.5467972198741428E-2</v>
      </c>
      <c r="X60" s="102">
        <v>1.463816098431483E-2</v>
      </c>
      <c r="Y60" s="102">
        <v>7.7265192072884376E-2</v>
      </c>
      <c r="Z60" s="102">
        <v>6.5750915750915753E-2</v>
      </c>
      <c r="AA60" s="102">
        <v>0.33376819761435145</v>
      </c>
      <c r="AB60" s="102">
        <v>8.3831830562599796E-2</v>
      </c>
      <c r="AC60" s="102">
        <v>0.39493566262797031</v>
      </c>
      <c r="AD60" s="102">
        <v>4.3420681882220345E-3</v>
      </c>
      <c r="AE60" s="102">
        <v>0</v>
      </c>
      <c r="AF60" s="103">
        <v>0</v>
      </c>
      <c r="AH60" s="69">
        <f t="array" ref="AH60">Y60-SUMPRODUCT(Y$46:Y$49,TRANSPOSE(AI60:AL60))</f>
        <v>1.2232088473762281E-2</v>
      </c>
      <c r="AI60" s="69">
        <f t="array" ref="AI60">Z60-SUMPRODUCT(Z$47:Z$49,TRANSPOSE(AJ60:AL60))</f>
        <v>2.9152847628378289E-2</v>
      </c>
      <c r="AJ60" s="69">
        <f t="array" ref="AJ60">AA60-SUMPRODUCT($AA$48:$AA$49,TRANSPOSE(AK60:AL60))</f>
        <v>-7.8744449445483644E-4</v>
      </c>
      <c r="AK60" s="69">
        <f t="shared" si="151"/>
        <v>0.17169668995490708</v>
      </c>
      <c r="AL60" s="69">
        <f t="shared" si="152"/>
        <v>0.76098277591546648</v>
      </c>
      <c r="AM60" s="68" t="str">
        <f>V60</f>
        <v>EF-D2O-1-9</v>
      </c>
      <c r="AN60" s="68">
        <f t="shared" si="146"/>
        <v>1.2567942125597925E-2</v>
      </c>
      <c r="AO60" s="68">
        <f t="shared" si="147"/>
        <v>2.9953290689136124E-2</v>
      </c>
      <c r="AP60" s="68">
        <f t="shared" si="148"/>
        <v>-8.0906517759883156E-4</v>
      </c>
      <c r="AQ60" s="68">
        <f t="shared" si="149"/>
        <v>0.17641092664908556</v>
      </c>
      <c r="AR60" s="68">
        <f t="shared" si="150"/>
        <v>0.78187690571377921</v>
      </c>
    </row>
    <row r="62" spans="20:44" x14ac:dyDescent="0.25">
      <c r="AN62" s="57" t="s">
        <v>127</v>
      </c>
    </row>
    <row r="63" spans="20:44" x14ac:dyDescent="0.25">
      <c r="AL63" s="83" t="s">
        <v>158</v>
      </c>
      <c r="AN63" s="59" t="s">
        <v>101</v>
      </c>
      <c r="AO63" s="59" t="s">
        <v>117</v>
      </c>
      <c r="AP63" s="59" t="s">
        <v>118</v>
      </c>
      <c r="AQ63" s="59" t="s">
        <v>119</v>
      </c>
      <c r="AR63" s="59" t="s">
        <v>106</v>
      </c>
    </row>
    <row r="64" spans="20:44" x14ac:dyDescent="0.25">
      <c r="AL64" s="89">
        <f>AL76</f>
        <v>163.99999999988358</v>
      </c>
      <c r="AM64" s="81" t="str">
        <f>AM52</f>
        <v>EF-D2O-1-2</v>
      </c>
      <c r="AN64" s="81">
        <f>AN52</f>
        <v>1</v>
      </c>
      <c r="AO64" s="81">
        <f t="shared" ref="AO64:AR64" si="154">AO52</f>
        <v>0</v>
      </c>
      <c r="AP64" s="81">
        <f t="shared" si="154"/>
        <v>0</v>
      </c>
      <c r="AQ64" s="81">
        <f t="shared" si="154"/>
        <v>0</v>
      </c>
      <c r="AR64" s="81">
        <f t="shared" si="154"/>
        <v>0</v>
      </c>
    </row>
    <row r="65" spans="22:45" x14ac:dyDescent="0.25">
      <c r="AL65" s="89">
        <f t="shared" ref="AL65:AL71" si="155">AL77</f>
        <v>190.66666666668607</v>
      </c>
      <c r="AM65" s="81" t="str">
        <f t="shared" ref="AM65:AR67" si="156">AM53</f>
        <v>EF-D2O-1-3</v>
      </c>
      <c r="AN65" s="81">
        <f t="shared" si="156"/>
        <v>0.36177871258887595</v>
      </c>
      <c r="AO65" s="81">
        <f t="shared" si="156"/>
        <v>0.20228177774368397</v>
      </c>
      <c r="AP65" s="81">
        <f t="shared" si="156"/>
        <v>2.1327679964523297E-2</v>
      </c>
      <c r="AQ65" s="81">
        <f t="shared" si="156"/>
        <v>0.18135017366128264</v>
      </c>
      <c r="AR65" s="81">
        <f t="shared" si="156"/>
        <v>0.23326165604163421</v>
      </c>
    </row>
    <row r="66" spans="22:45" x14ac:dyDescent="0.25">
      <c r="AL66" s="89">
        <f t="shared" si="155"/>
        <v>283.5</v>
      </c>
      <c r="AM66" s="81" t="str">
        <f t="shared" si="156"/>
        <v>EF-D2O-1-4</v>
      </c>
      <c r="AN66" s="81">
        <f t="shared" si="156"/>
        <v>0.16867326378402303</v>
      </c>
      <c r="AO66" s="81">
        <f t="shared" si="156"/>
        <v>0.18827838345810946</v>
      </c>
      <c r="AP66" s="81">
        <f t="shared" si="156"/>
        <v>3.3340237646648785E-2</v>
      </c>
      <c r="AQ66" s="81">
        <f t="shared" si="156"/>
        <v>0.19117234402140251</v>
      </c>
      <c r="AR66" s="81">
        <f t="shared" si="156"/>
        <v>0.41853577108981621</v>
      </c>
    </row>
    <row r="67" spans="22:45" x14ac:dyDescent="0.25">
      <c r="AL67" s="89">
        <f t="shared" si="155"/>
        <v>427.24999999988358</v>
      </c>
      <c r="AM67" s="81" t="str">
        <f t="shared" si="156"/>
        <v>EF-D2O-1-5</v>
      </c>
      <c r="AN67" s="81">
        <f t="shared" si="156"/>
        <v>0.10651696848441571</v>
      </c>
      <c r="AO67" s="81">
        <f t="shared" si="156"/>
        <v>0.17475645293532613</v>
      </c>
      <c r="AP67" s="81">
        <f t="shared" si="156"/>
        <v>-4.2326139298361079E-3</v>
      </c>
      <c r="AQ67" s="81">
        <f t="shared" si="156"/>
        <v>0.25244081627842346</v>
      </c>
      <c r="AR67" s="81">
        <f t="shared" si="156"/>
        <v>0.47051837623167087</v>
      </c>
    </row>
    <row r="68" spans="22:45" x14ac:dyDescent="0.25">
      <c r="AL68" s="89">
        <f t="shared" si="155"/>
        <v>450.83333333325572</v>
      </c>
      <c r="AM68" s="85" t="s">
        <v>154</v>
      </c>
      <c r="AN68" s="85">
        <f>AVERAGE(AN56:AN57)</f>
        <v>0.10354864828661881</v>
      </c>
      <c r="AO68" s="85">
        <f t="shared" ref="AO68:AR68" si="157">AVERAGE(AO56:AO57)</f>
        <v>0.1438568527367709</v>
      </c>
      <c r="AP68" s="85">
        <f t="shared" si="157"/>
        <v>-1.2574715896670061E-2</v>
      </c>
      <c r="AQ68" s="85">
        <f t="shared" si="157"/>
        <v>0.23977971768901965</v>
      </c>
      <c r="AR68" s="85">
        <f t="shared" si="157"/>
        <v>0.52538949718426076</v>
      </c>
    </row>
    <row r="69" spans="22:45" x14ac:dyDescent="0.25">
      <c r="AL69" s="89">
        <f t="shared" si="155"/>
        <v>597.75</v>
      </c>
      <c r="AM69" s="81" t="str">
        <f>AM58</f>
        <v>EF-D2O-1-7</v>
      </c>
      <c r="AN69" s="81">
        <f>AN58</f>
        <v>3.9505876562104698E-2</v>
      </c>
      <c r="AO69" s="81">
        <f t="shared" ref="AO69:AR69" si="158">AO58</f>
        <v>6.9302002952141908E-2</v>
      </c>
      <c r="AP69" s="81">
        <f t="shared" si="158"/>
        <v>1.4402015947928996E-2</v>
      </c>
      <c r="AQ69" s="81">
        <f t="shared" si="158"/>
        <v>0.24034832157926433</v>
      </c>
      <c r="AR69" s="81">
        <f t="shared" si="158"/>
        <v>0.63644178295856013</v>
      </c>
    </row>
    <row r="70" spans="22:45" x14ac:dyDescent="0.25">
      <c r="AL70" s="89">
        <f t="shared" si="155"/>
        <v>617.33333333325572</v>
      </c>
      <c r="AM70" s="81" t="str">
        <f>AM59</f>
        <v>EF-D2O-1-8</v>
      </c>
      <c r="AN70" s="81">
        <f t="shared" ref="AN70:AR70" si="159">AN59</f>
        <v>3.2288465148546386E-2</v>
      </c>
      <c r="AO70" s="81">
        <f t="shared" si="159"/>
        <v>5.6897609279093195E-2</v>
      </c>
      <c r="AP70" s="81">
        <f t="shared" si="159"/>
        <v>6.2858737507859421E-3</v>
      </c>
      <c r="AQ70" s="81">
        <f t="shared" si="159"/>
        <v>0.22809608075326976</v>
      </c>
      <c r="AR70" s="81">
        <f t="shared" si="159"/>
        <v>0.67643197106830466</v>
      </c>
    </row>
    <row r="71" spans="22:45" x14ac:dyDescent="0.25">
      <c r="AL71" s="89">
        <f t="shared" si="155"/>
        <v>835.99999999988358</v>
      </c>
      <c r="AM71" s="81" t="str">
        <f>AM60</f>
        <v>EF-D2O-1-9</v>
      </c>
      <c r="AN71" s="81">
        <f t="shared" ref="AN71:AR71" si="160">AN60</f>
        <v>1.2567942125597925E-2</v>
      </c>
      <c r="AO71" s="81">
        <f t="shared" si="160"/>
        <v>2.9953290689136124E-2</v>
      </c>
      <c r="AP71" s="81">
        <f t="shared" si="160"/>
        <v>-8.0906517759883156E-4</v>
      </c>
      <c r="AQ71" s="81">
        <f t="shared" si="160"/>
        <v>0.17641092664908556</v>
      </c>
      <c r="AR71" s="81">
        <f t="shared" si="160"/>
        <v>0.78187690571377921</v>
      </c>
    </row>
    <row r="74" spans="22:45" x14ac:dyDescent="0.25">
      <c r="AN74" s="57" t="s">
        <v>156</v>
      </c>
    </row>
    <row r="75" spans="22:45" x14ac:dyDescent="0.25">
      <c r="AL75" s="57" t="s">
        <v>158</v>
      </c>
      <c r="AM75" s="57" t="s">
        <v>157</v>
      </c>
      <c r="AN75" s="59" t="s">
        <v>101</v>
      </c>
      <c r="AO75" s="59" t="s">
        <v>117</v>
      </c>
      <c r="AP75" s="59" t="s">
        <v>118</v>
      </c>
      <c r="AQ75" s="59" t="s">
        <v>119</v>
      </c>
      <c r="AR75" s="59" t="s">
        <v>106</v>
      </c>
      <c r="AS75" s="83" t="s">
        <v>155</v>
      </c>
    </row>
    <row r="76" spans="22:45" x14ac:dyDescent="0.25">
      <c r="AL76" s="86">
        <f>'Summary Concs'!C7</f>
        <v>163.99999999988358</v>
      </c>
      <c r="AM76" s="81" t="str">
        <f>AM64</f>
        <v>EF-D2O-1-2</v>
      </c>
      <c r="AN76" s="82">
        <f>AN64*$AS76</f>
        <v>3.7519999999999998E-6</v>
      </c>
      <c r="AO76" s="82">
        <f t="shared" ref="AO76:AR76" si="161">AO64*$AS76</f>
        <v>0</v>
      </c>
      <c r="AP76" s="82">
        <f t="shared" si="161"/>
        <v>0</v>
      </c>
      <c r="AQ76" s="82">
        <f t="shared" si="161"/>
        <v>0</v>
      </c>
      <c r="AR76" s="82">
        <f t="shared" si="161"/>
        <v>0</v>
      </c>
      <c r="AS76" s="84">
        <f>'Summary Concs'!H7</f>
        <v>3.7519999999999998E-6</v>
      </c>
    </row>
    <row r="77" spans="22:45" x14ac:dyDescent="0.25">
      <c r="AL77" s="86">
        <f>'Summary Concs'!C8</f>
        <v>190.66666666668607</v>
      </c>
      <c r="AM77" s="81" t="str">
        <f t="shared" ref="AM77:AM83" si="162">AM65</f>
        <v>EF-D2O-1-3</v>
      </c>
      <c r="AN77" s="82">
        <f t="shared" ref="AN77:AR77" si="163">AN65*$AS77</f>
        <v>3.1358978807203766E-5</v>
      </c>
      <c r="AO77" s="82">
        <f t="shared" si="163"/>
        <v>1.7533784494822527E-5</v>
      </c>
      <c r="AP77" s="82">
        <f t="shared" si="163"/>
        <v>1.8486832993248793E-6</v>
      </c>
      <c r="AQ77" s="82">
        <f t="shared" si="163"/>
        <v>1.571943305295998E-5</v>
      </c>
      <c r="AR77" s="82">
        <f t="shared" si="163"/>
        <v>2.0219120345688853E-5</v>
      </c>
      <c r="AS77" s="84">
        <f>'Summary Concs'!H8</f>
        <v>8.6680000000000004E-5</v>
      </c>
    </row>
    <row r="78" spans="22:45" x14ac:dyDescent="0.25">
      <c r="V78" s="110" t="s">
        <v>166</v>
      </c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L78" s="86">
        <f>'Summary Concs'!C9</f>
        <v>283.5</v>
      </c>
      <c r="AM78" s="81" t="str">
        <f t="shared" si="162"/>
        <v>EF-D2O-1-4</v>
      </c>
      <c r="AN78" s="82">
        <f t="shared" ref="AN78:AR78" si="164">AN66*$AS78</f>
        <v>3.9692192433656296E-5</v>
      </c>
      <c r="AO78" s="82">
        <f t="shared" si="164"/>
        <v>4.4305669195362315E-5</v>
      </c>
      <c r="AP78" s="82">
        <f t="shared" si="164"/>
        <v>7.845624723009391E-6</v>
      </c>
      <c r="AQ78" s="82">
        <f t="shared" si="164"/>
        <v>4.4986675995116437E-5</v>
      </c>
      <c r="AR78" s="82">
        <f t="shared" si="164"/>
        <v>9.8489837652855552E-5</v>
      </c>
      <c r="AS78" s="84">
        <f>'Summary Concs'!H9</f>
        <v>2.3531999999999999E-4</v>
      </c>
    </row>
    <row r="79" spans="22:45" x14ac:dyDescent="0.25">
      <c r="AL79" s="86">
        <f>'Summary Concs'!C10</f>
        <v>427.24999999988358</v>
      </c>
      <c r="AM79" s="81" t="str">
        <f t="shared" si="162"/>
        <v>EF-D2O-1-5</v>
      </c>
      <c r="AN79" s="82">
        <f t="shared" ref="AN79:AR79" si="165">AN67*$AS79</f>
        <v>4.2135449808222742E-5</v>
      </c>
      <c r="AO79" s="82">
        <f t="shared" si="165"/>
        <v>6.9129283869891631E-5</v>
      </c>
      <c r="AP79" s="82">
        <f t="shared" si="165"/>
        <v>-1.6743162552949184E-6</v>
      </c>
      <c r="AQ79" s="82">
        <f t="shared" si="165"/>
        <v>9.985927589933736E-5</v>
      </c>
      <c r="AR79" s="82">
        <f t="shared" si="165"/>
        <v>1.8612530667784321E-4</v>
      </c>
      <c r="AS79" s="84">
        <f>'Summary Concs'!H10</f>
        <v>3.9557500000000001E-4</v>
      </c>
    </row>
    <row r="80" spans="22:45" x14ac:dyDescent="0.25">
      <c r="AL80" s="86">
        <f>'Summary Concs'!C11</f>
        <v>450.83333333325572</v>
      </c>
      <c r="AM80" s="81" t="str">
        <f t="shared" si="162"/>
        <v>EF-D2O-1-6</v>
      </c>
      <c r="AN80" s="82">
        <f t="shared" ref="AN80:AR80" si="166">AN68*$AS80</f>
        <v>3.302166393860274E-5</v>
      </c>
      <c r="AO80" s="82">
        <f t="shared" si="166"/>
        <v>4.587595033775624E-5</v>
      </c>
      <c r="AP80" s="82">
        <f t="shared" si="166"/>
        <v>-4.0100768994480822E-6</v>
      </c>
      <c r="AQ80" s="82">
        <f t="shared" si="166"/>
        <v>7.6465751971028367E-5</v>
      </c>
      <c r="AR80" s="82">
        <f t="shared" si="166"/>
        <v>1.6754671065206074E-4</v>
      </c>
      <c r="AS80" s="84">
        <f>'Summary Concs'!H11</f>
        <v>3.189E-4</v>
      </c>
    </row>
    <row r="81" spans="38:45" x14ac:dyDescent="0.25">
      <c r="AL81" s="86">
        <f>'Summary Concs'!C12</f>
        <v>597.75</v>
      </c>
      <c r="AM81" s="81" t="str">
        <f t="shared" si="162"/>
        <v>EF-D2O-1-7</v>
      </c>
      <c r="AN81" s="82">
        <f t="shared" ref="AN81:AR81" si="167">AN69*$AS81</f>
        <v>3.260242216225971E-5</v>
      </c>
      <c r="AO81" s="82">
        <f t="shared" si="167"/>
        <v>5.7191824446269868E-5</v>
      </c>
      <c r="AP81" s="82">
        <f t="shared" si="167"/>
        <v>1.1885335671108143E-5</v>
      </c>
      <c r="AQ81" s="82">
        <f t="shared" si="167"/>
        <v>1.9834865412489579E-4</v>
      </c>
      <c r="AR81" s="82">
        <f t="shared" si="167"/>
        <v>5.2522676359546654E-4</v>
      </c>
      <c r="AS81" s="84">
        <f>'Summary Concs'!H12</f>
        <v>8.25255E-4</v>
      </c>
    </row>
    <row r="82" spans="38:45" x14ac:dyDescent="0.25">
      <c r="AL82" s="86">
        <f>'Summary Concs'!C13</f>
        <v>617.33333333325572</v>
      </c>
      <c r="AM82" s="81" t="str">
        <f t="shared" si="162"/>
        <v>EF-D2O-1-8</v>
      </c>
      <c r="AN82" s="82">
        <f t="shared" ref="AN82:AR82" si="168">AN70*$AS82</f>
        <v>4.2798199112072485E-5</v>
      </c>
      <c r="AO82" s="82">
        <f t="shared" si="168"/>
        <v>7.541749661139163E-5</v>
      </c>
      <c r="AP82" s="82">
        <f t="shared" si="168"/>
        <v>8.3318942272980109E-6</v>
      </c>
      <c r="AQ82" s="82">
        <f t="shared" si="168"/>
        <v>3.0234021455805525E-4</v>
      </c>
      <c r="AR82" s="82">
        <f t="shared" si="168"/>
        <v>8.9660719549118238E-4</v>
      </c>
      <c r="AS82" s="84">
        <f>'Summary Concs'!H13</f>
        <v>1.3254949999999999E-3</v>
      </c>
    </row>
    <row r="83" spans="38:45" x14ac:dyDescent="0.25">
      <c r="AL83" s="86">
        <f>'Summary Concs'!C14</f>
        <v>835.99999999988358</v>
      </c>
      <c r="AM83" s="81" t="str">
        <f t="shared" si="162"/>
        <v>EF-D2O-1-9</v>
      </c>
      <c r="AN83" s="82">
        <f t="shared" ref="AN83:AR83" si="169">AN71*$AS83</f>
        <v>4.3657009202847E-5</v>
      </c>
      <c r="AO83" s="82">
        <f t="shared" si="169"/>
        <v>1.0404814680103837E-4</v>
      </c>
      <c r="AP83" s="82">
        <f t="shared" si="169"/>
        <v>-2.8104335261215091E-6</v>
      </c>
      <c r="AQ83" s="82">
        <f t="shared" si="169"/>
        <v>6.1279510768239552E-4</v>
      </c>
      <c r="AR83" s="82">
        <f t="shared" si="169"/>
        <v>2.7159901698398403E-3</v>
      </c>
      <c r="AS83" s="84">
        <f>'Summary Concs'!H14</f>
        <v>3.4736799999999998E-3</v>
      </c>
    </row>
  </sheetData>
  <sortState ref="AT3:AY32">
    <sortCondition ref="AT3:AT32"/>
    <sortCondition descending="1" ref="AV3:AV32"/>
  </sortState>
  <mergeCells count="3">
    <mergeCell ref="L1:U1"/>
    <mergeCell ref="G1:J1"/>
    <mergeCell ref="W1:AF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9"/>
  <sheetViews>
    <sheetView showGridLines="0" zoomScaleNormal="100" workbookViewId="0">
      <pane xSplit="2" ySplit="5" topLeftCell="L6" activePane="bottomRight" state="frozen"/>
      <selection pane="topRight" activeCell="C1" sqref="C1"/>
      <selection pane="bottomLeft" activeCell="A6" sqref="A6"/>
      <selection pane="bottomRight" activeCell="H3" sqref="H3:W3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/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/>
      <c r="AF2" s="63"/>
    </row>
    <row r="3" spans="1:33" x14ac:dyDescent="0.25">
      <c r="F3" s="19" t="s">
        <v>48</v>
      </c>
      <c r="G3" s="18"/>
      <c r="H3" s="105" t="s">
        <v>162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8"/>
      <c r="Y3" s="80" t="s">
        <v>68</v>
      </c>
      <c r="Z3" s="18"/>
      <c r="AA3" s="31" t="s">
        <v>69</v>
      </c>
    </row>
    <row r="4" spans="1:33" x14ac:dyDescent="0.25">
      <c r="A4" s="10" t="s">
        <v>62</v>
      </c>
      <c r="B4" s="11" t="s">
        <v>24</v>
      </c>
      <c r="C4" s="13" t="s">
        <v>5</v>
      </c>
      <c r="D4" s="36" t="s">
        <v>150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D4" s="2" t="s">
        <v>153</v>
      </c>
      <c r="AE4" s="35" t="s">
        <v>160</v>
      </c>
    </row>
    <row r="5" spans="1:33" x14ac:dyDescent="0.25">
      <c r="A5" s="10"/>
      <c r="B5" s="11"/>
      <c r="C5" s="2" t="s">
        <v>144</v>
      </c>
      <c r="D5" s="37" t="s">
        <v>3</v>
      </c>
      <c r="E5" s="11"/>
      <c r="F5" s="2" t="s">
        <v>159</v>
      </c>
      <c r="G5" s="2"/>
      <c r="H5" s="2" t="s">
        <v>159</v>
      </c>
      <c r="I5" s="13" t="s">
        <v>161</v>
      </c>
      <c r="J5" s="2" t="s">
        <v>159</v>
      </c>
      <c r="X5" s="2"/>
      <c r="Y5" s="2" t="s">
        <v>47</v>
      </c>
      <c r="Z5" s="2"/>
      <c r="AA5" s="5" t="s">
        <v>70</v>
      </c>
    </row>
    <row r="6" spans="1:33" s="76" customFormat="1" x14ac:dyDescent="0.25">
      <c r="A6" s="71">
        <v>1</v>
      </c>
      <c r="B6" s="72" t="s">
        <v>51</v>
      </c>
      <c r="C6" s="73">
        <f>VLOOKUP($A6,Samples!$A$3:$J$18,7,FALSE)</f>
        <v>18.999999999941792</v>
      </c>
      <c r="D6" s="78">
        <f>VLOOKUP($A6,Samples!$A$3:$J$18,2,FALSE)</f>
        <v>200</v>
      </c>
      <c r="E6" s="72"/>
      <c r="F6" s="91"/>
      <c r="G6" s="74"/>
      <c r="H6" s="90">
        <f>'Summary Concs'!H6/0.000001</f>
        <v>1.1919999999999999</v>
      </c>
      <c r="I6" s="90">
        <f>'Summary Concs'!I6/0.001</f>
        <v>4.7584599999999995</v>
      </c>
      <c r="J6" s="90">
        <f>'Summary Concs'!J6/0.000001</f>
        <v>0.14943000000000001</v>
      </c>
      <c r="K6" s="90">
        <f>'Summary Concs'!K6/0.000001</f>
        <v>0.38800000000000001</v>
      </c>
      <c r="L6" s="90">
        <f>'Summary Concs'!L6/0.000001</f>
        <v>0.32360000000000005</v>
      </c>
      <c r="M6" s="90">
        <f>'Summary Concs'!M6/0.000001</f>
        <v>0.58419999999999994</v>
      </c>
      <c r="N6" s="90"/>
      <c r="O6" s="90"/>
      <c r="P6" s="90">
        <f>'Summary Concs'!P6/0.000001</f>
        <v>9.2840000000000007</v>
      </c>
      <c r="Q6" s="90">
        <f>'Summary Concs'!Q6/0.000001</f>
        <v>0.55959999999999999</v>
      </c>
      <c r="R6" s="90">
        <f>'Summary Concs'!R6/0.000001</f>
        <v>2.1739999999999999</v>
      </c>
      <c r="S6" s="90"/>
      <c r="T6" s="90">
        <f>'Summary Concs'!T6/0.000001</f>
        <v>0.43770000000000003</v>
      </c>
      <c r="U6" s="90">
        <f>'Summary Concs'!U6/0.000001</f>
        <v>0.46260000000000007</v>
      </c>
      <c r="V6" s="90">
        <f>'Summary Concs'!V6/0.000001</f>
        <v>4.2200000000000006</v>
      </c>
      <c r="W6" s="90">
        <f>'Summary Concs'!W6/0.000001</f>
        <v>0.56990000000000007</v>
      </c>
      <c r="X6" s="74"/>
      <c r="Y6" s="74"/>
      <c r="Z6" s="74"/>
      <c r="AA6" s="75"/>
      <c r="AB6" s="73"/>
      <c r="AD6" s="79">
        <f>H6/K6</f>
        <v>3.072164948453608</v>
      </c>
      <c r="AE6" s="75">
        <f>H6/SUM(K6:Q6)</f>
        <v>0.10700755875540872</v>
      </c>
      <c r="AG6" s="77"/>
    </row>
    <row r="7" spans="1:33" s="76" customFormat="1" x14ac:dyDescent="0.25">
      <c r="A7" s="71">
        <v>2</v>
      </c>
      <c r="B7" s="72" t="s">
        <v>51</v>
      </c>
      <c r="C7" s="73">
        <f>VLOOKUP($A7,Samples!$A$3:$J$18,7,FALSE)</f>
        <v>163.99999999988358</v>
      </c>
      <c r="D7" s="78">
        <f>VLOOKUP($A7,Samples!$A$3:$J$18,2,FALSE)</f>
        <v>200</v>
      </c>
      <c r="E7" s="72"/>
      <c r="F7" s="91"/>
      <c r="G7" s="74"/>
      <c r="H7" s="90">
        <f>'Summary Concs'!H7/0.000001</f>
        <v>3.7519999999999998</v>
      </c>
      <c r="I7" s="90">
        <f>'Summary Concs'!I7/0.001</f>
        <v>10.794999999999998</v>
      </c>
      <c r="J7" s="90">
        <f>'Summary Concs'!J7/0.000001</f>
        <v>0.22075000000000003</v>
      </c>
      <c r="K7" s="90">
        <f>'Summary Concs'!K7/0.000001</f>
        <v>0.92010000000000003</v>
      </c>
      <c r="L7" s="90">
        <f>'Summary Concs'!L7/0.000001</f>
        <v>0.51039000000000001</v>
      </c>
      <c r="M7" s="90">
        <f>'Summary Concs'!M7/0.000001</f>
        <v>1.4590000000000001</v>
      </c>
      <c r="N7" s="90"/>
      <c r="O7" s="90"/>
      <c r="P7" s="90">
        <f>'Summary Concs'!P7/0.000001</f>
        <v>5.95</v>
      </c>
      <c r="Q7" s="90">
        <f>'Summary Concs'!Q7/0.000001</f>
        <v>1.1725000000000001</v>
      </c>
      <c r="R7" s="90">
        <f>'Summary Concs'!R7/0.000001</f>
        <v>4.181</v>
      </c>
      <c r="S7" s="90"/>
      <c r="T7" s="90">
        <f>'Summary Concs'!T7/0.000001</f>
        <v>0.59625000000000006</v>
      </c>
      <c r="U7" s="90">
        <f>'Summary Concs'!U7/0.000001</f>
        <v>0.98749999999999993</v>
      </c>
      <c r="V7" s="90">
        <f>'Summary Concs'!V7/0.000001</f>
        <v>1.0254000000000001</v>
      </c>
      <c r="W7" s="90">
        <f>'Summary Concs'!W7/0.000001</f>
        <v>1.1255000000000002</v>
      </c>
      <c r="X7" s="74"/>
      <c r="Y7" s="74"/>
      <c r="Z7" s="74"/>
      <c r="AA7" s="75"/>
      <c r="AB7" s="73"/>
      <c r="AD7" s="79">
        <f t="shared" ref="AD7:AD14" si="0">H7/K7</f>
        <v>4.0778176285186385</v>
      </c>
      <c r="AE7" s="75">
        <f t="shared" ref="AE7:AE14" si="1">H7/SUM(K7:Q7)</f>
        <v>0.37475067394194356</v>
      </c>
      <c r="AG7" s="77"/>
    </row>
    <row r="8" spans="1:33" s="76" customFormat="1" x14ac:dyDescent="0.25">
      <c r="A8" s="71">
        <v>3</v>
      </c>
      <c r="B8" s="72" t="s">
        <v>51</v>
      </c>
      <c r="C8" s="73">
        <f>VLOOKUP($A8,Samples!$A$3:$J$18,7,FALSE)</f>
        <v>190.66666666668607</v>
      </c>
      <c r="D8" s="78">
        <f>VLOOKUP($A8,Samples!$A$3:$J$18,2,FALSE)</f>
        <v>300</v>
      </c>
      <c r="E8" s="72"/>
      <c r="F8" s="91">
        <f>'Summary Concs'!F8/0.000001</f>
        <v>72.600000000000009</v>
      </c>
      <c r="G8" s="74" t="s">
        <v>121</v>
      </c>
      <c r="H8" s="90">
        <f>'Summary Concs'!H8/0.000001</f>
        <v>86.68</v>
      </c>
      <c r="I8" s="90">
        <f>'Summary Concs'!I8/0.001</f>
        <v>21.87</v>
      </c>
      <c r="J8" s="90">
        <f>'Summary Concs'!J8/0.000001</f>
        <v>4.6792500000000006</v>
      </c>
      <c r="K8" s="90">
        <f>'Summary Concs'!K8/0.000001</f>
        <v>20.082900000000002</v>
      </c>
      <c r="L8" s="90">
        <f>'Summary Concs'!L8/0.000001</f>
        <v>5.9795000000000007</v>
      </c>
      <c r="M8" s="90">
        <f>'Summary Concs'!M8/0.000001</f>
        <v>16.715</v>
      </c>
      <c r="N8" s="90"/>
      <c r="O8" s="90"/>
      <c r="P8" s="90">
        <f>'Summary Concs'!P8/0.000001</f>
        <v>28.895000000000003</v>
      </c>
      <c r="Q8" s="90">
        <f>'Summary Concs'!Q8/0.000001</f>
        <v>14.65</v>
      </c>
      <c r="R8" s="90">
        <f>'Summary Concs'!R8/0.000001</f>
        <v>4.7625000000000002</v>
      </c>
      <c r="S8" s="90"/>
      <c r="T8" s="90">
        <f>'Summary Concs'!T8/0.000001</f>
        <v>5.2785000000000002</v>
      </c>
      <c r="U8" s="90">
        <f>'Summary Concs'!U8/0.000001</f>
        <v>15.524999999999999</v>
      </c>
      <c r="V8" s="90">
        <f>'Summary Concs'!V8/0.000001</f>
        <v>7.2078999999999995</v>
      </c>
      <c r="W8" s="90">
        <f>'Summary Concs'!W8/0.000001</f>
        <v>3.1750000000000003</v>
      </c>
      <c r="X8" s="74" t="s">
        <v>121</v>
      </c>
      <c r="Y8" s="74"/>
      <c r="Z8" s="74"/>
      <c r="AA8" s="75"/>
      <c r="AB8" s="73"/>
      <c r="AD8" s="79">
        <f t="shared" si="0"/>
        <v>4.316109725189091</v>
      </c>
      <c r="AE8" s="75">
        <f t="shared" si="1"/>
        <v>1.0041426095659989</v>
      </c>
      <c r="AG8" s="77"/>
    </row>
    <row r="9" spans="1:33" s="76" customFormat="1" x14ac:dyDescent="0.25">
      <c r="A9" s="71">
        <v>4</v>
      </c>
      <c r="B9" s="72" t="s">
        <v>51</v>
      </c>
      <c r="C9" s="73">
        <f>VLOOKUP($A9,Samples!$A$3:$J$18,7,FALSE)</f>
        <v>283.5</v>
      </c>
      <c r="D9" s="78">
        <f>VLOOKUP($A9,Samples!$A$3:$J$18,2,FALSE)</f>
        <v>300</v>
      </c>
      <c r="E9" s="72"/>
      <c r="F9" s="91">
        <f>'Summary Concs'!F9/0.000001</f>
        <v>183.33500000000001</v>
      </c>
      <c r="G9" s="74" t="s">
        <v>121</v>
      </c>
      <c r="H9" s="90">
        <f>'Summary Concs'!H9/0.000001</f>
        <v>235.32</v>
      </c>
      <c r="I9" s="90">
        <f>'Summary Concs'!I9/0.001</f>
        <v>45.771499999999996</v>
      </c>
      <c r="J9" s="90">
        <f>'Summary Concs'!J9/0.000001</f>
        <v>8.6455000000000002</v>
      </c>
      <c r="K9" s="90">
        <f>'Summary Concs'!K9/0.000001</f>
        <v>76.86</v>
      </c>
      <c r="L9" s="90">
        <f>'Summary Concs'!L9/0.000001</f>
        <v>12.41</v>
      </c>
      <c r="M9" s="90">
        <f>'Summary Concs'!M9/0.000001</f>
        <v>54.125</v>
      </c>
      <c r="N9" s="90">
        <f>'Summary Concs'!N9/0.000001</f>
        <v>44.35</v>
      </c>
      <c r="O9" s="90">
        <f>'Summary Concs'!O9/0.000001</f>
        <v>8.83</v>
      </c>
      <c r="P9" s="90">
        <f>'Summary Concs'!P9/0.000001</f>
        <v>35.064999999999998</v>
      </c>
      <c r="Q9" s="90">
        <f>'Summary Concs'!Q9/0.000001</f>
        <v>41.27</v>
      </c>
      <c r="R9" s="90">
        <f>'Summary Concs'!R9/0.000001</f>
        <v>2.8992499999999999</v>
      </c>
      <c r="S9" s="90"/>
      <c r="T9" s="90">
        <f>'Summary Concs'!T9/0.000001</f>
        <v>14.715000000000002</v>
      </c>
      <c r="U9" s="90">
        <f>'Summary Concs'!U9/0.000001</f>
        <v>40.374499999999998</v>
      </c>
      <c r="V9" s="90">
        <f>'Summary Concs'!V9/0.000001</f>
        <v>19.060000000000002</v>
      </c>
      <c r="W9" s="90">
        <f>'Summary Concs'!W9/0.000001</f>
        <v>9.0113000000000003</v>
      </c>
      <c r="X9" s="74" t="s">
        <v>121</v>
      </c>
      <c r="Y9" s="74"/>
      <c r="Z9" s="74"/>
      <c r="AA9" s="75"/>
      <c r="AB9" s="73"/>
      <c r="AD9" s="79">
        <f t="shared" si="0"/>
        <v>3.061670569867291</v>
      </c>
      <c r="AE9" s="75">
        <f t="shared" si="1"/>
        <v>0.86226228426953944</v>
      </c>
      <c r="AG9" s="77"/>
    </row>
    <row r="10" spans="1:33" s="76" customFormat="1" x14ac:dyDescent="0.25">
      <c r="A10" s="71">
        <v>5</v>
      </c>
      <c r="B10" s="72" t="s">
        <v>51</v>
      </c>
      <c r="C10" s="73">
        <f>VLOOKUP($A10,Samples!$A$3:$J$18,7,FALSE)</f>
        <v>427.24999999988358</v>
      </c>
      <c r="D10" s="78">
        <f>VLOOKUP($A10,Samples!$A$3:$J$18,2,FALSE)</f>
        <v>300</v>
      </c>
      <c r="E10" s="72"/>
      <c r="F10" s="91">
        <f>'Summary Concs'!F10/0.000001</f>
        <v>289.65000000000003</v>
      </c>
      <c r="G10" s="74" t="s">
        <v>121</v>
      </c>
      <c r="H10" s="90">
        <f>'Summary Concs'!H10/0.000001</f>
        <v>395.57500000000005</v>
      </c>
      <c r="I10" s="90">
        <f>'Summary Concs'!I10/0.001</f>
        <v>65.460000000000008</v>
      </c>
      <c r="J10" s="90">
        <f>'Summary Concs'!J10/0.000001</f>
        <v>7.7059000000000006</v>
      </c>
      <c r="K10" s="90">
        <f>'Summary Concs'!K10/0.000001</f>
        <v>158.94999999999999</v>
      </c>
      <c r="L10" s="90">
        <f>'Summary Concs'!L10/0.000001</f>
        <v>15.145000000000001</v>
      </c>
      <c r="M10" s="90">
        <f>'Summary Concs'!M10/0.000001</f>
        <v>103.36500000000001</v>
      </c>
      <c r="N10" s="90">
        <f>'Summary Concs'!N10/0.000001</f>
        <v>52.621000000000002</v>
      </c>
      <c r="O10" s="90">
        <f>'Summary Concs'!O10/0.000001</f>
        <v>27.805000000000003</v>
      </c>
      <c r="P10" s="90">
        <f>'Summary Concs'!P10/0.000001</f>
        <v>32.151200000000003</v>
      </c>
      <c r="Q10" s="90">
        <f>'Summary Concs'!Q10/0.000001</f>
        <v>72.564999999999998</v>
      </c>
      <c r="R10" s="90">
        <f>'Summary Concs'!R10/0.000001</f>
        <v>5.6234999999999999</v>
      </c>
      <c r="S10" s="90"/>
      <c r="T10" s="90">
        <f>'Summary Concs'!T10/0.000001</f>
        <v>29.414500000000004</v>
      </c>
      <c r="U10" s="90">
        <f>'Summary Concs'!U10/0.000001</f>
        <v>66.475000000000009</v>
      </c>
      <c r="V10" s="90"/>
      <c r="W10" s="90">
        <f>'Summary Concs'!W10/0.000001</f>
        <v>17.649500000000003</v>
      </c>
      <c r="X10" s="74" t="s">
        <v>121</v>
      </c>
      <c r="Y10" s="74"/>
      <c r="Z10" s="74"/>
      <c r="AA10" s="75"/>
      <c r="AB10" s="73"/>
      <c r="AD10" s="79">
        <f t="shared" si="0"/>
        <v>2.4886756841774149</v>
      </c>
      <c r="AE10" s="75">
        <f t="shared" si="1"/>
        <v>0.8551083414648698</v>
      </c>
      <c r="AG10" s="77"/>
    </row>
    <row r="11" spans="1:33" s="76" customFormat="1" x14ac:dyDescent="0.25">
      <c r="A11" s="71">
        <v>6</v>
      </c>
      <c r="B11" s="72" t="s">
        <v>51</v>
      </c>
      <c r="C11" s="73">
        <f>VLOOKUP($A11,Samples!$A$3:$J$18,7,FALSE)</f>
        <v>450.83333333325572</v>
      </c>
      <c r="D11" s="78">
        <f>VLOOKUP($A11,Samples!$A$3:$J$18,2,FALSE)</f>
        <v>325</v>
      </c>
      <c r="E11" s="72"/>
      <c r="F11" s="91">
        <f>'Summary Concs'!F11/0.000001</f>
        <v>353.22500000000002</v>
      </c>
      <c r="G11" s="74" t="s">
        <v>121</v>
      </c>
      <c r="H11" s="90">
        <f>'Summary Concs'!H11/0.000001</f>
        <v>318.90000000000003</v>
      </c>
      <c r="I11" s="90">
        <f>'Summary Concs'!I11/0.001</f>
        <v>44.744999999999997</v>
      </c>
      <c r="J11" s="90">
        <f>'Summary Concs'!J11/0.000001</f>
        <v>9.3291000000000004</v>
      </c>
      <c r="K11" s="90">
        <f>'Summary Concs'!K11/0.000001</f>
        <v>134.54999999999998</v>
      </c>
      <c r="L11" s="90">
        <f>'Summary Concs'!L11/0.000001</f>
        <v>18.8385</v>
      </c>
      <c r="M11" s="90">
        <f>'Summary Concs'!M11/0.000001</f>
        <v>84.850000000000009</v>
      </c>
      <c r="N11" s="90"/>
      <c r="O11" s="90">
        <f>'Summary Concs'!O11/0.000001</f>
        <v>19.174499999999998</v>
      </c>
      <c r="P11" s="90">
        <f>'Summary Concs'!P11/0.000001</f>
        <v>39.560500000000005</v>
      </c>
      <c r="Q11" s="90">
        <f>'Summary Concs'!Q11/0.000001</f>
        <v>61.484999999999999</v>
      </c>
      <c r="R11" s="90">
        <f>'Summary Concs'!R11/0.000001</f>
        <v>2.8405849999999999</v>
      </c>
      <c r="S11" s="90"/>
      <c r="T11" s="90">
        <f>'Summary Concs'!T11/0.000001</f>
        <v>23.639000000000003</v>
      </c>
      <c r="U11" s="90">
        <f>'Summary Concs'!U11/0.000001</f>
        <v>55.387000000000008</v>
      </c>
      <c r="V11" s="90"/>
      <c r="W11" s="90">
        <f>'Summary Concs'!W11/0.000001</f>
        <v>13.4595</v>
      </c>
      <c r="X11" s="74" t="s">
        <v>121</v>
      </c>
      <c r="Y11" s="74"/>
      <c r="Z11" s="74"/>
      <c r="AA11" s="75"/>
      <c r="AB11" s="73"/>
      <c r="AD11" s="79">
        <f t="shared" si="0"/>
        <v>2.3701226309921966</v>
      </c>
      <c r="AE11" s="75">
        <f t="shared" si="1"/>
        <v>0.8896427340961367</v>
      </c>
      <c r="AG11" s="77"/>
    </row>
    <row r="12" spans="1:33" s="76" customFormat="1" x14ac:dyDescent="0.25">
      <c r="A12" s="71">
        <v>7</v>
      </c>
      <c r="B12" s="72" t="s">
        <v>51</v>
      </c>
      <c r="C12" s="73">
        <f>VLOOKUP($A12,Samples!$A$3:$J$18,7,FALSE)</f>
        <v>597.75</v>
      </c>
      <c r="D12" s="78">
        <f>VLOOKUP($A12,Samples!$A$3:$J$18,2,FALSE)</f>
        <v>325</v>
      </c>
      <c r="E12" s="72"/>
      <c r="F12" s="91">
        <f>'Summary Concs'!F12/0.000001</f>
        <v>585.5</v>
      </c>
      <c r="G12" s="74" t="s">
        <v>121</v>
      </c>
      <c r="H12" s="90">
        <f>'Summary Concs'!H12/0.000001</f>
        <v>825.255</v>
      </c>
      <c r="I12" s="90">
        <f>'Summary Concs'!I12/0.001</f>
        <v>45.335000000000001</v>
      </c>
      <c r="J12" s="90">
        <f>'Summary Concs'!J12/0.000001</f>
        <v>11.709</v>
      </c>
      <c r="K12" s="90">
        <f>'Summary Concs'!K12/0.000001</f>
        <v>417.1995</v>
      </c>
      <c r="L12" s="90">
        <f>'Summary Concs'!L12/0.000001</f>
        <v>29.799499999999998</v>
      </c>
      <c r="M12" s="90">
        <f>'Summary Concs'!M12/0.000001</f>
        <v>243.75</v>
      </c>
      <c r="N12" s="90">
        <f>'Summary Concs'!N12/0.000001</f>
        <v>38.614999999999995</v>
      </c>
      <c r="O12" s="90">
        <f>'Summary Concs'!O12/0.000001</f>
        <v>54.765000000000008</v>
      </c>
      <c r="P12" s="90">
        <f>'Summary Concs'!P12/0.000001</f>
        <v>38.465000000000011</v>
      </c>
      <c r="Q12" s="90">
        <f>'Summary Concs'!Q12/0.000001</f>
        <v>147.73500000000004</v>
      </c>
      <c r="R12" s="90">
        <f>'Summary Concs'!R12/0.000001</f>
        <v>7.5137999999999998</v>
      </c>
      <c r="S12" s="90"/>
      <c r="T12" s="90">
        <f>'Summary Concs'!T12/0.000001</f>
        <v>54.108499999999999</v>
      </c>
      <c r="U12" s="90">
        <f>'Summary Concs'!U12/0.000001</f>
        <v>118.61000000000001</v>
      </c>
      <c r="V12" s="90">
        <f>'Summary Concs'!V12/0.000001</f>
        <v>47.573500000000003</v>
      </c>
      <c r="W12" s="90">
        <f>'Summary Concs'!W12/0.000001</f>
        <v>32.143700000000003</v>
      </c>
      <c r="X12" s="74" t="s">
        <v>121</v>
      </c>
      <c r="Y12" s="74"/>
      <c r="Z12" s="74"/>
      <c r="AA12" s="75"/>
      <c r="AB12" s="73"/>
      <c r="AD12" s="79">
        <f t="shared" si="0"/>
        <v>1.9780824281908296</v>
      </c>
      <c r="AE12" s="75">
        <f t="shared" si="1"/>
        <v>0.85048988538938852</v>
      </c>
      <c r="AG12" s="77"/>
    </row>
    <row r="13" spans="1:33" s="76" customFormat="1" x14ac:dyDescent="0.25">
      <c r="A13" s="71">
        <v>8</v>
      </c>
      <c r="B13" s="72" t="s">
        <v>51</v>
      </c>
      <c r="C13" s="73">
        <f>VLOOKUP($A13,Samples!$A$3:$J$18,7,FALSE)</f>
        <v>617.33333333325572</v>
      </c>
      <c r="D13" s="78">
        <f>VLOOKUP($A13,Samples!$A$3:$J$18,2,FALSE)</f>
        <v>350</v>
      </c>
      <c r="E13" s="72"/>
      <c r="F13" s="91">
        <f>'Summary Concs'!F13/0.000001</f>
        <v>717.69999999999993</v>
      </c>
      <c r="G13" s="74" t="s">
        <v>121</v>
      </c>
      <c r="H13" s="90">
        <f>'Summary Concs'!H13/0.000001</f>
        <v>1325.4949999999999</v>
      </c>
      <c r="I13" s="90">
        <f>'Summary Concs'!I13/0.001</f>
        <v>54.410499999999999</v>
      </c>
      <c r="J13" s="90">
        <f>'Summary Concs'!J13/0.000001</f>
        <v>24.680000000000003</v>
      </c>
      <c r="K13" s="90">
        <f>'Summary Concs'!K13/0.000001</f>
        <v>673.25250000000005</v>
      </c>
      <c r="L13" s="90">
        <f>'Summary Concs'!L13/0.000001</f>
        <v>63.975000000000001</v>
      </c>
      <c r="M13" s="90">
        <f>'Summary Concs'!M13/0.000001</f>
        <v>364.85</v>
      </c>
      <c r="N13" s="90">
        <f>'Summary Concs'!N13/0.000001</f>
        <v>52.503999999999998</v>
      </c>
      <c r="O13" s="90">
        <f>'Summary Concs'!O13/0.000001</f>
        <v>66.611000000000004</v>
      </c>
      <c r="P13" s="90">
        <f>'Summary Concs'!P13/0.000001</f>
        <v>60.50500000000001</v>
      </c>
      <c r="Q13" s="90">
        <f>'Summary Concs'!Q13/0.000001</f>
        <v>208.68500000000003</v>
      </c>
      <c r="R13" s="90">
        <f>'Summary Concs'!R13/0.000001</f>
        <v>11.301500000000001</v>
      </c>
      <c r="S13" s="90">
        <f>'Summary Concs'!S13/0.000001</f>
        <v>8.8420000000000023</v>
      </c>
      <c r="T13" s="90">
        <f>'Summary Concs'!T13/0.000001</f>
        <v>66.970000000000013</v>
      </c>
      <c r="U13" s="90">
        <f>'Summary Concs'!U13/0.000001</f>
        <v>153.37700000000001</v>
      </c>
      <c r="V13" s="90">
        <f>'Summary Concs'!V13/0.000001</f>
        <v>42.166000000000004</v>
      </c>
      <c r="W13" s="90">
        <f>'Summary Concs'!W13/0.000001</f>
        <v>34.230000000000004</v>
      </c>
      <c r="X13" s="74" t="s">
        <v>121</v>
      </c>
      <c r="Y13" s="74"/>
      <c r="Z13" s="74"/>
      <c r="AA13" s="75"/>
      <c r="AB13" s="73"/>
      <c r="AD13" s="79">
        <f t="shared" si="0"/>
        <v>1.9687932833520854</v>
      </c>
      <c r="AE13" s="75">
        <f t="shared" si="1"/>
        <v>0.88936564942221186</v>
      </c>
      <c r="AG13" s="77"/>
    </row>
    <row r="14" spans="1:33" s="76" customFormat="1" x14ac:dyDescent="0.25">
      <c r="A14" s="71">
        <v>9</v>
      </c>
      <c r="B14" s="72" t="s">
        <v>51</v>
      </c>
      <c r="C14" s="73">
        <f>VLOOKUP($A14,Samples!$A$3:$J$18,7,FALSE)</f>
        <v>835.99999999988358</v>
      </c>
      <c r="D14" s="78">
        <f>VLOOKUP($A14,Samples!$A$3:$J$18,2,FALSE)</f>
        <v>350</v>
      </c>
      <c r="E14" s="72"/>
      <c r="F14" s="91">
        <f>'Summary Concs'!F14/0.000001</f>
        <v>820.65000000000009</v>
      </c>
      <c r="G14" s="74" t="s">
        <v>121</v>
      </c>
      <c r="H14" s="90">
        <f>'Summary Concs'!H14/0.000001</f>
        <v>3473.68</v>
      </c>
      <c r="I14" s="90">
        <f>'Summary Concs'!I14/0.001</f>
        <v>51.158000000000001</v>
      </c>
      <c r="J14" s="90">
        <f>'Summary Concs'!J14/0.000001</f>
        <v>12.077400000000001</v>
      </c>
      <c r="K14" s="90">
        <f>'Summary Concs'!K14/0.000001</f>
        <v>1638.9</v>
      </c>
      <c r="L14" s="90">
        <f>'Summary Concs'!L14/0.000001</f>
        <v>56.817799999999998</v>
      </c>
      <c r="M14" s="90">
        <f>'Summary Concs'!M14/0.000001</f>
        <v>931.08</v>
      </c>
      <c r="N14" s="90">
        <f>'Summary Concs'!N14/0.000001</f>
        <v>77.737800000000007</v>
      </c>
      <c r="O14" s="90">
        <f>'Summary Concs'!O14/0.000001</f>
        <v>216.54000000000002</v>
      </c>
      <c r="P14" s="90">
        <f>'Summary Concs'!P14/0.000001</f>
        <v>52.3185</v>
      </c>
      <c r="Q14" s="90">
        <f>'Summary Concs'!Q14/0.000001</f>
        <v>500.64499999999998</v>
      </c>
      <c r="R14" s="90">
        <f>'Summary Concs'!R14/0.000001</f>
        <v>29.444600000000001</v>
      </c>
      <c r="S14" s="90">
        <f>'Summary Concs'!S14/0.000001</f>
        <v>4.5338200000000004</v>
      </c>
      <c r="T14" s="90">
        <f>'Summary Concs'!T14/0.000001</f>
        <v>216.89300000000003</v>
      </c>
      <c r="U14" s="90">
        <f>'Summary Concs'!U14/0.000001</f>
        <v>365.43300000000005</v>
      </c>
      <c r="V14" s="90">
        <f>'Summary Concs'!V14/0.000001</f>
        <v>202.423</v>
      </c>
      <c r="W14" s="90">
        <f>'Summary Concs'!W14/0.000001</f>
        <v>48.081000000000003</v>
      </c>
      <c r="X14" s="74" t="s">
        <v>121</v>
      </c>
      <c r="Y14" s="74" t="s">
        <v>121</v>
      </c>
      <c r="Z14" s="74" t="s">
        <v>121</v>
      </c>
      <c r="AA14" s="75">
        <v>5.4870000000000001</v>
      </c>
      <c r="AB14" s="73"/>
      <c r="AD14" s="79">
        <f t="shared" si="0"/>
        <v>2.1195191897004086</v>
      </c>
      <c r="AE14" s="75">
        <f t="shared" si="1"/>
        <v>0.99989663328774847</v>
      </c>
      <c r="AG14" s="77"/>
    </row>
    <row r="19" spans="1:33" s="93" customFormat="1" x14ac:dyDescent="0.25">
      <c r="A19" s="92"/>
      <c r="C19" s="93">
        <v>1</v>
      </c>
      <c r="D19" s="93">
        <v>2</v>
      </c>
      <c r="F19" s="93">
        <v>3</v>
      </c>
      <c r="H19" s="93">
        <v>4</v>
      </c>
      <c r="I19" s="93">
        <v>5</v>
      </c>
      <c r="AE19" s="93">
        <v>6</v>
      </c>
      <c r="AG19" s="94"/>
    </row>
  </sheetData>
  <mergeCells count="1">
    <mergeCell ref="H3:W3"/>
  </mergeCells>
  <pageMargins left="0.7" right="0.7" top="0.75" bottom="0.75" header="0.3" footer="0.3"/>
  <pageSetup scale="2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Concentrations</vt:lpstr>
      <vt:lpstr>Summary Concs</vt:lpstr>
      <vt:lpstr>GC-MS</vt:lpstr>
      <vt:lpstr>ForThesisAppB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T. Wang</dc:creator>
  <cp:lastModifiedBy>DTW</cp:lastModifiedBy>
  <cp:lastPrinted>2017-04-04T18:40:45Z</cp:lastPrinted>
  <dcterms:created xsi:type="dcterms:W3CDTF">2016-05-13T16:29:49Z</dcterms:created>
  <dcterms:modified xsi:type="dcterms:W3CDTF">2019-05-21T17:04:48Z</dcterms:modified>
</cp:coreProperties>
</file>