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/>
  </bookViews>
  <sheets>
    <sheet name="Sheet1" sheetId="1" r:id="rId1"/>
  </sheets>
  <definedNames>
    <definedName name="solver_adj" localSheetId="0" hidden="1">Sheet1!$K$19,Sheet1!$K$45,Sheet1!$K$47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Sheet1!$K$19</definedName>
    <definedName name="solver_lhs2" localSheetId="0" hidden="1">Sheet1!$K$19</definedName>
    <definedName name="solver_lhs3" localSheetId="0" hidden="1">Sheet1!$K$45</definedName>
    <definedName name="solver_lhs4" localSheetId="0" hidden="1">Sheet1!$K$45</definedName>
    <definedName name="solver_lhs5" localSheetId="0" hidden="1">Sheet1!$K$47</definedName>
    <definedName name="solver_lhs6" localSheetId="0" hidden="1">Sheet1!$K$47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Sheet1!$Q$30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hs1" localSheetId="0" hidden="1">100</definedName>
    <definedName name="solver_rhs2" localSheetId="0" hidden="1">0</definedName>
    <definedName name="solver_rhs3" localSheetId="0" hidden="1">100</definedName>
    <definedName name="solver_rhs4" localSheetId="0" hidden="1">0</definedName>
    <definedName name="solver_rhs5" localSheetId="0" hidden="1">100</definedName>
    <definedName name="solver_rhs6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tabEA" localSheetId="0">Sheet1!$D$4</definedName>
  </definedNames>
  <calcPr calcId="152511"/>
</workbook>
</file>

<file path=xl/calcChain.xml><?xml version="1.0" encoding="utf-8"?>
<calcChain xmlns="http://schemas.openxmlformats.org/spreadsheetml/2006/main">
  <c r="S48" i="1" l="1"/>
  <c r="S47" i="1" l="1"/>
  <c r="S45" i="1"/>
  <c r="AA49" i="1"/>
  <c r="AA48" i="1"/>
  <c r="K49" i="1"/>
  <c r="L19" i="1"/>
  <c r="L45" i="1"/>
  <c r="L20" i="1" s="1"/>
  <c r="S18" i="1"/>
  <c r="K37" i="1" s="1"/>
  <c r="S17" i="1"/>
  <c r="K31" i="1" s="1"/>
  <c r="S16" i="1"/>
  <c r="K25" i="1" s="1"/>
  <c r="K20" i="1"/>
  <c r="S12" i="1"/>
  <c r="S11" i="1"/>
  <c r="S10" i="1"/>
  <c r="K36" i="1" s="1"/>
  <c r="S9" i="1"/>
  <c r="K30" i="1" s="1"/>
  <c r="R13" i="1"/>
  <c r="S8" i="1"/>
  <c r="K24" i="1" s="1"/>
  <c r="S7" i="1"/>
  <c r="K46" i="1" s="1"/>
  <c r="K48" i="1" s="1"/>
  <c r="K50" i="1" s="1"/>
  <c r="M23" i="1"/>
  <c r="M35" i="1"/>
  <c r="L35" i="1"/>
  <c r="L29" i="1"/>
  <c r="M29" i="1"/>
  <c r="L23" i="1"/>
  <c r="M17" i="1"/>
  <c r="L17" i="1"/>
  <c r="K35" i="1"/>
  <c r="K29" i="1"/>
  <c r="K23" i="1"/>
  <c r="K17" i="1"/>
  <c r="T45" i="1" l="1"/>
  <c r="M41" i="1"/>
  <c r="S46" i="1"/>
  <c r="K18" i="1"/>
  <c r="M19" i="1"/>
  <c r="M37" i="1" s="1"/>
  <c r="M39" i="1" s="1"/>
  <c r="K33" i="1"/>
  <c r="K39" i="1"/>
  <c r="K27" i="1"/>
  <c r="K21" i="1"/>
  <c r="M21" i="1" l="1"/>
  <c r="M31" i="1"/>
  <c r="M33" i="1" s="1"/>
  <c r="M25" i="1"/>
  <c r="M27" i="1" s="1"/>
  <c r="L25" i="1"/>
  <c r="L27" i="1" s="1"/>
  <c r="L37" i="1"/>
  <c r="L39" i="1" s="1"/>
  <c r="L31" i="1"/>
  <c r="L33" i="1" s="1"/>
  <c r="L21" i="1"/>
  <c r="Q30" i="1" l="1"/>
</calcChain>
</file>

<file path=xl/comments1.xml><?xml version="1.0" encoding="utf-8"?>
<comments xmlns="http://schemas.openxmlformats.org/spreadsheetml/2006/main">
  <authors>
    <author>Author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Listed as &lt;0.2 wt%</t>
        </r>
      </text>
    </comment>
  </commentList>
</comments>
</file>

<file path=xl/sharedStrings.xml><?xml version="1.0" encoding="utf-8"?>
<sst xmlns="http://schemas.openxmlformats.org/spreadsheetml/2006/main" count="111" uniqueCount="56">
  <si>
    <t>(wt%)</t>
  </si>
  <si>
    <t>UNEX</t>
  </si>
  <si>
    <t>EX*</t>
  </si>
  <si>
    <t>DECA</t>
  </si>
  <si>
    <t>C</t>
  </si>
  <si>
    <t>H</t>
  </si>
  <si>
    <t>N</t>
  </si>
  <si>
    <t>S</t>
  </si>
  <si>
    <t>Table 1</t>
  </si>
  <si>
    <t>Elemental analysis of Eagle Ford shale powder that was either dried but otherwise untreated (UNEX), Soxhlet-extracted (EX), or extracted + decarbonated (DECA).  Data from C. Johnson, WHOI, 1996.</t>
  </si>
  <si>
    <t>*Used in the experiment.</t>
  </si>
  <si>
    <t>∑C (wt%)</t>
  </si>
  <si>
    <t>Kerogen</t>
  </si>
  <si>
    <t>Bitumen + Free HC</t>
  </si>
  <si>
    <t>∑H (wt%)</t>
  </si>
  <si>
    <t>Inorganic</t>
  </si>
  <si>
    <t>∑S (wt%)</t>
  </si>
  <si>
    <t>∑N (wt%)</t>
  </si>
  <si>
    <t>g/mol</t>
  </si>
  <si>
    <t>O</t>
  </si>
  <si>
    <t>Ca</t>
  </si>
  <si>
    <t>Removed by wet chemistry</t>
  </si>
  <si>
    <t>Calculated</t>
  </si>
  <si>
    <t>Assumed</t>
  </si>
  <si>
    <t>Measured</t>
  </si>
  <si>
    <t>∑Silicates</t>
  </si>
  <si>
    <t>CaCO3 (wt%)</t>
  </si>
  <si>
    <t>Calculation Residual</t>
  </si>
  <si>
    <t>TOC</t>
  </si>
  <si>
    <t>TOC (wt%)</t>
  </si>
  <si>
    <t>Bit. mw:</t>
  </si>
  <si>
    <t>EOM (wt%)</t>
  </si>
  <si>
    <t>mw</t>
  </si>
  <si>
    <t>EOM (formula, wt%)</t>
  </si>
  <si>
    <t>(set to minimum)</t>
  </si>
  <si>
    <t>Kerogen atomic H/C</t>
  </si>
  <si>
    <t>(According to Baskin 1997, this is oily Type II source rock)</t>
  </si>
  <si>
    <t>Clay-bound</t>
  </si>
  <si>
    <t>Sulfur-bearing minerals</t>
  </si>
  <si>
    <t>(Ker+Clay) at. N/C</t>
  </si>
  <si>
    <t>(Ker+Inorg) at. S/C</t>
  </si>
  <si>
    <t>(Treat kerogen-bound and clay-bound N as one component.)</t>
  </si>
  <si>
    <t>(Treat kerogen-bound and inorganic S as one component.)</t>
  </si>
  <si>
    <t>obj</t>
  </si>
  <si>
    <t>SOLVER guess</t>
  </si>
  <si>
    <t>(Exclude from minimization--doesn't make much of a difference.)</t>
  </si>
  <si>
    <t>Result calculated excluding N and S from minimization</t>
  </si>
  <si>
    <t>Result calculated including N and S in optimization</t>
  </si>
  <si>
    <t>EOM/TOC</t>
  </si>
  <si>
    <t>EOM (mg/g rock)</t>
  </si>
  <si>
    <t>EOM/TOC (mg/g)</t>
  </si>
  <si>
    <t>Used in paper</t>
  </si>
  <si>
    <t>CaCO3</t>
  </si>
  <si>
    <t>%</t>
  </si>
  <si>
    <t>EOM</t>
  </si>
  <si>
    <t>(From French et al., 2019, IMOG Abstract)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</si>
</sst>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3" formatCode="_(* #,##0.00_);_(* \(#,##0.00\);_(* &quot;-&quot;??_);_(@_)"/>
    <numFmt numFmtId="170" formatCode="0.000"/>
    <numFmt numFmtId="171" formatCode="0.0"/>
    <numFmt numFmtId="172" formatCode="_(* #,##0.0_);_(* \(#,##0.0\);_(* &quot;-&quot;_);_(@_)"/>
    <numFmt numFmtId="173" formatCode="_(* #,##0.00_);_(* \(#,##0.00\);_(* &quot;-&quot;_);_(@_)"/>
    <numFmt numFmtId="175" formatCode="_(* #,##0.000_);_(* \(#,##0.000\);_(* &quot;-&quot;??_);_(@_)"/>
    <numFmt numFmtId="176" formatCode="_(* #,##0.0_);_(* \(#,##0.0\);_(* &quot;-&quot;??_);_(@_)"/>
  </numFmts>
  <fonts count="13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Times New Roman"/>
      <family val="1"/>
    </font>
    <font>
      <sz val="9"/>
      <color rgb="FF000000"/>
      <name val="Times New Roman"/>
      <family val="1"/>
    </font>
    <font>
      <sz val="9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Times New Roman"/>
      <family val="1"/>
    </font>
    <font>
      <sz val="11"/>
      <name val="Times New Roman"/>
      <family val="1"/>
    </font>
    <font>
      <sz val="11"/>
      <color theme="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darkUp"/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3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6" fillId="0" borderId="0" xfId="0" applyFont="1" applyAlignment="1">
      <alignment horizontal="justify" vertical="center"/>
    </xf>
    <xf numFmtId="0" fontId="7" fillId="0" borderId="3" xfId="0" applyFont="1" applyBorder="1" applyAlignment="1">
      <alignment horizontal="justify" vertical="center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7" fillId="0" borderId="4" xfId="0" applyFont="1" applyBorder="1" applyAlignment="1">
      <alignment horizontal="justify" vertical="center"/>
    </xf>
    <xf numFmtId="0" fontId="2" fillId="0" borderId="6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0" xfId="0" applyFont="1" applyBorder="1" applyAlignment="1">
      <alignment horizontal="left" vertical="center" indent="1"/>
    </xf>
    <xf numFmtId="2" fontId="4" fillId="0" borderId="2" xfId="0" applyNumberFormat="1" applyFont="1" applyBorder="1" applyAlignment="1">
      <alignment horizontal="left" vertical="center" wrapText="1"/>
    </xf>
    <xf numFmtId="2" fontId="4" fillId="0" borderId="3" xfId="0" applyNumberFormat="1" applyFont="1" applyBorder="1" applyAlignment="1">
      <alignment horizontal="left" vertical="center" wrapText="1"/>
    </xf>
    <xf numFmtId="171" fontId="4" fillId="0" borderId="2" xfId="0" applyNumberFormat="1" applyFont="1" applyBorder="1" applyAlignment="1">
      <alignment horizontal="left" vertical="center" wrapText="1"/>
    </xf>
    <xf numFmtId="170" fontId="2" fillId="0" borderId="5" xfId="0" applyNumberFormat="1" applyFont="1" applyBorder="1" applyAlignment="1">
      <alignment vertical="center"/>
    </xf>
    <xf numFmtId="41" fontId="2" fillId="0" borderId="5" xfId="0" applyNumberFormat="1" applyFont="1" applyBorder="1" applyAlignment="1">
      <alignment vertical="center"/>
    </xf>
    <xf numFmtId="172" fontId="2" fillId="0" borderId="5" xfId="0" applyNumberFormat="1" applyFont="1" applyBorder="1" applyAlignment="1">
      <alignment vertical="center"/>
    </xf>
    <xf numFmtId="172" fontId="2" fillId="0" borderId="0" xfId="0" applyNumberFormat="1" applyFont="1" applyBorder="1" applyAlignment="1">
      <alignment vertical="center"/>
    </xf>
    <xf numFmtId="173" fontId="2" fillId="0" borderId="5" xfId="0" applyNumberFormat="1" applyFont="1" applyBorder="1" applyAlignment="1">
      <alignment vertical="center"/>
    </xf>
    <xf numFmtId="173" fontId="2" fillId="2" borderId="5" xfId="0" applyNumberFormat="1" applyFont="1" applyFill="1" applyBorder="1" applyAlignment="1">
      <alignment vertical="center"/>
    </xf>
    <xf numFmtId="173" fontId="2" fillId="0" borderId="0" xfId="0" applyNumberFormat="1" applyFont="1" applyBorder="1" applyAlignment="1">
      <alignment vertical="center"/>
    </xf>
    <xf numFmtId="173" fontId="2" fillId="3" borderId="5" xfId="0" applyNumberFormat="1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5" borderId="5" xfId="0" applyFont="1" applyFill="1" applyBorder="1" applyAlignment="1">
      <alignment vertical="center"/>
    </xf>
    <xf numFmtId="173" fontId="2" fillId="5" borderId="5" xfId="0" applyNumberFormat="1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43" fontId="2" fillId="0" borderId="0" xfId="1" applyFont="1" applyAlignment="1">
      <alignment vertical="center"/>
    </xf>
    <xf numFmtId="9" fontId="2" fillId="0" borderId="0" xfId="2" applyFont="1" applyAlignment="1">
      <alignment horizontal="right" vertical="center" indent="1"/>
    </xf>
    <xf numFmtId="9" fontId="2" fillId="0" borderId="6" xfId="2" applyFont="1" applyBorder="1" applyAlignment="1">
      <alignment horizontal="right" vertical="center" indent="1"/>
    </xf>
    <xf numFmtId="0" fontId="2" fillId="6" borderId="5" xfId="0" applyFont="1" applyFill="1" applyBorder="1" applyAlignment="1">
      <alignment vertical="center"/>
    </xf>
    <xf numFmtId="170" fontId="2" fillId="6" borderId="5" xfId="0" applyNumberFormat="1" applyFont="1" applyFill="1" applyBorder="1" applyAlignment="1">
      <alignment vertical="center"/>
    </xf>
    <xf numFmtId="173" fontId="2" fillId="4" borderId="5" xfId="0" applyNumberFormat="1" applyFont="1" applyFill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2" fontId="2" fillId="0" borderId="0" xfId="0" applyNumberFormat="1" applyFont="1" applyAlignment="1">
      <alignment horizontal="right" vertical="center" indent="1"/>
    </xf>
    <xf numFmtId="2" fontId="2" fillId="0" borderId="6" xfId="0" applyNumberFormat="1" applyFont="1" applyBorder="1" applyAlignment="1">
      <alignment horizontal="right" vertical="center" indent="1"/>
    </xf>
    <xf numFmtId="175" fontId="2" fillId="5" borderId="5" xfId="1" applyNumberFormat="1" applyFont="1" applyFill="1" applyBorder="1" applyAlignment="1">
      <alignment vertical="center"/>
    </xf>
    <xf numFmtId="170" fontId="12" fillId="6" borderId="5" xfId="0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2" fontId="2" fillId="0" borderId="5" xfId="0" applyNumberFormat="1" applyFont="1" applyBorder="1" applyAlignment="1">
      <alignment horizontal="right" vertical="center" indent="1"/>
    </xf>
    <xf numFmtId="173" fontId="11" fillId="0" borderId="5" xfId="0" applyNumberFormat="1" applyFont="1" applyBorder="1" applyAlignment="1">
      <alignment vertical="center"/>
    </xf>
    <xf numFmtId="43" fontId="2" fillId="0" borderId="0" xfId="0" applyNumberFormat="1" applyFont="1" applyAlignment="1">
      <alignment vertical="center"/>
    </xf>
    <xf numFmtId="176" fontId="2" fillId="0" borderId="0" xfId="0" applyNumberFormat="1" applyFont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5" fillId="0" borderId="0" xfId="0" applyFont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ELH Theme">
  <a:themeElements>
    <a:clrScheme name="ExxonMobil">
      <a:dk1>
        <a:srgbClr val="000000"/>
      </a:dk1>
      <a:lt1>
        <a:srgbClr val="FFFFFF"/>
      </a:lt1>
      <a:dk2>
        <a:srgbClr val="ED1C2E"/>
      </a:dk2>
      <a:lt2>
        <a:srgbClr val="5A5A5A"/>
      </a:lt2>
      <a:accent1>
        <a:srgbClr val="0C479D"/>
      </a:accent1>
      <a:accent2>
        <a:srgbClr val="00A3E0"/>
      </a:accent2>
      <a:accent3>
        <a:srgbClr val="13943C"/>
      </a:accent3>
      <a:accent4>
        <a:srgbClr val="B4D405"/>
      </a:accent4>
      <a:accent5>
        <a:srgbClr val="FFD700"/>
      </a:accent5>
      <a:accent6>
        <a:srgbClr val="ED8B00"/>
      </a:accent6>
      <a:hlink>
        <a:srgbClr val="0C479D"/>
      </a:hlink>
      <a:folHlink>
        <a:srgbClr val="00A3E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2"/>
        </a:solidFill>
        <a:ln>
          <a:noFill/>
        </a:ln>
        <a:effectLst/>
      </a:spPr>
      <a:bodyPr rtlCol="0" anchor="ctr"/>
      <a:lstStyle>
        <a:defPPr algn="ctr">
          <a:defRPr/>
        </a:defPPr>
      </a:lstStyle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spDef>
    <a:lnDef>
      <a:spPr>
        <a:ln w="12700"/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ELH Theme" id="{79FE75CA-9555-4E96-9D11-7FC8627312E2}" vid="{AF368D1A-2681-435C-A484-6D893C06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4:AD50"/>
  <sheetViews>
    <sheetView showGridLines="0" tabSelected="1" topLeftCell="F16" workbookViewId="0">
      <selection activeCell="U45" sqref="U45"/>
    </sheetView>
  </sheetViews>
  <sheetFormatPr defaultRowHeight="15" x14ac:dyDescent="0.2"/>
  <cols>
    <col min="1" max="9" width="9" style="6"/>
    <col min="10" max="10" width="19.5" style="6" customWidth="1"/>
    <col min="11" max="13" width="6.5" style="6" customWidth="1"/>
    <col min="14" max="15" width="9" style="6"/>
    <col min="16" max="16" width="3" style="6" bestFit="1" customWidth="1"/>
    <col min="17" max="17" width="7" style="6" customWidth="1"/>
    <col min="18" max="25" width="9" style="6"/>
    <col min="26" max="26" width="19.625" style="6" bestFit="1" customWidth="1"/>
    <col min="27" max="16384" width="9" style="6"/>
  </cols>
  <sheetData>
    <row r="4" spans="4:29" x14ac:dyDescent="0.2">
      <c r="D4" s="4" t="s">
        <v>8</v>
      </c>
    </row>
    <row r="5" spans="4:29" ht="58.5" customHeight="1" thickBot="1" x14ac:dyDescent="0.25">
      <c r="D5" s="5" t="s">
        <v>9</v>
      </c>
      <c r="E5" s="5"/>
      <c r="F5" s="5"/>
      <c r="G5" s="5"/>
    </row>
    <row r="6" spans="4:29" ht="15.75" thickBot="1" x14ac:dyDescent="0.25">
      <c r="D6" s="1" t="s">
        <v>0</v>
      </c>
      <c r="E6" s="1" t="s">
        <v>1</v>
      </c>
      <c r="F6" s="1" t="s">
        <v>2</v>
      </c>
      <c r="G6" s="1" t="s">
        <v>3</v>
      </c>
      <c r="P6" s="7"/>
      <c r="Q6" s="8" t="s">
        <v>32</v>
      </c>
      <c r="R6" s="36" t="s">
        <v>33</v>
      </c>
      <c r="S6" s="36"/>
    </row>
    <row r="7" spans="4:29" x14ac:dyDescent="0.2">
      <c r="D7" s="2" t="s">
        <v>4</v>
      </c>
      <c r="E7" s="16">
        <v>12.1</v>
      </c>
      <c r="F7" s="16">
        <v>11</v>
      </c>
      <c r="G7" s="14">
        <v>6.23</v>
      </c>
      <c r="P7" s="6" t="s">
        <v>4</v>
      </c>
      <c r="Q7" s="37">
        <v>12.01</v>
      </c>
      <c r="R7" s="39">
        <v>1</v>
      </c>
      <c r="S7" s="31">
        <f>PRODUCT(Q7,R7)/SUMPRODUCT($Q$7:$Q$12,$R$7:$R$12)</f>
        <v>0.76669884120588128</v>
      </c>
    </row>
    <row r="8" spans="4:29" x14ac:dyDescent="0.2">
      <c r="D8" s="2" t="s">
        <v>5</v>
      </c>
      <c r="E8" s="14">
        <v>0.38</v>
      </c>
      <c r="F8" s="14">
        <v>0.25</v>
      </c>
      <c r="G8" s="14">
        <v>1.24</v>
      </c>
      <c r="P8" s="6" t="s">
        <v>5</v>
      </c>
      <c r="Q8" s="37">
        <v>1.0078</v>
      </c>
      <c r="R8" s="39">
        <v>2</v>
      </c>
      <c r="S8" s="31">
        <f>PRODUCT(Q8,R8)/SUMPRODUCT($Q$7:$Q$12,$R$7:$R$12)</f>
        <v>0.12867262150995623</v>
      </c>
    </row>
    <row r="9" spans="4:29" x14ac:dyDescent="0.2">
      <c r="D9" s="2" t="s">
        <v>6</v>
      </c>
      <c r="E9" s="14">
        <v>0.18</v>
      </c>
      <c r="F9" s="14">
        <v>0.17</v>
      </c>
      <c r="G9" s="14">
        <v>0.74</v>
      </c>
      <c r="P9" s="6" t="s">
        <v>6</v>
      </c>
      <c r="Q9" s="37">
        <v>14.01</v>
      </c>
      <c r="R9" s="39">
        <v>0.03</v>
      </c>
      <c r="S9" s="31">
        <f t="shared" ref="S9:S12" si="0">PRODUCT(Q9,R9)/SUMPRODUCT($Q$7:$Q$12,$R$7:$R$12)</f>
        <v>2.6831267523632962E-2</v>
      </c>
    </row>
    <row r="10" spans="4:29" ht="15.75" thickBot="1" x14ac:dyDescent="0.25">
      <c r="D10" s="3" t="s">
        <v>7</v>
      </c>
      <c r="E10" s="15">
        <v>0.37</v>
      </c>
      <c r="F10" s="15">
        <v>0.2</v>
      </c>
      <c r="G10" s="15">
        <v>2.2999999999999998</v>
      </c>
      <c r="P10" s="6" t="s">
        <v>7</v>
      </c>
      <c r="Q10" s="37">
        <v>32.07</v>
      </c>
      <c r="R10" s="39">
        <v>3.7999999999999999E-2</v>
      </c>
      <c r="S10" s="31">
        <f t="shared" si="0"/>
        <v>7.7797269760529503E-2</v>
      </c>
      <c r="T10" s="41" t="s">
        <v>55</v>
      </c>
    </row>
    <row r="11" spans="4:29" x14ac:dyDescent="0.2">
      <c r="D11" s="9" t="s">
        <v>10</v>
      </c>
      <c r="E11" s="9"/>
      <c r="F11" s="9"/>
      <c r="G11" s="9"/>
      <c r="P11" s="6" t="s">
        <v>19</v>
      </c>
      <c r="Q11" s="37">
        <v>16</v>
      </c>
      <c r="R11" s="39">
        <v>0</v>
      </c>
      <c r="S11" s="31">
        <f t="shared" si="0"/>
        <v>0</v>
      </c>
    </row>
    <row r="12" spans="4:29" x14ac:dyDescent="0.2">
      <c r="P12" s="10" t="s">
        <v>20</v>
      </c>
      <c r="Q12" s="38">
        <v>40.08</v>
      </c>
      <c r="R12" s="39">
        <v>0</v>
      </c>
      <c r="S12" s="32">
        <f t="shared" si="0"/>
        <v>0</v>
      </c>
    </row>
    <row r="13" spans="4:29" x14ac:dyDescent="0.2">
      <c r="J13" s="6" t="s">
        <v>47</v>
      </c>
      <c r="Q13" s="6" t="s">
        <v>30</v>
      </c>
      <c r="R13" s="30">
        <f>SUMPRODUCT(Q7:Q12,R7:R12)</f>
        <v>15.66456</v>
      </c>
      <c r="S13" s="6" t="s">
        <v>18</v>
      </c>
      <c r="Z13" s="6" t="s">
        <v>46</v>
      </c>
    </row>
    <row r="15" spans="4:29" ht="21" customHeight="1" x14ac:dyDescent="0.2">
      <c r="J15" s="7"/>
      <c r="K15" s="8" t="s">
        <v>1</v>
      </c>
      <c r="L15" s="8" t="s">
        <v>2</v>
      </c>
      <c r="M15" s="8" t="s">
        <v>3</v>
      </c>
      <c r="Z15" s="7"/>
      <c r="AA15" s="8" t="s">
        <v>1</v>
      </c>
      <c r="AB15" s="8" t="s">
        <v>2</v>
      </c>
      <c r="AC15" s="8" t="s">
        <v>3</v>
      </c>
    </row>
    <row r="16" spans="4:29" x14ac:dyDescent="0.2">
      <c r="J16" s="11"/>
      <c r="K16" s="11"/>
      <c r="L16" s="11"/>
      <c r="M16" s="11"/>
      <c r="Q16" s="6" t="s">
        <v>35</v>
      </c>
      <c r="S16" s="42">
        <f>(G8/Q8)/($G$7/$Q$7)</f>
        <v>2.371932314782577</v>
      </c>
      <c r="T16" s="41" t="s">
        <v>36</v>
      </c>
      <c r="Z16" s="11"/>
      <c r="AA16" s="11"/>
      <c r="AB16" s="11"/>
      <c r="AC16" s="11"/>
    </row>
    <row r="17" spans="10:30" x14ac:dyDescent="0.2">
      <c r="J17" s="11" t="s">
        <v>11</v>
      </c>
      <c r="K17" s="24">
        <f>E7</f>
        <v>12.1</v>
      </c>
      <c r="L17" s="24">
        <f t="shared" ref="L17:M17" si="1">F7</f>
        <v>11</v>
      </c>
      <c r="M17" s="24">
        <f t="shared" si="1"/>
        <v>6.23</v>
      </c>
      <c r="Q17" s="6" t="s">
        <v>39</v>
      </c>
      <c r="S17" s="42">
        <f>(G9/Q9)/($G$7/$Q$7)</f>
        <v>0.10182362288803112</v>
      </c>
      <c r="Z17" s="11" t="s">
        <v>11</v>
      </c>
      <c r="AA17" s="24">
        <v>12.1</v>
      </c>
      <c r="AB17" s="24">
        <v>11</v>
      </c>
      <c r="AC17" s="24">
        <v>6.23</v>
      </c>
    </row>
    <row r="18" spans="10:30" x14ac:dyDescent="0.2">
      <c r="J18" s="13" t="s">
        <v>13</v>
      </c>
      <c r="K18" s="21">
        <f>$S$7*$K$47</f>
        <v>1.1437436278965485</v>
      </c>
      <c r="L18" s="22"/>
      <c r="M18" s="22"/>
      <c r="Q18" s="6" t="s">
        <v>40</v>
      </c>
      <c r="S18" s="42">
        <f>(G10/Q10)/($G$7/$Q$7)</f>
        <v>0.13825595194300588</v>
      </c>
      <c r="Z18" s="13" t="s">
        <v>13</v>
      </c>
      <c r="AA18" s="21">
        <v>1.4898941648661232</v>
      </c>
      <c r="AB18" s="22"/>
      <c r="AC18" s="22"/>
    </row>
    <row r="19" spans="10:30" x14ac:dyDescent="0.2">
      <c r="J19" s="13" t="s">
        <v>12</v>
      </c>
      <c r="K19" s="35">
        <v>1.0772736188985197</v>
      </c>
      <c r="L19" s="43">
        <f>K19/(1-$K$47/100)</f>
        <v>1.0935875047806596</v>
      </c>
      <c r="M19" s="43">
        <f>L19/(1-$L$45/100)</f>
        <v>6.2299999579341367</v>
      </c>
      <c r="Z19" s="13" t="s">
        <v>12</v>
      </c>
      <c r="AA19" s="35">
        <v>1.3539833174368832</v>
      </c>
      <c r="AB19" s="43">
        <v>1.3779589537377173</v>
      </c>
      <c r="AC19" s="43">
        <v>6.2300315480817181</v>
      </c>
    </row>
    <row r="20" spans="10:30" x14ac:dyDescent="0.2">
      <c r="J20" s="13" t="s">
        <v>15</v>
      </c>
      <c r="K20" s="21">
        <f>K45/SUM($Q$12,$Q$7,$Q$11,$Q$11,$Q$11)*SUM($Q$7)</f>
        <v>9.7453322435278906</v>
      </c>
      <c r="L20" s="21">
        <f>L45/SUM($Q$12,$Q$7,$Q$11,$Q$11,$Q$11)*SUM($Q$7)</f>
        <v>9.8929124267936857</v>
      </c>
      <c r="M20" s="22"/>
      <c r="Z20" s="13" t="s">
        <v>15</v>
      </c>
      <c r="AA20" s="21">
        <v>9.1826153909189721</v>
      </c>
      <c r="AB20" s="21">
        <v>9.345216394984428</v>
      </c>
      <c r="AC20" s="22"/>
    </row>
    <row r="21" spans="10:30" x14ac:dyDescent="0.2">
      <c r="J21" s="29" t="s">
        <v>27</v>
      </c>
      <c r="K21" s="40">
        <f>SQRT(SUMSQ(K17-SUM(K18:K20)))</f>
        <v>0.13365050967704128</v>
      </c>
      <c r="L21" s="40">
        <f t="shared" ref="L21:M21" si="2">SQRT(SUMSQ(L17-SUM(L18:L20)))</f>
        <v>1.3500068425654987E-2</v>
      </c>
      <c r="M21" s="40">
        <f t="shared" si="2"/>
        <v>4.2065863681273186E-8</v>
      </c>
      <c r="Z21" s="29" t="s">
        <v>27</v>
      </c>
      <c r="AA21" s="40">
        <v>7.3507126778020293E-2</v>
      </c>
      <c r="AB21" s="40">
        <v>0.27682465127785427</v>
      </c>
      <c r="AC21" s="40">
        <v>3.1548081717680532E-5</v>
      </c>
    </row>
    <row r="22" spans="10:30" x14ac:dyDescent="0.2">
      <c r="J22" s="11"/>
      <c r="K22" s="23"/>
      <c r="L22" s="23"/>
      <c r="M22" s="23"/>
      <c r="Z22" s="11"/>
      <c r="AA22" s="23"/>
      <c r="AB22" s="23"/>
      <c r="AC22" s="23"/>
    </row>
    <row r="23" spans="10:30" x14ac:dyDescent="0.2">
      <c r="J23" s="11" t="s">
        <v>14</v>
      </c>
      <c r="K23" s="24">
        <f>E8</f>
        <v>0.38</v>
      </c>
      <c r="L23" s="24">
        <f t="shared" ref="L23:M23" si="3">F8</f>
        <v>0.25</v>
      </c>
      <c r="M23" s="24">
        <f t="shared" si="3"/>
        <v>1.24</v>
      </c>
      <c r="P23" s="25"/>
      <c r="Q23" s="6" t="s">
        <v>24</v>
      </c>
      <c r="Z23" s="11" t="s">
        <v>14</v>
      </c>
      <c r="AA23" s="24">
        <v>0.38</v>
      </c>
      <c r="AB23" s="24">
        <v>0.25</v>
      </c>
      <c r="AC23" s="24">
        <v>1.24</v>
      </c>
    </row>
    <row r="24" spans="10:30" x14ac:dyDescent="0.2">
      <c r="J24" s="13" t="s">
        <v>13</v>
      </c>
      <c r="K24" s="21">
        <f>S8*K47</f>
        <v>0.19195084566097281</v>
      </c>
      <c r="L24" s="22"/>
      <c r="M24" s="22"/>
      <c r="P24" s="22"/>
      <c r="Q24" s="6" t="s">
        <v>21</v>
      </c>
      <c r="Z24" s="13" t="s">
        <v>13</v>
      </c>
      <c r="AA24" s="21">
        <v>0.25004418640334369</v>
      </c>
      <c r="AB24" s="22"/>
      <c r="AC24" s="22"/>
    </row>
    <row r="25" spans="10:30" x14ac:dyDescent="0.2">
      <c r="J25" s="13" t="s">
        <v>12</v>
      </c>
      <c r="K25" s="21">
        <f>$S16*(K$19/$Q$7)*$Q8</f>
        <v>0.21441722109697664</v>
      </c>
      <c r="L25" s="21">
        <f>$S16*(L$19/$Q$7)*$Q8</f>
        <v>0.21766428666581344</v>
      </c>
      <c r="M25" s="21">
        <f>$S16*(M$19/$Q$7)*$Q8</f>
        <v>1.2399999916273403</v>
      </c>
      <c r="P25" s="12"/>
      <c r="Q25" s="6" t="s">
        <v>22</v>
      </c>
      <c r="Z25" s="13" t="s">
        <v>12</v>
      </c>
      <c r="AA25" s="21">
        <v>0.26949266671295907</v>
      </c>
      <c r="AB25" s="21">
        <v>0.27426470347267567</v>
      </c>
      <c r="AC25" s="21">
        <v>1.2400062792329583</v>
      </c>
    </row>
    <row r="26" spans="10:30" x14ac:dyDescent="0.2">
      <c r="J26" s="13" t="s">
        <v>15</v>
      </c>
      <c r="K26" s="28">
        <v>0</v>
      </c>
      <c r="L26" s="28">
        <v>0</v>
      </c>
      <c r="M26" s="28">
        <v>0</v>
      </c>
      <c r="P26" s="27"/>
      <c r="Q26" s="6" t="s">
        <v>23</v>
      </c>
      <c r="Z26" s="13" t="s">
        <v>15</v>
      </c>
      <c r="AA26" s="28">
        <v>0</v>
      </c>
      <c r="AB26" s="28">
        <v>0</v>
      </c>
      <c r="AC26" s="28">
        <v>0</v>
      </c>
    </row>
    <row r="27" spans="10:30" x14ac:dyDescent="0.2">
      <c r="J27" s="29" t="s">
        <v>27</v>
      </c>
      <c r="K27" s="40">
        <f>SQRT(SUMSQ(K23-SUM(K24:K26)))</f>
        <v>2.6368066757949449E-2</v>
      </c>
      <c r="L27" s="40">
        <f t="shared" ref="L27" si="4">SQRT(SUMSQ(L23-SUM(L24:L26)))</f>
        <v>3.2335713334186555E-2</v>
      </c>
      <c r="M27" s="40">
        <f t="shared" ref="M27" si="5">SQRT(SUMSQ(M23-SUM(M24:M26)))</f>
        <v>8.3726596766808825E-9</v>
      </c>
      <c r="P27" s="33"/>
      <c r="Q27" s="6" t="s">
        <v>27</v>
      </c>
      <c r="Z27" s="29" t="s">
        <v>27</v>
      </c>
      <c r="AA27" s="40">
        <v>0.13953685311630271</v>
      </c>
      <c r="AB27" s="40">
        <v>2.4264703472675675E-2</v>
      </c>
      <c r="AC27" s="40">
        <v>6.2792329582617157E-6</v>
      </c>
    </row>
    <row r="28" spans="10:30" x14ac:dyDescent="0.2">
      <c r="J28" s="11"/>
      <c r="K28" s="23"/>
      <c r="L28" s="23"/>
      <c r="M28" s="23"/>
      <c r="P28" s="26"/>
      <c r="Q28" s="6" t="s">
        <v>44</v>
      </c>
      <c r="Z28" s="11"/>
      <c r="AA28" s="23"/>
      <c r="AB28" s="23"/>
      <c r="AC28" s="23"/>
    </row>
    <row r="29" spans="10:30" x14ac:dyDescent="0.2">
      <c r="J29" s="11" t="s">
        <v>17</v>
      </c>
      <c r="K29" s="24">
        <f>E9</f>
        <v>0.18</v>
      </c>
      <c r="L29" s="24">
        <f>F9</f>
        <v>0.17</v>
      </c>
      <c r="M29" s="24">
        <f>G9</f>
        <v>0.74</v>
      </c>
      <c r="Z29" s="11" t="s">
        <v>17</v>
      </c>
      <c r="AA29" s="24">
        <v>0.18</v>
      </c>
      <c r="AB29" s="24">
        <v>0.17</v>
      </c>
      <c r="AC29" s="24">
        <v>0.74</v>
      </c>
    </row>
    <row r="30" spans="10:30" x14ac:dyDescent="0.2">
      <c r="J30" s="13" t="s">
        <v>13</v>
      </c>
      <c r="K30" s="21">
        <f>S9*K47</f>
        <v>4.0026265345954978E-2</v>
      </c>
      <c r="L30" s="22"/>
      <c r="M30" s="22"/>
      <c r="P30" s="6" t="s">
        <v>43</v>
      </c>
      <c r="Q30" s="17">
        <f>SUM(K21:M21,K27:M27,K33:M33,K39:M39)</f>
        <v>0.60547074746130614</v>
      </c>
      <c r="R30" s="41" t="s">
        <v>34</v>
      </c>
      <c r="Z30" s="13" t="s">
        <v>13</v>
      </c>
      <c r="AA30" s="21">
        <v>0</v>
      </c>
      <c r="AB30" s="22"/>
      <c r="AC30" s="22"/>
    </row>
    <row r="31" spans="10:30" x14ac:dyDescent="0.2">
      <c r="J31" s="13" t="s">
        <v>12</v>
      </c>
      <c r="K31" s="21">
        <f>$S17*(K$19/$Q$7)*$Q9</f>
        <v>0.12795866420303445</v>
      </c>
      <c r="L31" s="21">
        <f>$S17*(L$19/$Q$7)*$Q9</f>
        <v>0.12989642913927574</v>
      </c>
      <c r="M31" s="21">
        <f>$S17*(M$19/$Q$7)*$Q9</f>
        <v>0.73999999500341274</v>
      </c>
      <c r="Z31" s="13" t="s">
        <v>12</v>
      </c>
      <c r="AA31" s="21">
        <v>0.16082626884483039</v>
      </c>
      <c r="AB31" s="21">
        <v>0.16367409723369353</v>
      </c>
      <c r="AC31" s="21">
        <v>0.74000374728418472</v>
      </c>
    </row>
    <row r="32" spans="10:30" x14ac:dyDescent="0.2">
      <c r="J32" s="13" t="s">
        <v>37</v>
      </c>
      <c r="K32" s="28">
        <v>0</v>
      </c>
      <c r="L32" s="28">
        <v>0</v>
      </c>
      <c r="M32" s="28">
        <v>0</v>
      </c>
      <c r="N32" s="41" t="s">
        <v>41</v>
      </c>
      <c r="Z32" s="13" t="s">
        <v>37</v>
      </c>
      <c r="AA32" s="28">
        <v>0</v>
      </c>
      <c r="AB32" s="28">
        <v>0</v>
      </c>
      <c r="AC32" s="28">
        <v>0</v>
      </c>
      <c r="AD32" s="41" t="s">
        <v>41</v>
      </c>
    </row>
    <row r="33" spans="10:30" x14ac:dyDescent="0.2">
      <c r="J33" s="29" t="s">
        <v>27</v>
      </c>
      <c r="K33" s="40">
        <f>SQRT(SUMSQ(K29-SUM(K30:K32)))</f>
        <v>1.2015070451010579E-2</v>
      </c>
      <c r="L33" s="40">
        <f t="shared" ref="L33" si="6">SQRT(SUMSQ(L29-SUM(L30:L32)))</f>
        <v>4.0103570860724275E-2</v>
      </c>
      <c r="M33" s="40">
        <f t="shared" ref="M33" si="7">SQRT(SUMSQ(M29-SUM(M30:M32)))</f>
        <v>4.9965872550572499E-9</v>
      </c>
      <c r="Z33" s="29" t="s">
        <v>27</v>
      </c>
      <c r="AA33" s="40">
        <v>1.9173731155169599E-2</v>
      </c>
      <c r="AB33" s="40">
        <v>6.3259027663064848E-3</v>
      </c>
      <c r="AC33" s="40">
        <v>3.7472841847296934E-6</v>
      </c>
      <c r="AD33" s="41" t="s">
        <v>45</v>
      </c>
    </row>
    <row r="34" spans="10:30" x14ac:dyDescent="0.2">
      <c r="J34" s="11"/>
      <c r="K34" s="23"/>
      <c r="L34" s="23"/>
      <c r="M34" s="23"/>
      <c r="Z34" s="11"/>
      <c r="AA34" s="23"/>
      <c r="AB34" s="23"/>
      <c r="AC34" s="23"/>
    </row>
    <row r="35" spans="10:30" x14ac:dyDescent="0.2">
      <c r="J35" s="11" t="s">
        <v>16</v>
      </c>
      <c r="K35" s="24">
        <f>E10</f>
        <v>0.37</v>
      </c>
      <c r="L35" s="24">
        <f>F10</f>
        <v>0.2</v>
      </c>
      <c r="M35" s="24">
        <f>G10</f>
        <v>2.2999999999999998</v>
      </c>
      <c r="Z35" s="11" t="s">
        <v>16</v>
      </c>
      <c r="AA35" s="24">
        <v>0.37</v>
      </c>
      <c r="AB35" s="24">
        <v>0.2</v>
      </c>
      <c r="AC35" s="24">
        <v>2.2999999999999998</v>
      </c>
    </row>
    <row r="36" spans="10:30" x14ac:dyDescent="0.2">
      <c r="J36" s="13" t="s">
        <v>13</v>
      </c>
      <c r="K36" s="21">
        <f>S10*K47</f>
        <v>0.11605617065548776</v>
      </c>
      <c r="L36" s="22"/>
      <c r="M36" s="22"/>
      <c r="Z36" s="13" t="s">
        <v>13</v>
      </c>
      <c r="AA36" s="21">
        <v>0</v>
      </c>
      <c r="AB36" s="22"/>
      <c r="AC36" s="22"/>
    </row>
    <row r="37" spans="10:30" x14ac:dyDescent="0.2">
      <c r="J37" s="13" t="s">
        <v>12</v>
      </c>
      <c r="K37" s="21">
        <f>$S18*(K$19/$Q$7)*$Q10</f>
        <v>0.39770936171213406</v>
      </c>
      <c r="L37" s="21">
        <f>$S18*(L$19/$Q$7)*$Q10</f>
        <v>0.4037321446220733</v>
      </c>
      <c r="M37" s="21">
        <f>$S18*(M$19/$Q$7)*$Q10</f>
        <v>2.2999999844700665</v>
      </c>
      <c r="Z37" s="13" t="s">
        <v>12</v>
      </c>
      <c r="AA37" s="21">
        <v>0.4998654301933918</v>
      </c>
      <c r="AB37" s="21">
        <v>0.50871678869931769</v>
      </c>
      <c r="AC37" s="21">
        <v>2.3000116469643581</v>
      </c>
    </row>
    <row r="38" spans="10:30" x14ac:dyDescent="0.2">
      <c r="J38" s="13" t="s">
        <v>38</v>
      </c>
      <c r="K38" s="28">
        <v>0</v>
      </c>
      <c r="L38" s="28">
        <v>0</v>
      </c>
      <c r="M38" s="28">
        <v>0</v>
      </c>
      <c r="N38" s="41" t="s">
        <v>42</v>
      </c>
      <c r="Z38" s="13" t="s">
        <v>38</v>
      </c>
      <c r="AA38" s="28">
        <v>0</v>
      </c>
      <c r="AB38" s="28">
        <v>0</v>
      </c>
      <c r="AC38" s="28">
        <v>0</v>
      </c>
      <c r="AD38" s="41" t="s">
        <v>42</v>
      </c>
    </row>
    <row r="39" spans="10:30" x14ac:dyDescent="0.2">
      <c r="J39" s="29" t="s">
        <v>27</v>
      </c>
      <c r="K39" s="40">
        <f>SQRT(SUMSQ(K35-SUM(K36:K38)))</f>
        <v>0.1437655323676218</v>
      </c>
      <c r="L39" s="40">
        <f t="shared" ref="L39" si="8">SQRT(SUMSQ(L35-SUM(L36:L38)))</f>
        <v>0.20373214462207329</v>
      </c>
      <c r="M39" s="40">
        <f t="shared" ref="M39" si="9">SQRT(SUMSQ(M35-SUM(M36:M38)))</f>
        <v>1.5529933339308855E-8</v>
      </c>
      <c r="Z39" s="29" t="s">
        <v>27</v>
      </c>
      <c r="AA39" s="40">
        <v>0.12986543019339181</v>
      </c>
      <c r="AB39" s="40">
        <v>0.30871678869931768</v>
      </c>
      <c r="AC39" s="40">
        <v>1.1646964358291712E-5</v>
      </c>
      <c r="AD39" s="41" t="s">
        <v>45</v>
      </c>
    </row>
    <row r="40" spans="10:30" x14ac:dyDescent="0.2">
      <c r="J40" s="11"/>
      <c r="K40" s="10"/>
      <c r="L40" s="10"/>
      <c r="M40" s="10"/>
      <c r="Z40" s="11"/>
      <c r="AA40" s="10"/>
      <c r="AB40" s="10"/>
      <c r="AC40" s="10"/>
    </row>
    <row r="41" spans="10:30" x14ac:dyDescent="0.2">
      <c r="J41" s="6" t="s">
        <v>25</v>
      </c>
      <c r="K41" s="21"/>
      <c r="L41" s="21"/>
      <c r="M41" s="21">
        <f>100-SUM($M$17,$M$23,$M$29,$M$35)</f>
        <v>89.49</v>
      </c>
      <c r="Z41" s="6" t="s">
        <v>25</v>
      </c>
      <c r="AA41" s="21"/>
      <c r="AB41" s="21"/>
      <c r="AC41" s="21">
        <v>89.49</v>
      </c>
    </row>
    <row r="42" spans="10:30" x14ac:dyDescent="0.2">
      <c r="J42" s="29" t="s">
        <v>27</v>
      </c>
      <c r="K42" s="34"/>
      <c r="L42" s="34"/>
      <c r="M42" s="34"/>
      <c r="Z42" s="29" t="s">
        <v>27</v>
      </c>
      <c r="AA42" s="34"/>
      <c r="AB42" s="34"/>
      <c r="AC42" s="34"/>
    </row>
    <row r="43" spans="10:30" x14ac:dyDescent="0.2">
      <c r="J43" s="10"/>
      <c r="K43" s="10"/>
      <c r="L43" s="10"/>
      <c r="M43" s="10"/>
      <c r="Q43" s="53" t="s">
        <v>51</v>
      </c>
      <c r="Z43" s="10"/>
      <c r="AA43" s="10"/>
      <c r="AB43" s="10"/>
      <c r="AC43" s="10"/>
    </row>
    <row r="44" spans="10:30" x14ac:dyDescent="0.2">
      <c r="Q44" s="46"/>
      <c r="R44" s="47"/>
      <c r="S44" s="47"/>
      <c r="T44" s="47"/>
      <c r="U44" s="48"/>
    </row>
    <row r="45" spans="10:30" x14ac:dyDescent="0.2">
      <c r="J45" s="6" t="s">
        <v>26</v>
      </c>
      <c r="K45" s="35">
        <v>81.21651159489646</v>
      </c>
      <c r="L45" s="43">
        <f>K45/(1-$K$47/100)</f>
        <v>82.4464283761682</v>
      </c>
      <c r="M45" s="22"/>
      <c r="Q45" s="49"/>
      <c r="R45" s="11" t="s">
        <v>52</v>
      </c>
      <c r="S45" s="18">
        <f>AVERAGE(K45,AA45)</f>
        <v>78.871701862272545</v>
      </c>
      <c r="T45" s="18">
        <f>AVERAGE(L45,AB45)</f>
        <v>80.164209565852275</v>
      </c>
      <c r="U45" s="50" t="s">
        <v>53</v>
      </c>
      <c r="Z45" s="6" t="s">
        <v>26</v>
      </c>
      <c r="AA45" s="35">
        <v>76.526892129648616</v>
      </c>
      <c r="AB45" s="43">
        <v>77.881990755536336</v>
      </c>
      <c r="AC45" s="22"/>
    </row>
    <row r="46" spans="10:30" x14ac:dyDescent="0.2">
      <c r="J46" s="6" t="s">
        <v>29</v>
      </c>
      <c r="K46" s="21">
        <f>K47*S7+K19</f>
        <v>2.2210172467950682</v>
      </c>
      <c r="Q46" s="49"/>
      <c r="R46" s="11" t="s">
        <v>28</v>
      </c>
      <c r="S46" s="19">
        <f>AVERAGE(K46,AA46)</f>
        <v>2.5324473645490375</v>
      </c>
      <c r="T46" s="20" t="s">
        <v>53</v>
      </c>
      <c r="U46" s="50"/>
      <c r="Z46" s="6" t="s">
        <v>29</v>
      </c>
      <c r="AA46" s="21">
        <v>2.8438774823030064</v>
      </c>
    </row>
    <row r="47" spans="10:30" x14ac:dyDescent="0.2">
      <c r="J47" s="6" t="s">
        <v>31</v>
      </c>
      <c r="K47" s="35">
        <v>1.4917769095589641</v>
      </c>
      <c r="Q47" s="49"/>
      <c r="R47" s="11" t="s">
        <v>54</v>
      </c>
      <c r="S47" s="19">
        <f>AVERAGE(K47,AA47)</f>
        <v>1.6158576304142156</v>
      </c>
      <c r="T47" s="20" t="s">
        <v>53</v>
      </c>
      <c r="U47" s="50"/>
      <c r="Z47" s="6" t="s">
        <v>31</v>
      </c>
      <c r="AA47" s="35">
        <v>1.7399383512694671</v>
      </c>
    </row>
    <row r="48" spans="10:30" x14ac:dyDescent="0.2">
      <c r="J48" s="6" t="s">
        <v>48</v>
      </c>
      <c r="K48" s="44">
        <f>K47/K46</f>
        <v>0.67166381157624999</v>
      </c>
      <c r="Q48" s="49"/>
      <c r="R48" s="11" t="s">
        <v>48</v>
      </c>
      <c r="S48" s="21">
        <f>S47/S46</f>
        <v>0.63806168413769082</v>
      </c>
      <c r="T48" s="20"/>
      <c r="U48" s="50"/>
      <c r="Z48" s="6" t="s">
        <v>48</v>
      </c>
      <c r="AA48" s="44">
        <f>AA47/AA46</f>
        <v>0.61181902599420135</v>
      </c>
    </row>
    <row r="49" spans="10:27" x14ac:dyDescent="0.2">
      <c r="J49" s="6" t="s">
        <v>49</v>
      </c>
      <c r="K49" s="45">
        <f>K47*10</f>
        <v>14.917769095589641</v>
      </c>
      <c r="Q49" s="51"/>
      <c r="R49" s="10"/>
      <c r="S49" s="10"/>
      <c r="T49" s="10"/>
      <c r="U49" s="52"/>
      <c r="Z49" s="6" t="s">
        <v>49</v>
      </c>
      <c r="AA49" s="45">
        <f>AA47*10</f>
        <v>17.399383512694669</v>
      </c>
    </row>
    <row r="50" spans="10:27" x14ac:dyDescent="0.2">
      <c r="J50" s="6" t="s">
        <v>50</v>
      </c>
      <c r="K50" s="45">
        <f>K48*1000</f>
        <v>671.66381157624994</v>
      </c>
    </row>
  </sheetData>
  <mergeCells count="3">
    <mergeCell ref="D5:G5"/>
    <mergeCell ref="D11:G11"/>
    <mergeCell ref="R6:S6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Sheet1!tabEA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2020-05-05T19:56:08Z</dcterms:modified>
</cp:coreProperties>
</file>