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B32" i="1"/>
  <c r="C33" i="1"/>
  <c r="D33" i="1"/>
  <c r="E33" i="1"/>
  <c r="F33" i="1"/>
  <c r="B33" i="1"/>
  <c r="F34" i="1"/>
  <c r="C48" i="1"/>
  <c r="E34" i="1"/>
  <c r="C47" i="1"/>
  <c r="D34" i="1"/>
  <c r="C46" i="1"/>
  <c r="C34" i="1"/>
  <c r="C45" i="1"/>
  <c r="B34" i="1"/>
  <c r="C44" i="1"/>
  <c r="C43" i="1"/>
  <c r="C42" i="1"/>
  <c r="C41" i="1"/>
  <c r="C40" i="1"/>
  <c r="C39" i="1"/>
  <c r="C38" i="1"/>
  <c r="C37" i="1"/>
  <c r="C31" i="1"/>
  <c r="D31" i="1"/>
  <c r="E31" i="1"/>
  <c r="F31" i="1"/>
  <c r="B31" i="1"/>
  <c r="C25" i="1"/>
  <c r="D25" i="1"/>
  <c r="E25" i="1"/>
  <c r="F25" i="1"/>
  <c r="B25" i="1"/>
  <c r="C23" i="1"/>
  <c r="D23" i="1"/>
  <c r="E23" i="1"/>
  <c r="F23" i="1"/>
  <c r="C24" i="1"/>
  <c r="D24" i="1"/>
  <c r="E24" i="1"/>
  <c r="F24" i="1"/>
  <c r="B24" i="1"/>
  <c r="B23" i="1"/>
  <c r="C22" i="1"/>
  <c r="D22" i="1"/>
  <c r="E22" i="1"/>
  <c r="F22" i="1"/>
  <c r="B22" i="1"/>
  <c r="B15" i="1"/>
  <c r="B14" i="1"/>
  <c r="B13" i="1"/>
  <c r="B12" i="1"/>
  <c r="B11" i="1"/>
  <c r="B10" i="1"/>
  <c r="B7" i="1"/>
  <c r="B2" i="1"/>
  <c r="B6" i="1"/>
  <c r="B5" i="1"/>
  <c r="B4" i="1"/>
</calcChain>
</file>

<file path=xl/sharedStrings.xml><?xml version="1.0" encoding="utf-8"?>
<sst xmlns="http://schemas.openxmlformats.org/spreadsheetml/2006/main" count="37" uniqueCount="32">
  <si>
    <t>M</t>
  </si>
  <si>
    <t>molarity acetic acid as supplied =</t>
  </si>
  <si>
    <t>molarity diluted acetic acid =</t>
  </si>
  <si>
    <t>initial pH =</t>
  </si>
  <si>
    <t>Ka for acetic acid =</t>
  </si>
  <si>
    <t>initial [H3O+] =</t>
  </si>
  <si>
    <t>equivalence point volume =</t>
  </si>
  <si>
    <t>molarity of NaOH =</t>
  </si>
  <si>
    <t>mL</t>
  </si>
  <si>
    <t>Kb for acetate =</t>
  </si>
  <si>
    <t>[OH-] at equiv. point =</t>
  </si>
  <si>
    <t>molarity acetate at equiv. point =</t>
  </si>
  <si>
    <t>pOH at equiv. point =</t>
  </si>
  <si>
    <t>pH at equiv. point =</t>
  </si>
  <si>
    <t>before equiv. point solution is a buffer of acetic acid and acetate</t>
  </si>
  <si>
    <t>moles acetate = moles OH- added</t>
  </si>
  <si>
    <t>moles acetic acid = initial moles acetic acid - moles OH- added</t>
  </si>
  <si>
    <t>volume of titrant added (mL)</t>
  </si>
  <si>
    <t>moles acetic acid =</t>
  </si>
  <si>
    <t>moles OH- added =</t>
  </si>
  <si>
    <t>moles acetate =</t>
  </si>
  <si>
    <t>pH = pKa - log(mol acetate/mol acetic acid) =</t>
  </si>
  <si>
    <t>after equiv. point pH is controlled by excess NaOH</t>
  </si>
  <si>
    <t xml:space="preserve">moles excess OH- =  moles titrant added - initial moles acetic acid </t>
  </si>
  <si>
    <t>volume titrant added (mL)</t>
  </si>
  <si>
    <t>moles excess OH- =</t>
  </si>
  <si>
    <t>pOH =</t>
  </si>
  <si>
    <t xml:space="preserve">pH = </t>
  </si>
  <si>
    <t>data to plot</t>
  </si>
  <si>
    <t>V titrant</t>
  </si>
  <si>
    <t>pH</t>
  </si>
  <si>
    <t>[OH-]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</si>
</sst>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0"/>
    <numFmt numFmtId="176" formatCode="0.00E+00;\_x0000_"/>
  </numFmts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9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2" fontId="1" fillId="0" borderId="0" xfId="0" applyNumberFormat="1" applyFont="1"/>
    <xf numFmtId="17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pH</c:v>
                </c:pt>
              </c:strCache>
            </c:strRef>
          </c:tx>
          <c:xVal>
            <c:numRef>
              <c:f>Sheet1!$B$37:$B$48</c:f>
              <c:numCache>
                <c:formatCode>0.00</c:formatCode>
                <c:ptCount val="12"/>
                <c:pt idx="0">
                  <c:v>0.0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14.44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</c:numCache>
            </c:numRef>
          </c:xVal>
          <c:yVal>
            <c:numRef>
              <c:f>Sheet1!$C$37:$C$48</c:f>
              <c:numCache>
                <c:formatCode>0.00</c:formatCode>
                <c:ptCount val="12"/>
                <c:pt idx="0">
                  <c:v>3.025695878509632</c:v>
                </c:pt>
                <c:pt idx="1">
                  <c:v>4.333407971210027</c:v>
                </c:pt>
                <c:pt idx="2">
                  <c:v>4.601868770907101</c:v>
                </c:pt>
                <c:pt idx="3">
                  <c:v>4.844282711804654</c:v>
                </c:pt>
                <c:pt idx="4">
                  <c:v>5.102731028584112</c:v>
                </c:pt>
                <c:pt idx="5">
                  <c:v>5.441998882285245</c:v>
                </c:pt>
                <c:pt idx="6">
                  <c:v>8.638983417847569</c:v>
                </c:pt>
                <c:pt idx="7">
                  <c:v>11.54688841433239</c:v>
                </c:pt>
                <c:pt idx="8">
                  <c:v>11.88654825034165</c:v>
                </c:pt>
                <c:pt idx="9">
                  <c:v>12.06239315420631</c:v>
                </c:pt>
                <c:pt idx="10">
                  <c:v>12.1787827430504</c:v>
                </c:pt>
                <c:pt idx="11">
                  <c:v>12.26431442079354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18792"/>
        <c:axId val="2145415624"/>
      </c:scatterChart>
      <c:valAx>
        <c:axId val="2145418792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of 0.1038 M NaOH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45415624"/>
        <c:crosses val="autoZero"/>
        <c:crossBetween val="midCat"/>
      </c:valAx>
      <c:valAx>
        <c:axId val="21454156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45418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36</xdr:row>
      <xdr:rowOff>50799</xdr:rowOff>
    </xdr:from>
    <xdr:to>
      <xdr:col>8</xdr:col>
      <xdr:colOff>575733</xdr:colOff>
      <xdr:row>47</xdr:row>
      <xdr:rowOff>182033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F48"/>
  <sheetViews>
    <sheetView tabSelected="1" topLeftCell="A22" zoomScale="150" zoomScaleNormal="150" zoomScalePageLayoutView="150" workbookViewId="0">
      <selection activeCell="B34" sqref="B34"/>
    </sheetView>
  </sheetViews>
  <sheetFormatPr baseColWidth="10" defaultRowHeight="15" x14ac:dyDescent="0"/>
  <cols>
    <col min="1" max="1" width="38.33203125" style="2" customWidth="1"/>
    <col min="2" max="2" width="9" bestFit="1" customWidth="1"/>
  </cols>
  <sheetData>
    <row r="2" spans="1:3">
      <c r="A2" s="2" t="s">
        <v>4</v>
      </c>
      <c r="B2" s="3">
        <f>10^-4.75</f>
        <v>1.7782794100389215E-5</v>
      </c>
    </row>
    <row r="4" spans="1:3">
      <c r="A4" s="2" t="s">
        <v>1</v>
      </c>
      <c r="B4" s="1">
        <f>(4.5/0.1) * (1/60.05)</f>
        <v>0.74937552039966693</v>
      </c>
      <c r="C4" t="s">
        <v>0</v>
      </c>
    </row>
    <row r="5" spans="1:3">
      <c r="A5" s="2" t="s">
        <v>2</v>
      </c>
      <c r="B5" s="3">
        <f>B4*2/30</f>
        <v>4.995836802664446E-2</v>
      </c>
      <c r="C5" t="s">
        <v>0</v>
      </c>
    </row>
    <row r="6" spans="1:3">
      <c r="A6" s="2" t="s">
        <v>5</v>
      </c>
      <c r="B6" s="3">
        <f>(B2*B5)^0.5</f>
        <v>9.4254940040789715E-4</v>
      </c>
      <c r="C6" t="s">
        <v>0</v>
      </c>
    </row>
    <row r="7" spans="1:3">
      <c r="A7" s="5" t="s">
        <v>3</v>
      </c>
      <c r="B7" s="6">
        <f>-LOG(B6)</f>
        <v>3.0256958785096315</v>
      </c>
    </row>
    <row r="9" spans="1:3">
      <c r="A9" s="2" t="s">
        <v>7</v>
      </c>
      <c r="B9">
        <v>0.1038</v>
      </c>
      <c r="C9" t="s">
        <v>0</v>
      </c>
    </row>
    <row r="10" spans="1:3">
      <c r="A10" s="2" t="s">
        <v>6</v>
      </c>
      <c r="B10" s="4">
        <f>1000*B4*0.002/B9</f>
        <v>14.438834689781636</v>
      </c>
      <c r="C10" t="s">
        <v>8</v>
      </c>
    </row>
    <row r="11" spans="1:3">
      <c r="A11" s="2" t="s">
        <v>11</v>
      </c>
      <c r="B11" s="3">
        <f>B4*2/(30 + B10)</f>
        <v>3.372615531576844E-2</v>
      </c>
      <c r="C11" t="s">
        <v>0</v>
      </c>
    </row>
    <row r="12" spans="1:3">
      <c r="A12" s="2" t="s">
        <v>9</v>
      </c>
      <c r="B12" s="3">
        <f>0.00000000000001/B2</f>
        <v>5.6234132519034951E-10</v>
      </c>
    </row>
    <row r="13" spans="1:3">
      <c r="A13" s="2" t="s">
        <v>10</v>
      </c>
      <c r="B13" s="7">
        <f>(B12*B11)^0.5</f>
        <v>4.3549524536835963E-6</v>
      </c>
      <c r="C13" t="s">
        <v>0</v>
      </c>
    </row>
    <row r="14" spans="1:3">
      <c r="A14" s="2" t="s">
        <v>12</v>
      </c>
      <c r="B14" s="4">
        <f>-LOG(B13)</f>
        <v>5.3610165821524305</v>
      </c>
    </row>
    <row r="15" spans="1:3">
      <c r="A15" s="5" t="s">
        <v>13</v>
      </c>
      <c r="B15" s="6">
        <f>14-B14</f>
        <v>8.6389834178475695</v>
      </c>
    </row>
    <row r="17" spans="1:6">
      <c r="A17" s="8" t="s">
        <v>14</v>
      </c>
    </row>
    <row r="18" spans="1:6">
      <c r="A18" s="8" t="s">
        <v>15</v>
      </c>
    </row>
    <row r="19" spans="1:6">
      <c r="A19" s="8" t="s">
        <v>16</v>
      </c>
    </row>
    <row r="21" spans="1:6">
      <c r="A21" s="2" t="s">
        <v>17</v>
      </c>
      <c r="B21" s="4">
        <v>4</v>
      </c>
      <c r="C21" s="4">
        <v>6</v>
      </c>
      <c r="D21" s="4">
        <v>8</v>
      </c>
      <c r="E21" s="4">
        <v>10</v>
      </c>
      <c r="F21" s="4">
        <v>12</v>
      </c>
    </row>
    <row r="22" spans="1:6">
      <c r="A22" s="2" t="s">
        <v>19</v>
      </c>
      <c r="B22" s="3">
        <f>$B$9*B21/1000</f>
        <v>4.1520000000000001E-4</v>
      </c>
      <c r="C22" s="3">
        <f t="shared" ref="C22:F22" si="0">$B$9*C21/1000</f>
        <v>6.2280000000000007E-4</v>
      </c>
      <c r="D22" s="3">
        <f t="shared" si="0"/>
        <v>8.3040000000000002E-4</v>
      </c>
      <c r="E22" s="3">
        <f t="shared" si="0"/>
        <v>1.0380000000000001E-3</v>
      </c>
      <c r="F22" s="3">
        <f t="shared" si="0"/>
        <v>1.2456000000000001E-3</v>
      </c>
    </row>
    <row r="23" spans="1:6">
      <c r="A23" s="2" t="s">
        <v>20</v>
      </c>
      <c r="B23" s="3">
        <f>B22</f>
        <v>4.1520000000000001E-4</v>
      </c>
      <c r="C23" s="3">
        <f t="shared" ref="C23:F23" si="1">C22</f>
        <v>6.2280000000000007E-4</v>
      </c>
      <c r="D23" s="3">
        <f t="shared" si="1"/>
        <v>8.3040000000000002E-4</v>
      </c>
      <c r="E23" s="3">
        <f t="shared" si="1"/>
        <v>1.0380000000000001E-3</v>
      </c>
      <c r="F23" s="3">
        <f t="shared" si="1"/>
        <v>1.2456000000000001E-3</v>
      </c>
    </row>
    <row r="24" spans="1:6">
      <c r="A24" s="2" t="s">
        <v>18</v>
      </c>
      <c r="B24" s="3">
        <f>($B$4*0.002)-B23</f>
        <v>1.0835510407993338E-3</v>
      </c>
      <c r="C24" s="3">
        <f t="shared" ref="C24:F24" si="2">($B$4*0.002)-C23</f>
        <v>8.7595104079933388E-4</v>
      </c>
      <c r="D24" s="3">
        <f t="shared" si="2"/>
        <v>6.6835104079933393E-4</v>
      </c>
      <c r="E24" s="3">
        <f t="shared" si="2"/>
        <v>4.6075104079933388E-4</v>
      </c>
      <c r="F24" s="3">
        <f t="shared" si="2"/>
        <v>2.5315104079933382E-4</v>
      </c>
    </row>
    <row r="25" spans="1:6">
      <c r="A25" s="5" t="s">
        <v>21</v>
      </c>
      <c r="B25" s="6">
        <f>-LOG($B$2) + LOG(B23/B24)</f>
        <v>4.3334079712100273</v>
      </c>
      <c r="C25" s="6">
        <f t="shared" ref="C25:F25" si="3">-LOG($B$2) + LOG(C23/C24)</f>
        <v>4.6018687709071013</v>
      </c>
      <c r="D25" s="6">
        <f t="shared" si="3"/>
        <v>4.844282711804655</v>
      </c>
      <c r="E25" s="6">
        <f t="shared" si="3"/>
        <v>5.1027310285841123</v>
      </c>
      <c r="F25" s="6">
        <f t="shared" si="3"/>
        <v>5.4419988822852456</v>
      </c>
    </row>
    <row r="27" spans="1:6">
      <c r="A27" s="8" t="s">
        <v>22</v>
      </c>
    </row>
    <row r="28" spans="1:6">
      <c r="A28" s="8" t="s">
        <v>23</v>
      </c>
    </row>
    <row r="30" spans="1:6">
      <c r="A30" s="2" t="s">
        <v>24</v>
      </c>
      <c r="B30" s="4">
        <v>16</v>
      </c>
      <c r="C30" s="4">
        <v>18</v>
      </c>
      <c r="D30" s="4">
        <v>20</v>
      </c>
      <c r="E30" s="4">
        <v>22</v>
      </c>
      <c r="F30" s="4">
        <v>24</v>
      </c>
    </row>
    <row r="31" spans="1:6">
      <c r="A31" s="2" t="s">
        <v>25</v>
      </c>
      <c r="B31" s="3">
        <f>($B$9*B30/1000) - $B$4*0.002</f>
        <v>1.6204895920066608E-4</v>
      </c>
      <c r="C31" s="3">
        <f t="shared" ref="C31:F31" si="4">($B$9*C30/1000) - $B$4*0.002</f>
        <v>3.6964895920066614E-4</v>
      </c>
      <c r="D31" s="3">
        <f t="shared" si="4"/>
        <v>5.772489592006662E-4</v>
      </c>
      <c r="E31" s="3">
        <f t="shared" si="4"/>
        <v>7.8484895920066583E-4</v>
      </c>
      <c r="F31" s="3">
        <f t="shared" si="4"/>
        <v>9.9244895920066632E-4</v>
      </c>
    </row>
    <row r="32" spans="1:6">
      <c r="A32" s="2" t="s">
        <v>31</v>
      </c>
      <c r="B32" s="3">
        <f>B31/((30 +B30)/1000)</f>
        <v>3.5228034608840455E-3</v>
      </c>
      <c r="C32" s="3">
        <f t="shared" ref="C32:F32" si="5">C31/((30 +C30)/1000)</f>
        <v>7.7010199833472109E-3</v>
      </c>
      <c r="D32" s="3">
        <f t="shared" si="5"/>
        <v>1.1544979184013324E-2</v>
      </c>
      <c r="E32" s="3">
        <f t="shared" si="5"/>
        <v>1.509324921539742E-2</v>
      </c>
      <c r="F32" s="3">
        <f t="shared" si="5"/>
        <v>1.8378684429641971E-2</v>
      </c>
    </row>
    <row r="33" spans="1:6">
      <c r="A33" s="2" t="s">
        <v>26</v>
      </c>
      <c r="B33" s="4">
        <f>-LOG(B32)</f>
        <v>2.4531115856676129</v>
      </c>
      <c r="C33" s="4">
        <f t="shared" ref="C33:F33" si="6">-LOG(C32)</f>
        <v>2.1134517496583469</v>
      </c>
      <c r="D33" s="4">
        <f t="shared" si="6"/>
        <v>1.9376068457936908</v>
      </c>
      <c r="E33" s="4">
        <f t="shared" si="6"/>
        <v>1.8212172569495975</v>
      </c>
      <c r="F33" s="4">
        <f t="shared" si="6"/>
        <v>1.7356855792064565</v>
      </c>
    </row>
    <row r="34" spans="1:6">
      <c r="A34" s="5" t="s">
        <v>27</v>
      </c>
      <c r="B34" s="6">
        <f>14-B33</f>
        <v>11.546888414332386</v>
      </c>
      <c r="C34" s="6">
        <f t="shared" ref="C34:F34" si="7">14-C33</f>
        <v>11.886548250341653</v>
      </c>
      <c r="D34" s="6">
        <f t="shared" si="7"/>
        <v>12.062393154206308</v>
      </c>
      <c r="E34" s="6">
        <f t="shared" si="7"/>
        <v>12.178782743050402</v>
      </c>
      <c r="F34" s="6">
        <f t="shared" si="7"/>
        <v>12.264314420793543</v>
      </c>
    </row>
    <row r="36" spans="1:6">
      <c r="A36" s="2" t="s">
        <v>28</v>
      </c>
      <c r="B36" s="9" t="s">
        <v>29</v>
      </c>
      <c r="C36" s="9" t="s">
        <v>30</v>
      </c>
    </row>
    <row r="37" spans="1:6">
      <c r="B37" s="4">
        <v>0</v>
      </c>
      <c r="C37" s="4">
        <f>B7</f>
        <v>3.0256958785096315</v>
      </c>
    </row>
    <row r="38" spans="1:6">
      <c r="B38" s="4">
        <v>4</v>
      </c>
      <c r="C38" s="4">
        <f>B25</f>
        <v>4.3334079712100273</v>
      </c>
    </row>
    <row r="39" spans="1:6">
      <c r="B39" s="4">
        <v>6</v>
      </c>
      <c r="C39" s="4">
        <f>C25</f>
        <v>4.6018687709071013</v>
      </c>
    </row>
    <row r="40" spans="1:6">
      <c r="B40" s="4">
        <v>8</v>
      </c>
      <c r="C40" s="4">
        <f>D25</f>
        <v>4.844282711804655</v>
      </c>
    </row>
    <row r="41" spans="1:6">
      <c r="B41" s="4">
        <v>10</v>
      </c>
      <c r="C41" s="4">
        <f>E25</f>
        <v>5.1027310285841123</v>
      </c>
    </row>
    <row r="42" spans="1:6">
      <c r="B42" s="4">
        <v>12</v>
      </c>
      <c r="C42" s="4">
        <f>F25</f>
        <v>5.4419988822852456</v>
      </c>
    </row>
    <row r="43" spans="1:6">
      <c r="B43" s="4">
        <v>14.44</v>
      </c>
      <c r="C43" s="4">
        <f>B15</f>
        <v>8.6389834178475695</v>
      </c>
    </row>
    <row r="44" spans="1:6">
      <c r="B44" s="4">
        <v>16</v>
      </c>
      <c r="C44" s="4">
        <f>B34</f>
        <v>11.546888414332386</v>
      </c>
    </row>
    <row r="45" spans="1:6">
      <c r="B45" s="4">
        <v>18</v>
      </c>
      <c r="C45" s="4">
        <f>C34</f>
        <v>11.886548250341653</v>
      </c>
    </row>
    <row r="46" spans="1:6">
      <c r="B46" s="4">
        <v>20</v>
      </c>
      <c r="C46" s="4">
        <f>D34</f>
        <v>12.062393154206308</v>
      </c>
    </row>
    <row r="47" spans="1:6">
      <c r="B47" s="4">
        <v>22</v>
      </c>
      <c r="C47" s="4">
        <f>E34</f>
        <v>12.178782743050402</v>
      </c>
    </row>
    <row r="48" spans="1:6">
      <c r="B48" s="4">
        <v>24</v>
      </c>
      <c r="C48" s="4">
        <f>F34</f>
        <v>12.264314420793543</v>
      </c>
    </row>
  </sheetData>
  <phoneticPr fontId="4" type="noConversion"/>
  <pageMargins left="0.75" right="0.75" top="1" bottom="1" header="0.5" footer="0.5"/>
  <pageSetup scale="68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DePauw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Harvey</dc:creator>
  <cp:lastModifiedBy>David Harvey</cp:lastModifiedBy>
  <cp:lastPrinted>2015-04-19T19:23:51Z</cp:lastPrinted>
  <dcterms:created xsi:type="dcterms:W3CDTF">2015-04-19T18:16:30Z</dcterms:created>
  <dcterms:modified xsi:type="dcterms:W3CDTF">2015-04-19T19:33:54Z</dcterms:modified>
</cp:coreProperties>
</file>