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quisition_Offer" sheetId="1" r:id="rId4"/>
    <sheet state="visible" name="#1 Seller Finance Borrower Term" sheetId="2" r:id="rId5"/>
    <sheet state="visible" name="Offer and Loan Calculator" sheetId="3" r:id="rId6"/>
    <sheet state="visible" name="#2 Seller Finance Investor ROI " sheetId="4" r:id="rId7"/>
    <sheet state="visible" name="#3 Prom Note Aquisition Offer" sheetId="5" r:id="rId8"/>
    <sheet state="visible" name="#2 BACKUP" sheetId="6" r:id="rId9"/>
  </sheets>
  <definedNames/>
  <calcPr/>
  <extLst>
    <ext uri="GoogleSheetsCustomDataVersion2">
      <go:sheetsCustomData xmlns:go="http://customooxmlschemas.google.com/" r:id="rId10" roundtripDataChecksum="Wn9FLq5JzadSUyY54z1B17q9J5G3OP9zMldfU40jVq4="/>
    </ext>
  </extLst>
</workbook>
</file>

<file path=xl/sharedStrings.xml><?xml version="1.0" encoding="utf-8"?>
<sst xmlns="http://schemas.openxmlformats.org/spreadsheetml/2006/main" count="202" uniqueCount="97">
  <si>
    <t>Down Payment</t>
  </si>
  <si>
    <t>Purchase Date</t>
  </si>
  <si>
    <t>Purchase Price</t>
  </si>
  <si>
    <t>Loan Amount (at origination)</t>
  </si>
  <si>
    <t>Mortgage IR</t>
  </si>
  <si>
    <t>Current_Date</t>
  </si>
  <si>
    <t>Loan Term</t>
  </si>
  <si>
    <t>Payments</t>
  </si>
  <si>
    <t>Payment</t>
  </si>
  <si>
    <t>Principal Paid</t>
  </si>
  <si>
    <t>Current Balance</t>
  </si>
  <si>
    <t>Yield Required</t>
  </si>
  <si>
    <t>Additional Payments</t>
  </si>
  <si>
    <t>Offer</t>
  </si>
  <si>
    <t xml:space="preserve">Created by: </t>
  </si>
  <si>
    <t>Dillan Thrasher</t>
  </si>
  <si>
    <t xml:space="preserve">Setting up the loan for a borrower: </t>
  </si>
  <si>
    <t xml:space="preserve">Determining our ROI: </t>
  </si>
  <si>
    <t>N</t>
  </si>
  <si>
    <t>Number of Payments</t>
  </si>
  <si>
    <t xml:space="preserve">SAME </t>
  </si>
  <si>
    <t xml:space="preserve">Purchase Price </t>
  </si>
  <si>
    <t>Loan Term (Years)</t>
  </si>
  <si>
    <t>Payments Made</t>
  </si>
  <si>
    <t>I/YR</t>
  </si>
  <si>
    <t>Interest Rate</t>
  </si>
  <si>
    <t>Rate of Return</t>
  </si>
  <si>
    <t>PV</t>
  </si>
  <si>
    <t>Loan Amount</t>
  </si>
  <si>
    <t xml:space="preserve">$$ In </t>
  </si>
  <si>
    <t>Our Purchase Price+ Closing Costs/Fees+ Rehab- Borrower's Down Payment</t>
  </si>
  <si>
    <t>PMT</t>
  </si>
  <si>
    <t>Payment Amount</t>
  </si>
  <si>
    <t>SAME</t>
  </si>
  <si>
    <t>INPUT</t>
  </si>
  <si>
    <t>CALCULATIONS</t>
  </si>
  <si>
    <t>Interest rate</t>
  </si>
  <si>
    <t>Term (Months)</t>
  </si>
  <si>
    <t>Borrower Calculation</t>
  </si>
  <si>
    <t>Part I: Loan Term</t>
  </si>
  <si>
    <t>Origination Date</t>
  </si>
  <si>
    <t>Input Cell</t>
  </si>
  <si>
    <t>Payments Made Input</t>
  </si>
  <si>
    <t>Calculated Field</t>
  </si>
  <si>
    <t>Derived Number of Payments</t>
  </si>
  <si>
    <t>Solve Using</t>
  </si>
  <si>
    <t>Derived Payments</t>
  </si>
  <si>
    <t>Part II:
Loan Balance</t>
  </si>
  <si>
    <t>Sale Price</t>
  </si>
  <si>
    <t>Down Payment %</t>
  </si>
  <si>
    <t>Part III Loan Balance</t>
  </si>
  <si>
    <t>Part III:
Solve for Missing</t>
  </si>
  <si>
    <t>Initial Loan Balance</t>
  </si>
  <si>
    <t>$650000.0</t>
  </si>
  <si>
    <t>Method</t>
  </si>
  <si>
    <t>Calculate Loan Amount</t>
  </si>
  <si>
    <t>Part IV:
Loan Figures</t>
  </si>
  <si>
    <t>Starting Loan Balance</t>
  </si>
  <si>
    <t>Payments Remaining</t>
  </si>
  <si>
    <t>Payment (Principal and Interest)</t>
  </si>
  <si>
    <t>Cumulative Interest Paid to Present Date</t>
  </si>
  <si>
    <t>Cumulative Principal Paid to Present Date</t>
  </si>
  <si>
    <t>Current Loan Balance</t>
  </si>
  <si>
    <t>Part IV:
Note Aquisition Offer and ROI</t>
  </si>
  <si>
    <t>Note Offer</t>
  </si>
  <si>
    <t>Required Rate of Return</t>
  </si>
  <si>
    <t>Calculated Rate of Return</t>
  </si>
  <si>
    <t>Calculated Offer</t>
  </si>
  <si>
    <t>Closing Costs</t>
  </si>
  <si>
    <t>Add</t>
  </si>
  <si>
    <t>Fees</t>
  </si>
  <si>
    <t>Comissions</t>
  </si>
  <si>
    <t>Rehab Costs</t>
  </si>
  <si>
    <t>Borrowers Down Payment</t>
  </si>
  <si>
    <t>Subtract</t>
  </si>
  <si>
    <t>Total Cash Outlay</t>
  </si>
  <si>
    <t>Borrower Terms</t>
  </si>
  <si>
    <t>Monthly Payment</t>
  </si>
  <si>
    <t>Down Payment ($ Amount)</t>
  </si>
  <si>
    <t>Note Rate</t>
  </si>
  <si>
    <t xml:space="preserve">Investor ROI </t>
  </si>
  <si>
    <t>Aquisition Purchase Price</t>
  </si>
  <si>
    <t>Borrower Down Payment</t>
  </si>
  <si>
    <t>Aquisition Closing Costs/Fees</t>
  </si>
  <si>
    <t>Disposition Closting Costs/ Fees</t>
  </si>
  <si>
    <t>Total Payments Received *</t>
  </si>
  <si>
    <t xml:space="preserve">Total Net Profit* </t>
  </si>
  <si>
    <t>Original  Loan Amount</t>
  </si>
  <si>
    <t>Loan Origination Date</t>
  </si>
  <si>
    <t>Loan Term (Months)</t>
  </si>
  <si>
    <t xml:space="preserve">Payments Made Override* </t>
  </si>
  <si>
    <t>Mortgage Interest Rate</t>
  </si>
  <si>
    <t>Outstanding Principal Balance</t>
  </si>
  <si>
    <t>Outstanding Principal Balance Override*</t>
  </si>
  <si>
    <t>Principal Balance Override Payments Left</t>
  </si>
  <si>
    <t>Yield Required For Offer</t>
  </si>
  <si>
    <t>Yield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</si>
</sst>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&quot;$&quot;#,##0.00"/>
    <numFmt numFmtId="166" formatCode="M/d/yyyy"/>
    <numFmt numFmtId="167" formatCode="&quot;$&quot;#,##0"/>
    <numFmt numFmtId="168" formatCode="0.000000%"/>
  </numFmts>
  <fonts count="11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color rgb="FFFFFFFF"/>
      <name val="Arial"/>
    </font>
    <font>
      <b/>
      <color theme="1"/>
      <name val="Arial"/>
    </font>
    <font>
      <color theme="1"/>
      <name val="Arial"/>
      <scheme val="minor"/>
    </font>
    <font>
      <b/>
      <sz val="17.0"/>
      <color rgb="FFFFFFFF"/>
      <name val="Arial"/>
    </font>
    <font>
      <b/>
      <sz val="11.0"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1D7873"/>
        <bgColor rgb="FF1D7873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9" xfId="0" applyFill="1" applyFont="1" applyNumberFormat="1"/>
    <xf borderId="0" fillId="2" fontId="1" numFmtId="164" xfId="0" applyFont="1" applyNumberFormat="1"/>
    <xf borderId="0" fillId="2" fontId="1" numFmtId="165" xfId="0" applyFont="1" applyNumberFormat="1"/>
    <xf borderId="0" fillId="2" fontId="1" numFmtId="10" xfId="0" applyFont="1" applyNumberFormat="1"/>
    <xf borderId="0" fillId="0" fontId="1" numFmtId="164" xfId="0" applyFont="1" applyNumberFormat="1"/>
    <xf borderId="0" fillId="2" fontId="1" numFmtId="0" xfId="0" applyFont="1"/>
    <xf borderId="0" fillId="0" fontId="1" numFmtId="165" xfId="0" applyFont="1" applyNumberFormat="1"/>
    <xf borderId="0" fillId="3" fontId="1" numFmtId="10" xfId="0" applyFill="1" applyFont="1" applyNumberFormat="1"/>
    <xf borderId="0" fillId="4" fontId="1" numFmtId="165" xfId="0" applyFill="1" applyFont="1" applyNumberFormat="1"/>
    <xf borderId="0" fillId="5" fontId="1" numFmtId="0" xfId="0" applyFill="1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0" fontId="1" numFmtId="0" xfId="0" applyBorder="1" applyFont="1"/>
    <xf borderId="2" fillId="0" fontId="1" numFmtId="0" xfId="0" applyBorder="1" applyFont="1"/>
    <xf borderId="2" fillId="6" fontId="1" numFmtId="0" xfId="0" applyBorder="1" applyFill="1" applyFont="1"/>
    <xf borderId="3" fillId="0" fontId="1" numFmtId="0" xfId="0" applyBorder="1" applyFont="1"/>
    <xf borderId="4" fillId="0" fontId="1" numFmtId="0" xfId="0" applyAlignment="1" applyBorder="1" applyFont="1">
      <alignment horizontal="left"/>
    </xf>
    <xf borderId="0" fillId="6" fontId="1" numFmtId="0" xfId="0" applyFont="1"/>
    <xf borderId="5" fillId="0" fontId="1" numFmtId="0" xfId="0" applyBorder="1" applyFont="1"/>
    <xf borderId="4" fillId="0" fontId="1" numFmtId="0" xfId="0" applyBorder="1" applyFont="1"/>
    <xf borderId="6" fillId="0" fontId="1" numFmtId="0" xfId="0" applyBorder="1" applyFont="1"/>
    <xf borderId="6" fillId="6" fontId="1" numFmtId="0" xfId="0" applyBorder="1" applyFont="1"/>
    <xf borderId="0" fillId="7" fontId="1" numFmtId="0" xfId="0" applyFill="1" applyFont="1"/>
    <xf borderId="6" fillId="2" fontId="1" numFmtId="9" xfId="0" applyBorder="1" applyFont="1" applyNumberFormat="1"/>
    <xf borderId="6" fillId="2" fontId="1" numFmtId="164" xfId="0" applyBorder="1" applyFont="1" applyNumberFormat="1"/>
    <xf borderId="6" fillId="2" fontId="1" numFmtId="165" xfId="0" applyBorder="1" applyFont="1" applyNumberFormat="1"/>
    <xf borderId="6" fillId="6" fontId="1" numFmtId="165" xfId="0" applyBorder="1" applyFont="1" applyNumberFormat="1"/>
    <xf borderId="6" fillId="2" fontId="1" numFmtId="10" xfId="0" applyBorder="1" applyFont="1" applyNumberFormat="1"/>
    <xf borderId="6" fillId="0" fontId="1" numFmtId="164" xfId="0" applyBorder="1" applyFont="1" applyNumberFormat="1"/>
    <xf borderId="6" fillId="2" fontId="1" numFmtId="0" xfId="0" applyBorder="1" applyFont="1"/>
    <xf borderId="6" fillId="0" fontId="1" numFmtId="165" xfId="0" applyBorder="1" applyFont="1" applyNumberFormat="1"/>
    <xf borderId="6" fillId="3" fontId="1" numFmtId="10" xfId="0" applyBorder="1" applyFont="1" applyNumberFormat="1"/>
    <xf borderId="6" fillId="4" fontId="1" numFmtId="165" xfId="0" applyBorder="1" applyFont="1" applyNumberFormat="1"/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0" fillId="6" fontId="1" numFmtId="165" xfId="0" applyFont="1" applyNumberForma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0" fillId="8" fontId="1" numFmtId="0" xfId="0" applyFill="1" applyFont="1"/>
    <xf borderId="6" fillId="9" fontId="1" numFmtId="0" xfId="0" applyAlignment="1" applyBorder="1" applyFill="1" applyFont="1">
      <alignment horizontal="center"/>
    </xf>
    <xf borderId="6" fillId="10" fontId="1" numFmtId="165" xfId="0" applyAlignment="1" applyBorder="1" applyFill="1" applyFont="1" applyNumberFormat="1">
      <alignment horizontal="center"/>
    </xf>
    <xf borderId="10" fillId="8" fontId="1" numFmtId="0" xfId="0" applyAlignment="1" applyBorder="1" applyFont="1">
      <alignment horizontal="right"/>
    </xf>
    <xf borderId="11" fillId="8" fontId="1" numFmtId="0" xfId="0" applyBorder="1" applyFont="1"/>
    <xf borderId="11" fillId="8" fontId="1" numFmtId="0" xfId="0" applyAlignment="1" applyBorder="1" applyFont="1">
      <alignment horizontal="center"/>
    </xf>
    <xf borderId="12" fillId="8" fontId="1" numFmtId="0" xfId="0" applyBorder="1" applyFont="1"/>
    <xf borderId="13" fillId="8" fontId="6" numFmtId="0" xfId="0" applyBorder="1" applyFont="1"/>
    <xf borderId="14" fillId="9" fontId="1" numFmtId="165" xfId="0" applyBorder="1" applyFont="1" applyNumberFormat="1"/>
    <xf borderId="15" fillId="11" fontId="1" numFmtId="165" xfId="0" applyBorder="1" applyFill="1" applyFont="1" applyNumberFormat="1"/>
    <xf borderId="14" fillId="12" fontId="1" numFmtId="10" xfId="0" applyBorder="1" applyFill="1" applyFont="1" applyNumberFormat="1"/>
    <xf borderId="0" fillId="8" fontId="1" numFmtId="0" xfId="0" applyAlignment="1" applyFont="1">
      <alignment horizontal="center"/>
    </xf>
    <xf borderId="15" fillId="11" fontId="1" numFmtId="10" xfId="0" applyBorder="1" applyFont="1" applyNumberFormat="1"/>
    <xf borderId="14" fillId="12" fontId="1" numFmtId="0" xfId="0" applyBorder="1" applyFont="1"/>
    <xf borderId="15" fillId="11" fontId="1" numFmtId="3" xfId="0" applyBorder="1" applyFont="1" applyNumberFormat="1"/>
    <xf borderId="3" fillId="12" fontId="1" numFmtId="165" xfId="0" applyBorder="1" applyFont="1" applyNumberFormat="1"/>
    <xf borderId="1" fillId="11" fontId="1" numFmtId="165" xfId="0" applyBorder="1" applyFont="1" applyNumberFormat="1"/>
    <xf borderId="16" fillId="8" fontId="1" numFmtId="0" xfId="0" applyAlignment="1" applyBorder="1" applyFont="1">
      <alignment horizontal="right"/>
    </xf>
    <xf borderId="17" fillId="8" fontId="1" numFmtId="0" xfId="0" applyBorder="1" applyFont="1"/>
    <xf borderId="18" fillId="8" fontId="1" numFmtId="0" xfId="0" applyBorder="1" applyFont="1"/>
    <xf borderId="0" fillId="0" fontId="7" numFmtId="0" xfId="0" applyFont="1"/>
    <xf borderId="0" fillId="13" fontId="1" numFmtId="0" xfId="0" applyAlignment="1" applyFill="1" applyFont="1">
      <alignment horizontal="center" vertical="center"/>
    </xf>
    <xf borderId="6" fillId="14" fontId="1" numFmtId="166" xfId="0" applyBorder="1" applyFill="1" applyFont="1" applyNumberFormat="1"/>
    <xf borderId="6" fillId="14" fontId="1" numFmtId="0" xfId="0" applyBorder="1" applyFont="1"/>
    <xf borderId="6" fillId="15" fontId="1" numFmtId="165" xfId="0" applyBorder="1" applyFill="1" applyFont="1" applyNumberFormat="1"/>
    <xf borderId="6" fillId="15" fontId="1" numFmtId="0" xfId="0" applyBorder="1" applyFont="1"/>
    <xf borderId="6" fillId="14" fontId="1" numFmtId="167" xfId="0" applyBorder="1" applyFont="1" applyNumberFormat="1"/>
    <xf borderId="6" fillId="14" fontId="1" numFmtId="9" xfId="0" applyBorder="1" applyFont="1" applyNumberFormat="1"/>
    <xf borderId="6" fillId="14" fontId="1" numFmtId="10" xfId="0" applyBorder="1" applyFont="1" applyNumberFormat="1"/>
    <xf borderId="6" fillId="14" fontId="1" numFmtId="167" xfId="0" applyAlignment="1" applyBorder="1" applyFont="1" applyNumberFormat="1">
      <alignment horizontal="right"/>
    </xf>
    <xf borderId="6" fillId="14" fontId="1" numFmtId="165" xfId="0" applyBorder="1" applyFont="1" applyNumberFormat="1"/>
    <xf borderId="6" fillId="15" fontId="1" numFmtId="168" xfId="0" applyBorder="1" applyFont="1" applyNumberFormat="1"/>
    <xf borderId="6" fillId="15" fontId="1" numFmtId="10" xfId="0" applyBorder="1" applyFont="1" applyNumberFormat="1"/>
    <xf borderId="0" fillId="0" fontId="1" numFmtId="49" xfId="0" applyAlignment="1" applyFont="1" applyNumberFormat="1">
      <alignment horizontal="right"/>
    </xf>
    <xf borderId="0" fillId="16" fontId="1" numFmtId="0" xfId="0" applyAlignment="1" applyFill="1" applyFont="1">
      <alignment horizontal="center" shrinkToFit="0" wrapText="1"/>
    </xf>
    <xf borderId="6" fillId="15" fontId="1" numFmtId="3" xfId="0" applyBorder="1" applyFont="1" applyNumberFormat="1"/>
    <xf borderId="0" fillId="0" fontId="1" numFmtId="0" xfId="0" applyAlignment="1" applyFont="1">
      <alignment shrinkToFit="0" wrapText="1"/>
    </xf>
    <xf borderId="0" fillId="8" fontId="1" numFmtId="0" xfId="0" applyAlignment="1" applyFont="1">
      <alignment vertical="bottom"/>
    </xf>
    <xf borderId="0" fillId="11" fontId="8" numFmtId="165" xfId="0" applyFont="1" applyNumberFormat="1"/>
    <xf borderId="0" fillId="8" fontId="1" numFmtId="0" xfId="0" applyAlignment="1" applyFont="1">
      <alignment horizontal="right"/>
    </xf>
    <xf borderId="0" fillId="8" fontId="6" numFmtId="0" xfId="0" applyAlignment="1" applyFont="1">
      <alignment horizontal="right"/>
    </xf>
    <xf borderId="0" fillId="9" fontId="1" numFmtId="165" xfId="0" applyFont="1" applyNumberFormat="1"/>
    <xf borderId="0" fillId="11" fontId="1" numFmtId="165" xfId="0" applyFont="1" applyNumberFormat="1"/>
    <xf borderId="0" fillId="8" fontId="6" numFmtId="0" xfId="0" applyFont="1"/>
    <xf borderId="0" fillId="9" fontId="1" numFmtId="9" xfId="0" applyFont="1" applyNumberFormat="1"/>
    <xf borderId="0" fillId="11" fontId="1" numFmtId="10" xfId="0" applyFont="1" applyNumberFormat="1"/>
    <xf borderId="0" fillId="9" fontId="1" numFmtId="0" xfId="0" applyFont="1"/>
    <xf borderId="0" fillId="11" fontId="1" numFmtId="3" xfId="0" applyFont="1" applyNumberFormat="1"/>
    <xf borderId="4" fillId="8" fontId="1" numFmtId="0" xfId="0" applyBorder="1" applyFont="1"/>
    <xf borderId="5" fillId="8" fontId="1" numFmtId="0" xfId="0" applyBorder="1" applyFont="1"/>
    <xf borderId="0" fillId="8" fontId="9" numFmtId="0" xfId="0" applyAlignment="1" applyFont="1">
      <alignment horizontal="center" vertical="center"/>
    </xf>
    <xf borderId="6" fillId="17" fontId="1" numFmtId="165" xfId="0" applyBorder="1" applyFill="1" applyFont="1" applyNumberFormat="1"/>
    <xf borderId="6" fillId="17" fontId="1" numFmtId="4" xfId="0" applyBorder="1" applyFont="1" applyNumberFormat="1"/>
    <xf borderId="6" fillId="0" fontId="1" numFmtId="167" xfId="0" applyBorder="1" applyFont="1" applyNumberFormat="1"/>
    <xf borderId="4" fillId="8" fontId="6" numFmtId="0" xfId="0" applyBorder="1" applyFont="1"/>
    <xf borderId="6" fillId="17" fontId="1" numFmtId="10" xfId="0" applyBorder="1" applyFont="1" applyNumberFormat="1"/>
    <xf borderId="6" fillId="9" fontId="1" numFmtId="167" xfId="0" applyBorder="1" applyFont="1" applyNumberFormat="1"/>
    <xf borderId="0" fillId="8" fontId="10" numFmtId="0" xfId="0" applyFont="1"/>
    <xf borderId="6" fillId="10" fontId="4" numFmtId="165" xfId="0" applyBorder="1" applyFont="1" applyNumberFormat="1"/>
    <xf borderId="0" fillId="8" fontId="4" numFmtId="0" xfId="0" applyFont="1"/>
    <xf borderId="6" fillId="11" fontId="4" numFmtId="10" xfId="0" applyBorder="1" applyFont="1" applyNumberFormat="1"/>
    <xf borderId="6" fillId="11" fontId="4" numFmtId="165" xfId="0" applyBorder="1" applyFont="1" applyNumberFormat="1"/>
    <xf borderId="19" fillId="11" fontId="4" numFmtId="165" xfId="0" applyBorder="1" applyFont="1" applyNumberFormat="1"/>
    <xf borderId="6" fillId="18" fontId="1" numFmtId="165" xfId="0" applyAlignment="1" applyBorder="1" applyFill="1" applyFont="1" applyNumberFormat="1">
      <alignment horizontal="center"/>
    </xf>
    <xf borderId="0" fillId="8" fontId="1" numFmtId="165" xfId="0" applyAlignment="1" applyFont="1" applyNumberFormat="1">
      <alignment horizontal="center"/>
    </xf>
    <xf borderId="6" fillId="12" fontId="1" numFmtId="165" xfId="0" applyBorder="1" applyFont="1" applyNumberFormat="1"/>
    <xf borderId="6" fillId="12" fontId="1" numFmtId="166" xfId="0" applyBorder="1" applyFont="1" applyNumberFormat="1"/>
    <xf borderId="6" fillId="12" fontId="1" numFmtId="0" xfId="0" applyBorder="1" applyFont="1"/>
    <xf borderId="6" fillId="12" fontId="1" numFmtId="3" xfId="0" applyBorder="1" applyFont="1" applyNumberFormat="1"/>
    <xf borderId="6" fillId="12" fontId="1" numFmtId="10" xfId="0" applyBorder="1" applyFont="1" applyNumberFormat="1"/>
    <xf borderId="5" fillId="8" fontId="6" numFmtId="0" xfId="0" applyBorder="1" applyFont="1"/>
    <xf borderId="6" fillId="11" fontId="1" numFmtId="3" xfId="0" applyBorder="1" applyFont="1" applyNumberFormat="1"/>
    <xf borderId="6" fillId="18" fontId="1" numFmtId="165" xfId="0" applyBorder="1" applyFont="1" applyNumberFormat="1"/>
    <xf borderId="6" fillId="18" fontId="1" numFmtId="10" xfId="0" applyBorder="1" applyFont="1" applyNumberFormat="1"/>
    <xf borderId="0" fillId="14" fontId="1" numFmtId="165" xfId="0" applyFont="1" applyNumberFormat="1"/>
    <xf borderId="0" fillId="10" fontId="1" numFmtId="165" xfId="0" applyFont="1" applyNumberFormat="1"/>
    <xf borderId="0" fillId="14" fontId="1" numFmtId="10" xfId="0" applyFont="1" applyNumberFormat="1"/>
    <xf borderId="0" fillId="10" fontId="1" numFmtId="10" xfId="0" applyFont="1" applyNumberFormat="1"/>
    <xf borderId="0" fillId="14" fontId="1" numFmtId="0" xfId="0" applyFont="1"/>
    <xf borderId="0" fillId="10" fontId="1" numFmtId="3" xfId="0" applyFont="1" applyNumberFormat="1"/>
    <xf borderId="1" fillId="19" fontId="1" numFmtId="0" xfId="0" applyBorder="1" applyFill="1" applyFont="1"/>
    <xf borderId="2" fillId="19" fontId="1" numFmtId="0" xfId="0" applyBorder="1" applyFont="1"/>
    <xf borderId="3" fillId="19" fontId="1" numFmtId="0" xfId="0" applyBorder="1" applyFont="1"/>
    <xf borderId="4" fillId="19" fontId="6" numFmtId="0" xfId="0" applyAlignment="1" applyBorder="1" applyFont="1">
      <alignment vertical="center"/>
    </xf>
    <xf borderId="0" fillId="19" fontId="6" numFmtId="0" xfId="0" applyAlignment="1" applyFont="1">
      <alignment horizontal="center" vertical="center"/>
    </xf>
    <xf borderId="0" fillId="19" fontId="6" numFmtId="0" xfId="0" applyFont="1"/>
    <xf borderId="6" fillId="20" fontId="1" numFmtId="165" xfId="0" applyBorder="1" applyFill="1" applyFont="1" applyNumberFormat="1"/>
    <xf borderId="5" fillId="19" fontId="1" numFmtId="0" xfId="0" applyBorder="1" applyFont="1"/>
    <xf borderId="4" fillId="19" fontId="1" numFmtId="0" xfId="0" applyBorder="1" applyFont="1"/>
    <xf borderId="0" fillId="21" fontId="1" numFmtId="0" xfId="0" applyAlignment="1" applyFill="1" applyFont="1">
      <alignment shrinkToFit="0" wrapText="1"/>
    </xf>
    <xf borderId="0" fillId="19" fontId="1" numFmtId="0" xfId="0" applyFont="1"/>
    <xf borderId="0" fillId="21" fontId="1" numFmtId="0" xfId="0" applyFont="1"/>
    <xf borderId="4" fillId="19" fontId="6" numFmtId="0" xfId="0" applyBorder="1" applyFont="1"/>
    <xf borderId="6" fillId="20" fontId="1" numFmtId="10" xfId="0" applyBorder="1" applyFont="1" applyNumberFormat="1"/>
    <xf borderId="7" fillId="19" fontId="1" numFmtId="0" xfId="0" applyBorder="1" applyFont="1"/>
    <xf borderId="8" fillId="19" fontId="1" numFmtId="0" xfId="0" applyBorder="1" applyFont="1"/>
    <xf borderId="9" fillId="19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9</xdr:row>
      <xdr:rowOff>114300</xdr:rowOff>
    </xdr:from>
    <xdr:ext cx="1266825" cy="1266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114300</xdr:rowOff>
    </xdr:from>
    <xdr:ext cx="1276350" cy="1276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4</xdr:row>
      <xdr:rowOff>19050</xdr:rowOff>
    </xdr:from>
    <xdr:ext cx="2305050" cy="23050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8CAD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4.38"/>
    <col customWidth="1" min="3" max="3" width="12.75"/>
    <col customWidth="1" min="4" max="4" width="22.0"/>
    <col hidden="1" min="6" max="6" width="12.63"/>
    <col customWidth="1" min="7" max="7" width="14.63"/>
    <col customWidth="1" min="8" max="8" width="13.0"/>
    <col customWidth="1" min="9" max="9" width="9.0"/>
    <col customWidth="1" min="10" max="10" width="11.25"/>
    <col customWidth="1" min="11" max="11" width="14.13"/>
    <col customWidth="1" min="12" max="12" width="11.88"/>
    <col customWidth="1" min="13" max="13" width="14.38"/>
    <col customWidth="1" min="14" max="14" width="10.25"/>
    <col customWidth="1" min="20" max="20" width="17.25"/>
    <col customWidth="1" min="21" max="21" width="58.5"/>
  </cols>
  <sheetData>
    <row r="1" ht="15.75" hidden="1" customHeight="1">
      <c r="A1" s="1"/>
    </row>
    <row r="2" ht="15.75" hidden="1" customHeight="1"/>
    <row r="3" ht="15.75" hidden="1" customHeight="1"/>
    <row r="4" ht="15.75" hidden="1" customHeight="1"/>
    <row r="5" ht="15.75" hidden="1" customHeight="1"/>
    <row r="6" ht="15.75" hidden="1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</row>
    <row r="7" ht="15.75" hidden="1" customHeight="1">
      <c r="A7" s="2">
        <v>0.1</v>
      </c>
      <c r="B7" s="3">
        <v>41312.0</v>
      </c>
      <c r="C7" s="4">
        <v>364999.0</v>
      </c>
      <c r="D7" s="4">
        <f>C7-(A7*C7)</f>
        <v>328499.1</v>
      </c>
      <c r="E7" s="5">
        <v>0.099</v>
      </c>
      <c r="F7" s="6">
        <f>TODAY()</f>
        <v>45135</v>
      </c>
      <c r="G7" s="7">
        <v>30.0</v>
      </c>
      <c r="H7" s="1">
        <f>DATEDIF(B7,F7,"m")</f>
        <v>125</v>
      </c>
      <c r="I7" s="8">
        <f>PMT(E7/12, G7*12, D7)</f>
        <v>-2858.569456</v>
      </c>
      <c r="J7" s="8">
        <f>CUMPRINC(0.03/12,360,100000,1,H7,0)</f>
        <v>-25143.76707</v>
      </c>
      <c r="K7" s="8">
        <f>D7+J7</f>
        <v>303355.3329</v>
      </c>
      <c r="L7" s="9">
        <v>0.16</v>
      </c>
      <c r="M7" s="1">
        <f>(G7*12)-H7</f>
        <v>235</v>
      </c>
      <c r="N7" s="10">
        <f>pv(L7/12,M7,I7)</f>
        <v>204855.6885</v>
      </c>
    </row>
    <row r="8" ht="15.75" hidden="1" customHeight="1"/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ht="15.75" customHeight="1"/>
    <row r="11" ht="15.75" customHeight="1">
      <c r="E11" s="12"/>
    </row>
    <row r="12" ht="15.75" customHeight="1"/>
    <row r="13" ht="15.75" customHeight="1">
      <c r="A13" s="13" t="s">
        <v>14</v>
      </c>
      <c r="B13" s="14" t="s">
        <v>15</v>
      </c>
      <c r="L13" s="15"/>
      <c r="M13" s="15"/>
      <c r="N13" s="16"/>
    </row>
    <row r="14" ht="15.75" customHeight="1">
      <c r="A14" s="13"/>
      <c r="B14" s="14"/>
    </row>
    <row r="15" ht="15.75" customHeight="1"/>
    <row r="16" ht="15.75" customHeight="1"/>
    <row r="17" ht="15.75" customHeight="1">
      <c r="A17" s="17"/>
      <c r="B17" s="18"/>
      <c r="C17" s="18"/>
      <c r="D17" s="19"/>
      <c r="E17" s="18"/>
      <c r="F17" s="18"/>
      <c r="G17" s="18"/>
      <c r="H17" s="18"/>
      <c r="I17" s="18"/>
      <c r="J17" s="18"/>
      <c r="K17" s="18"/>
      <c r="L17" s="18"/>
      <c r="M17" s="18"/>
      <c r="N17" s="20"/>
      <c r="Q17" s="1" t="s">
        <v>16</v>
      </c>
      <c r="T17" s="1" t="s">
        <v>17</v>
      </c>
    </row>
    <row r="18" ht="15.75" customHeight="1">
      <c r="A18" s="21"/>
      <c r="D18" s="22"/>
      <c r="N18" s="23"/>
    </row>
    <row r="19" ht="15.75" customHeight="1">
      <c r="A19" s="24"/>
      <c r="D19" s="22"/>
      <c r="N19" s="23"/>
      <c r="P19" s="1" t="s">
        <v>18</v>
      </c>
      <c r="Q19" s="1" t="s">
        <v>19</v>
      </c>
      <c r="T19" s="1" t="s">
        <v>20</v>
      </c>
    </row>
    <row r="20" ht="15.75" customHeight="1">
      <c r="A20" s="25" t="s">
        <v>0</v>
      </c>
      <c r="B20" s="25" t="s">
        <v>1</v>
      </c>
      <c r="C20" s="25" t="s">
        <v>21</v>
      </c>
      <c r="D20" s="26" t="s">
        <v>3</v>
      </c>
      <c r="E20" s="25" t="s">
        <v>4</v>
      </c>
      <c r="F20" s="25" t="s">
        <v>5</v>
      </c>
      <c r="G20" s="25" t="s">
        <v>22</v>
      </c>
      <c r="H20" s="25" t="s">
        <v>23</v>
      </c>
      <c r="I20" s="25" t="s">
        <v>8</v>
      </c>
      <c r="J20" s="25" t="s">
        <v>9</v>
      </c>
      <c r="K20" s="25" t="s">
        <v>10</v>
      </c>
      <c r="L20" s="25" t="s">
        <v>11</v>
      </c>
      <c r="M20" s="25" t="s">
        <v>12</v>
      </c>
      <c r="N20" s="25" t="s">
        <v>13</v>
      </c>
      <c r="P20" s="1" t="s">
        <v>24</v>
      </c>
      <c r="Q20" s="1" t="s">
        <v>25</v>
      </c>
      <c r="T20" s="27" t="s">
        <v>26</v>
      </c>
    </row>
    <row r="21" ht="15.75" customHeight="1">
      <c r="A21" s="28">
        <v>0.2</v>
      </c>
      <c r="B21" s="29">
        <v>43411.0</v>
      </c>
      <c r="C21" s="30">
        <v>75000.0</v>
      </c>
      <c r="D21" s="31">
        <f>C21-(A21*C21)</f>
        <v>60000</v>
      </c>
      <c r="E21" s="32">
        <v>0.0819</v>
      </c>
      <c r="F21" s="33">
        <f>TODAY()</f>
        <v>45135</v>
      </c>
      <c r="G21" s="34">
        <v>30.0</v>
      </c>
      <c r="H21" s="25">
        <f>DATEDIF(B21,F21,"m")</f>
        <v>56</v>
      </c>
      <c r="I21" s="35">
        <f>PMT(E21/12, G21*12, D21)</f>
        <v>-448.2316346</v>
      </c>
      <c r="J21" s="35">
        <f>CUMPRINC(0.03/12,360,D21,1,H21,0)</f>
        <v>-6180.745678</v>
      </c>
      <c r="K21" s="35">
        <f>D21+J21</f>
        <v>53819.25432</v>
      </c>
      <c r="L21" s="36">
        <v>0.18</v>
      </c>
      <c r="M21" s="25">
        <f>(G21*12)-H21</f>
        <v>304</v>
      </c>
      <c r="N21" s="37">
        <f>pv(L21/12,M21,I21)</f>
        <v>29558.71315</v>
      </c>
      <c r="P21" s="1" t="s">
        <v>27</v>
      </c>
      <c r="Q21" s="1" t="s">
        <v>28</v>
      </c>
      <c r="T21" s="1" t="s">
        <v>29</v>
      </c>
      <c r="U21" s="1" t="s">
        <v>30</v>
      </c>
    </row>
    <row r="22" ht="15.75" customHeight="1">
      <c r="A22" s="24"/>
      <c r="D22" s="22"/>
      <c r="N22" s="23"/>
      <c r="P22" s="1" t="s">
        <v>31</v>
      </c>
      <c r="Q22" s="1" t="s">
        <v>32</v>
      </c>
      <c r="T22" s="1" t="s">
        <v>33</v>
      </c>
    </row>
    <row r="23" ht="15.75" customHeight="1">
      <c r="A23" s="21"/>
      <c r="D23" s="22"/>
      <c r="N23" s="23"/>
    </row>
    <row r="24" ht="15.75" customHeight="1">
      <c r="A24" s="24"/>
      <c r="D24" s="22"/>
      <c r="N24" s="23"/>
    </row>
    <row r="25" ht="15.75" customHeight="1">
      <c r="A25" s="25" t="s">
        <v>0</v>
      </c>
      <c r="B25" s="25" t="s">
        <v>1</v>
      </c>
      <c r="C25" s="25" t="s">
        <v>2</v>
      </c>
      <c r="D25" s="26" t="s">
        <v>3</v>
      </c>
      <c r="E25" s="25" t="s">
        <v>4</v>
      </c>
      <c r="F25" s="25" t="s">
        <v>5</v>
      </c>
      <c r="G25" s="25" t="s">
        <v>6</v>
      </c>
      <c r="H25" s="25" t="s">
        <v>7</v>
      </c>
      <c r="I25" s="25" t="s">
        <v>8</v>
      </c>
      <c r="J25" s="25" t="s">
        <v>9</v>
      </c>
      <c r="K25" s="25" t="s">
        <v>10</v>
      </c>
      <c r="L25" s="25" t="s">
        <v>11</v>
      </c>
      <c r="M25" s="25" t="s">
        <v>12</v>
      </c>
      <c r="N25" s="25" t="s">
        <v>13</v>
      </c>
    </row>
    <row r="26" ht="15.75" customHeight="1">
      <c r="A26" s="28">
        <v>0.15</v>
      </c>
      <c r="B26" s="29">
        <v>40854.0</v>
      </c>
      <c r="C26" s="30">
        <v>350000.0</v>
      </c>
      <c r="D26" s="31">
        <f>C26-(A26*C26)</f>
        <v>297500</v>
      </c>
      <c r="E26" s="32">
        <v>0.05</v>
      </c>
      <c r="F26" s="33">
        <f>TODAY()</f>
        <v>45135</v>
      </c>
      <c r="G26" s="34">
        <v>30.0</v>
      </c>
      <c r="H26" s="25">
        <f>DATEDIF(B26,F26,"m")</f>
        <v>140</v>
      </c>
      <c r="I26" s="35">
        <f>PMT(E26/12, G26*12, D26)</f>
        <v>-1597.044328</v>
      </c>
      <c r="J26" s="35">
        <f>CUMPRINC(0.03/12,360,D26,1,H26,0)</f>
        <v>-85450.73841</v>
      </c>
      <c r="K26" s="35">
        <f>D26+J26</f>
        <v>212049.2616</v>
      </c>
      <c r="L26" s="36">
        <v>0.15</v>
      </c>
      <c r="M26" s="25">
        <f>(G26*12)-H26</f>
        <v>220</v>
      </c>
      <c r="N26" s="37">
        <f>pv(L26/12,M26,I26)</f>
        <v>119455.4802</v>
      </c>
    </row>
    <row r="27" ht="15.75" customHeight="1">
      <c r="A27" s="38"/>
      <c r="B27" s="39"/>
      <c r="C27" s="39"/>
      <c r="D27" s="40"/>
      <c r="E27" s="39"/>
      <c r="F27" s="39"/>
      <c r="G27" s="39"/>
      <c r="H27" s="39"/>
      <c r="I27" s="39"/>
      <c r="J27" s="39"/>
      <c r="K27" s="39"/>
      <c r="L27" s="39"/>
      <c r="M27" s="39"/>
      <c r="N27" s="41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</row>
    <row r="28" ht="15.75" customHeight="1">
      <c r="A28" s="21"/>
      <c r="C28" s="8"/>
      <c r="D28" s="42"/>
      <c r="N28" s="23"/>
    </row>
    <row r="29" ht="15.75" customHeight="1">
      <c r="A29" s="24"/>
      <c r="C29" s="8"/>
      <c r="D29" s="42"/>
      <c r="N29" s="23"/>
    </row>
    <row r="30" ht="15.75" customHeight="1">
      <c r="A30" s="25" t="s">
        <v>0</v>
      </c>
      <c r="B30" s="25" t="s">
        <v>1</v>
      </c>
      <c r="C30" s="25" t="s">
        <v>2</v>
      </c>
      <c r="D30" s="26" t="s">
        <v>3</v>
      </c>
      <c r="E30" s="25" t="s">
        <v>4</v>
      </c>
      <c r="F30" s="25" t="s">
        <v>5</v>
      </c>
      <c r="G30" s="25" t="s">
        <v>6</v>
      </c>
      <c r="H30" s="25" t="s">
        <v>7</v>
      </c>
      <c r="I30" s="25" t="s">
        <v>8</v>
      </c>
      <c r="J30" s="25" t="s">
        <v>9</v>
      </c>
      <c r="K30" s="25" t="s">
        <v>10</v>
      </c>
      <c r="L30" s="25" t="s">
        <v>11</v>
      </c>
      <c r="M30" s="25" t="s">
        <v>12</v>
      </c>
      <c r="N30" s="25" t="s">
        <v>13</v>
      </c>
    </row>
    <row r="31" ht="15.75" customHeight="1">
      <c r="A31" s="28">
        <v>0.1</v>
      </c>
      <c r="B31" s="29">
        <v>40915.0</v>
      </c>
      <c r="C31" s="30">
        <v>666000.0</v>
      </c>
      <c r="D31" s="31">
        <f>C31-(A31*C31)</f>
        <v>599400</v>
      </c>
      <c r="E31" s="32">
        <v>0.03</v>
      </c>
      <c r="F31" s="33">
        <f>TODAY()</f>
        <v>45135</v>
      </c>
      <c r="G31" s="34">
        <v>30.0</v>
      </c>
      <c r="H31" s="25">
        <f>DATEDIF(B31,F31,"m")</f>
        <v>138</v>
      </c>
      <c r="I31" s="35">
        <f>PMT(E31/12, G31*12, D31)</f>
        <v>-2527.094578</v>
      </c>
      <c r="J31" s="35">
        <f>CUMPRINC(0.03/12,360,D31,1,H31,0)</f>
        <v>-169258.1767</v>
      </c>
      <c r="K31" s="35">
        <f>D31+J31</f>
        <v>430141.8233</v>
      </c>
      <c r="L31" s="36">
        <v>0.16</v>
      </c>
      <c r="M31" s="25">
        <f>(G31*12)-H31</f>
        <v>222</v>
      </c>
      <c r="N31" s="37">
        <f>pv(L31/12,M31,I31)</f>
        <v>179516.7522</v>
      </c>
    </row>
    <row r="32" ht="15.75" customHeight="1">
      <c r="A32" s="24"/>
      <c r="N32" s="23"/>
    </row>
    <row r="33" ht="15.75" customHeight="1">
      <c r="A33" s="24"/>
      <c r="N33" s="23"/>
    </row>
    <row r="34" ht="15.75" customHeight="1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5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0.75"/>
    <col customWidth="1" min="3" max="3" width="21.63"/>
    <col customWidth="1" min="4" max="4" width="20.88"/>
  </cols>
  <sheetData>
    <row r="1" ht="15.75" customHeight="1">
      <c r="A1" s="46"/>
      <c r="B1" s="47" t="s">
        <v>34</v>
      </c>
      <c r="C1" s="46"/>
      <c r="D1" s="48" t="s">
        <v>35</v>
      </c>
      <c r="E1" s="46"/>
    </row>
    <row r="2" ht="15.75" customHeight="1">
      <c r="A2" s="49"/>
      <c r="B2" s="50"/>
      <c r="C2" s="51"/>
      <c r="D2" s="50"/>
      <c r="E2" s="52"/>
    </row>
    <row r="3" ht="15.75" customHeight="1">
      <c r="A3" s="53" t="s">
        <v>8</v>
      </c>
      <c r="B3" s="54">
        <v>1800.0</v>
      </c>
      <c r="C3" s="46"/>
      <c r="D3" s="55">
        <f>if(and(B4&gt;0,B5&gt;0,B6&gt;0),-abs(pmt(B4/12,B5,B6)),"--")</f>
        <v>-2175.477388</v>
      </c>
      <c r="E3" s="53" t="s">
        <v>8</v>
      </c>
    </row>
    <row r="4" ht="15.75" customHeight="1">
      <c r="A4" s="53" t="s">
        <v>36</v>
      </c>
      <c r="B4" s="56">
        <v>0.099</v>
      </c>
      <c r="C4" s="57"/>
      <c r="D4" s="58">
        <f> if(and(B5&gt;0,-abs(B3)&lt;0,B6&gt;0),rate(B5,-abs(B3),B6)*12,"--")</f>
        <v>0.07801870581</v>
      </c>
      <c r="E4" s="53" t="s">
        <v>36</v>
      </c>
    </row>
    <row r="5" ht="15.75" customHeight="1">
      <c r="A5" s="53" t="s">
        <v>37</v>
      </c>
      <c r="B5" s="59">
        <v>360.0</v>
      </c>
      <c r="C5" s="46"/>
      <c r="D5" s="60" t="str">
        <f>if((B4/12)*B6&gt;B3,"Higher Payment Required",if(and(-abs(B3)&lt;0,B4&gt;0,B6&gt;0), NPER(B4/12, -abs(B3), B6),"--"))</f>
        <v>Higher Payment Required</v>
      </c>
      <c r="E5" s="53" t="s">
        <v>37</v>
      </c>
    </row>
    <row r="6" ht="15.75" customHeight="1">
      <c r="A6" s="53" t="s">
        <v>28</v>
      </c>
      <c r="B6" s="61">
        <v>250000.0</v>
      </c>
      <c r="C6" s="46"/>
      <c r="D6" s="62">
        <f> if(and(-abs(B3)&lt;0,B4&gt;0,B5&gt;0),-pv(B4/12,B5,abs(B3)),"--")</f>
        <v>206851.1502</v>
      </c>
      <c r="E6" s="53" t="s">
        <v>28</v>
      </c>
    </row>
    <row r="7" ht="15.75" customHeight="1">
      <c r="A7" s="63"/>
      <c r="B7" s="64"/>
      <c r="C7" s="64"/>
      <c r="D7" s="64"/>
      <c r="E7" s="65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25"/>
    <col customWidth="1" min="2" max="2" width="23.0"/>
    <col customWidth="1" min="3" max="3" width="32.0"/>
    <col customWidth="1" min="4" max="4" width="44.63"/>
  </cols>
  <sheetData>
    <row r="1" ht="15.75" customHeight="1"/>
    <row r="2" ht="15.75" customHeight="1">
      <c r="B2" s="66"/>
      <c r="C2" s="66" t="s">
        <v>38</v>
      </c>
    </row>
    <row r="3" ht="15.75" customHeight="1">
      <c r="B3" s="66"/>
      <c r="C3" s="66"/>
    </row>
    <row r="4" ht="15.75" customHeight="1">
      <c r="A4" s="1"/>
      <c r="B4" s="67" t="s">
        <v>39</v>
      </c>
      <c r="C4" s="25" t="s">
        <v>40</v>
      </c>
      <c r="D4" s="68">
        <v>44206.0</v>
      </c>
      <c r="F4" s="69" t="s">
        <v>41</v>
      </c>
    </row>
    <row r="5" ht="15.75" customHeight="1">
      <c r="A5" s="1"/>
      <c r="C5" s="1" t="s">
        <v>42</v>
      </c>
      <c r="D5" s="69">
        <v>80.0</v>
      </c>
      <c r="F5" s="70" t="s">
        <v>43</v>
      </c>
    </row>
    <row r="6" ht="15.75" customHeight="1">
      <c r="A6" s="1"/>
      <c r="C6" s="1" t="s">
        <v>44</v>
      </c>
      <c r="D6" s="71">
        <f>DATEDIF(D4,now(),"m")</f>
        <v>30</v>
      </c>
    </row>
    <row r="7" ht="15.75" customHeight="1">
      <c r="A7" s="1"/>
      <c r="C7" s="1" t="s">
        <v>22</v>
      </c>
      <c r="D7" s="69">
        <v>30.0</v>
      </c>
    </row>
    <row r="8" ht="15.75" customHeight="1"/>
    <row r="9" ht="15.75" customHeight="1">
      <c r="C9" s="1" t="s">
        <v>45</v>
      </c>
      <c r="D9" s="1" t="s">
        <v>46</v>
      </c>
    </row>
    <row r="10" ht="15.75" customHeight="1">
      <c r="A10" s="1"/>
    </row>
    <row r="11" ht="15.75" customHeight="1">
      <c r="A11" s="1"/>
      <c r="B11" s="1"/>
      <c r="C11" s="1"/>
    </row>
    <row r="12" ht="15.75" customHeight="1">
      <c r="A12" s="1"/>
      <c r="B12" s="1"/>
      <c r="C12" s="1"/>
    </row>
    <row r="13" ht="15.75" customHeight="1">
      <c r="A13" s="1"/>
      <c r="B13" s="67" t="s">
        <v>47</v>
      </c>
      <c r="C13" s="1" t="s">
        <v>48</v>
      </c>
      <c r="D13" s="72">
        <v>750000.0</v>
      </c>
    </row>
    <row r="14" ht="15.75" customHeight="1">
      <c r="A14" s="1"/>
      <c r="C14" s="1" t="s">
        <v>49</v>
      </c>
      <c r="D14" s="73">
        <v>0.25</v>
      </c>
    </row>
    <row r="15" ht="15.75" customHeight="1">
      <c r="A15" s="1"/>
      <c r="C15" s="1"/>
    </row>
    <row r="16" ht="15.75" customHeight="1">
      <c r="A16" s="1"/>
      <c r="C16" s="1" t="s">
        <v>45</v>
      </c>
      <c r="D16" s="1" t="s">
        <v>50</v>
      </c>
    </row>
    <row r="17" ht="15.75" customHeight="1">
      <c r="A17" s="1"/>
      <c r="B17" s="1"/>
      <c r="C17" s="1"/>
      <c r="D17" s="8"/>
    </row>
    <row r="18" ht="15.75" customHeight="1">
      <c r="A18" s="1"/>
      <c r="B18" s="1"/>
      <c r="C18" s="1"/>
    </row>
    <row r="19" ht="15.75" customHeight="1">
      <c r="A19" s="1"/>
      <c r="B19" s="1"/>
      <c r="C19" s="1"/>
      <c r="D19" s="8"/>
    </row>
    <row r="20" ht="15.75" customHeight="1">
      <c r="A20" s="1"/>
      <c r="B20" s="1"/>
      <c r="C20" s="1"/>
      <c r="D20" s="8"/>
    </row>
    <row r="21" ht="15.75" customHeight="1">
      <c r="A21" s="1"/>
      <c r="B21" s="67" t="s">
        <v>51</v>
      </c>
      <c r="C21" s="1" t="s">
        <v>25</v>
      </c>
      <c r="D21" s="74">
        <v>0.03</v>
      </c>
    </row>
    <row r="22" ht="15.75" customHeight="1">
      <c r="A22" s="1"/>
      <c r="C22" s="1" t="s">
        <v>52</v>
      </c>
      <c r="D22" s="75" t="s">
        <v>53</v>
      </c>
    </row>
    <row r="23" ht="15.75" customHeight="1">
      <c r="A23" s="1"/>
      <c r="C23" s="1" t="s">
        <v>8</v>
      </c>
      <c r="D23" s="76">
        <v>-2740.4262192414635</v>
      </c>
    </row>
    <row r="24" ht="15.75" customHeight="1">
      <c r="A24" s="1"/>
    </row>
    <row r="25" ht="15.75" customHeight="1">
      <c r="A25" s="1"/>
      <c r="C25" s="1" t="s">
        <v>54</v>
      </c>
      <c r="D25" s="1" t="s">
        <v>55</v>
      </c>
    </row>
    <row r="26" ht="15.75" customHeight="1">
      <c r="A26" s="1"/>
    </row>
    <row r="27" ht="15.75" customHeight="1">
      <c r="A27" s="1"/>
      <c r="C27" s="1" t="s">
        <v>8</v>
      </c>
      <c r="D27" s="70">
        <f>if(D25="Calculate Payment", pmt(D21/12,D7*12,D22),D23)</f>
        <v>-2740.426219</v>
      </c>
    </row>
    <row r="28" ht="15.75" customHeight="1">
      <c r="A28" s="1"/>
      <c r="C28" s="1" t="s">
        <v>25</v>
      </c>
      <c r="D28" s="77">
        <f>if(D25="Calculate Interest Rate", rate(D7*12,D23,D22)*12,D21)</f>
        <v>0.03</v>
      </c>
    </row>
    <row r="29" ht="15.75" customHeight="1">
      <c r="A29" s="1"/>
      <c r="C29" s="1" t="s">
        <v>52</v>
      </c>
      <c r="D29" s="70">
        <f>if(D25="Calculate Loan Amount", pv(D21/12,D7*12,D23),D22)</f>
        <v>650000</v>
      </c>
    </row>
    <row r="30" ht="15.75" customHeight="1">
      <c r="A30" s="1"/>
    </row>
    <row r="31" ht="15.75" customHeight="1">
      <c r="D31" s="78">
        <f>if(D25="Calculate Loan Amount",D29,if(D25="Calculate Payment",D27,D28))</f>
        <v>650000</v>
      </c>
      <c r="E31" s="79"/>
    </row>
    <row r="32" ht="15.75" customHeight="1">
      <c r="C32" s="1" t="str">
        <f>if(D25="Calculate Loan Amount","Loan Amount",if(D25="Calculate Payment","Payment","Interest Rate"))</f>
        <v>Loan Amount</v>
      </c>
      <c r="D32" s="80" t="str">
        <f>iferror(if(C32="Interest Rate",TEXT(D31,"0.0%"),TEXT(D31,"$0.0")),"Need Inputs")</f>
        <v>$650000.0</v>
      </c>
    </row>
    <row r="33" ht="15.75" customHeight="1"/>
    <row r="34" ht="15.75" customHeight="1"/>
    <row r="35" ht="15.75" customHeight="1">
      <c r="A35" s="1"/>
    </row>
    <row r="36" ht="15.75" customHeight="1">
      <c r="A36" s="1"/>
      <c r="B36" s="67" t="s">
        <v>56</v>
      </c>
      <c r="C36" s="1" t="s">
        <v>57</v>
      </c>
      <c r="D36" s="70">
        <f>if(D16="Part II Loan Balance",(1-D14)*D13,D29)</f>
        <v>650000</v>
      </c>
    </row>
    <row r="37" ht="15.75" customHeight="1">
      <c r="A37" s="1"/>
      <c r="C37" s="1" t="s">
        <v>7</v>
      </c>
      <c r="D37" s="81">
        <f>if(D9="Derived Payments",D6,D5)</f>
        <v>30</v>
      </c>
    </row>
    <row r="38" ht="15.75" customHeight="1">
      <c r="A38" s="1"/>
      <c r="C38" s="1" t="s">
        <v>58</v>
      </c>
      <c r="D38" s="81">
        <f>(D7*12)-D37</f>
        <v>330</v>
      </c>
    </row>
    <row r="39" ht="15.75" customHeight="1">
      <c r="C39" s="1" t="s">
        <v>59</v>
      </c>
      <c r="D39" s="70">
        <f>pmt(D21/12,D7*12,D36)</f>
        <v>-2740.426219</v>
      </c>
    </row>
    <row r="40" ht="15.75" customHeight="1">
      <c r="A40" s="1"/>
    </row>
    <row r="41" ht="15.75" customHeight="1">
      <c r="A41" s="1"/>
      <c r="C41" s="1" t="s">
        <v>60</v>
      </c>
      <c r="D41" s="70">
        <f>CUMIPMT(D21/12,360,D36,1,D37,0)</f>
        <v>-47508.18614</v>
      </c>
    </row>
    <row r="42" ht="15.75" customHeight="1">
      <c r="C42" s="1" t="s">
        <v>61</v>
      </c>
      <c r="D42" s="70">
        <f>CUMPRINC(D21/12,360,D36,1,D37,0)</f>
        <v>-34704.60043</v>
      </c>
    </row>
    <row r="43" ht="15.75" customHeight="1">
      <c r="A43" s="1"/>
      <c r="C43" s="1" t="s">
        <v>62</v>
      </c>
      <c r="D43" s="70">
        <f>D36+D42</f>
        <v>615295.3996</v>
      </c>
    </row>
    <row r="44" ht="15.75" customHeight="1"/>
    <row r="45" ht="15.75" customHeight="1">
      <c r="A45" s="1"/>
      <c r="E45" s="8"/>
    </row>
    <row r="46" ht="15.75" customHeight="1">
      <c r="A46" s="1"/>
    </row>
    <row r="47" ht="15.75" customHeight="1">
      <c r="A47" s="1"/>
      <c r="B47" s="67" t="s">
        <v>63</v>
      </c>
      <c r="C47" s="1" t="s">
        <v>64</v>
      </c>
      <c r="D47" s="76">
        <v>400000.0</v>
      </c>
    </row>
    <row r="48" ht="15.75" customHeight="1">
      <c r="C48" s="1" t="s">
        <v>65</v>
      </c>
      <c r="D48" s="74">
        <v>0.16</v>
      </c>
    </row>
    <row r="49" ht="15.75" customHeight="1"/>
    <row r="50" ht="15.75" customHeight="1"/>
    <row r="51" ht="15.75" customHeight="1">
      <c r="C51" s="82" t="s">
        <v>66</v>
      </c>
      <c r="D51" s="78">
        <f>rate(D38,D39,D47)*12</f>
        <v>0.07022742867</v>
      </c>
    </row>
    <row r="52" ht="15.75" customHeight="1">
      <c r="C52" s="82" t="s">
        <v>67</v>
      </c>
      <c r="D52" s="70">
        <f>pv(D48/12,D38,D39)</f>
        <v>202934.1357</v>
      </c>
    </row>
    <row r="53" ht="15.75" customHeight="1"/>
    <row r="54" ht="15.75" customHeight="1"/>
    <row r="55" ht="15.75" customHeight="1">
      <c r="C55" s="1" t="s">
        <v>68</v>
      </c>
      <c r="D55" s="76">
        <v>5000.0</v>
      </c>
      <c r="E55" s="1" t="s">
        <v>69</v>
      </c>
    </row>
    <row r="56" ht="15.75" customHeight="1">
      <c r="C56" s="1" t="s">
        <v>70</v>
      </c>
      <c r="D56" s="76">
        <v>7200.0</v>
      </c>
      <c r="E56" s="1" t="s">
        <v>69</v>
      </c>
    </row>
    <row r="57" ht="15.75" customHeight="1">
      <c r="C57" s="1" t="s">
        <v>71</v>
      </c>
      <c r="D57" s="76">
        <v>3000.0</v>
      </c>
      <c r="E57" s="1" t="s">
        <v>69</v>
      </c>
    </row>
    <row r="58" ht="15.75" customHeight="1">
      <c r="C58" s="1" t="s">
        <v>72</v>
      </c>
      <c r="D58" s="76">
        <v>20000.0</v>
      </c>
      <c r="E58" s="1" t="s">
        <v>69</v>
      </c>
    </row>
    <row r="59" ht="15.75" customHeight="1">
      <c r="C59" s="1" t="s">
        <v>73</v>
      </c>
      <c r="D59" s="76">
        <v>80000.0</v>
      </c>
      <c r="E59" s="1" t="s">
        <v>74</v>
      </c>
    </row>
    <row r="60" ht="15.75" customHeight="1">
      <c r="C60" s="1" t="s">
        <v>75</v>
      </c>
      <c r="D60" s="76">
        <f>sum(D47,D55,D56,D57,D58)-D59</f>
        <v>355200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2:D2"/>
    <mergeCell ref="B4:B9"/>
    <mergeCell ref="B13:B16"/>
    <mergeCell ref="B21:B32"/>
    <mergeCell ref="B36:B43"/>
    <mergeCell ref="B47:B55"/>
  </mergeCells>
  <conditionalFormatting sqref="D4">
    <cfRule type="notContainsBlanks" dxfId="0" priority="1">
      <formula>LEN(TRIM(D4))&gt;0</formula>
    </cfRule>
  </conditionalFormatting>
  <dataValidations>
    <dataValidation type="list" allowBlank="1" showErrorMessage="1" sqref="D25">
      <formula1>"Calculate Loan Amount,Calculate Payment,Calculate Interest Rate"</formula1>
    </dataValidation>
    <dataValidation type="list" allowBlank="1" showErrorMessage="1" sqref="D9">
      <formula1>"Payments Input,Derived Payments"</formula1>
    </dataValidation>
    <dataValidation type="list" allowBlank="1" showErrorMessage="1" sqref="D16">
      <formula1>"Part II Loan Balance,Part III Loan Balance"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6.25"/>
    <col customWidth="1" min="3" max="3" width="23.88"/>
    <col customWidth="1" min="4" max="4" width="13.0"/>
    <col customWidth="1" min="5" max="5" width="11.75"/>
  </cols>
  <sheetData>
    <row r="1" ht="15.75" customHeight="1">
      <c r="A1" s="46"/>
      <c r="B1" s="47" t="s">
        <v>34</v>
      </c>
      <c r="C1" s="83"/>
      <c r="D1" s="84" t="s">
        <v>35</v>
      </c>
      <c r="E1" s="46"/>
    </row>
    <row r="2" ht="15.75" customHeight="1">
      <c r="A2" s="85"/>
      <c r="B2" s="46"/>
      <c r="C2" s="46"/>
      <c r="D2" s="46"/>
      <c r="E2" s="46"/>
    </row>
    <row r="3" ht="15.75" customHeight="1">
      <c r="A3" s="86" t="s">
        <v>8</v>
      </c>
      <c r="B3" s="87">
        <v>1100.0</v>
      </c>
      <c r="C3" s="46"/>
      <c r="D3" s="88">
        <f>if(and(B4&gt;0,B5&gt;0,B6&gt;0),-abs(pmt(B4/12,B5,B6)),"--")</f>
        <v>-1044.229146</v>
      </c>
      <c r="E3" s="89" t="s">
        <v>8</v>
      </c>
    </row>
    <row r="4" ht="15.75" customHeight="1">
      <c r="A4" s="86" t="s">
        <v>36</v>
      </c>
      <c r="B4" s="90">
        <v>0.099</v>
      </c>
      <c r="C4" s="46"/>
      <c r="D4" s="91">
        <f> if(and(B5&gt;0,-abs(B3)&lt;0,B6&gt;0),rate(B5,-abs(B3),B6)*12,"--")</f>
        <v>0.1052577241</v>
      </c>
      <c r="E4" s="89" t="s">
        <v>36</v>
      </c>
    </row>
    <row r="5" ht="15.75" customHeight="1">
      <c r="A5" s="86" t="s">
        <v>37</v>
      </c>
      <c r="B5" s="92">
        <v>360.0</v>
      </c>
      <c r="C5" s="46"/>
      <c r="D5" s="93">
        <f> if(and(-abs(B3)&lt;0,B4&gt;0,B6&gt;0), NPER(B4/12, -abs(B3), B6),"--")</f>
        <v>280.2509394</v>
      </c>
      <c r="E5" s="89" t="s">
        <v>37</v>
      </c>
    </row>
    <row r="6" ht="15.75" customHeight="1">
      <c r="A6" s="86" t="s">
        <v>28</v>
      </c>
      <c r="B6" s="87">
        <v>120000.0</v>
      </c>
      <c r="C6" s="46"/>
      <c r="D6" s="88">
        <f> if(and(-abs(B3)&lt;0,B4&gt;0,B5&gt;0),-pv(B4/12,B5,abs(B3)),"--")</f>
        <v>126409.0363</v>
      </c>
      <c r="E6" s="89" t="s">
        <v>28</v>
      </c>
    </row>
    <row r="7" ht="15.75" customHeight="1">
      <c r="A7" s="94"/>
      <c r="B7" s="46"/>
      <c r="C7" s="46"/>
      <c r="D7" s="46"/>
      <c r="E7" s="95"/>
    </row>
    <row r="8" ht="15.75" customHeight="1">
      <c r="A8" s="96" t="s">
        <v>76</v>
      </c>
      <c r="C8" s="89" t="s">
        <v>77</v>
      </c>
      <c r="D8" s="97">
        <f>abs(if(D3&lt;&gt;"--",D3,B3))</f>
        <v>1044.229146</v>
      </c>
      <c r="E8" s="95"/>
    </row>
    <row r="9" ht="15.75" customHeight="1">
      <c r="C9" s="89" t="s">
        <v>37</v>
      </c>
      <c r="D9" s="98">
        <f>if(D5&lt;&gt;"--",D5,B5)</f>
        <v>280.2509394</v>
      </c>
      <c r="E9" s="95"/>
    </row>
    <row r="10" ht="15.75" customHeight="1">
      <c r="C10" s="89" t="s">
        <v>78</v>
      </c>
      <c r="D10" s="99">
        <v>24000.0</v>
      </c>
      <c r="E10" s="95"/>
    </row>
    <row r="11" ht="23.25" customHeight="1">
      <c r="C11" s="89" t="s">
        <v>2</v>
      </c>
      <c r="D11" s="97">
        <f>if(D6&lt;&gt;"--",D6,B6)+D10</f>
        <v>150409.0363</v>
      </c>
      <c r="E11" s="95"/>
    </row>
    <row r="12" ht="15.75" customHeight="1">
      <c r="A12" s="94"/>
      <c r="B12" s="46"/>
      <c r="C12" s="89"/>
      <c r="D12" s="46"/>
      <c r="E12" s="95"/>
    </row>
    <row r="13" ht="15.75" customHeight="1">
      <c r="A13" s="94"/>
      <c r="B13" s="46"/>
      <c r="C13" s="89"/>
      <c r="D13" s="46"/>
      <c r="E13" s="95"/>
    </row>
    <row r="14" ht="15.75" customHeight="1">
      <c r="A14" s="94"/>
      <c r="B14" s="46"/>
      <c r="C14" s="89"/>
      <c r="D14" s="46"/>
      <c r="E14" s="95"/>
    </row>
    <row r="15" ht="15.75" customHeight="1">
      <c r="A15" s="100"/>
      <c r="B15" s="89"/>
      <c r="C15" s="89" t="s">
        <v>28</v>
      </c>
      <c r="D15" s="97">
        <f>if(D6&lt;&gt;"--",D6,B6)</f>
        <v>126409.0363</v>
      </c>
      <c r="E15" s="95"/>
    </row>
    <row r="16" ht="15.75" customHeight="1">
      <c r="A16" s="100"/>
      <c r="B16" s="89"/>
      <c r="C16" s="89" t="s">
        <v>79</v>
      </c>
      <c r="D16" s="101">
        <f>rate(D9,-abs(D8),(D15))*12</f>
        <v>0.08557297818</v>
      </c>
      <c r="E16" s="95"/>
    </row>
    <row r="17" ht="15.75" customHeight="1">
      <c r="A17" s="100"/>
      <c r="B17" s="89"/>
      <c r="C17" s="89"/>
      <c r="D17" s="46"/>
      <c r="E17" s="95"/>
    </row>
    <row r="18" ht="15.75" customHeight="1">
      <c r="A18" s="96" t="s">
        <v>80</v>
      </c>
      <c r="C18" s="89" t="s">
        <v>81</v>
      </c>
      <c r="D18" s="102">
        <v>80000.0</v>
      </c>
      <c r="E18" s="95"/>
    </row>
    <row r="19" ht="15.75" customHeight="1">
      <c r="C19" s="89" t="s">
        <v>72</v>
      </c>
      <c r="D19" s="102">
        <v>18000.0</v>
      </c>
      <c r="E19" s="95"/>
    </row>
    <row r="20" ht="15.75" customHeight="1">
      <c r="C20" s="89" t="s">
        <v>82</v>
      </c>
      <c r="D20" s="97">
        <f>-D10</f>
        <v>-24000</v>
      </c>
      <c r="E20" s="95"/>
    </row>
    <row r="21" ht="15.75" customHeight="1">
      <c r="C21" s="89" t="s">
        <v>83</v>
      </c>
      <c r="D21" s="102">
        <v>5000.0</v>
      </c>
      <c r="E21" s="95"/>
    </row>
    <row r="22" ht="15.75" customHeight="1">
      <c r="C22" s="89" t="s">
        <v>84</v>
      </c>
      <c r="D22" s="102">
        <v>5000.0</v>
      </c>
      <c r="E22" s="95"/>
    </row>
    <row r="23" ht="15.75" customHeight="1">
      <c r="C23" s="103" t="s">
        <v>75</v>
      </c>
      <c r="D23" s="104">
        <f>sum(D18:D22)</f>
        <v>84000</v>
      </c>
      <c r="E23" s="95"/>
    </row>
    <row r="24" ht="15.75" customHeight="1">
      <c r="C24" s="103"/>
      <c r="D24" s="105"/>
      <c r="E24" s="95"/>
    </row>
    <row r="25" ht="15.75" customHeight="1">
      <c r="C25" s="103" t="s">
        <v>26</v>
      </c>
      <c r="D25" s="106">
        <f>rate(D9,-abs(D8),D23)*12</f>
        <v>0.143873866</v>
      </c>
      <c r="E25" s="95"/>
    </row>
    <row r="26" ht="15.75" customHeight="1">
      <c r="A26" s="94"/>
      <c r="B26" s="46"/>
      <c r="C26" s="103"/>
      <c r="D26" s="105"/>
      <c r="E26" s="95"/>
    </row>
    <row r="27" ht="15.75" customHeight="1">
      <c r="A27" s="94"/>
      <c r="B27" s="46"/>
      <c r="C27" s="103" t="s">
        <v>85</v>
      </c>
      <c r="D27" s="107">
        <f>D8*D9</f>
        <v>292646.1992</v>
      </c>
      <c r="E27" s="95"/>
    </row>
    <row r="28" ht="15.75" customHeight="1">
      <c r="A28" s="94"/>
      <c r="B28" s="46"/>
      <c r="C28" s="103" t="s">
        <v>86</v>
      </c>
      <c r="D28" s="108">
        <f>D27-D23</f>
        <v>208646.1992</v>
      </c>
      <c r="E28" s="95"/>
    </row>
    <row r="29" ht="15.75" customHeight="1">
      <c r="A29" s="46"/>
      <c r="B29" s="46"/>
      <c r="C29" s="46"/>
      <c r="D29" s="46"/>
      <c r="E29" s="46"/>
    </row>
    <row r="30" ht="15.75" customHeight="1">
      <c r="A30" s="46"/>
      <c r="B30" s="46"/>
      <c r="C30" s="46"/>
      <c r="D30" s="46"/>
      <c r="E30" s="46"/>
    </row>
    <row r="31" ht="15.75" customHeight="1">
      <c r="A31" s="46"/>
      <c r="B31" s="46"/>
      <c r="C31" s="46"/>
      <c r="D31" s="46"/>
      <c r="E31" s="4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8:B11"/>
    <mergeCell ref="A18:B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4.5"/>
    <col customWidth="1" min="2" max="3" width="24.38"/>
  </cols>
  <sheetData>
    <row r="1" ht="15.75" customHeight="1">
      <c r="A1" s="46"/>
      <c r="B1" s="83"/>
      <c r="C1" s="57"/>
      <c r="D1" s="46"/>
    </row>
    <row r="2" ht="15.75" customHeight="1">
      <c r="A2" s="46"/>
      <c r="B2" s="83"/>
      <c r="C2" s="47" t="s">
        <v>34</v>
      </c>
      <c r="D2" s="46"/>
    </row>
    <row r="3" ht="15.75" customHeight="1">
      <c r="A3" s="46"/>
      <c r="B3" s="83"/>
      <c r="C3" s="109" t="s">
        <v>35</v>
      </c>
      <c r="D3" s="46"/>
    </row>
    <row r="4" ht="15.75" customHeight="1">
      <c r="A4" s="110"/>
      <c r="B4" s="83"/>
      <c r="C4" s="110"/>
      <c r="D4" s="46"/>
    </row>
    <row r="5" ht="15.75" customHeight="1">
      <c r="A5" s="89" t="s">
        <v>87</v>
      </c>
      <c r="B5" s="111">
        <v>100000.0</v>
      </c>
      <c r="C5" s="46"/>
      <c r="D5" s="95"/>
    </row>
    <row r="6" ht="15.75" customHeight="1">
      <c r="A6" s="89" t="s">
        <v>88</v>
      </c>
      <c r="B6" s="112">
        <v>41950.0</v>
      </c>
      <c r="C6" s="46"/>
      <c r="D6" s="95"/>
    </row>
    <row r="7" ht="15.75" customHeight="1">
      <c r="A7" s="89" t="s">
        <v>89</v>
      </c>
      <c r="B7" s="113">
        <v>360.0</v>
      </c>
      <c r="C7" s="46"/>
      <c r="D7" s="95"/>
    </row>
    <row r="8" ht="15.75" customHeight="1">
      <c r="A8" s="89" t="s">
        <v>90</v>
      </c>
      <c r="B8" s="114">
        <v>92.0</v>
      </c>
      <c r="C8" s="46"/>
      <c r="D8" s="95"/>
    </row>
    <row r="9" ht="15.75" customHeight="1">
      <c r="A9" s="89" t="s">
        <v>91</v>
      </c>
      <c r="B9" s="115">
        <v>0.08</v>
      </c>
      <c r="C9" s="46"/>
      <c r="D9" s="95"/>
    </row>
    <row r="10" ht="15.75" customHeight="1">
      <c r="A10" s="46"/>
      <c r="B10" s="46"/>
      <c r="C10" s="46"/>
      <c r="D10" s="95"/>
    </row>
    <row r="11" ht="18.0" customHeight="1">
      <c r="A11" s="89" t="s">
        <v>8</v>
      </c>
      <c r="B11" s="97">
        <f>pmt(B9/12,B7,B5)</f>
        <v>-733.7645739</v>
      </c>
      <c r="C11" s="46"/>
      <c r="D11" s="95"/>
    </row>
    <row r="12" ht="15.75" customHeight="1">
      <c r="A12" s="89" t="s">
        <v>9</v>
      </c>
      <c r="B12" s="97">
        <f>CUMPRINC(B9/12,B7,B5,1,if(B8&lt;&gt;"",B8,DATEDIF(B6,now(),"m")),0)</f>
        <v>-8482.735844</v>
      </c>
      <c r="C12" s="89"/>
      <c r="D12" s="95"/>
    </row>
    <row r="13" ht="15.75" customHeight="1">
      <c r="A13" s="89" t="s">
        <v>92</v>
      </c>
      <c r="B13" s="97">
        <f>B5+B12</f>
        <v>91517.26416</v>
      </c>
      <c r="C13" s="89"/>
      <c r="D13" s="116"/>
    </row>
    <row r="14" ht="15.75" customHeight="1">
      <c r="A14" s="89" t="s">
        <v>93</v>
      </c>
      <c r="B14" s="111">
        <v>75000.0</v>
      </c>
      <c r="C14" s="89"/>
      <c r="D14" s="116"/>
    </row>
    <row r="15" ht="15.75" customHeight="1">
      <c r="A15" s="89" t="s">
        <v>94</v>
      </c>
      <c r="B15" s="117">
        <f>nper(B9/12,B11,B14)</f>
        <v>172.1523613</v>
      </c>
      <c r="C15" s="89"/>
      <c r="D15" s="116"/>
    </row>
    <row r="16" ht="15.75" customHeight="1">
      <c r="A16" s="89"/>
      <c r="B16" s="89"/>
      <c r="C16" s="89"/>
      <c r="D16" s="116"/>
    </row>
    <row r="17" ht="15.75" customHeight="1">
      <c r="A17" s="89"/>
      <c r="B17" s="89"/>
      <c r="C17" s="89"/>
      <c r="D17" s="116"/>
    </row>
    <row r="18" ht="15.75" customHeight="1">
      <c r="A18" s="89" t="s">
        <v>95</v>
      </c>
      <c r="B18" s="115">
        <v>0.18</v>
      </c>
      <c r="C18" s="118">
        <f>if(B18&lt;&gt;"", pv(B18/12,if(B14&lt;&gt;"",B15,B7-(if(B8&lt;&gt;"",B8,DATEDIF(B6,now(),"m")))),B11),"")</f>
        <v>45147.81456</v>
      </c>
      <c r="D18" s="116" t="s">
        <v>13</v>
      </c>
    </row>
    <row r="19" ht="15.75" customHeight="1">
      <c r="A19" s="89" t="s">
        <v>13</v>
      </c>
      <c r="B19" s="111">
        <v>42916.0</v>
      </c>
      <c r="C19" s="119">
        <f>if(B19&lt;&gt;"", rate(if(B14&lt;&gt;"",B15,B7-(if(B8&lt;&gt;"",B8,DATEDIF(B6,now(),"m")))),B11,B19)*12,"")</f>
        <v>0.1917459799</v>
      </c>
      <c r="D19" s="116" t="s">
        <v>96</v>
      </c>
    </row>
    <row r="20" ht="15.75" customHeight="1">
      <c r="A20" s="89"/>
      <c r="B20" s="89"/>
      <c r="C20" s="89"/>
      <c r="D20" s="1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4.75"/>
    <col customWidth="1" min="3" max="3" width="16.25"/>
    <col customWidth="1" min="4" max="4" width="23.88"/>
    <col customWidth="1" min="5" max="5" width="13.0"/>
    <col customWidth="1" min="6" max="6" width="11.75"/>
    <col customWidth="1" min="7" max="7" width="10.25"/>
    <col customWidth="1" min="8" max="8" width="18.88"/>
    <col customWidth="1" min="9" max="9" width="31.75"/>
    <col customWidth="1" min="10" max="10" width="13.5"/>
    <col customWidth="1" min="11" max="11" width="16.75"/>
    <col customWidth="1" min="12" max="12" width="22.88"/>
  </cols>
  <sheetData>
    <row r="1" ht="15.75" customHeight="1"/>
    <row r="2" ht="15.75" customHeight="1">
      <c r="D2" s="39"/>
    </row>
    <row r="3" ht="15.75" customHeight="1">
      <c r="B3" s="85"/>
      <c r="C3" s="46"/>
      <c r="D3" s="46"/>
      <c r="E3" s="46"/>
      <c r="F3" s="46"/>
    </row>
    <row r="4" ht="15.75" customHeight="1">
      <c r="B4" s="86" t="s">
        <v>31</v>
      </c>
      <c r="C4" s="120">
        <v>2500.0</v>
      </c>
      <c r="D4" s="46"/>
      <c r="E4" s="121"/>
      <c r="F4" s="89" t="s">
        <v>8</v>
      </c>
    </row>
    <row r="5" ht="15.75" customHeight="1">
      <c r="B5" s="86" t="s">
        <v>24</v>
      </c>
      <c r="C5" s="122">
        <v>0.06550238475267055</v>
      </c>
      <c r="D5" s="46"/>
      <c r="E5" s="123">
        <f> if(and(C6&gt;0,-abs(C4)&lt;0,C7&gt;0),rate(C6,-abs(C4),C7)*12,"Fields Needed")</f>
        <v>0.06550238475</v>
      </c>
      <c r="F5" s="89" t="s">
        <v>36</v>
      </c>
    </row>
    <row r="6" ht="15.75" customHeight="1">
      <c r="B6" s="86" t="s">
        <v>18</v>
      </c>
      <c r="C6" s="124">
        <v>145.0</v>
      </c>
      <c r="D6" s="46"/>
      <c r="E6" s="125">
        <f> if(and(-abs(C4)&lt;0,C5&gt;0,C7&gt;0), NPER(C5/12, -abs(C4), C7),"Fields Needed")</f>
        <v>145</v>
      </c>
      <c r="F6" s="89" t="s">
        <v>37</v>
      </c>
    </row>
    <row r="7" ht="15.75" customHeight="1">
      <c r="B7" s="86" t="s">
        <v>27</v>
      </c>
      <c r="C7" s="120">
        <v>250000.0</v>
      </c>
      <c r="D7" s="46"/>
      <c r="E7" s="121">
        <f> if(and(-abs(C4)&lt;0,C5&gt;0,C6&gt;0),-pv(C5/12,C6,abs(C4)),"Fields Needed")</f>
        <v>250000</v>
      </c>
      <c r="F7" s="89" t="s">
        <v>28</v>
      </c>
    </row>
    <row r="8" ht="15.75" customHeight="1">
      <c r="B8" s="46"/>
      <c r="C8" s="46"/>
      <c r="D8" s="46"/>
      <c r="E8" s="46"/>
      <c r="F8" s="46"/>
      <c r="I8" s="1">
        <f>abs(if(C4&lt;&gt;"",C4,if(E4&lt;&gt;"",E4,"")))</f>
        <v>2500</v>
      </c>
    </row>
    <row r="9" ht="15.75" customHeight="1"/>
    <row r="10" ht="15.75" customHeight="1"/>
    <row r="11" ht="15.75" customHeight="1">
      <c r="B11" s="126"/>
      <c r="C11" s="127"/>
      <c r="D11" s="127"/>
      <c r="E11" s="127"/>
      <c r="F11" s="128"/>
    </row>
    <row r="12" ht="15.75" customHeight="1">
      <c r="B12" s="129"/>
      <c r="C12" s="130" t="s">
        <v>76</v>
      </c>
      <c r="D12" s="131" t="s">
        <v>77</v>
      </c>
      <c r="E12" s="132">
        <f>abs(if(C4&lt;&gt;"",C4,if(E4&lt;&gt;"",E4,"")))</f>
        <v>2500</v>
      </c>
      <c r="F12" s="133"/>
      <c r="H12" s="69" t="s">
        <v>41</v>
      </c>
    </row>
    <row r="13" ht="15.75" customHeight="1">
      <c r="B13" s="129"/>
      <c r="D13" s="131" t="s">
        <v>37</v>
      </c>
      <c r="E13" s="69">
        <v>360.0</v>
      </c>
      <c r="F13" s="133"/>
      <c r="H13" s="132" t="s">
        <v>43</v>
      </c>
    </row>
    <row r="14" ht="15.75" customHeight="1">
      <c r="B14" s="129"/>
      <c r="D14" s="131" t="s">
        <v>78</v>
      </c>
      <c r="E14" s="72">
        <v>50000.0</v>
      </c>
      <c r="F14" s="133"/>
    </row>
    <row r="15" ht="15.75" customHeight="1">
      <c r="B15" s="134"/>
      <c r="D15" s="131" t="s">
        <v>2</v>
      </c>
      <c r="E15" s="72">
        <v>256896.55</v>
      </c>
      <c r="F15" s="133"/>
      <c r="H15" s="135"/>
      <c r="J15" s="135"/>
      <c r="K15" s="135"/>
      <c r="L15" s="135"/>
    </row>
    <row r="16" ht="15.75" customHeight="1">
      <c r="B16" s="134"/>
      <c r="C16" s="136"/>
      <c r="D16" s="131"/>
      <c r="E16" s="136"/>
      <c r="F16" s="133"/>
      <c r="H16" s="137"/>
      <c r="I16" s="137"/>
      <c r="J16" s="137"/>
      <c r="K16" s="137"/>
      <c r="L16" s="137"/>
    </row>
    <row r="17" ht="15.75" customHeight="1">
      <c r="B17" s="134"/>
      <c r="C17" s="136"/>
      <c r="D17" s="131"/>
      <c r="E17" s="136"/>
      <c r="F17" s="133"/>
      <c r="H17" s="137"/>
      <c r="I17" s="137"/>
      <c r="J17" s="137"/>
      <c r="K17" s="137"/>
      <c r="L17" s="137"/>
    </row>
    <row r="18" ht="15.75" customHeight="1">
      <c r="B18" s="134"/>
      <c r="C18" s="136"/>
      <c r="D18" s="131"/>
      <c r="E18" s="136"/>
      <c r="F18" s="133"/>
    </row>
    <row r="19" ht="15.75" customHeight="1">
      <c r="B19" s="138"/>
      <c r="C19" s="131"/>
      <c r="D19" s="131" t="s">
        <v>28</v>
      </c>
      <c r="E19" s="132">
        <f>E15-E14</f>
        <v>206896.55</v>
      </c>
      <c r="F19" s="133"/>
    </row>
    <row r="20" ht="15.75" customHeight="1">
      <c r="B20" s="138"/>
      <c r="C20" s="131"/>
      <c r="D20" s="131" t="s">
        <v>79</v>
      </c>
      <c r="E20" s="139">
        <f>rate(E13,-abs(E12),(E19))*12</f>
        <v>0.1429592851</v>
      </c>
      <c r="F20" s="133"/>
    </row>
    <row r="21" ht="15.75" customHeight="1">
      <c r="B21" s="138"/>
      <c r="C21" s="131"/>
      <c r="D21" s="131"/>
      <c r="E21" s="136"/>
      <c r="F21" s="133"/>
    </row>
    <row r="22" ht="15.75" customHeight="1">
      <c r="B22" s="134"/>
      <c r="C22" s="130" t="s">
        <v>80</v>
      </c>
      <c r="D22" s="131" t="s">
        <v>81</v>
      </c>
      <c r="E22" s="72">
        <v>170000.0</v>
      </c>
      <c r="F22" s="133"/>
    </row>
    <row r="23" ht="15.75" customHeight="1">
      <c r="B23" s="134"/>
      <c r="D23" s="131" t="s">
        <v>72</v>
      </c>
      <c r="E23" s="72">
        <v>18000.0</v>
      </c>
      <c r="F23" s="133"/>
    </row>
    <row r="24" ht="15.75" customHeight="1">
      <c r="B24" s="134"/>
      <c r="D24" s="131" t="s">
        <v>82</v>
      </c>
      <c r="E24" s="132">
        <f>-E14</f>
        <v>-50000</v>
      </c>
      <c r="F24" s="133"/>
    </row>
    <row r="25" ht="15.75" customHeight="1">
      <c r="B25" s="134"/>
      <c r="D25" s="131" t="s">
        <v>83</v>
      </c>
      <c r="E25" s="72">
        <v>5000.0</v>
      </c>
      <c r="F25" s="133"/>
    </row>
    <row r="26" ht="15.75" customHeight="1">
      <c r="B26" s="134"/>
      <c r="D26" s="131" t="s">
        <v>84</v>
      </c>
      <c r="E26" s="72">
        <v>5000.0</v>
      </c>
      <c r="F26" s="133"/>
    </row>
    <row r="27" ht="15.75" customHeight="1">
      <c r="B27" s="134"/>
      <c r="D27" s="131" t="s">
        <v>75</v>
      </c>
      <c r="E27" s="132">
        <f>sum(E22:E26)</f>
        <v>148000</v>
      </c>
      <c r="F27" s="133"/>
    </row>
    <row r="28" ht="15.75" customHeight="1">
      <c r="B28" s="134"/>
      <c r="D28" s="131"/>
      <c r="E28" s="136"/>
      <c r="F28" s="133"/>
    </row>
    <row r="29" ht="15.75" customHeight="1">
      <c r="B29" s="134"/>
      <c r="D29" s="131" t="s">
        <v>26</v>
      </c>
      <c r="E29" s="139">
        <f>rate(E13,-abs(E12),E27)*12</f>
        <v>0.2022080794</v>
      </c>
      <c r="F29" s="133"/>
    </row>
    <row r="30" ht="15.75" customHeight="1">
      <c r="B30" s="134"/>
      <c r="C30" s="136"/>
      <c r="D30" s="131"/>
      <c r="E30" s="136"/>
      <c r="F30" s="133"/>
    </row>
    <row r="31" ht="15.75" customHeight="1">
      <c r="B31" s="134"/>
      <c r="C31" s="136"/>
      <c r="D31" s="131" t="s">
        <v>85</v>
      </c>
      <c r="E31" s="132">
        <f>E12*E13</f>
        <v>900000</v>
      </c>
      <c r="F31" s="133"/>
    </row>
    <row r="32" ht="15.75" customHeight="1">
      <c r="B32" s="134"/>
      <c r="C32" s="136"/>
      <c r="D32" s="131" t="s">
        <v>86</v>
      </c>
      <c r="E32" s="132">
        <f>E31-E27</f>
        <v>752000</v>
      </c>
      <c r="F32" s="133"/>
    </row>
    <row r="33" ht="15.75" customHeight="1">
      <c r="B33" s="140"/>
      <c r="C33" s="141"/>
      <c r="D33" s="141"/>
      <c r="E33" s="141"/>
      <c r="F33" s="142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2:C15"/>
    <mergeCell ref="H15:I15"/>
    <mergeCell ref="C22:C29"/>
  </mergeCells>
  <drawing r:id="rId1"/>
</worksheet>
</file>