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uket\iCloudDrive\Documents\College 21-22\Spring\SMIF\Pitch Materials\"/>
    </mc:Choice>
  </mc:AlternateContent>
  <xr:revisionPtr revIDLastSave="0" documentId="13_ncr:1_{E5964796-EFDA-43E2-A606-6A1EEB275A34}" xr6:coauthVersionLast="47" xr6:coauthVersionMax="47" xr10:uidLastSave="{00000000-0000-0000-0000-000000000000}"/>
  <bookViews>
    <workbookView xWindow="-120" yWindow="-120" windowWidth="29040" windowHeight="15840" xr2:uid="{59687001-476C-494A-AB9E-01141CD5418D}"/>
  </bookViews>
  <sheets>
    <sheet name="Summary" sheetId="1" r:id="rId1"/>
    <sheet name="WACC" sheetId="7" r:id="rId2"/>
    <sheet name="Base DCF" sheetId="15" r:id="rId3"/>
    <sheet name="Bear DCF" sheetId="23" r:id="rId4"/>
    <sheet name="Bull DCF" sheetId="22" r:id="rId5"/>
    <sheet name="Relative Valuation" sheetId="14" r:id="rId6"/>
    <sheet name="&gt;&gt;&gt;" sheetId="13" r:id="rId7"/>
    <sheet name="Key Stats" sheetId="12" r:id="rId8"/>
    <sheet name="Income Statement" sheetId="2" r:id="rId9"/>
    <sheet name="Balance Sheet" sheetId="3" r:id="rId10"/>
    <sheet name="Cash Flow" sheetId="4" r:id="rId11"/>
    <sheet name="Ratios" sheetId="5" r:id="rId12"/>
  </sheets>
  <externalReferences>
    <externalReference r:id="rId13"/>
  </externalReferences>
  <definedNames>
    <definedName name="Beta">WACC!$C$11</definedName>
    <definedName name="CurrentPrice">Summary!$E$6</definedName>
    <definedName name="Debt">WACC!$C$16</definedName>
    <definedName name="EPS">'Income Statement'!$F$58</definedName>
    <definedName name="Equity">WACC!$C$15</definedName>
    <definedName name="InterestExp">'Income Statement'!$F$25</definedName>
    <definedName name="relativePremium">'[1]Relative Valuation'!$G$38</definedName>
    <definedName name="relativePrice">'[1]Relative Valuation'!$H$38</definedName>
    <definedName name="SharesOutstanding">Summary!$D$12</definedName>
    <definedName name="TaxRate">WACC!$F$9</definedName>
    <definedName name="WACC">WACC!$I$11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 i="23" l="1"/>
  <c r="I14" i="23"/>
  <c r="J14" i="23" s="1"/>
  <c r="L14" i="22"/>
  <c r="J14" i="22"/>
  <c r="N14" i="15"/>
  <c r="L14" i="15"/>
  <c r="H14" i="15"/>
  <c r="I14" i="15" s="1"/>
  <c r="K14" i="22"/>
  <c r="N14" i="22" s="1"/>
  <c r="H14" i="22"/>
  <c r="I14" i="22"/>
  <c r="M40" i="22"/>
  <c r="L40" i="22"/>
  <c r="K40" i="22"/>
  <c r="J40" i="22"/>
  <c r="I40" i="22"/>
  <c r="H40" i="22"/>
  <c r="Q27" i="15"/>
  <c r="P27" i="15"/>
  <c r="P36" i="15"/>
  <c r="Q36" i="15" s="1"/>
  <c r="R36" i="15" s="1"/>
  <c r="L13" i="22"/>
  <c r="K13" i="22"/>
  <c r="I13" i="22"/>
  <c r="H13" i="22"/>
  <c r="J13" i="22"/>
  <c r="G11" i="22"/>
  <c r="F11" i="22"/>
  <c r="F12" i="22" s="1"/>
  <c r="E11" i="22"/>
  <c r="D11" i="22"/>
  <c r="C11" i="22"/>
  <c r="D12" i="22" s="1"/>
  <c r="D12" i="23"/>
  <c r="G12" i="15"/>
  <c r="F12" i="15"/>
  <c r="E12" i="15"/>
  <c r="D12" i="15"/>
  <c r="M13" i="23"/>
  <c r="L13" i="15"/>
  <c r="M13" i="15" s="1"/>
  <c r="J13" i="15"/>
  <c r="K13" i="15"/>
  <c r="I13" i="15"/>
  <c r="H13" i="15"/>
  <c r="G11" i="23"/>
  <c r="G12" i="23" s="1"/>
  <c r="F11" i="23"/>
  <c r="F12" i="23" s="1"/>
  <c r="E11" i="23"/>
  <c r="E12" i="23" s="1"/>
  <c r="D11" i="23"/>
  <c r="C11" i="23"/>
  <c r="G11" i="15"/>
  <c r="D11" i="15"/>
  <c r="E11" i="15"/>
  <c r="F11" i="15"/>
  <c r="C11" i="15"/>
  <c r="D30" i="15"/>
  <c r="G59" i="22"/>
  <c r="F59" i="22"/>
  <c r="E59" i="22"/>
  <c r="D59" i="22"/>
  <c r="C59" i="22"/>
  <c r="C58" i="22"/>
  <c r="G49" i="22"/>
  <c r="F49" i="22"/>
  <c r="E49" i="22"/>
  <c r="D49" i="22"/>
  <c r="C49" i="22"/>
  <c r="G48" i="22"/>
  <c r="F48" i="22"/>
  <c r="E48" i="22"/>
  <c r="D48" i="22"/>
  <c r="C48" i="22"/>
  <c r="G47" i="22"/>
  <c r="F47" i="22"/>
  <c r="E47" i="22"/>
  <c r="D47" i="22"/>
  <c r="C47" i="22"/>
  <c r="G46" i="22"/>
  <c r="F46" i="22"/>
  <c r="E46" i="22"/>
  <c r="D46" i="22"/>
  <c r="C46" i="22"/>
  <c r="M41" i="22"/>
  <c r="L41" i="22"/>
  <c r="K41" i="22"/>
  <c r="J41" i="22"/>
  <c r="I41" i="22"/>
  <c r="H41" i="22"/>
  <c r="G41" i="22"/>
  <c r="F41" i="22"/>
  <c r="E41" i="22"/>
  <c r="D41" i="22"/>
  <c r="C41" i="22"/>
  <c r="G40" i="22"/>
  <c r="F40" i="22"/>
  <c r="E40" i="22"/>
  <c r="D40" i="22"/>
  <c r="C40" i="22"/>
  <c r="G35" i="22"/>
  <c r="G57" i="22" s="1"/>
  <c r="F35" i="22"/>
  <c r="F57" i="22" s="1"/>
  <c r="E35" i="22"/>
  <c r="E57" i="22" s="1"/>
  <c r="D35" i="22"/>
  <c r="C35" i="22"/>
  <c r="C57" i="22" s="1"/>
  <c r="G30" i="22"/>
  <c r="F30" i="22"/>
  <c r="E30" i="22"/>
  <c r="D30" i="22"/>
  <c r="C30" i="22"/>
  <c r="G28" i="22"/>
  <c r="F28" i="22"/>
  <c r="E28" i="22"/>
  <c r="D28" i="22"/>
  <c r="C28" i="22"/>
  <c r="G26" i="22"/>
  <c r="F26" i="22"/>
  <c r="E26" i="22"/>
  <c r="D26" i="22"/>
  <c r="C26" i="22"/>
  <c r="G24" i="22"/>
  <c r="F24" i="22"/>
  <c r="E24" i="22"/>
  <c r="D24" i="22"/>
  <c r="C24" i="22"/>
  <c r="G19" i="22"/>
  <c r="F19" i="22"/>
  <c r="E19" i="22"/>
  <c r="D19" i="22"/>
  <c r="C19" i="22"/>
  <c r="M16" i="22"/>
  <c r="L16" i="22"/>
  <c r="K16" i="22"/>
  <c r="J16" i="22"/>
  <c r="I16" i="22"/>
  <c r="H16" i="22"/>
  <c r="H15" i="22" s="1"/>
  <c r="G15" i="22"/>
  <c r="F15" i="22"/>
  <c r="E15" i="22"/>
  <c r="D15" i="22"/>
  <c r="C15" i="22"/>
  <c r="I10" i="22"/>
  <c r="H10" i="22"/>
  <c r="G9" i="22"/>
  <c r="F9" i="22"/>
  <c r="E9" i="22"/>
  <c r="D9" i="22"/>
  <c r="C9" i="22"/>
  <c r="G59" i="23"/>
  <c r="F59" i="23"/>
  <c r="E59" i="23"/>
  <c r="D59" i="23"/>
  <c r="C59" i="23"/>
  <c r="C58" i="23"/>
  <c r="G49" i="23"/>
  <c r="F49" i="23"/>
  <c r="E49" i="23"/>
  <c r="D49" i="23"/>
  <c r="C49" i="23"/>
  <c r="G48" i="23"/>
  <c r="F48" i="23"/>
  <c r="E48" i="23"/>
  <c r="D48" i="23"/>
  <c r="C48" i="23"/>
  <c r="G47" i="23"/>
  <c r="F47" i="23"/>
  <c r="E47" i="23"/>
  <c r="D47" i="23"/>
  <c r="C47" i="23"/>
  <c r="G46" i="23"/>
  <c r="F46" i="23"/>
  <c r="E46" i="23"/>
  <c r="D46" i="23"/>
  <c r="C46" i="23"/>
  <c r="M41" i="23"/>
  <c r="L41" i="23"/>
  <c r="K41" i="23"/>
  <c r="J41" i="23"/>
  <c r="I41" i="23"/>
  <c r="H41" i="23"/>
  <c r="G41" i="23"/>
  <c r="F41" i="23"/>
  <c r="E41" i="23"/>
  <c r="D41" i="23"/>
  <c r="C41" i="23"/>
  <c r="G40" i="23"/>
  <c r="H40" i="23" s="1"/>
  <c r="I40" i="23" s="1"/>
  <c r="J40" i="23" s="1"/>
  <c r="K40" i="23" s="1"/>
  <c r="L40" i="23" s="1"/>
  <c r="M40" i="23" s="1"/>
  <c r="F40" i="23"/>
  <c r="E40" i="23"/>
  <c r="D40" i="23"/>
  <c r="C40" i="23"/>
  <c r="G35" i="23"/>
  <c r="G57" i="23" s="1"/>
  <c r="F35" i="23"/>
  <c r="F57" i="23" s="1"/>
  <c r="E35" i="23"/>
  <c r="E57" i="23" s="1"/>
  <c r="D35" i="23"/>
  <c r="C35" i="23"/>
  <c r="C57" i="23" s="1"/>
  <c r="G30" i="23"/>
  <c r="F30" i="23"/>
  <c r="E30" i="23"/>
  <c r="D30" i="23"/>
  <c r="C30" i="23"/>
  <c r="G28" i="23"/>
  <c r="F28" i="23"/>
  <c r="E28" i="23"/>
  <c r="D28" i="23"/>
  <c r="C28" i="23"/>
  <c r="G26" i="23"/>
  <c r="F26" i="23"/>
  <c r="E26" i="23"/>
  <c r="D26" i="23"/>
  <c r="C26" i="23"/>
  <c r="G24" i="23"/>
  <c r="F24" i="23"/>
  <c r="E24" i="23"/>
  <c r="D24" i="23"/>
  <c r="C24" i="23"/>
  <c r="G19" i="23"/>
  <c r="F19" i="23"/>
  <c r="E19" i="23"/>
  <c r="D19" i="23"/>
  <c r="C19" i="23"/>
  <c r="M16" i="23"/>
  <c r="L16" i="23"/>
  <c r="K16" i="23"/>
  <c r="J16" i="23"/>
  <c r="I16" i="23"/>
  <c r="H16" i="23"/>
  <c r="G15" i="23"/>
  <c r="F15" i="23"/>
  <c r="E15" i="23"/>
  <c r="D15" i="23"/>
  <c r="C15" i="23"/>
  <c r="I10" i="23"/>
  <c r="H10" i="23"/>
  <c r="G9" i="23"/>
  <c r="F9" i="23"/>
  <c r="E9" i="23"/>
  <c r="D9" i="23"/>
  <c r="D10" i="23" s="1"/>
  <c r="C9" i="23"/>
  <c r="M14" i="22" l="1"/>
  <c r="K14" i="23"/>
  <c r="J14" i="15"/>
  <c r="K14" i="15" s="1"/>
  <c r="C51" i="22"/>
  <c r="G12" i="22"/>
  <c r="E51" i="22"/>
  <c r="D10" i="22"/>
  <c r="E17" i="22"/>
  <c r="E31" i="22" s="1"/>
  <c r="E12" i="22"/>
  <c r="F51" i="23"/>
  <c r="E17" i="23"/>
  <c r="M13" i="22"/>
  <c r="H11" i="22"/>
  <c r="D17" i="22"/>
  <c r="D21" i="22" s="1"/>
  <c r="F51" i="22"/>
  <c r="F53" i="22" s="1"/>
  <c r="F58" i="22" s="1"/>
  <c r="F10" i="22"/>
  <c r="E10" i="22"/>
  <c r="G51" i="22"/>
  <c r="G53" i="22" s="1"/>
  <c r="G58" i="22" s="1"/>
  <c r="D27" i="22"/>
  <c r="C17" i="22"/>
  <c r="C21" i="22" s="1"/>
  <c r="I15" i="22"/>
  <c r="J15" i="22" s="1"/>
  <c r="K15" i="22" s="1"/>
  <c r="L15" i="22" s="1"/>
  <c r="M15" i="22" s="1"/>
  <c r="D29" i="22"/>
  <c r="D51" i="22"/>
  <c r="D52" i="22" s="1"/>
  <c r="H11" i="23"/>
  <c r="D51" i="23"/>
  <c r="I11" i="23"/>
  <c r="I17" i="23" s="1"/>
  <c r="F10" i="23"/>
  <c r="C17" i="23"/>
  <c r="C21" i="23" s="1"/>
  <c r="E51" i="23"/>
  <c r="E52" i="23" s="1"/>
  <c r="G10" i="23"/>
  <c r="G51" i="23"/>
  <c r="H15" i="23"/>
  <c r="I15" i="23" s="1"/>
  <c r="J15" i="23" s="1"/>
  <c r="K15" i="23" s="1"/>
  <c r="L15" i="23" s="1"/>
  <c r="M15" i="23" s="1"/>
  <c r="C51" i="23"/>
  <c r="D53" i="23" s="1"/>
  <c r="D58" i="23" s="1"/>
  <c r="D17" i="23"/>
  <c r="D31" i="23" s="1"/>
  <c r="E10" i="23"/>
  <c r="F17" i="23"/>
  <c r="F18" i="23" s="1"/>
  <c r="H11" i="15"/>
  <c r="H17" i="15" s="1"/>
  <c r="I11" i="15"/>
  <c r="I17" i="15" s="1"/>
  <c r="D22" i="22"/>
  <c r="D32" i="22"/>
  <c r="G27" i="22"/>
  <c r="D53" i="22"/>
  <c r="D58" i="22" s="1"/>
  <c r="E18" i="22"/>
  <c r="E20" i="22"/>
  <c r="E27" i="22"/>
  <c r="E21" i="22"/>
  <c r="E36" i="22"/>
  <c r="E29" i="22"/>
  <c r="D25" i="22"/>
  <c r="G10" i="22"/>
  <c r="G17" i="22"/>
  <c r="G52" i="22" s="1"/>
  <c r="H9" i="22"/>
  <c r="D20" i="22"/>
  <c r="E25" i="22"/>
  <c r="E52" i="22"/>
  <c r="D57" i="22"/>
  <c r="F17" i="22"/>
  <c r="F36" i="22" s="1"/>
  <c r="H59" i="22"/>
  <c r="I59" i="22" s="1"/>
  <c r="E53" i="22"/>
  <c r="E58" i="22" s="1"/>
  <c r="C27" i="23"/>
  <c r="C31" i="23"/>
  <c r="G17" i="23"/>
  <c r="E27" i="23"/>
  <c r="H59" i="23"/>
  <c r="F29" i="23"/>
  <c r="E20" i="23"/>
  <c r="F21" i="23"/>
  <c r="E53" i="23"/>
  <c r="E58" i="23" s="1"/>
  <c r="E29" i="23"/>
  <c r="E36" i="23"/>
  <c r="H9" i="23"/>
  <c r="E21" i="23"/>
  <c r="F36" i="23"/>
  <c r="E25" i="23"/>
  <c r="E31" i="23"/>
  <c r="D57" i="23"/>
  <c r="J10" i="23"/>
  <c r="K8" i="14"/>
  <c r="L8" i="14"/>
  <c r="M8" i="14"/>
  <c r="N8" i="14"/>
  <c r="C71" i="23"/>
  <c r="C70" i="23"/>
  <c r="C68" i="23"/>
  <c r="C67" i="23"/>
  <c r="C71" i="22"/>
  <c r="C70" i="22"/>
  <c r="C68" i="22"/>
  <c r="C67" i="22"/>
  <c r="L14" i="23" l="1"/>
  <c r="M14" i="23" s="1"/>
  <c r="M11" i="23"/>
  <c r="M17" i="23" s="1"/>
  <c r="H12" i="22"/>
  <c r="H17" i="22"/>
  <c r="H12" i="23"/>
  <c r="H17" i="23"/>
  <c r="J11" i="15"/>
  <c r="J17" i="15" s="1"/>
  <c r="M14" i="15"/>
  <c r="J11" i="23"/>
  <c r="J17" i="23" s="1"/>
  <c r="L11" i="23"/>
  <c r="K11" i="23"/>
  <c r="C29" i="22"/>
  <c r="C36" i="22"/>
  <c r="C52" i="22"/>
  <c r="P29" i="22"/>
  <c r="D36" i="22"/>
  <c r="D31" i="22"/>
  <c r="C20" i="23"/>
  <c r="C29" i="23"/>
  <c r="C52" i="23"/>
  <c r="J59" i="22"/>
  <c r="K59" i="22"/>
  <c r="C27" i="22"/>
  <c r="C25" i="22"/>
  <c r="C31" i="22"/>
  <c r="I11" i="22"/>
  <c r="D18" i="22"/>
  <c r="C20" i="22"/>
  <c r="F53" i="23"/>
  <c r="F58" i="23" s="1"/>
  <c r="S10" i="23"/>
  <c r="T10" i="23" s="1"/>
  <c r="U10" i="23" s="1"/>
  <c r="C36" i="23"/>
  <c r="G52" i="23"/>
  <c r="I12" i="23"/>
  <c r="D21" i="23"/>
  <c r="D22" i="23" s="1"/>
  <c r="C25" i="23"/>
  <c r="F25" i="23"/>
  <c r="H12" i="15"/>
  <c r="I12" i="15"/>
  <c r="G53" i="23"/>
  <c r="G58" i="23" s="1"/>
  <c r="F27" i="23"/>
  <c r="D36" i="23"/>
  <c r="D20" i="23"/>
  <c r="D52" i="23"/>
  <c r="F31" i="23"/>
  <c r="F20" i="23"/>
  <c r="D25" i="23"/>
  <c r="F52" i="23"/>
  <c r="D27" i="23"/>
  <c r="E18" i="23"/>
  <c r="D29" i="23"/>
  <c r="D18" i="23"/>
  <c r="K11" i="15"/>
  <c r="K17" i="15" s="1"/>
  <c r="J10" i="22"/>
  <c r="S10" i="22" s="1"/>
  <c r="T10" i="22" s="1"/>
  <c r="U10" i="22" s="1"/>
  <c r="F18" i="22"/>
  <c r="F21" i="22"/>
  <c r="F31" i="22"/>
  <c r="E32" i="22"/>
  <c r="E22" i="22"/>
  <c r="C22" i="22"/>
  <c r="C32" i="22"/>
  <c r="I9" i="22"/>
  <c r="F20" i="22"/>
  <c r="F52" i="22"/>
  <c r="P52" i="22" s="1"/>
  <c r="F29" i="22"/>
  <c r="G36" i="22"/>
  <c r="G21" i="22"/>
  <c r="G29" i="22"/>
  <c r="G25" i="22"/>
  <c r="P25" i="22" s="1"/>
  <c r="Q25" i="22" s="1"/>
  <c r="R25" i="22" s="1"/>
  <c r="S25" i="22" s="1"/>
  <c r="T25" i="22" s="1"/>
  <c r="U25" i="22" s="1"/>
  <c r="G31" i="22"/>
  <c r="G18" i="22"/>
  <c r="G20" i="22"/>
  <c r="L59" i="22"/>
  <c r="M59" i="22" s="1"/>
  <c r="F27" i="22"/>
  <c r="P27" i="22" s="1"/>
  <c r="D37" i="22"/>
  <c r="D33" i="22"/>
  <c r="F25" i="22"/>
  <c r="I59" i="23"/>
  <c r="J59" i="23" s="1"/>
  <c r="C22" i="23"/>
  <c r="C32" i="23"/>
  <c r="E22" i="23"/>
  <c r="E32" i="23"/>
  <c r="I9" i="23"/>
  <c r="F32" i="23"/>
  <c r="F22" i="23"/>
  <c r="G20" i="23"/>
  <c r="G31" i="23"/>
  <c r="G27" i="23"/>
  <c r="G21" i="23"/>
  <c r="G36" i="23"/>
  <c r="G29" i="23"/>
  <c r="G25" i="23"/>
  <c r="P25" i="23" s="1"/>
  <c r="Q25" i="23" s="1"/>
  <c r="R25" i="23" s="1"/>
  <c r="S25" i="23" s="1"/>
  <c r="T25" i="23" s="1"/>
  <c r="U25" i="23" s="1"/>
  <c r="G18" i="23"/>
  <c r="H25" i="22"/>
  <c r="N14" i="23" l="1"/>
  <c r="J12" i="15"/>
  <c r="I12" i="22"/>
  <c r="I17" i="22"/>
  <c r="M12" i="23"/>
  <c r="L17" i="23"/>
  <c r="J12" i="23"/>
  <c r="K12" i="23"/>
  <c r="K17" i="23"/>
  <c r="L12" i="23"/>
  <c r="P31" i="22"/>
  <c r="P36" i="22"/>
  <c r="H27" i="22"/>
  <c r="Q27" i="22" s="1"/>
  <c r="I27" i="22" s="1"/>
  <c r="H25" i="23"/>
  <c r="P36" i="23"/>
  <c r="K59" i="23"/>
  <c r="P29" i="23"/>
  <c r="P31" i="23"/>
  <c r="H31" i="23" s="1"/>
  <c r="J11" i="22"/>
  <c r="P52" i="23"/>
  <c r="D32" i="23"/>
  <c r="D37" i="23" s="1"/>
  <c r="K12" i="15"/>
  <c r="P27" i="23"/>
  <c r="M11" i="15"/>
  <c r="M17" i="15" s="1"/>
  <c r="L11" i="15"/>
  <c r="K10" i="22"/>
  <c r="H24" i="23"/>
  <c r="J9" i="22"/>
  <c r="C37" i="22"/>
  <c r="C33" i="22"/>
  <c r="F32" i="22"/>
  <c r="F22" i="22"/>
  <c r="H24" i="22"/>
  <c r="H18" i="22"/>
  <c r="E37" i="22"/>
  <c r="E33" i="22"/>
  <c r="G32" i="22"/>
  <c r="G22" i="22"/>
  <c r="P22" i="22" s="1"/>
  <c r="D42" i="22"/>
  <c r="D43" i="22" s="1"/>
  <c r="D56" i="22" s="1"/>
  <c r="D60" i="22" s="1"/>
  <c r="D38" i="22"/>
  <c r="C33" i="23"/>
  <c r="C37" i="23"/>
  <c r="G32" i="23"/>
  <c r="G22" i="23"/>
  <c r="P22" i="23" s="1"/>
  <c r="F37" i="23"/>
  <c r="F33" i="23"/>
  <c r="J9" i="23"/>
  <c r="H18" i="23"/>
  <c r="L59" i="23"/>
  <c r="M59" i="23" s="1"/>
  <c r="E37" i="23"/>
  <c r="E33" i="23"/>
  <c r="H29" i="22"/>
  <c r="Q29" i="22" s="1"/>
  <c r="H27" i="23"/>
  <c r="K10" i="23"/>
  <c r="H52" i="22"/>
  <c r="J12" i="22" l="1"/>
  <c r="J17" i="22"/>
  <c r="L12" i="15"/>
  <c r="L17" i="15"/>
  <c r="H26" i="22"/>
  <c r="Q36" i="22"/>
  <c r="R36" i="22" s="1"/>
  <c r="H36" i="22"/>
  <c r="H35" i="22" s="1"/>
  <c r="H57" i="22" s="1"/>
  <c r="Q31" i="23"/>
  <c r="Q36" i="23"/>
  <c r="R36" i="23" s="1"/>
  <c r="H36" i="23"/>
  <c r="H35" i="23" s="1"/>
  <c r="H57" i="23" s="1"/>
  <c r="D33" i="23"/>
  <c r="R27" i="22"/>
  <c r="K11" i="22"/>
  <c r="M12" i="15"/>
  <c r="I26" i="22"/>
  <c r="H51" i="22"/>
  <c r="H53" i="22" s="1"/>
  <c r="H58" i="22" s="1"/>
  <c r="Q52" i="22"/>
  <c r="I52" i="22" s="1"/>
  <c r="H28" i="22"/>
  <c r="I29" i="22"/>
  <c r="R29" i="22" s="1"/>
  <c r="H26" i="23"/>
  <c r="Q27" i="23"/>
  <c r="I27" i="23" s="1"/>
  <c r="H30" i="23"/>
  <c r="I31" i="23"/>
  <c r="R31" i="23" s="1"/>
  <c r="E38" i="22"/>
  <c r="E42" i="22"/>
  <c r="E43" i="22" s="1"/>
  <c r="E56" i="22" s="1"/>
  <c r="E60" i="22" s="1"/>
  <c r="F33" i="22"/>
  <c r="F37" i="22"/>
  <c r="C42" i="22"/>
  <c r="C43" i="22" s="1"/>
  <c r="C56" i="22" s="1"/>
  <c r="C38" i="22"/>
  <c r="K9" i="22"/>
  <c r="G33" i="22"/>
  <c r="G37" i="22"/>
  <c r="I18" i="22"/>
  <c r="G33" i="23"/>
  <c r="G37" i="23"/>
  <c r="K9" i="23"/>
  <c r="I18" i="23"/>
  <c r="E38" i="23"/>
  <c r="E42" i="23"/>
  <c r="E43" i="23" s="1"/>
  <c r="E56" i="23" s="1"/>
  <c r="E60" i="23" s="1"/>
  <c r="C42" i="23"/>
  <c r="C43" i="23" s="1"/>
  <c r="C56" i="23" s="1"/>
  <c r="C38" i="23"/>
  <c r="D42" i="23"/>
  <c r="D43" i="23" s="1"/>
  <c r="D56" i="23" s="1"/>
  <c r="D60" i="23" s="1"/>
  <c r="D38" i="23"/>
  <c r="F38" i="23"/>
  <c r="F42" i="23"/>
  <c r="F43" i="23" s="1"/>
  <c r="F56" i="23" s="1"/>
  <c r="F60" i="23" s="1"/>
  <c r="I25" i="22"/>
  <c r="I36" i="23"/>
  <c r="H52" i="23"/>
  <c r="L10" i="23"/>
  <c r="H22" i="23"/>
  <c r="H29" i="23"/>
  <c r="Q29" i="23" s="1"/>
  <c r="H31" i="22"/>
  <c r="H22" i="22"/>
  <c r="K12" i="22" l="1"/>
  <c r="K17" i="22"/>
  <c r="Q22" i="22"/>
  <c r="R22" i="22" s="1"/>
  <c r="M11" i="22"/>
  <c r="M17" i="22" s="1"/>
  <c r="L11" i="22"/>
  <c r="Q22" i="23"/>
  <c r="I22" i="23" s="1"/>
  <c r="I28" i="22"/>
  <c r="J29" i="22"/>
  <c r="S29" i="22" s="1"/>
  <c r="H21" i="22"/>
  <c r="I51" i="22"/>
  <c r="I53" i="22" s="1"/>
  <c r="I58" i="22" s="1"/>
  <c r="H30" i="22"/>
  <c r="Q31" i="22"/>
  <c r="I31" i="22" s="1"/>
  <c r="I30" i="22" s="1"/>
  <c r="I24" i="22"/>
  <c r="R52" i="22"/>
  <c r="J52" i="22" s="1"/>
  <c r="I30" i="23"/>
  <c r="J31" i="23"/>
  <c r="I35" i="23"/>
  <c r="I57" i="23" s="1"/>
  <c r="I26" i="23"/>
  <c r="H21" i="23"/>
  <c r="H19" i="23" s="1"/>
  <c r="H20" i="23" s="1"/>
  <c r="H28" i="23"/>
  <c r="H51" i="23"/>
  <c r="H53" i="23" s="1"/>
  <c r="H58" i="23" s="1"/>
  <c r="Q52" i="23"/>
  <c r="I52" i="23" s="1"/>
  <c r="R27" i="23"/>
  <c r="F38" i="22"/>
  <c r="F42" i="22"/>
  <c r="F43" i="22" s="1"/>
  <c r="F56" i="22" s="1"/>
  <c r="F60" i="22" s="1"/>
  <c r="G42" i="22"/>
  <c r="G43" i="22"/>
  <c r="G56" i="22" s="1"/>
  <c r="G60" i="22" s="1"/>
  <c r="G38" i="22"/>
  <c r="J18" i="22"/>
  <c r="L9" i="23"/>
  <c r="J18" i="23"/>
  <c r="G38" i="23"/>
  <c r="G42" i="23"/>
  <c r="G43" i="23" s="1"/>
  <c r="G56" i="23" s="1"/>
  <c r="G60" i="23" s="1"/>
  <c r="I29" i="23"/>
  <c r="J25" i="22"/>
  <c r="J24" i="22" s="1"/>
  <c r="I25" i="23"/>
  <c r="J36" i="23"/>
  <c r="J35" i="23" s="1"/>
  <c r="J57" i="23" s="1"/>
  <c r="I36" i="22"/>
  <c r="M10" i="23"/>
  <c r="J27" i="23"/>
  <c r="J27" i="22"/>
  <c r="K25" i="22"/>
  <c r="L10" i="22"/>
  <c r="L9" i="22" s="1"/>
  <c r="L12" i="22" l="1"/>
  <c r="L17" i="22"/>
  <c r="S27" i="22"/>
  <c r="K27" i="22" s="1"/>
  <c r="S31" i="23"/>
  <c r="R29" i="23"/>
  <c r="J29" i="23" s="1"/>
  <c r="S29" i="23" s="1"/>
  <c r="S36" i="23"/>
  <c r="K36" i="23" s="1"/>
  <c r="T36" i="23" s="1"/>
  <c r="M12" i="22"/>
  <c r="I21" i="23"/>
  <c r="I19" i="23" s="1"/>
  <c r="I20" i="23" s="1"/>
  <c r="R22" i="23"/>
  <c r="J22" i="23" s="1"/>
  <c r="H32" i="22"/>
  <c r="H33" i="22" s="1"/>
  <c r="H19" i="22"/>
  <c r="H20" i="22" s="1"/>
  <c r="K24" i="22"/>
  <c r="J28" i="22"/>
  <c r="K29" i="22"/>
  <c r="L25" i="22"/>
  <c r="R31" i="22"/>
  <c r="J31" i="22" s="1"/>
  <c r="J30" i="22" s="1"/>
  <c r="J51" i="22"/>
  <c r="J53" i="22" s="1"/>
  <c r="J58" i="22" s="1"/>
  <c r="I35" i="22"/>
  <c r="I57" i="22" s="1"/>
  <c r="J26" i="22"/>
  <c r="S52" i="22"/>
  <c r="K52" i="22" s="1"/>
  <c r="J26" i="23"/>
  <c r="S27" i="23"/>
  <c r="K27" i="23" s="1"/>
  <c r="K26" i="23" s="1"/>
  <c r="I51" i="23"/>
  <c r="I53" i="23" s="1"/>
  <c r="I58" i="23" s="1"/>
  <c r="I24" i="23"/>
  <c r="I28" i="23"/>
  <c r="H32" i="23"/>
  <c r="H33" i="23" s="1"/>
  <c r="R52" i="23"/>
  <c r="J30" i="23"/>
  <c r="K31" i="23"/>
  <c r="T31" i="23" s="1"/>
  <c r="K18" i="22"/>
  <c r="K18" i="23"/>
  <c r="M9" i="23"/>
  <c r="I22" i="22"/>
  <c r="J25" i="23"/>
  <c r="J24" i="23" s="1"/>
  <c r="J36" i="22"/>
  <c r="J35" i="22" s="1"/>
  <c r="J57" i="22" s="1"/>
  <c r="M10" i="22"/>
  <c r="M9" i="22" s="1"/>
  <c r="T27" i="22" l="1"/>
  <c r="L27" i="22" s="1"/>
  <c r="L26" i="22" s="1"/>
  <c r="K35" i="23"/>
  <c r="K57" i="23" s="1"/>
  <c r="S36" i="22"/>
  <c r="K36" i="22" s="1"/>
  <c r="T36" i="22" s="1"/>
  <c r="T29" i="22"/>
  <c r="K28" i="22"/>
  <c r="L29" i="22"/>
  <c r="U29" i="22" s="1"/>
  <c r="J22" i="22"/>
  <c r="J21" i="23"/>
  <c r="J19" i="23" s="1"/>
  <c r="J20" i="23" s="1"/>
  <c r="S22" i="23"/>
  <c r="K22" i="23" s="1"/>
  <c r="I32" i="23"/>
  <c r="I33" i="23" s="1"/>
  <c r="H37" i="22"/>
  <c r="H42" i="22" s="1"/>
  <c r="H43" i="22" s="1"/>
  <c r="H56" i="22" s="1"/>
  <c r="H60" i="22" s="1"/>
  <c r="K26" i="22"/>
  <c r="L24" i="22"/>
  <c r="M25" i="22"/>
  <c r="M24" i="22" s="1"/>
  <c r="S31" i="22"/>
  <c r="K31" i="22" s="1"/>
  <c r="K30" i="22" s="1"/>
  <c r="I21" i="22"/>
  <c r="I32" i="22" s="1"/>
  <c r="K51" i="22"/>
  <c r="K53" i="22" s="1"/>
  <c r="K58" i="22" s="1"/>
  <c r="T52" i="22"/>
  <c r="L52" i="22" s="1"/>
  <c r="L51" i="22" s="1"/>
  <c r="J28" i="23"/>
  <c r="K29" i="23"/>
  <c r="T29" i="23" s="1"/>
  <c r="K30" i="23"/>
  <c r="L31" i="23"/>
  <c r="L30" i="23" s="1"/>
  <c r="T27" i="23"/>
  <c r="L27" i="23" s="1"/>
  <c r="L36" i="23"/>
  <c r="U36" i="23" s="1"/>
  <c r="H37" i="23"/>
  <c r="H38" i="23" s="1"/>
  <c r="M18" i="22"/>
  <c r="L18" i="22"/>
  <c r="M18" i="23"/>
  <c r="L18" i="23"/>
  <c r="J52" i="23"/>
  <c r="J32" i="23" l="1"/>
  <c r="J33" i="23" s="1"/>
  <c r="U27" i="22"/>
  <c r="M27" i="22" s="1"/>
  <c r="M26" i="22" s="1"/>
  <c r="U31" i="23"/>
  <c r="L35" i="23"/>
  <c r="L57" i="23" s="1"/>
  <c r="M36" i="23"/>
  <c r="M35" i="23" s="1"/>
  <c r="M57" i="23" s="1"/>
  <c r="L28" i="22"/>
  <c r="H38" i="22"/>
  <c r="J21" i="22"/>
  <c r="J32" i="22" s="1"/>
  <c r="S22" i="22"/>
  <c r="K22" i="22" s="1"/>
  <c r="T22" i="22" s="1"/>
  <c r="T22" i="23"/>
  <c r="L22" i="23" s="1"/>
  <c r="L21" i="23" s="1"/>
  <c r="I37" i="23"/>
  <c r="I38" i="23" s="1"/>
  <c r="K28" i="23"/>
  <c r="L29" i="23"/>
  <c r="L26" i="23"/>
  <c r="U27" i="23"/>
  <c r="M27" i="23" s="1"/>
  <c r="M26" i="23" s="1"/>
  <c r="L53" i="22"/>
  <c r="L58" i="22" s="1"/>
  <c r="K35" i="22"/>
  <c r="K57" i="22" s="1"/>
  <c r="U52" i="22"/>
  <c r="M52" i="22" s="1"/>
  <c r="M51" i="22" s="1"/>
  <c r="M53" i="22" s="1"/>
  <c r="M58" i="22" s="1"/>
  <c r="M29" i="22"/>
  <c r="M28" i="22" s="1"/>
  <c r="I19" i="22"/>
  <c r="I20" i="22" s="1"/>
  <c r="T31" i="22"/>
  <c r="L31" i="22" s="1"/>
  <c r="M31" i="23"/>
  <c r="M30" i="23" s="1"/>
  <c r="H42" i="23"/>
  <c r="H43" i="23" s="1"/>
  <c r="H56" i="23" s="1"/>
  <c r="H60" i="23" s="1"/>
  <c r="K21" i="23"/>
  <c r="K19" i="23" s="1"/>
  <c r="K20" i="23" s="1"/>
  <c r="J51" i="23"/>
  <c r="J53" i="23" s="1"/>
  <c r="J58" i="23" s="1"/>
  <c r="S52" i="23"/>
  <c r="K52" i="23" s="1"/>
  <c r="I37" i="22"/>
  <c r="I33" i="22"/>
  <c r="J37" i="23"/>
  <c r="K25" i="23"/>
  <c r="L28" i="23" l="1"/>
  <c r="U29" i="23"/>
  <c r="I42" i="23"/>
  <c r="I43" i="23" s="1"/>
  <c r="I56" i="23" s="1"/>
  <c r="I60" i="23" s="1"/>
  <c r="J19" i="22"/>
  <c r="J20" i="22" s="1"/>
  <c r="M29" i="23"/>
  <c r="M28" i="23" s="1"/>
  <c r="U22" i="23"/>
  <c r="M22" i="23" s="1"/>
  <c r="M21" i="23" s="1"/>
  <c r="L30" i="22"/>
  <c r="U31" i="22"/>
  <c r="M31" i="22" s="1"/>
  <c r="M30" i="22" s="1"/>
  <c r="K21" i="22"/>
  <c r="K32" i="22" s="1"/>
  <c r="L22" i="22"/>
  <c r="U22" i="22" s="1"/>
  <c r="K51" i="23"/>
  <c r="K53" i="23" s="1"/>
  <c r="K58" i="23" s="1"/>
  <c r="T52" i="23"/>
  <c r="L52" i="23" s="1"/>
  <c r="L51" i="23" s="1"/>
  <c r="K24" i="23"/>
  <c r="K32" i="23" s="1"/>
  <c r="K37" i="23" s="1"/>
  <c r="L25" i="23"/>
  <c r="J37" i="22"/>
  <c r="J33" i="22"/>
  <c r="I42" i="22"/>
  <c r="I43" i="22" s="1"/>
  <c r="I56" i="22" s="1"/>
  <c r="I60" i="22" s="1"/>
  <c r="I38" i="22"/>
  <c r="L19" i="23"/>
  <c r="L20" i="23" s="1"/>
  <c r="J42" i="23"/>
  <c r="J43" i="23" s="1"/>
  <c r="J56" i="23" s="1"/>
  <c r="J60" i="23" s="1"/>
  <c r="J38" i="23"/>
  <c r="L36" i="22"/>
  <c r="U36" i="22" s="1"/>
  <c r="L53" i="23" l="1"/>
  <c r="L58" i="23" s="1"/>
  <c r="L21" i="22"/>
  <c r="L32" i="22" s="1"/>
  <c r="M22" i="22"/>
  <c r="M21" i="22" s="1"/>
  <c r="L35" i="22"/>
  <c r="L57" i="22" s="1"/>
  <c r="M36" i="22"/>
  <c r="M35" i="22" s="1"/>
  <c r="M57" i="22" s="1"/>
  <c r="K19" i="22"/>
  <c r="K20" i="22" s="1"/>
  <c r="L24" i="23"/>
  <c r="L32" i="23" s="1"/>
  <c r="L33" i="23" s="1"/>
  <c r="M25" i="23"/>
  <c r="M24" i="23" s="1"/>
  <c r="M32" i="23" s="1"/>
  <c r="U52" i="23"/>
  <c r="M52" i="23" s="1"/>
  <c r="M51" i="23" s="1"/>
  <c r="M53" i="23" s="1"/>
  <c r="M58" i="23" s="1"/>
  <c r="K33" i="23"/>
  <c r="K37" i="22"/>
  <c r="K33" i="22"/>
  <c r="J42" i="22"/>
  <c r="J43" i="22" s="1"/>
  <c r="J56" i="22" s="1"/>
  <c r="J60" i="22" s="1"/>
  <c r="J38" i="22"/>
  <c r="M19" i="23"/>
  <c r="M20" i="23" s="1"/>
  <c r="K42" i="23"/>
  <c r="K43" i="23" s="1"/>
  <c r="K56" i="23" s="1"/>
  <c r="K60" i="23" s="1"/>
  <c r="K38" i="23"/>
  <c r="L37" i="23" l="1"/>
  <c r="L38" i="23" s="1"/>
  <c r="L19" i="22"/>
  <c r="L20" i="22" s="1"/>
  <c r="K38" i="22"/>
  <c r="K42" i="22"/>
  <c r="K43" i="22" s="1"/>
  <c r="K56" i="22" s="1"/>
  <c r="K60" i="22" s="1"/>
  <c r="M32" i="22"/>
  <c r="M19" i="22"/>
  <c r="M20" i="22" s="1"/>
  <c r="L33" i="22"/>
  <c r="L37" i="22"/>
  <c r="M33" i="23"/>
  <c r="M37" i="23"/>
  <c r="I16" i="15"/>
  <c r="J16" i="15"/>
  <c r="K16" i="15"/>
  <c r="L16" i="15"/>
  <c r="M16" i="15"/>
  <c r="H16" i="15"/>
  <c r="C68" i="15"/>
  <c r="D59" i="15"/>
  <c r="E59" i="15"/>
  <c r="F59" i="15"/>
  <c r="G59" i="15"/>
  <c r="C59" i="15"/>
  <c r="C21" i="2"/>
  <c r="D21" i="2"/>
  <c r="E21" i="2"/>
  <c r="F21" i="2"/>
  <c r="B21" i="2"/>
  <c r="E30" i="15"/>
  <c r="F30" i="15"/>
  <c r="G30" i="15"/>
  <c r="C30" i="15"/>
  <c r="D28" i="15"/>
  <c r="E28" i="15"/>
  <c r="F28" i="15"/>
  <c r="G28" i="15"/>
  <c r="C28" i="15"/>
  <c r="D26" i="15"/>
  <c r="E26" i="15"/>
  <c r="F26" i="15"/>
  <c r="G26" i="15"/>
  <c r="C26" i="15"/>
  <c r="D49" i="15"/>
  <c r="E49" i="15"/>
  <c r="F49" i="15"/>
  <c r="G49" i="15"/>
  <c r="C49" i="15"/>
  <c r="D48" i="15"/>
  <c r="E48" i="15"/>
  <c r="F48" i="15"/>
  <c r="G48" i="15"/>
  <c r="C48" i="15"/>
  <c r="D47" i="15"/>
  <c r="E47" i="15"/>
  <c r="F47" i="15"/>
  <c r="G47" i="15"/>
  <c r="C47" i="15"/>
  <c r="D46" i="15"/>
  <c r="E46" i="15"/>
  <c r="F46" i="15"/>
  <c r="G46" i="15"/>
  <c r="C46" i="15"/>
  <c r="F9" i="7"/>
  <c r="E41" i="15"/>
  <c r="D40" i="15"/>
  <c r="E40" i="15"/>
  <c r="F40" i="15"/>
  <c r="G40" i="15"/>
  <c r="C40" i="15"/>
  <c r="D35" i="15"/>
  <c r="D57" i="15" s="1"/>
  <c r="E35" i="15"/>
  <c r="E57" i="15" s="1"/>
  <c r="F35" i="15"/>
  <c r="G35" i="15"/>
  <c r="C35" i="15"/>
  <c r="C57" i="15" s="1"/>
  <c r="D24" i="15"/>
  <c r="E24" i="15"/>
  <c r="F24" i="15"/>
  <c r="G24" i="15"/>
  <c r="C24" i="15"/>
  <c r="D19" i="15"/>
  <c r="E19" i="15"/>
  <c r="F19" i="15"/>
  <c r="G19" i="15"/>
  <c r="C19" i="15"/>
  <c r="D15" i="15"/>
  <c r="E15" i="15"/>
  <c r="F15" i="15"/>
  <c r="G15" i="15"/>
  <c r="C15" i="15"/>
  <c r="D9" i="15"/>
  <c r="E9" i="15"/>
  <c r="F9" i="15"/>
  <c r="G9" i="15"/>
  <c r="C9" i="15"/>
  <c r="C58" i="15"/>
  <c r="L42" i="23" l="1"/>
  <c r="L43" i="23" s="1"/>
  <c r="L56" i="23" s="1"/>
  <c r="L60" i="23" s="1"/>
  <c r="H40" i="15"/>
  <c r="I40" i="15" s="1"/>
  <c r="J40" i="15" s="1"/>
  <c r="K40" i="15" s="1"/>
  <c r="L40" i="15" s="1"/>
  <c r="M40" i="15" s="1"/>
  <c r="H59" i="15"/>
  <c r="I59" i="15" s="1"/>
  <c r="J59" i="15" s="1"/>
  <c r="M33" i="22"/>
  <c r="M37" i="22"/>
  <c r="L38" i="22"/>
  <c r="L42" i="22"/>
  <c r="L43" i="22" s="1"/>
  <c r="L56" i="22" s="1"/>
  <c r="L60" i="22" s="1"/>
  <c r="M42" i="23"/>
  <c r="M43" i="23" s="1"/>
  <c r="M38" i="23"/>
  <c r="C71" i="15"/>
  <c r="D41" i="15"/>
  <c r="K41" i="15"/>
  <c r="J41" i="15"/>
  <c r="F41" i="15"/>
  <c r="I41" i="15"/>
  <c r="H41" i="15"/>
  <c r="C41" i="15"/>
  <c r="M41" i="15"/>
  <c r="G41" i="15"/>
  <c r="L41" i="15"/>
  <c r="H15" i="15"/>
  <c r="I15" i="15" s="1"/>
  <c r="J15" i="15" s="1"/>
  <c r="K15" i="15" s="1"/>
  <c r="L15" i="15" s="1"/>
  <c r="M15" i="15" s="1"/>
  <c r="G10" i="15"/>
  <c r="G51" i="15"/>
  <c r="F17" i="15"/>
  <c r="F20" i="15" s="1"/>
  <c r="E17" i="15"/>
  <c r="E31" i="15" s="1"/>
  <c r="C51" i="15"/>
  <c r="C17" i="15"/>
  <c r="D10" i="15"/>
  <c r="D51" i="15"/>
  <c r="E51" i="15"/>
  <c r="D17" i="15"/>
  <c r="D36" i="15" s="1"/>
  <c r="G17" i="15"/>
  <c r="G31" i="15" s="1"/>
  <c r="F57" i="15"/>
  <c r="E10" i="15"/>
  <c r="F51" i="15"/>
  <c r="G57" i="15"/>
  <c r="F10" i="15"/>
  <c r="M56" i="23" l="1"/>
  <c r="M60" i="23" s="1"/>
  <c r="M44" i="23"/>
  <c r="M45" i="23" s="1"/>
  <c r="K59" i="15"/>
  <c r="L59" i="15" s="1"/>
  <c r="M59" i="15" s="1"/>
  <c r="M42" i="22"/>
  <c r="M43" i="22" s="1"/>
  <c r="M38" i="22"/>
  <c r="H10" i="15"/>
  <c r="C29" i="15"/>
  <c r="C20" i="15"/>
  <c r="G20" i="15"/>
  <c r="E20" i="15"/>
  <c r="D20" i="15"/>
  <c r="E29" i="15"/>
  <c r="D25" i="15"/>
  <c r="D29" i="15"/>
  <c r="P29" i="15" s="1"/>
  <c r="E25" i="15"/>
  <c r="F36" i="15"/>
  <c r="F25" i="15"/>
  <c r="F29" i="15"/>
  <c r="F31" i="15"/>
  <c r="G25" i="15"/>
  <c r="P25" i="15" s="1"/>
  <c r="Q25" i="15" s="1"/>
  <c r="R25" i="15" s="1"/>
  <c r="S25" i="15" s="1"/>
  <c r="T25" i="15" s="1"/>
  <c r="U25" i="15" s="1"/>
  <c r="G29" i="15"/>
  <c r="C25" i="15"/>
  <c r="D31" i="15"/>
  <c r="C31" i="15"/>
  <c r="E36" i="15"/>
  <c r="E27" i="15"/>
  <c r="C21" i="15"/>
  <c r="C32" i="15" s="1"/>
  <c r="C27" i="15"/>
  <c r="G27" i="15"/>
  <c r="F21" i="15"/>
  <c r="F32" i="15" s="1"/>
  <c r="F27" i="15"/>
  <c r="D27" i="15"/>
  <c r="C36" i="15"/>
  <c r="E21" i="15"/>
  <c r="E32" i="15" s="1"/>
  <c r="F18" i="15"/>
  <c r="E52" i="15"/>
  <c r="D53" i="15"/>
  <c r="D58" i="15" s="1"/>
  <c r="C52" i="15"/>
  <c r="E53" i="15"/>
  <c r="E58" i="15" s="1"/>
  <c r="G52" i="15"/>
  <c r="G36" i="15"/>
  <c r="D52" i="15"/>
  <c r="D21" i="15"/>
  <c r="D32" i="15" s="1"/>
  <c r="D18" i="15"/>
  <c r="G21" i="15"/>
  <c r="G32" i="15" s="1"/>
  <c r="G18" i="15"/>
  <c r="E18" i="15"/>
  <c r="F53" i="15"/>
  <c r="F58" i="15" s="1"/>
  <c r="F52" i="15"/>
  <c r="G53" i="15"/>
  <c r="G58" i="15" s="1"/>
  <c r="M56" i="22" l="1"/>
  <c r="M60" i="22" s="1"/>
  <c r="M44" i="22"/>
  <c r="M45" i="22" s="1"/>
  <c r="H25" i="15"/>
  <c r="P52" i="15"/>
  <c r="H9" i="15"/>
  <c r="H18" i="15" s="1"/>
  <c r="I10" i="15"/>
  <c r="H27" i="15"/>
  <c r="P31" i="15"/>
  <c r="F22" i="15"/>
  <c r="F33" i="15"/>
  <c r="E22" i="15"/>
  <c r="C33" i="15"/>
  <c r="C22" i="15"/>
  <c r="G22" i="15"/>
  <c r="H36" i="15"/>
  <c r="D22" i="15"/>
  <c r="E33" i="15"/>
  <c r="E37" i="15"/>
  <c r="P22" i="15" l="1"/>
  <c r="H22" i="15" s="1"/>
  <c r="Q22" i="15" s="1"/>
  <c r="I22" i="15" s="1"/>
  <c r="R22" i="15" s="1"/>
  <c r="H24" i="15"/>
  <c r="H26" i="15"/>
  <c r="I36" i="15"/>
  <c r="H35" i="15"/>
  <c r="H57" i="15" s="1"/>
  <c r="I9" i="15"/>
  <c r="I18" i="15" s="1"/>
  <c r="H52" i="15"/>
  <c r="Q52" i="15" s="1"/>
  <c r="H29" i="15"/>
  <c r="Q29" i="15" s="1"/>
  <c r="F37" i="15"/>
  <c r="H31" i="15"/>
  <c r="I27" i="15"/>
  <c r="J10" i="15"/>
  <c r="S10" i="15" s="1"/>
  <c r="T10" i="15" s="1"/>
  <c r="U10" i="15" s="1"/>
  <c r="C37" i="15"/>
  <c r="E38" i="15"/>
  <c r="E42" i="15"/>
  <c r="D33" i="15"/>
  <c r="D37" i="15"/>
  <c r="G37" i="15"/>
  <c r="G33" i="15"/>
  <c r="R27" i="15" l="1"/>
  <c r="H30" i="15"/>
  <c r="Q31" i="15"/>
  <c r="I31" i="15" s="1"/>
  <c r="R31" i="15" s="1"/>
  <c r="F42" i="15"/>
  <c r="F43" i="15" s="1"/>
  <c r="F56" i="15" s="1"/>
  <c r="E43" i="15"/>
  <c r="E56" i="15" s="1"/>
  <c r="E60" i="15" s="1"/>
  <c r="J36" i="15"/>
  <c r="S36" i="15" s="1"/>
  <c r="H28" i="15"/>
  <c r="I52" i="15"/>
  <c r="R52" i="15" s="1"/>
  <c r="J27" i="15"/>
  <c r="S27" i="15" s="1"/>
  <c r="I26" i="15"/>
  <c r="F38" i="15"/>
  <c r="H51" i="15"/>
  <c r="H53" i="15" s="1"/>
  <c r="H58" i="15" s="1"/>
  <c r="I25" i="15"/>
  <c r="I29" i="15"/>
  <c r="J9" i="15"/>
  <c r="C42" i="15"/>
  <c r="C43" i="15" s="1"/>
  <c r="C56" i="15" s="1"/>
  <c r="C38" i="15"/>
  <c r="I35" i="15"/>
  <c r="I57" i="15" s="1"/>
  <c r="D42" i="15"/>
  <c r="D38" i="15"/>
  <c r="G38" i="15"/>
  <c r="G42" i="15"/>
  <c r="J25" i="15" l="1"/>
  <c r="H21" i="15"/>
  <c r="H32" i="15" s="1"/>
  <c r="H33" i="15" s="1"/>
  <c r="F60" i="15"/>
  <c r="D43" i="15"/>
  <c r="D56" i="15" s="1"/>
  <c r="D60" i="15" s="1"/>
  <c r="G43" i="15"/>
  <c r="G56" i="15" s="1"/>
  <c r="G60" i="15" s="1"/>
  <c r="K36" i="15"/>
  <c r="I24" i="15"/>
  <c r="J52" i="15"/>
  <c r="I51" i="15"/>
  <c r="I53" i="15" s="1"/>
  <c r="I58" i="15" s="1"/>
  <c r="I28" i="15"/>
  <c r="R29" i="15"/>
  <c r="J29" i="15" s="1"/>
  <c r="S29" i="15" s="1"/>
  <c r="I30" i="15"/>
  <c r="J31" i="15"/>
  <c r="K27" i="15"/>
  <c r="K10" i="15"/>
  <c r="T27" i="15" l="1"/>
  <c r="L27" i="15" s="1"/>
  <c r="T36" i="15"/>
  <c r="K25" i="15"/>
  <c r="H19" i="15"/>
  <c r="H20" i="15" s="1"/>
  <c r="H37" i="15"/>
  <c r="H38" i="15" s="1"/>
  <c r="L36" i="15"/>
  <c r="U36" i="15" s="1"/>
  <c r="S52" i="15"/>
  <c r="K52" i="15" s="1"/>
  <c r="I21" i="15"/>
  <c r="I32" i="15" s="1"/>
  <c r="I33" i="15" s="1"/>
  <c r="J22" i="15"/>
  <c r="S22" i="15" s="1"/>
  <c r="S31" i="15"/>
  <c r="K31" i="15" s="1"/>
  <c r="T31" i="15" s="1"/>
  <c r="K9" i="15"/>
  <c r="K29" i="15"/>
  <c r="J28" i="15"/>
  <c r="J30" i="15"/>
  <c r="J24" i="15"/>
  <c r="J26" i="15"/>
  <c r="J18" i="15"/>
  <c r="J51" i="15"/>
  <c r="J53" i="15" s="1"/>
  <c r="J58" i="15" s="1"/>
  <c r="J35" i="15"/>
  <c r="J57" i="15" s="1"/>
  <c r="U27" i="15" l="1"/>
  <c r="M27" i="15" s="1"/>
  <c r="H42" i="15"/>
  <c r="H43" i="15" s="1"/>
  <c r="H56" i="15" s="1"/>
  <c r="H60" i="15" s="1"/>
  <c r="I19" i="15"/>
  <c r="I20" i="15" s="1"/>
  <c r="M36" i="15"/>
  <c r="T52" i="15"/>
  <c r="L52" i="15" s="1"/>
  <c r="U52" i="15" s="1"/>
  <c r="J21" i="15"/>
  <c r="K22" i="15"/>
  <c r="K21" i="15" s="1"/>
  <c r="I37" i="15"/>
  <c r="T29" i="15"/>
  <c r="L29" i="15" s="1"/>
  <c r="U29" i="15" s="1"/>
  <c r="M29" i="15" s="1"/>
  <c r="L31" i="15"/>
  <c r="U31" i="15" s="1"/>
  <c r="K28" i="15"/>
  <c r="K18" i="15"/>
  <c r="K26" i="15"/>
  <c r="K51" i="15"/>
  <c r="K53" i="15" s="1"/>
  <c r="K58" i="15" s="1"/>
  <c r="K35" i="15"/>
  <c r="K57" i="15" s="1"/>
  <c r="K30" i="15"/>
  <c r="J19" i="15" l="1"/>
  <c r="J20" i="15" s="1"/>
  <c r="J32" i="15"/>
  <c r="J37" i="15" s="1"/>
  <c r="K19" i="15"/>
  <c r="K20" i="15" s="1"/>
  <c r="I38" i="15"/>
  <c r="M52" i="15"/>
  <c r="T22" i="15"/>
  <c r="L22" i="15" s="1"/>
  <c r="I42" i="15"/>
  <c r="M31" i="15"/>
  <c r="I43" i="15" l="1"/>
  <c r="J38" i="15"/>
  <c r="J33" i="15"/>
  <c r="J42" i="15"/>
  <c r="J43" i="15" s="1"/>
  <c r="J56" i="15" s="1"/>
  <c r="U22" i="15"/>
  <c r="M22" i="15" s="1"/>
  <c r="I56" i="15" l="1"/>
  <c r="I60" i="15" s="1"/>
  <c r="J60" i="15"/>
  <c r="C26" i="14"/>
  <c r="C16" i="7"/>
  <c r="F7" i="7" s="1"/>
  <c r="D12" i="1"/>
  <c r="C15" i="7"/>
  <c r="N14" i="14"/>
  <c r="N9" i="14"/>
  <c r="N10" i="14"/>
  <c r="N11" i="14"/>
  <c r="N12" i="14"/>
  <c r="M9" i="14"/>
  <c r="M10" i="14"/>
  <c r="M11" i="14"/>
  <c r="M12" i="14"/>
  <c r="L9" i="14"/>
  <c r="L10" i="14"/>
  <c r="L11" i="14"/>
  <c r="L12" i="14"/>
  <c r="K9" i="14"/>
  <c r="K10" i="14"/>
  <c r="K11" i="14"/>
  <c r="K12" i="14"/>
  <c r="C67" i="15" l="1"/>
  <c r="C70" i="15"/>
  <c r="D26" i="1"/>
  <c r="I26" i="14"/>
  <c r="L26" i="14"/>
  <c r="F26" i="14"/>
  <c r="M7" i="14" l="1"/>
  <c r="M14" i="14"/>
  <c r="B36" i="14"/>
  <c r="B35" i="14"/>
  <c r="B34" i="14"/>
  <c r="B33" i="14"/>
  <c r="N7" i="14"/>
  <c r="L7" i="14"/>
  <c r="K7" i="14"/>
  <c r="K18" i="14" l="1"/>
  <c r="K17" i="14"/>
  <c r="C23" i="14" s="1"/>
  <c r="C24" i="14" s="1"/>
  <c r="C25" i="14" s="1"/>
  <c r="L17" i="14"/>
  <c r="L18" i="14"/>
  <c r="N18" i="14"/>
  <c r="N17" i="14"/>
  <c r="L24" i="14" s="1"/>
  <c r="M17" i="14"/>
  <c r="I23" i="14" s="1"/>
  <c r="I24" i="14" s="1"/>
  <c r="I25" i="14" s="1"/>
  <c r="M18" i="14"/>
  <c r="K14" i="14"/>
  <c r="L14" i="14"/>
  <c r="L25" i="14" l="1"/>
  <c r="L27" i="14" s="1"/>
  <c r="D36" i="14" s="1"/>
  <c r="L23" i="14"/>
  <c r="F23" i="14"/>
  <c r="F24" i="14" s="1"/>
  <c r="F25" i="14" s="1"/>
  <c r="F18" i="7" l="1"/>
  <c r="C11" i="7" l="1"/>
  <c r="F8" i="7"/>
  <c r="D13" i="1"/>
  <c r="I27" i="14" l="1"/>
  <c r="D35" i="14" s="1"/>
  <c r="C27" i="14"/>
  <c r="D33" i="14" s="1"/>
  <c r="F27" i="14"/>
  <c r="D34" i="14" s="1"/>
  <c r="F15" i="7"/>
  <c r="D11" i="1"/>
  <c r="F10" i="7"/>
  <c r="I9" i="7" s="1"/>
  <c r="C17" i="7"/>
  <c r="I7" i="7" s="1"/>
  <c r="C18" i="7"/>
  <c r="I8" i="7" s="1"/>
  <c r="F19" i="7" l="1"/>
  <c r="I10" i="7" s="1"/>
  <c r="I11" i="7" s="1"/>
  <c r="D37" i="14"/>
  <c r="E21" i="1" s="1"/>
  <c r="L64" i="23" l="1"/>
  <c r="L65" i="23" s="1"/>
  <c r="K64" i="23"/>
  <c r="K65" i="23" s="1"/>
  <c r="J64" i="23"/>
  <c r="J65" i="23" s="1"/>
  <c r="I64" i="23"/>
  <c r="I65" i="23" s="1"/>
  <c r="H64" i="23"/>
  <c r="H65" i="23" s="1"/>
  <c r="M64" i="23"/>
  <c r="M65" i="23" s="1"/>
  <c r="M66" i="23" s="1"/>
  <c r="C64" i="23" s="1"/>
  <c r="L64" i="22"/>
  <c r="L65" i="22" s="1"/>
  <c r="K64" i="22"/>
  <c r="K65" i="22" s="1"/>
  <c r="J64" i="22"/>
  <c r="J65" i="22" s="1"/>
  <c r="I64" i="22"/>
  <c r="I65" i="22" s="1"/>
  <c r="H64" i="22"/>
  <c r="H65" i="22" s="1"/>
  <c r="M64" i="22"/>
  <c r="M65" i="22" s="1"/>
  <c r="M66" i="22" s="1"/>
  <c r="C64" i="22" s="1"/>
  <c r="H64" i="15"/>
  <c r="H65" i="15" s="1"/>
  <c r="L64" i="15"/>
  <c r="M64" i="15"/>
  <c r="J64" i="15"/>
  <c r="J65" i="15" s="1"/>
  <c r="K64" i="15"/>
  <c r="I64" i="15"/>
  <c r="I65" i="15" s="1"/>
  <c r="D14" i="1"/>
  <c r="C65" i="23" l="1"/>
  <c r="C66" i="23" s="1"/>
  <c r="C69" i="23" s="1"/>
  <c r="C72" i="23" s="1"/>
  <c r="C73" i="23" s="1"/>
  <c r="E18" i="1" s="1"/>
  <c r="C65" i="22"/>
  <c r="C66" i="22" s="1"/>
  <c r="C69" i="22" s="1"/>
  <c r="C72" i="22" s="1"/>
  <c r="C73" i="22" s="1"/>
  <c r="E20" i="1" s="1"/>
  <c r="L10" i="15" l="1"/>
  <c r="M10" i="15" l="1"/>
  <c r="L9" i="15"/>
  <c r="L21" i="15" s="1"/>
  <c r="L51" i="15" l="1"/>
  <c r="L53" i="15" s="1"/>
  <c r="L58" i="15" s="1"/>
  <c r="L26" i="15"/>
  <c r="L35" i="15"/>
  <c r="L57" i="15" s="1"/>
  <c r="L18" i="15"/>
  <c r="L30" i="15"/>
  <c r="L28" i="15"/>
  <c r="M9" i="15"/>
  <c r="L19" i="15"/>
  <c r="L20" i="15" s="1"/>
  <c r="M28" i="15" l="1"/>
  <c r="M26" i="15"/>
  <c r="M21" i="15"/>
  <c r="M19" i="15" s="1"/>
  <c r="M20" i="15" s="1"/>
  <c r="M35" i="15"/>
  <c r="M57" i="15" s="1"/>
  <c r="M51" i="15"/>
  <c r="M53" i="15" s="1"/>
  <c r="M58" i="15" s="1"/>
  <c r="M30" i="15"/>
  <c r="M18" i="15"/>
  <c r="L25" i="15"/>
  <c r="K24" i="15"/>
  <c r="K32" i="15" l="1"/>
  <c r="K33" i="15" s="1"/>
  <c r="M25" i="15"/>
  <c r="M24" i="15" s="1"/>
  <c r="M32" i="15" s="1"/>
  <c r="L24" i="15"/>
  <c r="K37" i="15" l="1"/>
  <c r="K42" i="15" s="1"/>
  <c r="L32" i="15"/>
  <c r="L33" i="15" s="1"/>
  <c r="M37" i="15"/>
  <c r="M33" i="15"/>
  <c r="K43" i="15" l="1"/>
  <c r="K56" i="15" s="1"/>
  <c r="K38" i="15"/>
  <c r="L37" i="15"/>
  <c r="M42" i="15"/>
  <c r="M38" i="15"/>
  <c r="K60" i="15" l="1"/>
  <c r="K65" i="15" s="1"/>
  <c r="L38" i="15"/>
  <c r="L42" i="15"/>
  <c r="L43" i="15" s="1"/>
  <c r="L56" i="15" s="1"/>
  <c r="M43" i="15"/>
  <c r="M56" i="15" l="1"/>
  <c r="M60" i="15" s="1"/>
  <c r="M65" i="15" s="1"/>
  <c r="M66" i="15" s="1"/>
  <c r="C64" i="15" s="1"/>
  <c r="M44" i="15"/>
  <c r="M45" i="15" s="1"/>
  <c r="L60" i="15"/>
  <c r="L65" i="15" s="1"/>
  <c r="C65" i="15" l="1"/>
  <c r="C66" i="15" s="1"/>
  <c r="C69" i="15" s="1"/>
  <c r="C72" i="15" s="1"/>
  <c r="C73" i="15" s="1"/>
  <c r="E19" i="1" s="1"/>
  <c r="E22" i="1" s="1"/>
  <c r="D27" i="1" s="1"/>
  <c r="D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Duke Tran</author>
  </authors>
  <commentList>
    <comment ref="A9" authorId="0" shapeId="0" xr:uid="{1FCA1D8F-CCDF-4C1F-83E8-18A74C86E5B4}">
      <text>
        <r>
          <rPr>
            <b/>
            <sz val="9"/>
            <color indexed="81"/>
            <rFont val="Tahoma"/>
            <family val="2"/>
          </rPr>
          <t>Duke Tran:</t>
        </r>
        <r>
          <rPr>
            <sz val="9"/>
            <color indexed="81"/>
            <rFont val="Tahoma"/>
            <family val="2"/>
          </rPr>
          <t xml:space="preserve">
This revenue just uses % growth and aligns with analyst estimates (2022-2024)</t>
        </r>
      </text>
    </comment>
    <comment ref="A11" authorId="0" shapeId="0" xr:uid="{C75FB8CD-FD58-487F-A170-EF637A8EDCA3}">
      <text>
        <r>
          <rPr>
            <b/>
            <sz val="9"/>
            <color indexed="81"/>
            <rFont val="Tahoma"/>
            <family val="2"/>
          </rPr>
          <t>Duke Tran:</t>
        </r>
        <r>
          <rPr>
            <sz val="9"/>
            <color indexed="81"/>
            <rFont val="Tahoma"/>
            <family val="2"/>
          </rPr>
          <t xml:space="preserve">
This one used in valuation, incorporates crude oil price and production</t>
        </r>
      </text>
    </comment>
    <comment ref="N14" authorId="0" shapeId="0" xr:uid="{FBA32547-7F05-43A5-A5AB-14AFFAF8C85B}">
      <text>
        <r>
          <rPr>
            <b/>
            <sz val="9"/>
            <color indexed="81"/>
            <rFont val="Tahoma"/>
            <family val="2"/>
          </rPr>
          <t>Duke Tran:</t>
        </r>
        <r>
          <rPr>
            <sz val="9"/>
            <color indexed="81"/>
            <rFont val="Tahoma"/>
            <family val="2"/>
          </rPr>
          <t xml:space="preserve">
Production CAGR 2022-2026</t>
        </r>
      </text>
    </comment>
    <comment ref="C32" authorId="0" shapeId="0" xr:uid="{62B9B5BF-4A47-4338-81C2-6C1C4932E882}">
      <text>
        <r>
          <rPr>
            <b/>
            <sz val="9"/>
            <color indexed="81"/>
            <rFont val="Tahoma"/>
            <family val="2"/>
          </rPr>
          <t>Duke Tran:</t>
        </r>
        <r>
          <rPr>
            <sz val="9"/>
            <color indexed="81"/>
            <rFont val="Tahoma"/>
            <family val="2"/>
          </rPr>
          <t xml:space="preserve">
Adjusted for significant expenses in impair. of oil, gas, &amp; mineral prop.</t>
        </r>
      </text>
    </comment>
    <comment ref="M45" authorId="0" shapeId="0" xr:uid="{19B6175E-1EB1-4294-9B80-9261927F22BA}">
      <text>
        <r>
          <rPr>
            <b/>
            <sz val="9"/>
            <color indexed="81"/>
            <rFont val="Tahoma"/>
            <family val="2"/>
          </rPr>
          <t>Duke Tran:</t>
        </r>
        <r>
          <rPr>
            <sz val="9"/>
            <color indexed="81"/>
            <rFont val="Tahoma"/>
            <family val="2"/>
          </rPr>
          <t xml:space="preserve">
This P/E is much more in line with comparables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Duke Tran</author>
  </authors>
  <commentList>
    <comment ref="A9" authorId="0" shapeId="0" xr:uid="{0DBBB494-BEB6-45B0-99AF-C645D290F811}">
      <text>
        <r>
          <rPr>
            <b/>
            <sz val="9"/>
            <color indexed="81"/>
            <rFont val="Tahoma"/>
            <family val="2"/>
          </rPr>
          <t>Duke Tran:</t>
        </r>
        <r>
          <rPr>
            <sz val="9"/>
            <color indexed="81"/>
            <rFont val="Tahoma"/>
            <family val="2"/>
          </rPr>
          <t xml:space="preserve">
This revenue just uses % growth and aligns with analyst estimates (2022-2024)</t>
        </r>
      </text>
    </comment>
    <comment ref="A11" authorId="0" shapeId="0" xr:uid="{030D6B7C-1583-4625-8648-5A46072F3BCF}">
      <text>
        <r>
          <rPr>
            <b/>
            <sz val="9"/>
            <color indexed="81"/>
            <rFont val="Tahoma"/>
            <family val="2"/>
          </rPr>
          <t>Duke Tran:</t>
        </r>
        <r>
          <rPr>
            <sz val="9"/>
            <color indexed="81"/>
            <rFont val="Tahoma"/>
            <family val="2"/>
          </rPr>
          <t xml:space="preserve">
This one used in valuation, incorporates crude oil price and production</t>
        </r>
      </text>
    </comment>
    <comment ref="N14" authorId="0" shapeId="0" xr:uid="{52A4DC29-0E2A-4A35-9402-8EF954C19C8E}">
      <text>
        <r>
          <rPr>
            <b/>
            <sz val="9"/>
            <color indexed="81"/>
            <rFont val="Tahoma"/>
            <family val="2"/>
          </rPr>
          <t>Duke Tran:</t>
        </r>
        <r>
          <rPr>
            <sz val="9"/>
            <color indexed="81"/>
            <rFont val="Tahoma"/>
            <family val="2"/>
          </rPr>
          <t xml:space="preserve">
Production CAGR 2022-2026</t>
        </r>
      </text>
    </comment>
    <comment ref="C32" authorId="0" shapeId="0" xr:uid="{5F766ACD-50A5-4EA4-A342-EA016D9B4D2B}">
      <text>
        <r>
          <rPr>
            <b/>
            <sz val="9"/>
            <color indexed="81"/>
            <rFont val="Tahoma"/>
            <family val="2"/>
          </rPr>
          <t>Duke Tran:</t>
        </r>
        <r>
          <rPr>
            <sz val="9"/>
            <color indexed="81"/>
            <rFont val="Tahoma"/>
            <family val="2"/>
          </rPr>
          <t xml:space="preserve">
Adjusted for significant expenses in impair. of oil, gas, &amp; mineral prop.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Duke Tran</author>
  </authors>
  <commentList>
    <comment ref="A9" authorId="0" shapeId="0" xr:uid="{4479C1D5-C570-4CC9-B8B3-EB7F369DBEEC}">
      <text>
        <r>
          <rPr>
            <b/>
            <sz val="9"/>
            <color indexed="81"/>
            <rFont val="Tahoma"/>
            <family val="2"/>
          </rPr>
          <t>Duke Tran:</t>
        </r>
        <r>
          <rPr>
            <sz val="9"/>
            <color indexed="81"/>
            <rFont val="Tahoma"/>
            <family val="2"/>
          </rPr>
          <t xml:space="preserve">
This revenue just uses % growth and aligns with analyst estimates (2022-2024)</t>
        </r>
      </text>
    </comment>
    <comment ref="A11" authorId="0" shapeId="0" xr:uid="{291961FC-0D83-489C-9938-EAA294169838}">
      <text>
        <r>
          <rPr>
            <b/>
            <sz val="9"/>
            <color indexed="81"/>
            <rFont val="Tahoma"/>
            <family val="2"/>
          </rPr>
          <t>Duke Tran:</t>
        </r>
        <r>
          <rPr>
            <sz val="9"/>
            <color indexed="81"/>
            <rFont val="Tahoma"/>
            <family val="2"/>
          </rPr>
          <t xml:space="preserve">
This one used in valuation, incorporates crude oil price and production</t>
        </r>
      </text>
    </comment>
    <comment ref="N14" authorId="0" shapeId="0" xr:uid="{785948AB-344C-485B-A629-6290838705D2}">
      <text>
        <r>
          <rPr>
            <b/>
            <sz val="9"/>
            <color indexed="81"/>
            <rFont val="Tahoma"/>
            <family val="2"/>
          </rPr>
          <t>Duke Tran:</t>
        </r>
        <r>
          <rPr>
            <sz val="9"/>
            <color indexed="81"/>
            <rFont val="Tahoma"/>
            <family val="2"/>
          </rPr>
          <t xml:space="preserve">
Production CAGR 2022-2026</t>
        </r>
      </text>
    </comment>
    <comment ref="C32" authorId="0" shapeId="0" xr:uid="{E61CA3DB-B93D-4005-A248-99A540B43BDE}">
      <text>
        <r>
          <rPr>
            <b/>
            <sz val="9"/>
            <color indexed="81"/>
            <rFont val="Tahoma"/>
            <family val="2"/>
          </rPr>
          <t>Duke Tran:</t>
        </r>
        <r>
          <rPr>
            <sz val="9"/>
            <color indexed="81"/>
            <rFont val="Tahoma"/>
            <family val="2"/>
          </rPr>
          <t xml:space="preserve">
Adjusted for significant expenses in impair. of oil, gas, &amp; mineral prop.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EFD7EA-C862-AD49-88FA-ABD7AEAD0D5A}" keepAlive="1" name="Query - Profitability" description="Connection to the 'Profitability' query in the workbook." type="5" refreshedVersion="7" background="1" saveData="1">
    <dbPr connection="Provider=Microsoft.Mashup.OleDb.1;Data Source=$Workbook$;Location=Profitability;Extended Properties=&quot;&quot;" command="SELECT * FROM [Profitability]"/>
  </connection>
</connections>
</file>

<file path=xl/sharedStrings.xml><?xml version="1.0" encoding="utf-8"?>
<sst xmlns="http://schemas.openxmlformats.org/spreadsheetml/2006/main" count="1047" uniqueCount="454">
  <si>
    <t>Total Assets</t>
  </si>
  <si>
    <t>Total Liabilities</t>
  </si>
  <si>
    <t>Total Equity</t>
  </si>
  <si>
    <t>Shares Outstanding</t>
  </si>
  <si>
    <t>Net Debt</t>
  </si>
  <si>
    <t>EBITDA</t>
  </si>
  <si>
    <t>Revenue</t>
  </si>
  <si>
    <t>EBITA</t>
  </si>
  <si>
    <t>EBIT</t>
  </si>
  <si>
    <t>Dividends per Share</t>
  </si>
  <si>
    <t>Beta Calculation</t>
  </si>
  <si>
    <t>Cost of Debt</t>
  </si>
  <si>
    <t>WACC Summary</t>
  </si>
  <si>
    <t>Yahoo Finance</t>
  </si>
  <si>
    <t>Equity Percentage</t>
  </si>
  <si>
    <t>Zacks</t>
  </si>
  <si>
    <t>Debt Outstanding</t>
  </si>
  <si>
    <t>Debt Percentage</t>
  </si>
  <si>
    <t>CNBC</t>
  </si>
  <si>
    <t>Tax Rate</t>
  </si>
  <si>
    <t>Average</t>
  </si>
  <si>
    <t>Cost of Equity</t>
  </si>
  <si>
    <t>WACC</t>
  </si>
  <si>
    <t>Capital Structure</t>
  </si>
  <si>
    <t>Beta</t>
  </si>
  <si>
    <t>Equity Value</t>
  </si>
  <si>
    <t>Risk-Free Rate (10 Yr T-Bill)</t>
  </si>
  <si>
    <t>Debt Value</t>
  </si>
  <si>
    <t>Expected Market Return</t>
  </si>
  <si>
    <t>Market Capitalization</t>
  </si>
  <si>
    <t>+ Total Debt</t>
  </si>
  <si>
    <t>Enterprise Value</t>
  </si>
  <si>
    <t>Gross Profit, Adj</t>
  </si>
  <si>
    <t xml:space="preserve">  Margin %</t>
  </si>
  <si>
    <t>EBITDA, Adj</t>
  </si>
  <si>
    <t>Projected</t>
  </si>
  <si>
    <t>Terminal Growth Rate</t>
  </si>
  <si>
    <t>Base Case</t>
  </si>
  <si>
    <t>Research &amp; Development</t>
  </si>
  <si>
    <t>Less Debt</t>
  </si>
  <si>
    <t>Implied Equity Value</t>
  </si>
  <si>
    <t>Selling, General &amp; Admin</t>
  </si>
  <si>
    <t>Current Share Price</t>
  </si>
  <si>
    <t>Implied Premium</t>
  </si>
  <si>
    <t>Net Income</t>
  </si>
  <si>
    <t>Market Risk Premium</t>
  </si>
  <si>
    <t>Income Tax Expense</t>
  </si>
  <si>
    <t>DCF Valuation</t>
  </si>
  <si>
    <t>Weight</t>
  </si>
  <si>
    <t>Premium</t>
  </si>
  <si>
    <t>Share Price</t>
  </si>
  <si>
    <t>Bear Case</t>
  </si>
  <si>
    <t>Bull Case</t>
  </si>
  <si>
    <t>Current Price:</t>
  </si>
  <si>
    <t>Key Figures</t>
  </si>
  <si>
    <t>Market Cap</t>
  </si>
  <si>
    <t>Company</t>
  </si>
  <si>
    <t>Ticker</t>
  </si>
  <si>
    <t>TTM Revenue</t>
  </si>
  <si>
    <t>TTM EBITDA</t>
  </si>
  <si>
    <t>TTM EBIT</t>
  </si>
  <si>
    <t>TTM EPS</t>
  </si>
  <si>
    <t>EV / TTM Revenue</t>
  </si>
  <si>
    <t>EV / TTM EBITDA</t>
  </si>
  <si>
    <t>EV / TTM EBIT</t>
  </si>
  <si>
    <t>Price / Earnings</t>
  </si>
  <si>
    <t>Premium Analysis</t>
  </si>
  <si>
    <t>Metric</t>
  </si>
  <si>
    <t>Median</t>
  </si>
  <si>
    <t>Mean</t>
  </si>
  <si>
    <t>Weighted Premium</t>
  </si>
  <si>
    <t>Implied Enterprise Value</t>
  </si>
  <si>
    <t>Implied Share Price</t>
  </si>
  <si>
    <t>Relative Valuation</t>
  </si>
  <si>
    <t>Marathon Oil Corporation</t>
  </si>
  <si>
    <t>NYSE: MRO</t>
  </si>
  <si>
    <t>APA Corporation</t>
  </si>
  <si>
    <t>NasdaqGS: APA</t>
  </si>
  <si>
    <t>Continental Resources, Inc.</t>
  </si>
  <si>
    <t>Diamondback Energy, Inc.</t>
  </si>
  <si>
    <t>NasdaqGS: FANG</t>
  </si>
  <si>
    <t>Coterra Energy Inc.</t>
  </si>
  <si>
    <t>NYSE: CTRA</t>
  </si>
  <si>
    <t>Devon Energy Corporation</t>
  </si>
  <si>
    <t>NYSE: DVN</t>
  </si>
  <si>
    <t>Hess Corporation</t>
  </si>
  <si>
    <t>NYSE: HES</t>
  </si>
  <si>
    <t>NYSE: CLR</t>
  </si>
  <si>
    <t>Ticker: HES</t>
  </si>
  <si>
    <t>For the Fiscal Period Ending</t>
  </si>
  <si>
    <t>12 months
Dec-31-2017A</t>
  </si>
  <si>
    <t>12 months
Dec-31-2018A</t>
  </si>
  <si>
    <t>12 months
Dec-31-2019A</t>
  </si>
  <si>
    <t>12 months
Dec-31-2020A</t>
  </si>
  <si>
    <t>12 months
Dec-31-2021A</t>
  </si>
  <si>
    <t>USD</t>
  </si>
  <si>
    <t>Total Revenue</t>
  </si>
  <si>
    <t xml:space="preserve">  Growth % YoY</t>
  </si>
  <si>
    <t>Earnings from Cont. Ops.</t>
  </si>
  <si>
    <t>Diluted EPS Excl. Extra Items</t>
  </si>
  <si>
    <t>EPS</t>
  </si>
  <si>
    <t>NM</t>
  </si>
  <si>
    <t>Current Capitalization (Millions of USD)</t>
  </si>
  <si>
    <t>Currency</t>
  </si>
  <si>
    <t>Shares Out.</t>
  </si>
  <si>
    <t>- Cash &amp; Short Term Investments</t>
  </si>
  <si>
    <t>+ Pref. Equity</t>
  </si>
  <si>
    <t>-</t>
  </si>
  <si>
    <t>+ Total Minority Interest</t>
  </si>
  <si>
    <t>- Long Term Marketable Securities</t>
  </si>
  <si>
    <t>= Total Enterprise Value (TEV)</t>
  </si>
  <si>
    <t>Book Value of Common Equity</t>
  </si>
  <si>
    <t>= Total Capital</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</si>
  <si>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</si>
  <si>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</si>
  <si>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</si>
  <si>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</si>
  <si>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</si>
  <si>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 xml:space="preserve">For the Fiscal Period Ending
</t>
  </si>
  <si>
    <t>TEV/Total Revenue</t>
  </si>
  <si>
    <t>TEV/EBITDA</t>
  </si>
  <si>
    <t>TEV/EBIT</t>
  </si>
  <si>
    <t>P/Diluted EPS Before Extra</t>
  </si>
  <si>
    <t>P/BV</t>
  </si>
  <si>
    <t>Price/Tang BV</t>
  </si>
  <si>
    <t xml:space="preserve"> </t>
  </si>
  <si>
    <t>Other Revenue</t>
  </si>
  <si>
    <t xml:space="preserve">  Total Revenue</t>
  </si>
  <si>
    <t xml:space="preserve">  Gross Profit</t>
  </si>
  <si>
    <t>Exploration/Drilling Costs</t>
  </si>
  <si>
    <t>Impair. of Oil, Gas &amp; Mineral Prop.</t>
  </si>
  <si>
    <t xml:space="preserve">  Operating Income</t>
  </si>
  <si>
    <t>Interest Expense</t>
  </si>
  <si>
    <t>Interest and Invest. Income</t>
  </si>
  <si>
    <t xml:space="preserve">  Net Interest Exp.</t>
  </si>
  <si>
    <t>Currency Exchange Gains (Loss)</t>
  </si>
  <si>
    <t>Other Non-Operating Inc. (Exp.)</t>
  </si>
  <si>
    <t xml:space="preserve">  EBT Excl. Unusual Items</t>
  </si>
  <si>
    <t>Restructuring Charges</t>
  </si>
  <si>
    <t>Merger &amp; Related Restruct. Charges</t>
  </si>
  <si>
    <t>Impairment of Goodwill</t>
  </si>
  <si>
    <t>Gain (Loss) On Sale Of Assets</t>
  </si>
  <si>
    <t>Asset Writedown</t>
  </si>
  <si>
    <t>Other Unusual Items</t>
  </si>
  <si>
    <t xml:space="preserve">  EBT Incl. Unusual Items</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</si>
  <si>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</si>
  <si>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</si>
  <si>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</si>
  <si>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</si>
  <si>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</si>
  <si>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</si>
  <si>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</si>
  <si>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</si>
  <si>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</si>
  <si>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</si>
  <si>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</si>
  <si>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</si>
  <si>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</si>
  <si>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</si>
  <si>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Weighted Avg. Diluted Shares Out.</t>
  </si>
  <si>
    <t>Normalized Basic EPS</t>
  </si>
  <si>
    <t>Normalized Diluted EPS</t>
  </si>
  <si>
    <t>Payout Ratio %</t>
  </si>
  <si>
    <t>Supplemental Items</t>
  </si>
  <si>
    <t>EBITDAR</t>
  </si>
  <si>
    <t>NA</t>
  </si>
  <si>
    <t>As Reported Total Revenue*</t>
  </si>
  <si>
    <t>Effective Tax Rate %</t>
  </si>
  <si>
    <t>Current Domestic Taxes</t>
  </si>
  <si>
    <t>Current Foreign Taxes</t>
  </si>
  <si>
    <t>Total Current Taxes</t>
  </si>
  <si>
    <t>Deferred Domestic Taxes</t>
  </si>
  <si>
    <t>Deferred Foreign Taxes</t>
  </si>
  <si>
    <t>Total Deferred Taxes</t>
  </si>
  <si>
    <t>Normalized Net Income</t>
  </si>
  <si>
    <t>Interest Capitalized</t>
  </si>
  <si>
    <t>Interest on Long Term Debt</t>
  </si>
  <si>
    <t>Non-Cash Pension Expense</t>
  </si>
  <si>
    <t>Filing Date</t>
  </si>
  <si>
    <t>Restatement Type</t>
  </si>
  <si>
    <t>RC</t>
  </si>
  <si>
    <t>NC</t>
  </si>
  <si>
    <t>O</t>
  </si>
  <si>
    <t>Calculation Type</t>
  </si>
  <si>
    <t>REP</t>
  </si>
  <si>
    <t>Supplemental Operating Expense Items</t>
  </si>
  <si>
    <t>General and Administrative Exp.</t>
  </si>
  <si>
    <t>Exploration/Drilling Expenses</t>
  </si>
  <si>
    <t>Net Rental Exp.</t>
  </si>
  <si>
    <t>Imputed Oper. Lease Interest Exp.</t>
  </si>
  <si>
    <t>Imputed Oper. Lease Depreciation</t>
  </si>
  <si>
    <t>Stock-Based Comp., Unallocated</t>
  </si>
  <si>
    <t xml:space="preserve">  Stock-Based Comp., Total</t>
  </si>
  <si>
    <t>* Occasionally, certain items classified as Revenue by the company will be re-classified as other income if it is deemed to be non-recurring and unrelated to the core business of the firm. This field shows Total Revenue exactly as reported by the firm on its consolidated statement of income.</t>
  </si>
  <si>
    <t>Note: For multiple class companies, per share items are primary class equivalent, and for foreign companies listed as primary ADRs, per share items are ADR-equivalent.</t>
  </si>
  <si>
    <t xml:space="preserve">  Other Operating Exp., Total (Loss)</t>
  </si>
  <si>
    <t>Depreciation &amp; Amortization</t>
  </si>
  <si>
    <t>Other Operating Expense</t>
  </si>
  <si>
    <t>Cost of Goods &amp; Services</t>
  </si>
  <si>
    <t>Income Statement</t>
  </si>
  <si>
    <t>Reclassified
12 months
Dec-31-2017</t>
  </si>
  <si>
    <t>Reclassified
12 months
Dec-31-2018</t>
  </si>
  <si>
    <t>Reclassified
12 months
Dec-31-2019</t>
  </si>
  <si>
    <t>12 months
Dec-31-2020</t>
  </si>
  <si>
    <t>12 months
Dec-31-2021</t>
  </si>
  <si>
    <t>ASSETS</t>
  </si>
  <si>
    <t>Cash And Equivalents</t>
  </si>
  <si>
    <t xml:space="preserve">  Total Cash &amp; ST Investments</t>
  </si>
  <si>
    <t>Accounts Receivable</t>
  </si>
  <si>
    <t>Other Receivables</t>
  </si>
  <si>
    <t xml:space="preserve">  Total Receivables</t>
  </si>
  <si>
    <t>Inventory</t>
  </si>
  <si>
    <t>Other Current Assets</t>
  </si>
  <si>
    <t xml:space="preserve">  Total Current Assets</t>
  </si>
  <si>
    <t>Gross Property, Plant &amp; Equipment</t>
  </si>
  <si>
    <t>Accumulated Depreciation</t>
  </si>
  <si>
    <t xml:space="preserve">  Net Property, Plant &amp; Equipment</t>
  </si>
  <si>
    <t>Long-term Investments</t>
  </si>
  <si>
    <t>Goodwill</t>
  </si>
  <si>
    <t>Deferred Tax Assets, LT</t>
  </si>
  <si>
    <t>Other Long-Term Assets</t>
  </si>
  <si>
    <t>LIABILITIES</t>
  </si>
  <si>
    <t>Accounts Payable</t>
  </si>
  <si>
    <t>Accrued Exp.</t>
  </si>
  <si>
    <t>Curr. Port. of LT Debt</t>
  </si>
  <si>
    <t>Curr. Port. of Leases</t>
  </si>
  <si>
    <t>Curr. Income Taxes Payable</t>
  </si>
  <si>
    <t>Other Current Liabilities</t>
  </si>
  <si>
    <t xml:space="preserve">  Total Current Liabilities</t>
  </si>
  <si>
    <t>Long-Term Debt</t>
  </si>
  <si>
    <t>Long-Term Leases</t>
  </si>
  <si>
    <t>Def. Tax Liability, Non-Curr.</t>
  </si>
  <si>
    <t>Other Non-Current Liabilities</t>
  </si>
  <si>
    <t>Pref. Stock, Convertible</t>
  </si>
  <si>
    <t xml:space="preserve">  Total Pref. Equity</t>
  </si>
  <si>
    <t>Common Stock</t>
  </si>
  <si>
    <t>Additional Paid In Capital</t>
  </si>
  <si>
    <t>Retained Earnings</t>
  </si>
  <si>
    <t>Treasury Stock</t>
  </si>
  <si>
    <t>Comprehensive Inc. and Other</t>
  </si>
  <si>
    <t xml:space="preserve">  Total Common Equity</t>
  </si>
  <si>
    <t>Minority Interest</t>
  </si>
  <si>
    <t>Total Liabilities And Equity</t>
  </si>
  <si>
    <t>Total Shares Out. on Filing Date</t>
  </si>
  <si>
    <t>Total Shares Out. on Balance Sheet Date</t>
  </si>
  <si>
    <t>Book Value/Share</t>
  </si>
  <si>
    <t>Tangible Book Value</t>
  </si>
  <si>
    <t>Tangible Book Value/Share</t>
  </si>
  <si>
    <t>Total Debt</t>
  </si>
  <si>
    <t>Debt Equiv. of Unfunded Proj. Benefit Obligation</t>
  </si>
  <si>
    <t>Debt Equivalent Oper. Leases</t>
  </si>
  <si>
    <t>Total Minority Interest</t>
  </si>
  <si>
    <t>Inventory Method</t>
  </si>
  <si>
    <t>Avg Cost</t>
  </si>
  <si>
    <t>Raw Materials Inventory</t>
  </si>
  <si>
    <t>Finished Goods Inventory</t>
  </si>
  <si>
    <t>Natural Resources, at Cost</t>
  </si>
  <si>
    <t>Full Time Employees</t>
  </si>
  <si>
    <t>RUP</t>
  </si>
  <si>
    <t>Note: For multiple class companies, total share counts are primary class equivalent, and for foreign companies listed as primary ADRs, total share counts are ADR-equivalent.</t>
  </si>
  <si>
    <t>Balance Sheet</t>
  </si>
  <si>
    <t>Cash Flow Statement</t>
  </si>
  <si>
    <t>12 months
Dec-31-2017</t>
  </si>
  <si>
    <t>12 months
Dec-31-2018</t>
  </si>
  <si>
    <t>12 months
Dec-31-2019</t>
  </si>
  <si>
    <t>Depreciation &amp; Amort.</t>
  </si>
  <si>
    <t>Depreciation &amp; Amort., Total</t>
  </si>
  <si>
    <t>(Gain) Loss From Sale Of Assets</t>
  </si>
  <si>
    <t>Asset Writedown &amp; Restructuring Costs</t>
  </si>
  <si>
    <t>Stock-Based Compensation</t>
  </si>
  <si>
    <t>Other Operating Activities</t>
  </si>
  <si>
    <t>Change in Acc. Receivable</t>
  </si>
  <si>
    <t>Change In Inventories</t>
  </si>
  <si>
    <t>Change in Acc. Payable</t>
  </si>
  <si>
    <t>Change in Inc. Taxes</t>
  </si>
  <si>
    <t>Change in Other Net Operating Assets</t>
  </si>
  <si>
    <t xml:space="preserve">  Cash from Ops.</t>
  </si>
  <si>
    <t>Capital Expenditure</t>
  </si>
  <si>
    <t>Sale of Property, Plant, and Equipment</t>
  </si>
  <si>
    <t>Cash Acquisitions</t>
  </si>
  <si>
    <t>Divestitures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</si>
  <si>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</si>
  <si>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</si>
  <si>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</si>
  <si>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</si>
  <si>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</si>
  <si>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</si>
  <si>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</si>
  <si>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</si>
  <si>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</si>
  <si>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</si>
  <si>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</si>
  <si>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</si>
  <si>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</si>
  <si>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Pref. Dividends Paid</t>
  </si>
  <si>
    <t>Common and/or Pref. Dividends Paid</t>
  </si>
  <si>
    <t>Total Dividends Paid</t>
  </si>
  <si>
    <t>Special Dividend Paid</t>
  </si>
  <si>
    <t>Other Financing Activities</t>
  </si>
  <si>
    <t xml:space="preserve">  Cash from Financing</t>
  </si>
  <si>
    <t xml:space="preserve">  Net Change in Cash</t>
  </si>
  <si>
    <t>Cash Interest Paid</t>
  </si>
  <si>
    <t>Cash Taxes Paid</t>
  </si>
  <si>
    <t>Levered Free Cash Flow</t>
  </si>
  <si>
    <t>Unlevered Free Cash Flow</t>
  </si>
  <si>
    <t>Change in Net Working Capital</t>
  </si>
  <si>
    <t>Net Debt Issued</t>
  </si>
  <si>
    <t>All results are taken from the most recently filed statement for each period. When there has been more than one, earlier filings can be viewed on the individual statement pages.</t>
  </si>
  <si>
    <t>Profitability</t>
  </si>
  <si>
    <t xml:space="preserve">  Return on Assets %</t>
  </si>
  <si>
    <t xml:space="preserve">  Return on Capital %</t>
  </si>
  <si>
    <t xml:space="preserve">  Return on Equity %</t>
  </si>
  <si>
    <t xml:space="preserve">  Return on Common Equity %</t>
  </si>
  <si>
    <t>Margin Analysis</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</si>
  <si>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</si>
  <si>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</si>
  <si>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</si>
  <si>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</si>
  <si>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</si>
  <si>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</si>
  <si>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</si>
  <si>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</si>
  <si>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</si>
  <si>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</si>
  <si>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</si>
  <si>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</si>
  <si>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</si>
  <si>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</si>
  <si>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</si>
  <si>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</si>
  <si>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</si>
  <si>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</si>
  <si>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</si>
  <si>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</si>
  <si>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</si>
  <si>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</si>
  <si>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</si>
  <si>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</si>
  <si>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</si>
  <si>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</si>
  <si>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</si>
  <si>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</si>
  <si>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</si>
  <si>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</si>
  <si>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</si>
  <si>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</si>
  <si>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</si>
  <si>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</si>
  <si>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</si>
  <si>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</si>
  <si>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</si>
  <si>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</si>
  <si>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</si>
  <si>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EBITDA</t>
  </si>
  <si>
    <t xml:space="preserve">  EBITA</t>
  </si>
  <si>
    <t xml:space="preserve">  EBIT</t>
  </si>
  <si>
    <t xml:space="preserve">  Normalized Net Income</t>
  </si>
  <si>
    <t xml:space="preserve">  Diluted EPS before Extra</t>
  </si>
  <si>
    <t xml:space="preserve">  Accounts Receivable</t>
  </si>
  <si>
    <t xml:space="preserve">  Inventory</t>
  </si>
  <si>
    <t xml:space="preserve">  Net PP&amp;E</t>
  </si>
  <si>
    <t xml:space="preserve">  Total Assets</t>
  </si>
  <si>
    <t xml:space="preserve">  Tangible Book Value</t>
  </si>
  <si>
    <t xml:space="preserve">  Common Equity</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</si>
  <si>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</si>
  <si>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</si>
  <si>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</si>
  <si>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</si>
  <si>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</si>
  <si>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</si>
  <si>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</si>
  <si>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Currency (in Millions)</t>
  </si>
  <si>
    <t>Key Financials</t>
  </si>
  <si>
    <t>Balance Sheet as of:</t>
  </si>
  <si>
    <t>For companies that have multiple share classes that publicly trade, we are incorporating the different prices to calculate our company level market capitalization. Prices shown on this page are the close price of the company’s primary stock class. Shares shown on this page are total company as-reported share values.</t>
  </si>
  <si>
    <t>Ratios</t>
  </si>
  <si>
    <t>Multiples Central Measures</t>
  </si>
  <si>
    <t>Morningstar</t>
  </si>
  <si>
    <t>After Tax Cost of Debt</t>
  </si>
  <si>
    <t>Stock Price Analysis</t>
  </si>
  <si>
    <t>Current Stock Price</t>
  </si>
  <si>
    <t>Calculated Premium</t>
  </si>
  <si>
    <t xml:space="preserve">Actual </t>
  </si>
  <si>
    <t>Base Case Assumptions</t>
  </si>
  <si>
    <t>2017A</t>
  </si>
  <si>
    <t>2018A</t>
  </si>
  <si>
    <t>2019A</t>
  </si>
  <si>
    <t>2020A</t>
  </si>
  <si>
    <t>2021A</t>
  </si>
  <si>
    <t>2022E</t>
  </si>
  <si>
    <t>2023E</t>
  </si>
  <si>
    <t>2024E</t>
  </si>
  <si>
    <t>2025E</t>
  </si>
  <si>
    <t>2026E</t>
  </si>
  <si>
    <t>2027E</t>
  </si>
  <si>
    <t xml:space="preserve">   Revenue</t>
  </si>
  <si>
    <t xml:space="preserve">       % Growth</t>
  </si>
  <si>
    <t xml:space="preserve">   Other Revenue</t>
  </si>
  <si>
    <t xml:space="preserve">      % Growth</t>
  </si>
  <si>
    <t>COGS</t>
  </si>
  <si>
    <t>Gross Profit</t>
  </si>
  <si>
    <t>SG&amp;A Expenses</t>
  </si>
  <si>
    <t>D&amp;A Expenses</t>
  </si>
  <si>
    <t>Net Interest Expense</t>
  </si>
  <si>
    <t xml:space="preserve">Corporate Marginal Tax Rate </t>
  </si>
  <si>
    <t>WC</t>
  </si>
  <si>
    <t xml:space="preserve">   Plus: AR</t>
  </si>
  <si>
    <t xml:space="preserve">   Plus: Inventory</t>
  </si>
  <si>
    <t xml:space="preserve">   Plus: CF Ops</t>
  </si>
  <si>
    <t xml:space="preserve">   Less: AP</t>
  </si>
  <si>
    <t xml:space="preserve">   Less: Accruals</t>
  </si>
  <si>
    <t>Total WC</t>
  </si>
  <si>
    <t>∆ WC</t>
  </si>
  <si>
    <t xml:space="preserve">   Less: ∆ WC</t>
  </si>
  <si>
    <t xml:space="preserve">   Less: CapEx</t>
  </si>
  <si>
    <t>Base Model Implied Share Price</t>
  </si>
  <si>
    <t>Periods</t>
  </si>
  <si>
    <t>PV Terminal Value</t>
  </si>
  <si>
    <t>Discount Rate</t>
  </si>
  <si>
    <t>PV FCF</t>
  </si>
  <si>
    <t>PV</t>
  </si>
  <si>
    <t>&lt;-- Terminal Value</t>
  </si>
  <si>
    <t>Plus Cash</t>
  </si>
  <si>
    <t>Current Price</t>
  </si>
  <si>
    <t>Implied Price</t>
  </si>
  <si>
    <r>
      <t xml:space="preserve">   </t>
    </r>
    <r>
      <rPr>
        <i/>
        <sz val="10"/>
        <rFont val="Arial"/>
        <family val="2"/>
      </rPr>
      <t>% Growth</t>
    </r>
  </si>
  <si>
    <r>
      <t xml:space="preserve">   </t>
    </r>
    <r>
      <rPr>
        <i/>
        <sz val="10"/>
        <rFont val="Arial"/>
        <family val="2"/>
      </rPr>
      <t>% Margin</t>
    </r>
  </si>
  <si>
    <t>Discounted Cash Flow Analysis - Base Case</t>
  </si>
  <si>
    <r>
      <t xml:space="preserve">   </t>
    </r>
    <r>
      <rPr>
        <i/>
        <sz val="10"/>
        <rFont val="Arial"/>
        <family val="2"/>
      </rPr>
      <t>% of Revenue</t>
    </r>
  </si>
  <si>
    <t xml:space="preserve">   Gross Margin %</t>
  </si>
  <si>
    <t xml:space="preserve">   % of Revenue</t>
  </si>
  <si>
    <t xml:space="preserve">   Revenue % Growth</t>
  </si>
  <si>
    <t>Step Up/Down</t>
  </si>
  <si>
    <t xml:space="preserve">   SG&amp;A Expenses % of Revenue</t>
  </si>
  <si>
    <t xml:space="preserve">   Exploration/Drilling Costs % of Revenue</t>
  </si>
  <si>
    <t xml:space="preserve">   Impair. Of Prop. % of Revenue</t>
  </si>
  <si>
    <t xml:space="preserve">   D&amp;A Expenses % of Revenue</t>
  </si>
  <si>
    <t xml:space="preserve">   Other Operating Expense % of Revenue</t>
  </si>
  <si>
    <t>For the Fiscal Year</t>
  </si>
  <si>
    <t>(In Millions $)</t>
  </si>
  <si>
    <t>Weighted Average Cost of Capital Calculation</t>
  </si>
  <si>
    <t>Target Price</t>
  </si>
  <si>
    <t xml:space="preserve">   Total WC % of Revenue</t>
  </si>
  <si>
    <t>Discounted Cash Flow Analysis - Bear Case</t>
  </si>
  <si>
    <t>Discounted Cash Flow Analysis - Bull Case</t>
  </si>
  <si>
    <t>Bear Model Implied Share Price</t>
  </si>
  <si>
    <t>FCF</t>
  </si>
  <si>
    <t>Total FCF</t>
  </si>
  <si>
    <t xml:space="preserve">   Plus: D&amp;A Expenses</t>
  </si>
  <si>
    <t xml:space="preserve">   Plus: NOPAT</t>
  </si>
  <si>
    <r>
      <t xml:space="preserve">   </t>
    </r>
    <r>
      <rPr>
        <sz val="10"/>
        <rFont val="Arial"/>
        <family val="2"/>
      </rPr>
      <t>Crude Oil Price</t>
    </r>
  </si>
  <si>
    <t xml:space="preserve">   Crude Oil Production Volume</t>
  </si>
  <si>
    <t>P/E</t>
  </si>
  <si>
    <t xml:space="preserve">   Revenue (Revised)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</si>
</sst>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8" formatCode="&quot;$&quot;#,##0.00_);[Red]\(&quot;$&quot;#,##0.00\)"/>
    <numFmt numFmtId="44" formatCode="_(&quot;$&quot;* #,##0.00_);_(&quot;$&quot;* \(#,##0.00\);_(&quot;$&quot;* &quot;-&quot;??_);_(@_)"/>
    <numFmt numFmtId="43" formatCode="_(* #,##0.00_);_(* \(#,##0.00\);_(* &quot;-&quot;??_);_(@_)"/>
    <numFmt numFmtId="164" formatCode="#,##0.0"/>
    <numFmt numFmtId="165" formatCode="&quot;$&quot;#,##0.00"/>
    <numFmt numFmtId="166" formatCode="0.0%"/>
    <numFmt numFmtId="167" formatCode="_(\ #,##0.0#_);_(\(\ #,##0.0#\)_);_(\ &quot; - &quot;_)"/>
    <numFmt numFmtId="168" formatCode="_(\ #,##0.0_);_(\ \(#,##0.0\)_);_(\ &quot; - &quot;_)"/>
    <numFmt numFmtId="169" formatCode="0.0\x"/>
    <numFmt numFmtId="170" formatCode="_(* #,##0.0_);_(* \(#,##0.0\)_)\ ;_(* 0_)"/>
    <numFmt numFmtId="171" formatCode="_(#,##0.0%_);_(\(#,##0.0%\)_);_(#,##0.0%_)"/>
    <numFmt numFmtId="172" formatCode="_(* #,##0.0#_);_(* \(#,##0.0#\)_)\ ;_(* 0_)"/>
    <numFmt numFmtId="173" formatCode="_(&quot;$&quot;#,##0.0#_);_(\(&quot;$&quot;#,##0.0#\)_);_(&quot;$&quot;&quot; - &quot;_)"/>
    <numFmt numFmtId="174" formatCode="#,##0.0\x"/>
    <numFmt numFmtId="175" formatCode="mmm\-dd\-yyyy"/>
    <numFmt numFmtId="176" formatCode="_(* #,##0_);_(* \(#,##0\)_)\ ;_(* 0_)"/>
    <numFmt numFmtId="177" formatCode="_(&quot;$&quot;* #,##0.000_);_(&quot;$&quot;* \(#,##0.000\);_(&quot;$&quot;* &quot;-&quot;??_);_(@_)"/>
    <numFmt numFmtId="178" formatCode="0.0"/>
  </numFmts>
  <fonts count="46" x14ac:knownFonts="1">
    <font>
      <sz val="12"/>
      <color theme="1"/>
      <name val="Calibri"/>
      <family val="2"/>
      <scheme val="minor"/>
    </font>
    <font>
      <sz val="12"/>
      <color theme="1"/>
      <name val="Calibri"/>
      <family val="2"/>
      <scheme val="minor"/>
    </font>
    <font>
      <b/>
      <sz val="11"/>
      <color rgb="FFFFFFFF"/>
      <name val="Calibri"/>
      <family val="2"/>
    </font>
    <font>
      <sz val="11"/>
      <color theme="1"/>
      <name val="Calibri"/>
      <family val="2"/>
    </font>
    <font>
      <b/>
      <sz val="16"/>
      <color rgb="FFFFFFFF"/>
      <name val="Arial"/>
      <family val="2"/>
    </font>
    <font>
      <b/>
      <sz val="10"/>
      <color rgb="FFFFFFFF"/>
      <name val="Arial"/>
      <family val="2"/>
    </font>
    <font>
      <b/>
      <sz val="10"/>
      <color rgb="FF000000"/>
      <name val="Arial"/>
      <family val="2"/>
    </font>
    <font>
      <sz val="10"/>
      <color rgb="FF333333"/>
      <name val="Arial"/>
      <family val="2"/>
    </font>
    <font>
      <i/>
      <sz val="10"/>
      <color rgb="FF333333"/>
      <name val="Arial"/>
      <family val="2"/>
    </font>
    <font>
      <i/>
      <sz val="10"/>
      <color rgb="FF000000"/>
      <name val="Arial"/>
      <family val="2"/>
    </font>
    <font>
      <sz val="12"/>
      <color theme="1"/>
      <name val="Calibri"/>
      <family val="2"/>
    </font>
    <font>
      <b/>
      <sz val="12"/>
      <color rgb="FFFFFFFF"/>
      <name val="Calibri"/>
      <family val="2"/>
    </font>
    <font>
      <sz val="10"/>
      <name val="Arial"/>
      <family val="2"/>
    </font>
    <font>
      <sz val="12"/>
      <color rgb="FFFFFFFF"/>
      <name val="Calibri"/>
      <family val="2"/>
    </font>
    <font>
      <sz val="11"/>
      <color rgb="FF000000"/>
      <name val="Calibri"/>
      <family val="2"/>
      <scheme val="minor"/>
    </font>
    <font>
      <b/>
      <sz val="11"/>
      <color theme="0"/>
      <name val="Calibri"/>
      <family val="2"/>
    </font>
    <font>
      <b/>
      <sz val="12"/>
      <color rgb="FF000000"/>
      <name val="Calibri"/>
      <family val="2"/>
      <scheme val="minor"/>
    </font>
    <font>
      <b/>
      <sz val="12"/>
      <color theme="0"/>
      <name val="Calibri"/>
      <family val="2"/>
    </font>
    <font>
      <b/>
      <sz val="12"/>
      <color theme="0"/>
      <name val="Calibri"/>
      <family val="2"/>
      <scheme val="minor"/>
    </font>
    <font>
      <sz val="12"/>
      <color rgb="FFFF0000"/>
      <name val="Calibri"/>
      <family val="2"/>
      <scheme val="minor"/>
    </font>
    <font>
      <sz val="12"/>
      <color theme="0"/>
      <name val="Calibri"/>
      <family val="2"/>
      <scheme val="minor"/>
    </font>
    <font>
      <sz val="8"/>
      <name val="Arial"/>
      <family val="2"/>
    </font>
    <font>
      <sz val="12"/>
      <name val="Calibri"/>
      <family val="2"/>
      <scheme val="minor"/>
    </font>
    <font>
      <sz val="12"/>
      <color rgb="FF000000"/>
      <name val="Calibri"/>
      <family val="2"/>
      <scheme val="minor"/>
    </font>
    <font>
      <b/>
      <i/>
      <sz val="12"/>
      <color rgb="FF000000"/>
      <name val="Calibri"/>
      <family val="2"/>
      <scheme val="minor"/>
    </font>
    <font>
      <sz val="8"/>
      <color indexed="8"/>
      <name val="Arial"/>
      <family val="2"/>
    </font>
    <font>
      <sz val="9"/>
      <color indexed="81"/>
      <name val="Tahoma"/>
      <family val="2"/>
    </font>
    <font>
      <b/>
      <sz val="9"/>
      <color indexed="81"/>
      <name val="Tahoma"/>
      <family val="2"/>
    </font>
    <font>
      <b/>
      <sz val="10"/>
      <color theme="0"/>
      <name val="Arial"/>
      <family val="2"/>
    </font>
    <font>
      <b/>
      <i/>
      <sz val="10"/>
      <color theme="0"/>
      <name val="Arial"/>
      <family val="2"/>
    </font>
    <font>
      <b/>
      <sz val="10"/>
      <color indexed="8"/>
      <name val="Arial"/>
      <family val="2"/>
    </font>
    <font>
      <i/>
      <sz val="10"/>
      <color indexed="8"/>
      <name val="Arial"/>
      <family val="2"/>
    </font>
    <font>
      <b/>
      <sz val="10"/>
      <color rgb="FF333333"/>
      <name val="Arial"/>
      <family val="2"/>
    </font>
    <font>
      <b/>
      <sz val="10"/>
      <color theme="0"/>
      <name val="Verdana"/>
      <family val="2"/>
    </font>
    <font>
      <sz val="10"/>
      <color indexed="8"/>
      <name val="Arial"/>
      <family val="2"/>
    </font>
    <font>
      <b/>
      <u val="double"/>
      <sz val="10"/>
      <color indexed="8"/>
      <name val="Arial"/>
      <family val="2"/>
    </font>
    <font>
      <b/>
      <i/>
      <sz val="10"/>
      <color rgb="FFFFFFFF"/>
      <name val="Arial"/>
      <family val="2"/>
    </font>
    <font>
      <b/>
      <sz val="10"/>
      <name val="Arial"/>
      <family val="2"/>
    </font>
    <font>
      <i/>
      <sz val="10"/>
      <name val="Arial"/>
      <family val="2"/>
    </font>
    <font>
      <b/>
      <u/>
      <sz val="10"/>
      <color indexed="8"/>
      <name val="Arial"/>
      <family val="2"/>
    </font>
    <font>
      <b/>
      <sz val="12"/>
      <color theme="1"/>
      <name val="Calibri"/>
      <family val="2"/>
      <scheme val="minor"/>
    </font>
    <font>
      <b/>
      <sz val="12"/>
      <color theme="1"/>
      <name val="Calibri"/>
      <family val="2"/>
    </font>
    <font>
      <b/>
      <sz val="12"/>
      <name val="Calibri"/>
      <family val="2"/>
      <scheme val="minor"/>
    </font>
    <font>
      <sz val="10"/>
      <color theme="0"/>
      <name val="Arial"/>
      <family val="2"/>
    </font>
    <font>
      <sz val="10"/>
      <color theme="1" tint="0.34998626667073579"/>
      <name val="Arial"/>
      <family val="2"/>
    </font>
    <font>
      <i/>
      <sz val="10"/>
      <color theme="1" tint="0.34998626667073579"/>
      <name val="Arial"/>
      <family val="2"/>
    </font>
  </fonts>
  <fills count="14">
    <fill>
      <patternFill patternType="none"/>
    </fill>
    <fill>
      <patternFill patternType="gray125"/>
    </fill>
    <fill>
      <patternFill patternType="solid">
        <fgColor rgb="FF4F81BD"/>
        <bgColor rgb="FF000000"/>
      </patternFill>
    </fill>
    <fill>
      <patternFill patternType="solid">
        <fgColor rgb="FFFFFFFF"/>
        <bgColor rgb="FF000000"/>
      </patternFill>
    </fill>
    <fill>
      <patternFill patternType="solid">
        <fgColor rgb="FFF2F2F2"/>
        <bgColor rgb="FF000000"/>
      </patternFill>
    </fill>
    <fill>
      <patternFill patternType="solid">
        <fgColor rgb="FFFFFF00"/>
        <bgColor indexed="64"/>
      </patternFill>
    </fill>
    <fill>
      <patternFill patternType="solid">
        <fgColor rgb="FF007049"/>
        <bgColor rgb="FF000000"/>
      </patternFill>
    </fill>
    <fill>
      <patternFill patternType="solid">
        <fgColor rgb="FF00AC6F"/>
        <bgColor rgb="FF000000"/>
      </patternFill>
    </fill>
    <fill>
      <patternFill patternType="solid">
        <fgColor rgb="FF007049"/>
        <bgColor indexed="64"/>
      </patternFill>
    </fill>
    <fill>
      <patternFill patternType="solid">
        <fgColor rgb="FF00AC6F"/>
        <bgColor indexed="64"/>
      </patternFill>
    </fill>
    <fill>
      <patternFill patternType="solid">
        <fgColor theme="0"/>
        <bgColor rgb="FF000000"/>
      </patternFill>
    </fill>
    <fill>
      <patternFill patternType="solid">
        <fgColor theme="0"/>
        <bgColor indexed="64"/>
      </patternFill>
    </fill>
    <fill>
      <patternFill patternType="solid">
        <fgColor theme="0" tint="-0.14999847407452621"/>
        <bgColor rgb="FF000000"/>
      </patternFill>
    </fill>
    <fill>
      <patternFill patternType="solid">
        <fgColor theme="0" tint="-0.14999847407452621"/>
        <bgColor indexed="64"/>
      </patternFill>
    </fill>
  </fills>
  <borders count="57">
    <border>
      <left/>
      <right/>
      <top/>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bottom style="double">
        <color indexed="64"/>
      </bottom>
      <diagonal/>
    </border>
    <border>
      <left/>
      <right/>
      <top style="double">
        <color auto="1"/>
      </top>
      <bottom/>
      <diagonal/>
    </border>
    <border>
      <left style="thin">
        <color indexed="64"/>
      </left>
      <right/>
      <top style="double">
        <color auto="1"/>
      </top>
      <bottom/>
      <diagonal/>
    </border>
  </borders>
  <cellStyleXfs count="2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xf numFmtId="0" fontId="4" fillId="2" borderId="1" applyNumberFormat="0" applyProtection="0">
      <alignment horizontal="left" vertical="center" readingOrder="1"/>
    </xf>
    <xf numFmtId="0" fontId="5" fillId="2" borderId="2">
      <alignment horizontal="left"/>
    </xf>
    <xf numFmtId="0" fontId="5" fillId="2" borderId="2">
      <alignment horizontal="right"/>
    </xf>
    <xf numFmtId="0" fontId="5" fillId="2" borderId="3">
      <alignment horizontal="left"/>
    </xf>
    <xf numFmtId="0" fontId="5" fillId="2" borderId="3">
      <alignment horizontal="right"/>
    </xf>
    <xf numFmtId="0" fontId="6" fillId="3" borderId="4"/>
    <xf numFmtId="3" fontId="6" fillId="3" borderId="5">
      <alignment horizontal="right"/>
    </xf>
    <xf numFmtId="0" fontId="7" fillId="3" borderId="4"/>
    <xf numFmtId="164" fontId="6" fillId="3" borderId="5">
      <alignment horizontal="right"/>
    </xf>
    <xf numFmtId="0" fontId="8" fillId="3" borderId="4"/>
    <xf numFmtId="164" fontId="9" fillId="3" borderId="5">
      <alignment horizontal="right"/>
    </xf>
    <xf numFmtId="0" fontId="9" fillId="4" borderId="6" applyNumberFormat="0" applyAlignment="0" applyProtection="0"/>
    <xf numFmtId="4" fontId="6" fillId="3" borderId="5">
      <alignment horizontal="right"/>
    </xf>
    <xf numFmtId="0" fontId="12" fillId="0" borderId="0"/>
    <xf numFmtId="44" fontId="12" fillId="0" borderId="0" applyFont="0" applyFill="0" applyBorder="0" applyAlignment="0" applyProtection="0"/>
    <xf numFmtId="9" fontId="12" fillId="0" borderId="0" applyFont="0" applyFill="0" applyBorder="0" applyAlignment="0" applyProtection="0"/>
  </cellStyleXfs>
  <cellXfs count="335">
    <xf numFmtId="0" fontId="0" fillId="0" borderId="0" xfId="0"/>
    <xf numFmtId="0" fontId="3" fillId="0" borderId="0" xfId="0" applyFont="1"/>
    <xf numFmtId="0" fontId="6" fillId="3" borderId="4" xfId="9"/>
    <xf numFmtId="0" fontId="8" fillId="3" borderId="4" xfId="13"/>
    <xf numFmtId="0" fontId="3" fillId="3" borderId="0" xfId="0" applyFont="1" applyFill="1"/>
    <xf numFmtId="0" fontId="3" fillId="3" borderId="4" xfId="0" applyFont="1" applyFill="1" applyBorder="1"/>
    <xf numFmtId="0" fontId="3" fillId="3" borderId="9" xfId="0" applyFont="1" applyFill="1" applyBorder="1"/>
    <xf numFmtId="0" fontId="3" fillId="3" borderId="5" xfId="0" applyFont="1" applyFill="1" applyBorder="1"/>
    <xf numFmtId="10" fontId="3" fillId="3" borderId="9" xfId="0" applyNumberFormat="1" applyFont="1" applyFill="1" applyBorder="1"/>
    <xf numFmtId="2" fontId="3" fillId="3" borderId="9" xfId="0" applyNumberFormat="1" applyFont="1" applyFill="1" applyBorder="1"/>
    <xf numFmtId="165" fontId="3" fillId="3" borderId="9" xfId="0" applyNumberFormat="1" applyFont="1" applyFill="1" applyBorder="1"/>
    <xf numFmtId="10" fontId="3" fillId="3" borderId="9" xfId="2" applyNumberFormat="1" applyFont="1" applyFill="1" applyBorder="1"/>
    <xf numFmtId="0" fontId="10" fillId="0" borderId="0" xfId="0" applyFont="1"/>
    <xf numFmtId="44" fontId="10" fillId="0" borderId="0" xfId="0" applyNumberFormat="1" applyFont="1"/>
    <xf numFmtId="164" fontId="3" fillId="0" borderId="0" xfId="0" applyNumberFormat="1" applyFont="1"/>
    <xf numFmtId="9" fontId="10" fillId="0" borderId="0" xfId="2" applyFont="1" applyFill="1" applyBorder="1"/>
    <xf numFmtId="0" fontId="21" fillId="0" borderId="0" xfId="0" applyFont="1"/>
    <xf numFmtId="0" fontId="12" fillId="0" borderId="0" xfId="0" applyFont="1"/>
    <xf numFmtId="0" fontId="22" fillId="0" borderId="0" xfId="0" applyFont="1"/>
    <xf numFmtId="167" fontId="23" fillId="0" borderId="0" xfId="0" applyNumberFormat="1" applyFont="1" applyAlignment="1">
      <alignment horizontal="right" vertical="top" wrapText="1"/>
    </xf>
    <xf numFmtId="168" fontId="23" fillId="0" borderId="0" xfId="0" applyNumberFormat="1" applyFont="1" applyAlignment="1">
      <alignment horizontal="right" vertical="top" wrapText="1"/>
    </xf>
    <xf numFmtId="169" fontId="22" fillId="0" borderId="0" xfId="0" applyNumberFormat="1" applyFont="1"/>
    <xf numFmtId="0" fontId="22" fillId="0" borderId="19" xfId="0" applyFont="1" applyBorder="1"/>
    <xf numFmtId="9" fontId="22" fillId="0" borderId="20" xfId="0" applyNumberFormat="1" applyFont="1" applyBorder="1"/>
    <xf numFmtId="0" fontId="22" fillId="0" borderId="22" xfId="0" applyFont="1" applyBorder="1"/>
    <xf numFmtId="9" fontId="22" fillId="0" borderId="0" xfId="0" applyNumberFormat="1" applyFont="1"/>
    <xf numFmtId="0" fontId="22" fillId="0" borderId="24" xfId="0" applyFont="1" applyBorder="1"/>
    <xf numFmtId="9" fontId="22" fillId="0" borderId="25" xfId="0" applyNumberFormat="1" applyFont="1" applyBorder="1"/>
    <xf numFmtId="169" fontId="19" fillId="0" borderId="0" xfId="0" applyNumberFormat="1" applyFont="1"/>
    <xf numFmtId="167" fontId="16" fillId="0" borderId="0" xfId="0" applyNumberFormat="1" applyFont="1" applyAlignment="1">
      <alignment horizontal="left" vertical="top" wrapText="1"/>
    </xf>
    <xf numFmtId="0" fontId="22" fillId="0" borderId="0" xfId="0" applyFont="1" applyAlignment="1">
      <alignment horizontal="center"/>
    </xf>
    <xf numFmtId="44" fontId="22" fillId="0" borderId="21" xfId="1" applyFont="1" applyFill="1" applyBorder="1"/>
    <xf numFmtId="44" fontId="22" fillId="0" borderId="23" xfId="1" applyFont="1" applyFill="1" applyBorder="1"/>
    <xf numFmtId="44" fontId="22" fillId="0" borderId="26" xfId="1" applyFont="1" applyFill="1" applyBorder="1"/>
    <xf numFmtId="0" fontId="22" fillId="0" borderId="17" xfId="0" applyFont="1" applyBorder="1"/>
    <xf numFmtId="0" fontId="22" fillId="0" borderId="4" xfId="0" applyFont="1" applyBorder="1"/>
    <xf numFmtId="0" fontId="22" fillId="0" borderId="10" xfId="0" applyFont="1" applyBorder="1"/>
    <xf numFmtId="167" fontId="24" fillId="0" borderId="5" xfId="0" applyNumberFormat="1" applyFont="1" applyBorder="1" applyAlignment="1">
      <alignment horizontal="left" vertical="top" wrapText="1"/>
    </xf>
    <xf numFmtId="169" fontId="19" fillId="0" borderId="0" xfId="0" applyNumberFormat="1" applyFont="1" applyBorder="1"/>
    <xf numFmtId="167" fontId="16" fillId="0" borderId="3" xfId="0" applyNumberFormat="1" applyFont="1" applyBorder="1" applyAlignment="1">
      <alignment horizontal="left" vertical="top" wrapText="1"/>
    </xf>
    <xf numFmtId="169" fontId="19" fillId="0" borderId="12" xfId="0" applyNumberFormat="1" applyFont="1" applyBorder="1"/>
    <xf numFmtId="169" fontId="19" fillId="0" borderId="11" xfId="0" applyNumberFormat="1" applyFont="1" applyBorder="1"/>
    <xf numFmtId="44" fontId="10" fillId="0" borderId="25" xfId="1" applyFont="1" applyBorder="1"/>
    <xf numFmtId="44" fontId="10" fillId="0" borderId="26" xfId="1" applyFont="1" applyFill="1" applyBorder="1" applyAlignment="1"/>
    <xf numFmtId="0" fontId="10" fillId="0" borderId="34" xfId="0" applyFont="1" applyBorder="1"/>
    <xf numFmtId="0" fontId="10" fillId="0" borderId="35" xfId="0" applyFont="1" applyBorder="1"/>
    <xf numFmtId="2" fontId="10" fillId="0" borderId="39" xfId="2" applyNumberFormat="1" applyFont="1" applyFill="1" applyBorder="1"/>
    <xf numFmtId="1" fontId="10" fillId="0" borderId="39" xfId="2" applyNumberFormat="1" applyFont="1" applyFill="1" applyBorder="1"/>
    <xf numFmtId="165" fontId="0" fillId="0" borderId="39" xfId="1" applyNumberFormat="1" applyFont="1" applyBorder="1"/>
    <xf numFmtId="0" fontId="10" fillId="0" borderId="31" xfId="0" applyFont="1" applyBorder="1"/>
    <xf numFmtId="0" fontId="10" fillId="0" borderId="41" xfId="0" applyFont="1" applyBorder="1"/>
    <xf numFmtId="169" fontId="19" fillId="0" borderId="42" xfId="0" applyNumberFormat="1" applyFont="1" applyBorder="1"/>
    <xf numFmtId="10" fontId="14" fillId="0" borderId="9" xfId="2" applyNumberFormat="1" applyFont="1" applyBorder="1"/>
    <xf numFmtId="0" fontId="0" fillId="0" borderId="0" xfId="0" applyNumberFormat="1"/>
    <xf numFmtId="0" fontId="30" fillId="0" borderId="0" xfId="0" applyFont="1" applyAlignment="1">
      <alignment horizontal="left" vertical="top"/>
    </xf>
    <xf numFmtId="0" fontId="31" fillId="0" borderId="0" xfId="0" applyFont="1" applyAlignment="1">
      <alignment horizontal="left" vertical="top"/>
    </xf>
    <xf numFmtId="2" fontId="6" fillId="3" borderId="5" xfId="10" applyNumberFormat="1">
      <alignment horizontal="right"/>
    </xf>
    <xf numFmtId="2" fontId="6" fillId="3" borderId="5" xfId="12" applyNumberFormat="1">
      <alignment horizontal="right"/>
    </xf>
    <xf numFmtId="2" fontId="9" fillId="3" borderId="5" xfId="14" applyNumberFormat="1">
      <alignment horizontal="right"/>
    </xf>
    <xf numFmtId="171" fontId="9" fillId="3" borderId="5" xfId="14" applyNumberFormat="1">
      <alignment horizontal="right"/>
    </xf>
    <xf numFmtId="170" fontId="6" fillId="3" borderId="5" xfId="14" applyNumberFormat="1" applyFont="1">
      <alignment horizontal="right"/>
    </xf>
    <xf numFmtId="170" fontId="6" fillId="3" borderId="5" xfId="12" applyNumberFormat="1">
      <alignment horizontal="right"/>
    </xf>
    <xf numFmtId="0" fontId="32" fillId="3" borderId="4" xfId="13" applyFont="1"/>
    <xf numFmtId="172" fontId="6" fillId="3" borderId="5" xfId="16" applyNumberFormat="1">
      <alignment horizontal="right"/>
    </xf>
    <xf numFmtId="0" fontId="25" fillId="0" borderId="0" xfId="0" applyFont="1" applyAlignment="1">
      <alignment horizontal="left" vertical="top"/>
    </xf>
    <xf numFmtId="0" fontId="21" fillId="0" borderId="0" xfId="0" applyFont="1" applyAlignment="1">
      <alignment horizontal="center" vertical="top" wrapText="1"/>
    </xf>
    <xf numFmtId="49" fontId="25" fillId="0" borderId="0" xfId="0" applyNumberFormat="1" applyFont="1" applyAlignment="1">
      <alignment horizontal="right" vertical="top" wrapText="1"/>
    </xf>
    <xf numFmtId="0" fontId="34" fillId="0" borderId="0" xfId="0" applyFont="1" applyAlignment="1">
      <alignment horizontal="left" vertical="top"/>
    </xf>
    <xf numFmtId="173" fontId="34" fillId="0" borderId="0" xfId="0" applyNumberFormat="1" applyFont="1" applyAlignment="1">
      <alignment horizontal="right" vertical="top" wrapText="1"/>
    </xf>
    <xf numFmtId="170" fontId="34" fillId="0" borderId="0" xfId="0" applyNumberFormat="1" applyFont="1" applyAlignment="1">
      <alignment horizontal="right" vertical="top" wrapText="1"/>
    </xf>
    <xf numFmtId="170" fontId="30" fillId="0" borderId="0" xfId="0" applyNumberFormat="1" applyFont="1" applyAlignment="1">
      <alignment horizontal="right" vertical="top" wrapText="1"/>
    </xf>
    <xf numFmtId="174" fontId="34" fillId="0" borderId="0" xfId="0" applyNumberFormat="1" applyFont="1" applyAlignment="1">
      <alignment horizontal="right" vertical="top" wrapText="1"/>
    </xf>
    <xf numFmtId="49" fontId="34" fillId="0" borderId="0" xfId="0" applyNumberFormat="1" applyFont="1" applyAlignment="1">
      <alignment horizontal="right" vertical="top" wrapText="1"/>
    </xf>
    <xf numFmtId="0" fontId="13" fillId="6" borderId="29" xfId="0" applyFont="1" applyFill="1" applyBorder="1"/>
    <xf numFmtId="0" fontId="13" fillId="6" borderId="30" xfId="0" applyFont="1" applyFill="1" applyBorder="1"/>
    <xf numFmtId="0" fontId="5" fillId="6" borderId="12" xfId="5" applyFill="1" applyBorder="1">
      <alignment horizontal="left"/>
    </xf>
    <xf numFmtId="0" fontId="33" fillId="8" borderId="0" xfId="0" applyFont="1" applyFill="1" applyAlignment="1"/>
    <xf numFmtId="0" fontId="29" fillId="8" borderId="0" xfId="0" applyFont="1" applyFill="1" applyAlignment="1">
      <alignment wrapText="1"/>
    </xf>
    <xf numFmtId="0" fontId="28" fillId="8" borderId="0" xfId="0" applyFont="1" applyFill="1" applyAlignment="1">
      <alignment wrapText="1"/>
    </xf>
    <xf numFmtId="0" fontId="28" fillId="8" borderId="0" xfId="0" applyFont="1" applyFill="1" applyAlignment="1">
      <alignment horizontal="right" wrapText="1"/>
    </xf>
    <xf numFmtId="0" fontId="5" fillId="6" borderId="3" xfId="7" applyFill="1">
      <alignment horizontal="left"/>
    </xf>
    <xf numFmtId="0" fontId="3" fillId="0" borderId="0" xfId="0" applyFont="1" applyBorder="1"/>
    <xf numFmtId="0" fontId="5" fillId="6" borderId="5" xfId="5" applyFill="1" applyBorder="1">
      <alignment horizontal="left"/>
    </xf>
    <xf numFmtId="0" fontId="5" fillId="6" borderId="2" xfId="6" applyFill="1" applyAlignment="1">
      <alignment horizontal="right" wrapText="1"/>
    </xf>
    <xf numFmtId="0" fontId="36" fillId="6" borderId="3" xfId="8" applyFont="1" applyFill="1">
      <alignment horizontal="right"/>
    </xf>
    <xf numFmtId="0" fontId="38" fillId="3" borderId="4" xfId="9" applyFont="1"/>
    <xf numFmtId="0" fontId="38" fillId="3" borderId="4" xfId="11" applyFont="1"/>
    <xf numFmtId="0" fontId="12" fillId="3" borderId="4" xfId="11" applyFont="1"/>
    <xf numFmtId="0" fontId="38" fillId="3" borderId="4" xfId="13" applyFont="1"/>
    <xf numFmtId="175" fontId="5" fillId="6" borderId="5" xfId="6" applyNumberFormat="1" applyFill="1" applyBorder="1">
      <alignment horizontal="right"/>
    </xf>
    <xf numFmtId="0" fontId="9" fillId="10" borderId="0" xfId="15" applyFill="1" applyBorder="1" applyAlignment="1">
      <alignment vertical="center" wrapText="1"/>
    </xf>
    <xf numFmtId="0" fontId="3" fillId="11" borderId="0" xfId="0" applyFont="1" applyFill="1"/>
    <xf numFmtId="0" fontId="3" fillId="11" borderId="0" xfId="0" applyFont="1" applyFill="1" applyBorder="1"/>
    <xf numFmtId="0" fontId="9" fillId="10" borderId="0" xfId="15" applyFill="1" applyBorder="1"/>
    <xf numFmtId="0" fontId="37" fillId="0" borderId="45" xfId="0" applyFont="1" applyBorder="1" applyAlignment="1">
      <alignment horizontal="left" vertical="top"/>
    </xf>
    <xf numFmtId="0" fontId="38" fillId="3" borderId="5" xfId="9" applyFont="1" applyBorder="1"/>
    <xf numFmtId="0" fontId="38" fillId="3" borderId="5" xfId="11" applyFont="1" applyBorder="1"/>
    <xf numFmtId="0" fontId="37" fillId="0" borderId="9" xfId="0" applyFont="1" applyBorder="1" applyAlignment="1">
      <alignment horizontal="left" vertical="top"/>
    </xf>
    <xf numFmtId="0" fontId="12" fillId="0" borderId="9" xfId="0" applyFont="1" applyBorder="1" applyAlignment="1">
      <alignment horizontal="left" vertical="top"/>
    </xf>
    <xf numFmtId="0" fontId="38" fillId="0" borderId="9" xfId="0" applyFont="1" applyBorder="1" applyAlignment="1">
      <alignment horizontal="left"/>
    </xf>
    <xf numFmtId="0" fontId="38" fillId="0" borderId="9" xfId="0" applyFont="1" applyBorder="1" applyAlignment="1"/>
    <xf numFmtId="0" fontId="38" fillId="3" borderId="5" xfId="13" applyFont="1" applyBorder="1"/>
    <xf numFmtId="0" fontId="38" fillId="0" borderId="9" xfId="0" applyFont="1" applyBorder="1" applyAlignment="1">
      <alignment horizontal="left" vertical="top"/>
    </xf>
    <xf numFmtId="0" fontId="37" fillId="0" borderId="11" xfId="0" applyFont="1" applyBorder="1" applyAlignment="1">
      <alignment horizontal="left" vertical="top"/>
    </xf>
    <xf numFmtId="170" fontId="34" fillId="0" borderId="5" xfId="0" applyNumberFormat="1" applyFont="1" applyBorder="1" applyAlignment="1">
      <alignment horizontal="right" vertical="top" wrapText="1"/>
    </xf>
    <xf numFmtId="0" fontId="34" fillId="0" borderId="5" xfId="0" applyFont="1" applyBorder="1" applyAlignment="1">
      <alignment horizontal="left" vertical="top"/>
    </xf>
    <xf numFmtId="170" fontId="30" fillId="0" borderId="5" xfId="0" applyNumberFormat="1" applyFont="1" applyBorder="1" applyAlignment="1">
      <alignment horizontal="right" vertical="top" wrapText="1"/>
    </xf>
    <xf numFmtId="173" fontId="34" fillId="0" borderId="5" xfId="0" applyNumberFormat="1" applyFont="1" applyBorder="1" applyAlignment="1">
      <alignment horizontal="right" vertical="top" wrapText="1"/>
    </xf>
    <xf numFmtId="172" fontId="34" fillId="0" borderId="5" xfId="0" applyNumberFormat="1" applyFont="1" applyBorder="1" applyAlignment="1">
      <alignment horizontal="right" vertical="top" wrapText="1"/>
    </xf>
    <xf numFmtId="171" fontId="34" fillId="0" borderId="5" xfId="0" applyNumberFormat="1" applyFont="1" applyBorder="1" applyAlignment="1">
      <alignment horizontal="right" vertical="top" wrapText="1"/>
    </xf>
    <xf numFmtId="175" fontId="34" fillId="0" borderId="5" xfId="0" applyNumberFormat="1" applyFont="1" applyBorder="1" applyAlignment="1">
      <alignment horizontal="right" vertical="top" wrapText="1"/>
    </xf>
    <xf numFmtId="49" fontId="34" fillId="0" borderId="5" xfId="0" applyNumberFormat="1" applyFont="1" applyBorder="1" applyAlignment="1">
      <alignment horizontal="right" vertical="top" wrapText="1"/>
    </xf>
    <xf numFmtId="170" fontId="30" fillId="0" borderId="3" xfId="0" applyNumberFormat="1" applyFont="1" applyBorder="1" applyAlignment="1">
      <alignment horizontal="right" vertical="top" wrapText="1"/>
    </xf>
    <xf numFmtId="0" fontId="34" fillId="0" borderId="9" xfId="0" applyFont="1" applyBorder="1" applyAlignment="1">
      <alignment horizontal="left" vertical="top"/>
    </xf>
    <xf numFmtId="170" fontId="35" fillId="0" borderId="5" xfId="0" applyNumberFormat="1" applyFont="1" applyBorder="1" applyAlignment="1">
      <alignment horizontal="right" vertical="top" wrapText="1"/>
    </xf>
    <xf numFmtId="0" fontId="25" fillId="0" borderId="5" xfId="0" applyFont="1" applyBorder="1" applyAlignment="1">
      <alignment horizontal="left" vertical="top"/>
    </xf>
    <xf numFmtId="0" fontId="30" fillId="0" borderId="47" xfId="0" applyFont="1" applyBorder="1" applyAlignment="1">
      <alignment horizontal="left" vertical="top"/>
    </xf>
    <xf numFmtId="0" fontId="31" fillId="0" borderId="5" xfId="0" applyFont="1" applyBorder="1" applyAlignment="1">
      <alignment horizontal="left" vertical="top"/>
    </xf>
    <xf numFmtId="0" fontId="30" fillId="0" borderId="5" xfId="0" applyFont="1" applyBorder="1" applyAlignment="1">
      <alignment horizontal="left" vertical="top"/>
    </xf>
    <xf numFmtId="170" fontId="39" fillId="0" borderId="5" xfId="0" applyNumberFormat="1" applyFont="1" applyBorder="1" applyAlignment="1">
      <alignment horizontal="right" vertical="top" wrapText="1"/>
    </xf>
    <xf numFmtId="176" fontId="34" fillId="0" borderId="5" xfId="0" applyNumberFormat="1" applyFont="1" applyBorder="1" applyAlignment="1">
      <alignment horizontal="right" vertical="top" wrapText="1"/>
    </xf>
    <xf numFmtId="0" fontId="31" fillId="0" borderId="3" xfId="0" applyFont="1" applyBorder="1" applyAlignment="1">
      <alignment horizontal="left" vertical="top"/>
    </xf>
    <xf numFmtId="49" fontId="34" fillId="0" borderId="3" xfId="0" applyNumberFormat="1" applyFont="1" applyBorder="1" applyAlignment="1">
      <alignment horizontal="right" vertical="top" wrapText="1"/>
    </xf>
    <xf numFmtId="0" fontId="36" fillId="6" borderId="5" xfId="8" applyFont="1" applyFill="1" applyBorder="1">
      <alignment horizontal="right"/>
    </xf>
    <xf numFmtId="0" fontId="37" fillId="3" borderId="4" xfId="9" applyFont="1"/>
    <xf numFmtId="0" fontId="37" fillId="3" borderId="4" xfId="11" applyFont="1"/>
    <xf numFmtId="0" fontId="38" fillId="3" borderId="3" xfId="11" applyFont="1" applyBorder="1"/>
    <xf numFmtId="0" fontId="5" fillId="6" borderId="6" xfId="7" applyFill="1" applyBorder="1">
      <alignment horizontal="left"/>
    </xf>
    <xf numFmtId="0" fontId="28" fillId="8" borderId="47" xfId="0" applyFont="1" applyFill="1" applyBorder="1" applyAlignment="1">
      <alignment horizontal="right" wrapText="1"/>
    </xf>
    <xf numFmtId="0" fontId="29" fillId="8" borderId="3" xfId="0" applyFont="1" applyFill="1" applyBorder="1" applyAlignment="1">
      <alignment horizontal="right" wrapText="1"/>
    </xf>
    <xf numFmtId="0" fontId="38" fillId="0" borderId="0" xfId="0" applyFont="1" applyFill="1" applyAlignment="1">
      <alignment vertical="top" wrapText="1"/>
    </xf>
    <xf numFmtId="0" fontId="21" fillId="13" borderId="0" xfId="0" applyFont="1" applyFill="1"/>
    <xf numFmtId="0" fontId="38" fillId="13" borderId="0" xfId="0" applyFont="1" applyFill="1"/>
    <xf numFmtId="0" fontId="5" fillId="6" borderId="2" xfId="5" applyFill="1" applyAlignment="1">
      <alignment horizontal="left" vertical="center"/>
    </xf>
    <xf numFmtId="0" fontId="5" fillId="6" borderId="45" xfId="6" applyFont="1" applyFill="1" applyBorder="1" applyAlignment="1">
      <alignment horizontal="right" wrapText="1"/>
    </xf>
    <xf numFmtId="0" fontId="30" fillId="0" borderId="9" xfId="0" applyFont="1" applyBorder="1" applyAlignment="1">
      <alignment horizontal="left" vertical="top"/>
    </xf>
    <xf numFmtId="0" fontId="31" fillId="0" borderId="9" xfId="0" applyFont="1" applyBorder="1" applyAlignment="1">
      <alignment horizontal="left" vertical="top"/>
    </xf>
    <xf numFmtId="0" fontId="31" fillId="0" borderId="11" xfId="0" applyFont="1" applyBorder="1" applyAlignment="1">
      <alignment horizontal="left" vertical="top"/>
    </xf>
    <xf numFmtId="174" fontId="34" fillId="0" borderId="5" xfId="0" applyNumberFormat="1" applyFont="1" applyBorder="1" applyAlignment="1">
      <alignment horizontal="right" vertical="top" wrapText="1"/>
    </xf>
    <xf numFmtId="171" fontId="34" fillId="0" borderId="3" xfId="0" applyNumberFormat="1" applyFont="1" applyBorder="1" applyAlignment="1">
      <alignment horizontal="right" vertical="top" wrapText="1"/>
    </xf>
    <xf numFmtId="0" fontId="5" fillId="6" borderId="47" xfId="5" applyFill="1" applyBorder="1" applyAlignment="1">
      <alignment horizontal="left" vertical="center"/>
    </xf>
    <xf numFmtId="0" fontId="5" fillId="6" borderId="47" xfId="6" applyFont="1" applyFill="1" applyBorder="1" applyAlignment="1">
      <alignment horizontal="right" wrapText="1"/>
    </xf>
    <xf numFmtId="0" fontId="18" fillId="6" borderId="13" xfId="0" applyFont="1" applyFill="1" applyBorder="1" applyAlignment="1">
      <alignment horizontal="center"/>
    </xf>
    <xf numFmtId="0" fontId="18" fillId="6" borderId="2" xfId="0" applyFont="1" applyFill="1" applyBorder="1" applyAlignment="1">
      <alignment horizontal="center"/>
    </xf>
    <xf numFmtId="10" fontId="0" fillId="0" borderId="40" xfId="2" applyNumberFormat="1" applyFont="1" applyBorder="1"/>
    <xf numFmtId="0" fontId="11" fillId="6" borderId="28" xfId="0" applyFont="1" applyFill="1" applyBorder="1"/>
    <xf numFmtId="0" fontId="11" fillId="6" borderId="31" xfId="0" applyFont="1" applyFill="1" applyBorder="1"/>
    <xf numFmtId="0" fontId="41" fillId="5" borderId="48" xfId="0" applyFont="1" applyFill="1" applyBorder="1"/>
    <xf numFmtId="165" fontId="0" fillId="5" borderId="49" xfId="1" applyNumberFormat="1" applyFont="1" applyFill="1" applyBorder="1"/>
    <xf numFmtId="0" fontId="22" fillId="0" borderId="5" xfId="0" applyFont="1" applyBorder="1"/>
    <xf numFmtId="44" fontId="23" fillId="0" borderId="5" xfId="1" applyFont="1" applyBorder="1" applyAlignment="1">
      <alignment horizontal="right" vertical="top" wrapText="1"/>
    </xf>
    <xf numFmtId="44" fontId="23" fillId="0" borderId="47" xfId="1" applyFont="1" applyBorder="1" applyAlignment="1">
      <alignment horizontal="right" vertical="top" wrapText="1"/>
    </xf>
    <xf numFmtId="169" fontId="22" fillId="0" borderId="5" xfId="0" applyNumberFormat="1" applyFont="1" applyBorder="1"/>
    <xf numFmtId="44" fontId="0" fillId="0" borderId="5" xfId="1" applyFont="1" applyBorder="1"/>
    <xf numFmtId="0" fontId="0" fillId="0" borderId="5" xfId="0" applyFont="1" applyBorder="1"/>
    <xf numFmtId="0" fontId="22" fillId="0" borderId="3" xfId="0" applyFont="1" applyBorder="1"/>
    <xf numFmtId="44" fontId="23" fillId="0" borderId="3" xfId="1" applyFont="1" applyBorder="1" applyAlignment="1">
      <alignment horizontal="right" vertical="top" wrapText="1"/>
    </xf>
    <xf numFmtId="169" fontId="22" fillId="0" borderId="3" xfId="0" applyNumberFormat="1" applyFont="1" applyBorder="1"/>
    <xf numFmtId="0" fontId="0" fillId="8" borderId="50" xfId="0" applyFill="1" applyBorder="1"/>
    <xf numFmtId="0" fontId="42" fillId="0" borderId="19" xfId="0" applyFont="1" applyBorder="1"/>
    <xf numFmtId="0" fontId="42" fillId="0" borderId="22" xfId="0" applyFont="1" applyBorder="1"/>
    <xf numFmtId="0" fontId="42" fillId="0" borderId="24" xfId="0" applyFont="1" applyBorder="1"/>
    <xf numFmtId="0" fontId="42" fillId="0" borderId="7" xfId="0" applyFont="1" applyBorder="1"/>
    <xf numFmtId="0" fontId="42" fillId="0" borderId="18" xfId="0" applyFont="1" applyBorder="1"/>
    <xf numFmtId="0" fontId="42" fillId="0" borderId="8" xfId="0" applyFont="1" applyBorder="1"/>
    <xf numFmtId="177" fontId="12" fillId="0" borderId="9" xfId="18" applyNumberFormat="1" applyFont="1" applyBorder="1" applyAlignment="1"/>
    <xf numFmtId="44" fontId="12" fillId="0" borderId="9" xfId="18" applyFont="1" applyBorder="1" applyAlignment="1"/>
    <xf numFmtId="44" fontId="12" fillId="0" borderId="9" xfId="18" applyFont="1" applyBorder="1"/>
    <xf numFmtId="0" fontId="37" fillId="0" borderId="10" xfId="17" applyFont="1" applyBorder="1"/>
    <xf numFmtId="0" fontId="12" fillId="0" borderId="0" xfId="17" applyFont="1"/>
    <xf numFmtId="0" fontId="12" fillId="0" borderId="9" xfId="17" applyFont="1" applyBorder="1"/>
    <xf numFmtId="0" fontId="12" fillId="0" borderId="4" xfId="17" applyFont="1" applyBorder="1"/>
    <xf numFmtId="0" fontId="37" fillId="0" borderId="4" xfId="17" applyFont="1" applyBorder="1"/>
    <xf numFmtId="44" fontId="12" fillId="0" borderId="0" xfId="18" applyFont="1" applyBorder="1"/>
    <xf numFmtId="44" fontId="12" fillId="0" borderId="0" xfId="17" applyNumberFormat="1" applyFont="1"/>
    <xf numFmtId="166" fontId="12" fillId="0" borderId="0" xfId="17" applyNumberFormat="1" applyFont="1"/>
    <xf numFmtId="166" fontId="12" fillId="0" borderId="9" xfId="17" applyNumberFormat="1" applyFont="1" applyBorder="1"/>
    <xf numFmtId="10" fontId="38" fillId="0" borderId="0" xfId="19" applyNumberFormat="1" applyFont="1" applyBorder="1"/>
    <xf numFmtId="10" fontId="38" fillId="0" borderId="9" xfId="19" applyNumberFormat="1" applyFont="1" applyBorder="1"/>
    <xf numFmtId="10" fontId="12" fillId="0" borderId="0" xfId="17" applyNumberFormat="1" applyFont="1"/>
    <xf numFmtId="9" fontId="12" fillId="0" borderId="0" xfId="17" applyNumberFormat="1" applyFont="1"/>
    <xf numFmtId="44" fontId="12" fillId="0" borderId="9" xfId="17" applyNumberFormat="1" applyFont="1" applyBorder="1"/>
    <xf numFmtId="10" fontId="38" fillId="0" borderId="0" xfId="19" applyNumberFormat="1" applyFont="1"/>
    <xf numFmtId="0" fontId="12" fillId="0" borderId="51" xfId="17" applyFont="1" applyBorder="1"/>
    <xf numFmtId="44" fontId="12" fillId="0" borderId="51" xfId="17" applyNumberFormat="1" applyFont="1" applyBorder="1"/>
    <xf numFmtId="10" fontId="12" fillId="0" borderId="0" xfId="19" applyNumberFormat="1" applyFont="1" applyBorder="1"/>
    <xf numFmtId="0" fontId="12" fillId="0" borderId="10" xfId="17" applyFont="1" applyBorder="1"/>
    <xf numFmtId="0" fontId="12" fillId="0" borderId="12" xfId="17" applyFont="1" applyBorder="1"/>
    <xf numFmtId="10" fontId="12" fillId="0" borderId="9" xfId="19" applyNumberFormat="1" applyFont="1" applyBorder="1"/>
    <xf numFmtId="44" fontId="12" fillId="0" borderId="53" xfId="17" applyNumberFormat="1" applyFont="1" applyBorder="1"/>
    <xf numFmtId="44" fontId="12" fillId="0" borderId="52" xfId="17" applyNumberFormat="1" applyFont="1" applyBorder="1"/>
    <xf numFmtId="10" fontId="12" fillId="0" borderId="0" xfId="19" applyNumberFormat="1" applyFont="1"/>
    <xf numFmtId="44" fontId="12" fillId="0" borderId="0" xfId="18" applyFont="1"/>
    <xf numFmtId="0" fontId="12" fillId="0" borderId="46" xfId="17" applyFont="1" applyBorder="1"/>
    <xf numFmtId="0" fontId="12" fillId="0" borderId="6" xfId="17" applyFont="1" applyBorder="1"/>
    <xf numFmtId="0" fontId="12" fillId="0" borderId="45" xfId="17" applyFont="1" applyBorder="1"/>
    <xf numFmtId="44" fontId="12" fillId="0" borderId="11" xfId="18" applyFont="1" applyBorder="1"/>
    <xf numFmtId="0" fontId="12" fillId="0" borderId="54" xfId="17" applyFont="1" applyBorder="1"/>
    <xf numFmtId="8" fontId="12" fillId="0" borderId="53" xfId="17" applyNumberFormat="1" applyFont="1" applyBorder="1"/>
    <xf numFmtId="0" fontId="0" fillId="0" borderId="0" xfId="0" applyFill="1"/>
    <xf numFmtId="43" fontId="34" fillId="0" borderId="5" xfId="0" applyNumberFormat="1" applyFont="1" applyBorder="1" applyAlignment="1">
      <alignment horizontal="right" vertical="top" wrapText="1"/>
    </xf>
    <xf numFmtId="0" fontId="12" fillId="0" borderId="0" xfId="17" applyFont="1" applyBorder="1"/>
    <xf numFmtId="44" fontId="12" fillId="0" borderId="0" xfId="17" applyNumberFormat="1" applyFont="1" applyBorder="1"/>
    <xf numFmtId="10" fontId="12" fillId="0" borderId="0" xfId="17" applyNumberFormat="1" applyFont="1" applyBorder="1"/>
    <xf numFmtId="0" fontId="12" fillId="0" borderId="55" xfId="17" applyFont="1" applyBorder="1"/>
    <xf numFmtId="44" fontId="12" fillId="0" borderId="55" xfId="17" applyNumberFormat="1" applyFont="1" applyBorder="1"/>
    <xf numFmtId="44" fontId="12" fillId="0" borderId="0" xfId="1" applyFont="1" applyBorder="1"/>
    <xf numFmtId="166" fontId="9" fillId="3" borderId="5" xfId="2" applyNumberFormat="1" applyFont="1" applyFill="1" applyBorder="1" applyAlignment="1">
      <alignment horizontal="right"/>
    </xf>
    <xf numFmtId="10" fontId="38" fillId="0" borderId="0" xfId="17" applyNumberFormat="1" applyFont="1"/>
    <xf numFmtId="10" fontId="38" fillId="0" borderId="51" xfId="19" applyNumberFormat="1" applyFont="1" applyBorder="1"/>
    <xf numFmtId="10" fontId="38" fillId="0" borderId="53" xfId="19" applyNumberFormat="1" applyFont="1" applyBorder="1"/>
    <xf numFmtId="10" fontId="38" fillId="0" borderId="51" xfId="17" applyNumberFormat="1" applyFont="1" applyBorder="1"/>
    <xf numFmtId="10" fontId="38" fillId="0" borderId="0" xfId="18" applyNumberFormat="1" applyFont="1"/>
    <xf numFmtId="44" fontId="12" fillId="0" borderId="9" xfId="1" applyFont="1" applyBorder="1"/>
    <xf numFmtId="0" fontId="38" fillId="0" borderId="4" xfId="17" applyFont="1" applyBorder="1"/>
    <xf numFmtId="0" fontId="37" fillId="0" borderId="56" xfId="17" applyFont="1" applyBorder="1"/>
    <xf numFmtId="0" fontId="12" fillId="0" borderId="5" xfId="0" applyFont="1" applyBorder="1" applyAlignment="1"/>
    <xf numFmtId="0" fontId="12" fillId="3" borderId="4" xfId="11" applyFont="1" applyBorder="1"/>
    <xf numFmtId="0" fontId="38" fillId="0" borderId="54" xfId="17" applyFont="1" applyBorder="1"/>
    <xf numFmtId="44" fontId="12" fillId="0" borderId="12" xfId="17" applyNumberFormat="1" applyFont="1" applyBorder="1"/>
    <xf numFmtId="44" fontId="12" fillId="0" borderId="11" xfId="17" applyNumberFormat="1" applyFont="1" applyBorder="1"/>
    <xf numFmtId="10" fontId="12" fillId="0" borderId="9" xfId="17" applyNumberFormat="1" applyFont="1" applyBorder="1"/>
    <xf numFmtId="10" fontId="38" fillId="0" borderId="9" xfId="17" applyNumberFormat="1" applyFont="1" applyBorder="1"/>
    <xf numFmtId="10" fontId="38" fillId="0" borderId="53" xfId="17" applyNumberFormat="1" applyFont="1" applyBorder="1"/>
    <xf numFmtId="10" fontId="38" fillId="0" borderId="9" xfId="18" applyNumberFormat="1" applyFont="1" applyBorder="1"/>
    <xf numFmtId="0" fontId="28" fillId="8" borderId="12" xfId="17" applyFont="1" applyFill="1" applyBorder="1" applyAlignment="1">
      <alignment horizontal="right"/>
    </xf>
    <xf numFmtId="0" fontId="28" fillId="8" borderId="11" xfId="17" applyFont="1" applyFill="1" applyBorder="1" applyAlignment="1">
      <alignment horizontal="right"/>
    </xf>
    <xf numFmtId="0" fontId="12" fillId="0" borderId="45" xfId="17" applyFont="1" applyBorder="1" applyAlignment="1">
      <alignment horizontal="right"/>
    </xf>
    <xf numFmtId="0" fontId="12" fillId="0" borderId="6" xfId="17" applyFont="1" applyBorder="1" applyAlignment="1">
      <alignment horizontal="right"/>
    </xf>
    <xf numFmtId="166" fontId="12" fillId="0" borderId="0" xfId="17" applyNumberFormat="1" applyFont="1" applyBorder="1"/>
    <xf numFmtId="166" fontId="12" fillId="0" borderId="12" xfId="17" applyNumberFormat="1" applyFont="1" applyBorder="1"/>
    <xf numFmtId="166" fontId="12" fillId="0" borderId="11" xfId="17" applyNumberFormat="1" applyFont="1" applyBorder="1"/>
    <xf numFmtId="10" fontId="12" fillId="0" borderId="53" xfId="17" applyNumberFormat="1" applyFont="1" applyBorder="1"/>
    <xf numFmtId="44" fontId="12" fillId="0" borderId="4" xfId="18" applyFont="1" applyBorder="1" applyAlignment="1">
      <alignment horizontal="left"/>
    </xf>
    <xf numFmtId="0" fontId="37" fillId="5" borderId="12" xfId="17" applyFont="1" applyFill="1" applyBorder="1" applyAlignment="1">
      <alignment horizontal="right"/>
    </xf>
    <xf numFmtId="0" fontId="37" fillId="5" borderId="11" xfId="17" applyFont="1" applyFill="1" applyBorder="1" applyAlignment="1">
      <alignment horizontal="right"/>
    </xf>
    <xf numFmtId="0" fontId="11" fillId="6" borderId="32" xfId="0" applyFont="1" applyFill="1" applyBorder="1" applyAlignment="1">
      <alignment horizontal="center"/>
    </xf>
    <xf numFmtId="0" fontId="11" fillId="6" borderId="29" xfId="0" applyFont="1" applyFill="1" applyBorder="1" applyAlignment="1">
      <alignment horizontal="center"/>
    </xf>
    <xf numFmtId="0" fontId="11" fillId="6" borderId="30" xfId="0" applyFont="1" applyFill="1" applyBorder="1" applyAlignment="1">
      <alignment horizontal="center"/>
    </xf>
    <xf numFmtId="10" fontId="10" fillId="0" borderId="23" xfId="0" applyNumberFormat="1" applyFont="1" applyBorder="1" applyAlignment="1">
      <alignment horizontal="right"/>
    </xf>
    <xf numFmtId="10" fontId="10" fillId="0" borderId="39" xfId="2" applyNumberFormat="1" applyFont="1" applyFill="1" applyBorder="1"/>
    <xf numFmtId="0" fontId="37" fillId="0" borderId="54" xfId="17" applyFont="1" applyBorder="1"/>
    <xf numFmtId="0" fontId="28" fillId="9" borderId="10" xfId="17" applyFont="1" applyFill="1" applyBorder="1"/>
    <xf numFmtId="10" fontId="28" fillId="9" borderId="11" xfId="19" applyNumberFormat="1" applyFont="1" applyFill="1" applyBorder="1" applyAlignment="1"/>
    <xf numFmtId="0" fontId="28" fillId="9" borderId="4" xfId="17" applyFont="1" applyFill="1" applyBorder="1"/>
    <xf numFmtId="0" fontId="43" fillId="9" borderId="0" xfId="17" applyFont="1" applyFill="1"/>
    <xf numFmtId="44" fontId="43" fillId="9" borderId="0" xfId="17" applyNumberFormat="1" applyFont="1" applyFill="1"/>
    <xf numFmtId="44" fontId="43" fillId="9" borderId="52" xfId="17" applyNumberFormat="1" applyFont="1" applyFill="1" applyBorder="1"/>
    <xf numFmtId="0" fontId="15" fillId="7" borderId="14" xfId="0" applyFont="1" applyFill="1" applyBorder="1"/>
    <xf numFmtId="2" fontId="15" fillId="7" borderId="15" xfId="0" applyNumberFormat="1" applyFont="1" applyFill="1" applyBorder="1"/>
    <xf numFmtId="0" fontId="15" fillId="7" borderId="17" xfId="0" applyFont="1" applyFill="1" applyBorder="1"/>
    <xf numFmtId="10" fontId="15" fillId="7" borderId="16" xfId="0" applyNumberFormat="1" applyFont="1" applyFill="1" applyBorder="1"/>
    <xf numFmtId="0" fontId="15" fillId="7" borderId="10" xfId="0" applyFont="1" applyFill="1" applyBorder="1"/>
    <xf numFmtId="10" fontId="15" fillId="7" borderId="11" xfId="0" applyNumberFormat="1" applyFont="1" applyFill="1" applyBorder="1"/>
    <xf numFmtId="10" fontId="15" fillId="7" borderId="15" xfId="0" applyNumberFormat="1" applyFont="1" applyFill="1" applyBorder="1"/>
    <xf numFmtId="10" fontId="15" fillId="7" borderId="15" xfId="2" applyNumberFormat="1" applyFont="1" applyFill="1" applyBorder="1"/>
    <xf numFmtId="10" fontId="15" fillId="7" borderId="11" xfId="2" applyNumberFormat="1" applyFont="1" applyFill="1" applyBorder="1"/>
    <xf numFmtId="0" fontId="17" fillId="7" borderId="36" xfId="0" applyFont="1" applyFill="1" applyBorder="1"/>
    <xf numFmtId="0" fontId="17" fillId="7" borderId="37" xfId="0" applyFont="1" applyFill="1" applyBorder="1"/>
    <xf numFmtId="10" fontId="17" fillId="7" borderId="38" xfId="2" applyNumberFormat="1" applyFont="1" applyFill="1" applyBorder="1" applyAlignment="1">
      <alignment horizontal="right"/>
    </xf>
    <xf numFmtId="0" fontId="18" fillId="7" borderId="7" xfId="0" applyFont="1" applyFill="1" applyBorder="1"/>
    <xf numFmtId="166" fontId="12" fillId="0" borderId="0" xfId="17" applyNumberFormat="1" applyFont="1" applyAlignment="1">
      <alignment horizontal="left"/>
    </xf>
    <xf numFmtId="10" fontId="12" fillId="0" borderId="0" xfId="2" applyNumberFormat="1" applyFont="1" applyBorder="1"/>
    <xf numFmtId="10" fontId="12" fillId="0" borderId="9" xfId="2" applyNumberFormat="1" applyFont="1" applyBorder="1"/>
    <xf numFmtId="10" fontId="18" fillId="7" borderId="8" xfId="0" applyNumberFormat="1" applyFont="1" applyFill="1" applyBorder="1"/>
    <xf numFmtId="10" fontId="18" fillId="7" borderId="8" xfId="2" applyNumberFormat="1" applyFont="1" applyFill="1" applyBorder="1"/>
    <xf numFmtId="10" fontId="22" fillId="0" borderId="21" xfId="0" applyNumberFormat="1" applyFont="1" applyBorder="1"/>
    <xf numFmtId="10" fontId="22" fillId="0" borderId="23" xfId="0" applyNumberFormat="1" applyFont="1" applyBorder="1"/>
    <xf numFmtId="10" fontId="22" fillId="0" borderId="26" xfId="0" applyNumberFormat="1" applyFont="1" applyBorder="1"/>
    <xf numFmtId="10" fontId="12" fillId="0" borderId="0" xfId="2" applyNumberFormat="1" applyFont="1"/>
    <xf numFmtId="44" fontId="12" fillId="0" borderId="0" xfId="1" applyFont="1"/>
    <xf numFmtId="2" fontId="12" fillId="0" borderId="0" xfId="2" applyNumberFormat="1" applyFont="1"/>
    <xf numFmtId="2" fontId="12" fillId="0" borderId="9" xfId="2" applyNumberFormat="1" applyFont="1" applyBorder="1"/>
    <xf numFmtId="0" fontId="12" fillId="0" borderId="0" xfId="1" applyNumberFormat="1" applyFont="1" applyBorder="1"/>
    <xf numFmtId="178" fontId="12" fillId="0" borderId="9" xfId="19" applyNumberFormat="1" applyFont="1" applyBorder="1"/>
    <xf numFmtId="0" fontId="12" fillId="0" borderId="0" xfId="19" applyNumberFormat="1" applyFont="1" applyBorder="1"/>
    <xf numFmtId="9" fontId="12" fillId="0" borderId="0" xfId="2" applyFont="1"/>
    <xf numFmtId="2" fontId="12" fillId="0" borderId="9" xfId="19" applyNumberFormat="1" applyFont="1" applyBorder="1"/>
    <xf numFmtId="0" fontId="37" fillId="0" borderId="0" xfId="17" applyFont="1"/>
    <xf numFmtId="10" fontId="37" fillId="0" borderId="0" xfId="19" applyNumberFormat="1" applyFont="1"/>
    <xf numFmtId="9" fontId="12" fillId="0" borderId="9" xfId="2" applyFont="1" applyBorder="1"/>
    <xf numFmtId="0" fontId="44" fillId="0" borderId="4" xfId="17" applyFont="1" applyBorder="1"/>
    <xf numFmtId="0" fontId="44" fillId="0" borderId="0" xfId="17" applyFont="1"/>
    <xf numFmtId="44" fontId="44" fillId="0" borderId="0" xfId="18" applyFont="1" applyBorder="1"/>
    <xf numFmtId="44" fontId="44" fillId="0" borderId="9" xfId="18" applyFont="1" applyBorder="1"/>
    <xf numFmtId="44" fontId="44" fillId="0" borderId="0" xfId="17" applyNumberFormat="1" applyFont="1"/>
    <xf numFmtId="44" fontId="44" fillId="0" borderId="9" xfId="17" applyNumberFormat="1" applyFont="1" applyBorder="1"/>
    <xf numFmtId="0" fontId="45" fillId="0" borderId="4" xfId="17" applyFont="1" applyBorder="1"/>
    <xf numFmtId="10" fontId="45" fillId="0" borderId="0" xfId="19" applyNumberFormat="1" applyFont="1" applyBorder="1"/>
    <xf numFmtId="10" fontId="45" fillId="0" borderId="9" xfId="19" applyNumberFormat="1" applyFont="1" applyBorder="1"/>
    <xf numFmtId="10" fontId="44" fillId="0" borderId="0" xfId="17" applyNumberFormat="1" applyFont="1"/>
    <xf numFmtId="10" fontId="44" fillId="0" borderId="9" xfId="17" applyNumberFormat="1" applyFont="1" applyBorder="1"/>
    <xf numFmtId="166" fontId="44" fillId="0" borderId="0" xfId="17" applyNumberFormat="1" applyFont="1" applyBorder="1"/>
    <xf numFmtId="166" fontId="44" fillId="0" borderId="9" xfId="17" applyNumberFormat="1" applyFont="1" applyBorder="1"/>
    <xf numFmtId="44" fontId="12" fillId="0" borderId="4" xfId="1" applyFont="1" applyBorder="1"/>
    <xf numFmtId="0" fontId="11" fillId="6" borderId="7" xfId="0" applyFont="1" applyFill="1" applyBorder="1" applyAlignment="1">
      <alignment horizontal="center"/>
    </xf>
    <xf numFmtId="0" fontId="40" fillId="8" borderId="8" xfId="0" applyFont="1" applyFill="1" applyBorder="1" applyAlignment="1">
      <alignment horizontal="center"/>
    </xf>
    <xf numFmtId="0" fontId="15" fillId="6" borderId="7" xfId="0" applyFont="1" applyFill="1" applyBorder="1" applyAlignment="1">
      <alignment horizontal="center"/>
    </xf>
    <xf numFmtId="0" fontId="15" fillId="6" borderId="8" xfId="0" applyFont="1" applyFill="1" applyBorder="1" applyAlignment="1">
      <alignment horizontal="center"/>
    </xf>
    <xf numFmtId="0" fontId="4" fillId="6" borderId="0" xfId="4" applyFill="1" applyBorder="1" applyAlignment="1">
      <alignment horizontal="left" vertical="center" readingOrder="1"/>
    </xf>
    <xf numFmtId="0" fontId="4" fillId="6" borderId="25" xfId="4" applyFill="1" applyBorder="1" applyAlignment="1">
      <alignment horizontal="left" vertical="center" readingOrder="1"/>
    </xf>
    <xf numFmtId="0" fontId="5" fillId="6" borderId="33" xfId="4" applyFont="1" applyFill="1" applyBorder="1" applyAlignment="1">
      <alignment horizontal="left" vertical="center" readingOrder="1"/>
    </xf>
    <xf numFmtId="0" fontId="28" fillId="8" borderId="46" xfId="17" applyFont="1" applyFill="1" applyBorder="1" applyAlignment="1">
      <alignment horizontal="center"/>
    </xf>
    <xf numFmtId="0" fontId="28" fillId="8" borderId="45" xfId="17" applyFont="1" applyFill="1" applyBorder="1" applyAlignment="1">
      <alignment horizontal="center"/>
    </xf>
    <xf numFmtId="0" fontId="28" fillId="8" borderId="6" xfId="17" applyFont="1" applyFill="1" applyBorder="1" applyAlignment="1">
      <alignment horizontal="center"/>
    </xf>
    <xf numFmtId="0" fontId="5" fillId="6" borderId="12" xfId="5" applyFont="1" applyFill="1" applyBorder="1" applyAlignment="1">
      <alignment horizontal="center" vertical="center"/>
    </xf>
    <xf numFmtId="0" fontId="37" fillId="5" borderId="46" xfId="17" applyFont="1" applyFill="1" applyBorder="1" applyAlignment="1">
      <alignment horizontal="center"/>
    </xf>
    <xf numFmtId="0" fontId="37" fillId="5" borderId="6" xfId="17" applyFont="1" applyFill="1" applyBorder="1" applyAlignment="1">
      <alignment horizontal="center"/>
    </xf>
    <xf numFmtId="0" fontId="37" fillId="5" borderId="45" xfId="17" applyFont="1" applyFill="1" applyBorder="1" applyAlignment="1">
      <alignment horizontal="center"/>
    </xf>
    <xf numFmtId="0" fontId="28" fillId="8" borderId="46" xfId="17" applyFont="1" applyFill="1" applyBorder="1" applyAlignment="1">
      <alignment horizontal="center" vertical="center"/>
    </xf>
    <xf numFmtId="0" fontId="28" fillId="8" borderId="6" xfId="17" applyFont="1" applyFill="1" applyBorder="1" applyAlignment="1">
      <alignment horizontal="center" vertical="center"/>
    </xf>
    <xf numFmtId="0" fontId="28" fillId="8" borderId="45" xfId="17" applyFont="1" applyFill="1" applyBorder="1" applyAlignment="1">
      <alignment horizontal="center" vertical="center"/>
    </xf>
    <xf numFmtId="0" fontId="28" fillId="8" borderId="10" xfId="17" applyFont="1" applyFill="1" applyBorder="1" applyAlignment="1">
      <alignment horizontal="center" vertical="center"/>
    </xf>
    <xf numFmtId="0" fontId="28" fillId="8" borderId="12" xfId="17" applyFont="1" applyFill="1" applyBorder="1" applyAlignment="1">
      <alignment horizontal="center" vertical="center"/>
    </xf>
    <xf numFmtId="0" fontId="28" fillId="8" borderId="11" xfId="17" applyFont="1" applyFill="1" applyBorder="1" applyAlignment="1">
      <alignment horizontal="center" vertical="center"/>
    </xf>
    <xf numFmtId="0" fontId="18" fillId="8" borderId="18" xfId="0" applyFont="1" applyFill="1" applyBorder="1" applyAlignment="1">
      <alignment horizontal="center"/>
    </xf>
    <xf numFmtId="0" fontId="18" fillId="8" borderId="27" xfId="0" applyFont="1" applyFill="1" applyBorder="1" applyAlignment="1">
      <alignment horizontal="center"/>
    </xf>
    <xf numFmtId="0" fontId="20" fillId="0" borderId="0" xfId="0" applyFont="1" applyFill="1" applyBorder="1" applyAlignment="1">
      <alignment horizontal="center"/>
    </xf>
    <xf numFmtId="0" fontId="22" fillId="0" borderId="0" xfId="0" applyFont="1" applyFill="1" applyBorder="1" applyAlignment="1">
      <alignment wrapText="1"/>
    </xf>
    <xf numFmtId="0" fontId="18" fillId="6" borderId="7" xfId="0" applyFont="1" applyFill="1" applyBorder="1" applyAlignment="1">
      <alignment horizontal="center"/>
    </xf>
    <xf numFmtId="0" fontId="18" fillId="6" borderId="8" xfId="0" applyFont="1" applyFill="1" applyBorder="1" applyAlignment="1">
      <alignment horizontal="center"/>
    </xf>
    <xf numFmtId="0" fontId="18" fillId="6" borderId="18" xfId="0" applyFont="1" applyFill="1" applyBorder="1" applyAlignment="1">
      <alignment horizontal="center"/>
    </xf>
    <xf numFmtId="0" fontId="18" fillId="7" borderId="7" xfId="0" applyFont="1" applyFill="1" applyBorder="1" applyAlignment="1">
      <alignment horizontal="center"/>
    </xf>
    <xf numFmtId="0" fontId="18" fillId="7" borderId="18" xfId="0" applyFont="1" applyFill="1" applyBorder="1" applyAlignment="1">
      <alignment horizontal="center"/>
    </xf>
    <xf numFmtId="0" fontId="28" fillId="8" borderId="0" xfId="0" applyFont="1" applyFill="1" applyAlignment="1">
      <alignment horizontal="left" vertical="center"/>
    </xf>
    <xf numFmtId="0" fontId="38" fillId="13" borderId="0" xfId="0" applyFont="1" applyFill="1" applyAlignment="1">
      <alignment horizontal="left" vertical="center" wrapText="1"/>
    </xf>
    <xf numFmtId="0" fontId="9" fillId="12" borderId="6" xfId="15" applyFill="1" applyAlignment="1">
      <alignment horizontal="left" vertical="center" wrapText="1"/>
    </xf>
    <xf numFmtId="0" fontId="9" fillId="12" borderId="0" xfId="15" applyFill="1" applyBorder="1" applyAlignment="1">
      <alignment horizontal="left" vertical="center" wrapText="1"/>
    </xf>
    <xf numFmtId="0" fontId="38" fillId="13" borderId="6" xfId="0" applyFont="1" applyFill="1" applyBorder="1" applyAlignment="1">
      <alignment horizontal="left" vertical="center" wrapText="1"/>
    </xf>
    <xf numFmtId="0" fontId="4" fillId="6" borderId="9" xfId="4" applyFill="1" applyBorder="1" applyAlignment="1">
      <alignment horizontal="left" vertical="center" readingOrder="1"/>
    </xf>
    <xf numFmtId="0" fontId="4" fillId="6" borderId="43" xfId="4" applyFill="1" applyBorder="1" applyAlignment="1">
      <alignment horizontal="left" vertical="center" readingOrder="1"/>
    </xf>
    <xf numFmtId="0" fontId="5" fillId="6" borderId="44" xfId="4" applyFont="1" applyFill="1" applyBorder="1" applyAlignment="1">
      <alignment horizontal="left" vertical="center" readingOrder="1"/>
    </xf>
    <xf numFmtId="0" fontId="5" fillId="6" borderId="20" xfId="4" applyFont="1" applyFill="1" applyBorder="1" applyAlignment="1">
      <alignment horizontal="left" vertical="center" readingOrder="1"/>
    </xf>
    <xf numFmtId="0" fontId="5" fillId="6" borderId="42" xfId="4" applyFont="1" applyFill="1" applyBorder="1" applyAlignment="1">
      <alignment horizontal="left" vertical="center" readingOrder="1"/>
    </xf>
    <xf numFmtId="2" fontId="12" fillId="0" borderId="0" xfId="17" applyNumberFormat="1" applyFont="1"/>
  </cellXfs>
  <cellStyles count="20">
    <cellStyle name="blp_column_header" xfId="3" xr:uid="{994BE840-6155-BE48-8BA4-003523F02DE4}"/>
    <cellStyle name="blp_title_header_row_left" xfId="4" xr:uid="{574A9792-ECF9-284D-83CE-22B203E242D9}"/>
    <cellStyle name="Currency" xfId="1" builtinId="4"/>
    <cellStyle name="Currency 2" xfId="18" xr:uid="{B614BA9E-18A2-4B2A-A5F4-7D09F5BC15F7}"/>
    <cellStyle name="fa_column_header_bottom" xfId="8" xr:uid="{DB77A27C-D906-1A4E-BDAC-2A5918AC5F3A}"/>
    <cellStyle name="fa_column_header_bottom_left" xfId="7" xr:uid="{3B4F99EC-6171-B241-B55B-61982E42C4FC}"/>
    <cellStyle name="fa_column_header_top" xfId="6" xr:uid="{1444757B-6D4D-6148-A8E4-69AD0AEC5071}"/>
    <cellStyle name="fa_column_header_top_left" xfId="5" xr:uid="{73BCDD4C-15E4-FD41-BCC0-D9E8B336A2D2}"/>
    <cellStyle name="fa_data_bold_0_grouped" xfId="10" xr:uid="{BEF2FDF4-508B-2542-B304-F629E6B6E0F2}"/>
    <cellStyle name="fa_data_bold_1_grouped" xfId="12" xr:uid="{B1528B51-E7A8-8C48-BD73-DF9332CCF26E}"/>
    <cellStyle name="fa_data_bold_2_grouped" xfId="16" xr:uid="{96A10B16-D19A-0646-B45E-3C936B966D24}"/>
    <cellStyle name="fa_data_italic_1_grouped" xfId="14" xr:uid="{A2404981-D1D1-9948-9BDD-6C587FD8F48E}"/>
    <cellStyle name="fa_footer_italic" xfId="15" xr:uid="{541192A9-AC06-254B-826C-6A2102CF00FB}"/>
    <cellStyle name="fa_row_header_bold" xfId="9" xr:uid="{61B27E47-2F57-3149-87EC-E4EDE1A2A940}"/>
    <cellStyle name="fa_row_header_italic" xfId="13" xr:uid="{69DF1D1C-A5B7-854D-B3A7-A85F411D7A14}"/>
    <cellStyle name="fa_row_header_standard" xfId="11" xr:uid="{E7A4B25E-4C1F-124F-8FC5-28AD98DC47F8}"/>
    <cellStyle name="Normal" xfId="0" builtinId="0"/>
    <cellStyle name="Normal 2" xfId="17" xr:uid="{2476322F-D7E6-4A48-A63D-82B1D48B7FEB}"/>
    <cellStyle name="Percent" xfId="2" builtinId="5"/>
    <cellStyle name="Percent 2" xfId="19" xr:uid="{818BDA13-44D6-4D5E-931F-C56E35C7C8ED}"/>
  </cellStyles>
  <dxfs count="0"/>
  <tableStyles count="0" defaultTableStyle="TableStyleMedium2" defaultPivotStyle="PivotStyleLight16"/>
  <colors>
    <mruColors>
      <color rgb="FF00AC6F"/>
      <color rgb="FF007049"/>
      <color rgb="FF00A469"/>
      <color rgb="FFFD1801"/>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933450</xdr:colOff>
      <xdr:row>4</xdr:row>
      <xdr:rowOff>14645</xdr:rowOff>
    </xdr:from>
    <xdr:to>
      <xdr:col>11</xdr:col>
      <xdr:colOff>64542</xdr:colOff>
      <xdr:row>17</xdr:row>
      <xdr:rowOff>95250</xdr:rowOff>
    </xdr:to>
    <xdr:pic>
      <xdr:nvPicPr>
        <xdr:cNvPr id="4" name="Picture 3" descr="Hess Corporation - Wikipedia">
          <a:extLst>
            <a:ext uri="{FF2B5EF4-FFF2-40B4-BE49-F238E27FC236}">
              <a16:creationId xmlns:a16="http://schemas.microsoft.com/office/drawing/2014/main" id="{D5F42B3F-3EFB-4A2E-9ABE-FA730EEF27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86625" y="824270"/>
          <a:ext cx="4579392" cy="2728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692603</xdr:colOff>
      <xdr:row>5</xdr:row>
      <xdr:rowOff>164326</xdr:rowOff>
    </xdr:from>
    <xdr:to>
      <xdr:col>9</xdr:col>
      <xdr:colOff>503463</xdr:colOff>
      <xdr:row>20</xdr:row>
      <xdr:rowOff>44943</xdr:rowOff>
    </xdr:to>
    <xdr:pic>
      <xdr:nvPicPr>
        <xdr:cNvPr id="3" name="Picture 2" descr="Hess Corporation - Wikipedia">
          <a:extLst>
            <a:ext uri="{FF2B5EF4-FFF2-40B4-BE49-F238E27FC236}">
              <a16:creationId xmlns:a16="http://schemas.microsoft.com/office/drawing/2014/main" id="{E4C20E68-A5E9-4CEA-842E-E9427998C7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532" y="1184862"/>
          <a:ext cx="4872717" cy="2942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517071</xdr:colOff>
      <xdr:row>19</xdr:row>
      <xdr:rowOff>190500</xdr:rowOff>
    </xdr:from>
    <xdr:to>
      <xdr:col>15</xdr:col>
      <xdr:colOff>81643</xdr:colOff>
      <xdr:row>34</xdr:row>
      <xdr:rowOff>122464</xdr:rowOff>
    </xdr:to>
    <xdr:sp macro="" textlink="">
      <xdr:nvSpPr>
        <xdr:cNvPr id="2" name="Arrow: Right 1">
          <a:extLst>
            <a:ext uri="{FF2B5EF4-FFF2-40B4-BE49-F238E27FC236}">
              <a16:creationId xmlns:a16="http://schemas.microsoft.com/office/drawing/2014/main" id="{B8CAE53C-57DE-430D-85F0-5702ABE4159E}"/>
            </a:ext>
          </a:extLst>
        </xdr:cNvPr>
        <xdr:cNvSpPr/>
      </xdr:nvSpPr>
      <xdr:spPr>
        <a:xfrm>
          <a:off x="1360714" y="4068536"/>
          <a:ext cx="9946822" cy="2993571"/>
        </a:xfrm>
        <a:prstGeom prst="rightArrow">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53</xdr:row>
      <xdr:rowOff>85726</xdr:rowOff>
    </xdr:from>
    <xdr:to>
      <xdr:col>5</xdr:col>
      <xdr:colOff>714375</xdr:colOff>
      <xdr:row>53</xdr:row>
      <xdr:rowOff>2377136</xdr:rowOff>
    </xdr:to>
    <xdr:pic>
      <xdr:nvPicPr>
        <xdr:cNvPr id="2" name="Picture 3">
          <a:extLst>
            <a:ext uri="{FF2B5EF4-FFF2-40B4-BE49-F238E27FC236}">
              <a16:creationId xmlns:a16="http://schemas.microsoft.com/office/drawing/2014/main" id="{98DEFAC6-9E35-45BD-9EA8-276B05373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1601451"/>
          <a:ext cx="6210300" cy="2291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ket/Downloads/ExxonMobil%20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ACC"/>
      <sheetName val="Relative Valuation"/>
      <sheetName val="Base DCF"/>
      <sheetName val="Bear DCF"/>
      <sheetName val="Bull DCF"/>
      <sheetName val="Income Statement"/>
      <sheetName val="Balance Sheet"/>
      <sheetName val="Cash Flow"/>
      <sheetName val="Key Stats"/>
    </sheetNames>
    <sheetDataSet>
      <sheetData sheetId="0" refreshError="1"/>
      <sheetData sheetId="1">
        <row r="24">
          <cell r="D24">
            <v>0.21310000000000001</v>
          </cell>
        </row>
      </sheetData>
      <sheetData sheetId="2">
        <row r="37">
          <cell r="C37">
            <v>46227</v>
          </cell>
        </row>
        <row r="38">
          <cell r="G38">
            <v>0.1838965400830338</v>
          </cell>
          <cell r="H38">
            <v>93.05847080833226</v>
          </cell>
        </row>
      </sheetData>
      <sheetData sheetId="3" refreshError="1"/>
      <sheetData sheetId="4" refreshError="1"/>
      <sheetData sheetId="5" refreshError="1"/>
      <sheetData sheetId="6">
        <row r="17">
          <cell r="B17">
            <v>237162</v>
          </cell>
        </row>
      </sheetData>
      <sheetData sheetId="7">
        <row r="17">
          <cell r="F17">
            <v>6802</v>
          </cell>
        </row>
      </sheetData>
      <sheetData sheetId="8">
        <row r="31">
          <cell r="B31">
            <v>-15402</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48DD-CA1E-E14D-AE04-9978591580E2}">
  <dimension ref="C4:K28"/>
  <sheetViews>
    <sheetView showGridLines="0" tabSelected="1" workbookViewId="0">
      <selection activeCell="H29" sqref="H29"/>
    </sheetView>
  </sheetViews>
  <sheetFormatPr defaultColWidth="11" defaultRowHeight="15.75" x14ac:dyDescent="0.25"/>
  <cols>
    <col min="2" max="2" width="5.125" customWidth="1"/>
    <col min="3" max="3" width="18.125" customWidth="1"/>
    <col min="5" max="5" width="22" customWidth="1"/>
    <col min="6" max="6" width="16.125" customWidth="1"/>
    <col min="7" max="7" width="13.875" customWidth="1"/>
    <col min="8" max="8" width="15.125" customWidth="1"/>
    <col min="10" max="10" width="16.125" customWidth="1"/>
    <col min="11" max="11" width="15.375" customWidth="1"/>
    <col min="12" max="12" width="14" customWidth="1"/>
    <col min="13" max="13" width="24.625" customWidth="1"/>
    <col min="14" max="14" width="15.875" customWidth="1"/>
    <col min="15" max="15" width="18.5" customWidth="1"/>
    <col min="16" max="16" width="18.625" customWidth="1"/>
  </cols>
  <sheetData>
    <row r="4" spans="3:11" ht="16.5" thickBot="1" x14ac:dyDescent="0.3"/>
    <row r="5" spans="3:11" x14ac:dyDescent="0.25">
      <c r="C5" s="145" t="s">
        <v>85</v>
      </c>
      <c r="D5" s="73"/>
      <c r="E5" s="74" t="s">
        <v>88</v>
      </c>
    </row>
    <row r="6" spans="3:11" ht="16.5" thickBot="1" x14ac:dyDescent="0.3">
      <c r="C6" s="146" t="s">
        <v>53</v>
      </c>
      <c r="D6" s="42"/>
      <c r="E6" s="43">
        <v>107.63</v>
      </c>
    </row>
    <row r="8" spans="3:11" x14ac:dyDescent="0.25">
      <c r="G8" s="12"/>
      <c r="K8" s="12"/>
    </row>
    <row r="9" spans="3:11" ht="16.5" thickBot="1" x14ac:dyDescent="0.3">
      <c r="G9" s="12"/>
      <c r="K9" s="12"/>
    </row>
    <row r="10" spans="3:11" ht="16.5" thickBot="1" x14ac:dyDescent="0.3">
      <c r="C10" s="295" t="s">
        <v>54</v>
      </c>
      <c r="D10" s="296"/>
      <c r="G10" s="12"/>
      <c r="H10" s="12"/>
      <c r="I10" s="12"/>
      <c r="J10" s="12"/>
      <c r="K10" s="12"/>
    </row>
    <row r="11" spans="3:11" x14ac:dyDescent="0.25">
      <c r="C11" s="45" t="s">
        <v>24</v>
      </c>
      <c r="D11" s="46">
        <f>Beta</f>
        <v>1.77</v>
      </c>
      <c r="G11" s="12"/>
      <c r="H11" s="12"/>
      <c r="I11" s="12"/>
      <c r="J11" s="12"/>
      <c r="K11" s="12"/>
    </row>
    <row r="12" spans="3:11" x14ac:dyDescent="0.25">
      <c r="C12" s="45" t="s">
        <v>3</v>
      </c>
      <c r="D12" s="47">
        <f>'Key Stats'!B36</f>
        <v>308.12952300000001</v>
      </c>
      <c r="G12" s="12"/>
      <c r="H12" s="12"/>
      <c r="I12" s="12"/>
      <c r="J12" s="12"/>
      <c r="K12" s="12"/>
    </row>
    <row r="13" spans="3:11" x14ac:dyDescent="0.25">
      <c r="C13" s="45" t="s">
        <v>55</v>
      </c>
      <c r="D13" s="48">
        <f>Equity</f>
        <v>30014.896835</v>
      </c>
      <c r="G13" s="12"/>
      <c r="H13" s="12"/>
      <c r="I13" s="12"/>
      <c r="J13" s="12"/>
      <c r="K13" s="12"/>
    </row>
    <row r="14" spans="3:11" ht="16.5" thickBot="1" x14ac:dyDescent="0.3">
      <c r="C14" s="49" t="s">
        <v>22</v>
      </c>
      <c r="D14" s="144">
        <f>WACC</f>
        <v>8.4995069288908556E-2</v>
      </c>
      <c r="G14" s="12"/>
      <c r="H14" s="12"/>
      <c r="I14" s="12"/>
      <c r="J14" s="12"/>
    </row>
    <row r="15" spans="3:11" x14ac:dyDescent="0.25">
      <c r="G15" s="13"/>
      <c r="H15" s="12"/>
      <c r="I15" s="12"/>
      <c r="J15" s="12"/>
    </row>
    <row r="16" spans="3:11" ht="16.5" thickBot="1" x14ac:dyDescent="0.3">
      <c r="G16" s="12"/>
      <c r="H16" s="12"/>
      <c r="I16" s="12"/>
      <c r="J16" s="12"/>
    </row>
    <row r="17" spans="3:11" x14ac:dyDescent="0.25">
      <c r="C17" s="236" t="s">
        <v>47</v>
      </c>
      <c r="D17" s="237" t="s">
        <v>48</v>
      </c>
      <c r="E17" s="238" t="s">
        <v>49</v>
      </c>
      <c r="F17" s="12"/>
      <c r="G17" s="12"/>
      <c r="H17" s="12"/>
      <c r="I17" s="12"/>
    </row>
    <row r="18" spans="3:11" x14ac:dyDescent="0.25">
      <c r="C18" s="44" t="s">
        <v>51</v>
      </c>
      <c r="D18" s="15">
        <v>0.2</v>
      </c>
      <c r="E18" s="239">
        <f>'Bear DCF'!C73</f>
        <v>-0.25480014403550044</v>
      </c>
      <c r="F18" s="12"/>
      <c r="G18" s="12"/>
      <c r="H18" s="12"/>
      <c r="I18" s="12"/>
    </row>
    <row r="19" spans="3:11" x14ac:dyDescent="0.25">
      <c r="C19" s="45" t="s">
        <v>37</v>
      </c>
      <c r="D19" s="15">
        <v>0.55000000000000004</v>
      </c>
      <c r="E19" s="239">
        <f>'Base DCF'!C73</f>
        <v>0.20550405043901279</v>
      </c>
      <c r="F19" s="12"/>
      <c r="G19" s="12"/>
      <c r="H19" s="12"/>
      <c r="I19" s="12"/>
    </row>
    <row r="20" spans="3:11" x14ac:dyDescent="0.25">
      <c r="C20" s="45" t="s">
        <v>52</v>
      </c>
      <c r="D20" s="15">
        <v>0.2</v>
      </c>
      <c r="E20" s="239">
        <f>'Bull DCF'!C73</f>
        <v>0.55464932405192491</v>
      </c>
      <c r="F20" s="12"/>
      <c r="G20" s="12"/>
      <c r="H20" s="12"/>
      <c r="I20" s="12"/>
      <c r="J20" s="12"/>
    </row>
    <row r="21" spans="3:11" x14ac:dyDescent="0.25">
      <c r="C21" s="50" t="s">
        <v>73</v>
      </c>
      <c r="D21" s="15">
        <v>0.05</v>
      </c>
      <c r="E21" s="239">
        <f>'Relative Valuation'!D37</f>
        <v>-0.53807246368318007</v>
      </c>
      <c r="F21" s="12"/>
      <c r="G21" s="12"/>
      <c r="H21" s="12"/>
      <c r="I21" s="12"/>
      <c r="J21" s="12"/>
    </row>
    <row r="22" spans="3:11" ht="16.5" thickBot="1" x14ac:dyDescent="0.3">
      <c r="C22" s="257" t="s">
        <v>70</v>
      </c>
      <c r="D22" s="258"/>
      <c r="E22" s="259">
        <f>SUMPRODUCT(D18:D21,E18:E21)</f>
        <v>0.14609344056058293</v>
      </c>
      <c r="F22" s="12"/>
      <c r="G22" s="12"/>
      <c r="H22" s="12"/>
      <c r="I22" s="12"/>
      <c r="J22" s="12"/>
    </row>
    <row r="23" spans="3:11" x14ac:dyDescent="0.25">
      <c r="G23" s="12"/>
      <c r="H23" s="12"/>
      <c r="I23" s="12"/>
      <c r="J23" s="12"/>
      <c r="K23" s="12"/>
    </row>
    <row r="24" spans="3:11" ht="16.5" thickBot="1" x14ac:dyDescent="0.3">
      <c r="C24" s="12"/>
      <c r="D24" s="12"/>
      <c r="E24" s="12"/>
      <c r="F24" s="12"/>
      <c r="G24" s="12"/>
    </row>
    <row r="25" spans="3:11" ht="16.5" thickBot="1" x14ac:dyDescent="0.3">
      <c r="C25" s="295" t="s">
        <v>379</v>
      </c>
      <c r="D25" s="296"/>
      <c r="E25" s="12"/>
      <c r="F25" s="12"/>
      <c r="G25" s="12"/>
    </row>
    <row r="26" spans="3:11" x14ac:dyDescent="0.25">
      <c r="C26" s="45" t="s">
        <v>380</v>
      </c>
      <c r="D26" s="46">
        <f>CurrentPrice</f>
        <v>107.63</v>
      </c>
    </row>
    <row r="27" spans="3:11" x14ac:dyDescent="0.25">
      <c r="C27" s="45" t="s">
        <v>381</v>
      </c>
      <c r="D27" s="240">
        <f>E22</f>
        <v>0.14609344056058293</v>
      </c>
    </row>
    <row r="28" spans="3:11" ht="16.5" thickBot="1" x14ac:dyDescent="0.3">
      <c r="C28" s="147" t="s">
        <v>441</v>
      </c>
      <c r="D28" s="148">
        <f>D26*(1+D27)</f>
        <v>123.35403700753554</v>
      </c>
      <c r="G28" s="12"/>
      <c r="H28" s="12"/>
      <c r="I28" s="12"/>
      <c r="J28" s="12"/>
      <c r="K28" s="12"/>
    </row>
  </sheetData>
  <mergeCells count="2">
    <mergeCell ref="C10:D10"/>
    <mergeCell ref="C25:D2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F87E-AAF1-C74A-B002-EFB1F2624512}">
  <dimension ref="A1:U80"/>
  <sheetViews>
    <sheetView showGridLines="0" workbookViewId="0">
      <pane ySplit="6" topLeftCell="A50" activePane="bottomLeft" state="frozen"/>
      <selection pane="bottomLeft" activeCell="A81" sqref="A81"/>
    </sheetView>
  </sheetViews>
  <sheetFormatPr defaultColWidth="8.875" defaultRowHeight="15" x14ac:dyDescent="0.25"/>
  <cols>
    <col min="1" max="1" width="37.125" style="1" bestFit="1" customWidth="1"/>
    <col min="2" max="11" width="11.875" style="1" customWidth="1"/>
    <col min="12" max="16384" width="8.875" style="1"/>
  </cols>
  <sheetData>
    <row r="1" spans="1:6" ht="21" customHeight="1" x14ac:dyDescent="0.25">
      <c r="A1" s="299" t="s">
        <v>85</v>
      </c>
      <c r="B1" s="299"/>
      <c r="C1" s="299"/>
      <c r="D1" s="299"/>
      <c r="E1" s="299"/>
      <c r="F1" s="329"/>
    </row>
    <row r="2" spans="1:6" ht="15" customHeight="1" x14ac:dyDescent="0.25">
      <c r="A2" s="299"/>
      <c r="B2" s="299"/>
      <c r="C2" s="299"/>
      <c r="D2" s="299"/>
      <c r="E2" s="299"/>
      <c r="F2" s="329"/>
    </row>
    <row r="3" spans="1:6" s="81" customFormat="1" ht="15" customHeight="1" thickBot="1" x14ac:dyDescent="0.3">
      <c r="A3" s="300"/>
      <c r="B3" s="300"/>
      <c r="C3" s="300"/>
      <c r="D3" s="300"/>
      <c r="E3" s="300"/>
      <c r="F3" s="330"/>
    </row>
    <row r="4" spans="1:6" s="81" customFormat="1" ht="23.25" customHeight="1" x14ac:dyDescent="0.25">
      <c r="A4" s="301" t="s">
        <v>260</v>
      </c>
      <c r="B4" s="301"/>
      <c r="C4" s="301"/>
      <c r="D4" s="301"/>
      <c r="E4" s="301"/>
      <c r="F4" s="331"/>
    </row>
    <row r="5" spans="1:6" x14ac:dyDescent="0.25">
      <c r="A5" s="82" t="s">
        <v>373</v>
      </c>
      <c r="B5" s="89">
        <v>43100</v>
      </c>
      <c r="C5" s="89">
        <v>43465</v>
      </c>
      <c r="D5" s="89">
        <v>43830</v>
      </c>
      <c r="E5" s="89">
        <v>44196</v>
      </c>
      <c r="F5" s="89">
        <v>44561</v>
      </c>
    </row>
    <row r="6" spans="1:6" x14ac:dyDescent="0.25">
      <c r="A6" s="75" t="s">
        <v>371</v>
      </c>
      <c r="B6" s="123" t="s">
        <v>95</v>
      </c>
      <c r="C6" s="123" t="s">
        <v>95</v>
      </c>
      <c r="D6" s="123" t="s">
        <v>95</v>
      </c>
      <c r="E6" s="123" t="s">
        <v>95</v>
      </c>
      <c r="F6" s="123" t="s">
        <v>95</v>
      </c>
    </row>
    <row r="7" spans="1:6" x14ac:dyDescent="0.25">
      <c r="A7" s="116" t="s">
        <v>205</v>
      </c>
      <c r="B7" s="105"/>
      <c r="C7" s="105"/>
      <c r="D7" s="105"/>
      <c r="E7" s="105"/>
      <c r="F7" s="105"/>
    </row>
    <row r="8" spans="1:6" x14ac:dyDescent="0.25">
      <c r="A8" s="117" t="s">
        <v>206</v>
      </c>
      <c r="B8" s="104">
        <v>4847</v>
      </c>
      <c r="C8" s="104">
        <v>2694</v>
      </c>
      <c r="D8" s="104">
        <v>1545</v>
      </c>
      <c r="E8" s="104">
        <v>1739</v>
      </c>
      <c r="F8" s="104">
        <v>2713</v>
      </c>
    </row>
    <row r="9" spans="1:6" x14ac:dyDescent="0.25">
      <c r="A9" s="118" t="s">
        <v>207</v>
      </c>
      <c r="B9" s="106">
        <v>4847</v>
      </c>
      <c r="C9" s="106">
        <v>2694</v>
      </c>
      <c r="D9" s="106">
        <v>1545</v>
      </c>
      <c r="E9" s="106">
        <v>1739</v>
      </c>
      <c r="F9" s="106">
        <v>2713</v>
      </c>
    </row>
    <row r="10" spans="1:6" x14ac:dyDescent="0.25">
      <c r="A10" s="105"/>
      <c r="B10" s="105"/>
      <c r="C10" s="105"/>
      <c r="D10" s="105"/>
      <c r="E10" s="105"/>
      <c r="F10" s="105"/>
    </row>
    <row r="11" spans="1:6" x14ac:dyDescent="0.25">
      <c r="A11" s="117" t="s">
        <v>208</v>
      </c>
      <c r="B11" s="104">
        <v>677</v>
      </c>
      <c r="C11" s="104">
        <v>771</v>
      </c>
      <c r="D11" s="104">
        <v>940</v>
      </c>
      <c r="E11" s="104">
        <v>710</v>
      </c>
      <c r="F11" s="104">
        <v>1062</v>
      </c>
    </row>
    <row r="12" spans="1:6" x14ac:dyDescent="0.25">
      <c r="A12" s="117" t="s">
        <v>209</v>
      </c>
      <c r="B12" s="104">
        <v>346</v>
      </c>
      <c r="C12" s="104">
        <v>230</v>
      </c>
      <c r="D12" s="104">
        <v>230</v>
      </c>
      <c r="E12" s="104">
        <v>150</v>
      </c>
      <c r="F12" s="104">
        <v>149</v>
      </c>
    </row>
    <row r="13" spans="1:6" x14ac:dyDescent="0.25">
      <c r="A13" s="118" t="s">
        <v>210</v>
      </c>
      <c r="B13" s="106">
        <v>1023</v>
      </c>
      <c r="C13" s="106">
        <v>1001</v>
      </c>
      <c r="D13" s="106">
        <v>1170</v>
      </c>
      <c r="E13" s="106">
        <v>860</v>
      </c>
      <c r="F13" s="106">
        <v>1211</v>
      </c>
    </row>
    <row r="14" spans="1:6" x14ac:dyDescent="0.25">
      <c r="A14" s="105"/>
      <c r="B14" s="105"/>
      <c r="C14" s="105"/>
      <c r="D14" s="105"/>
      <c r="E14" s="105"/>
      <c r="F14" s="105"/>
    </row>
    <row r="15" spans="1:6" x14ac:dyDescent="0.25">
      <c r="A15" s="117" t="s">
        <v>211</v>
      </c>
      <c r="B15" s="104">
        <v>232</v>
      </c>
      <c r="C15" s="104">
        <v>245</v>
      </c>
      <c r="D15" s="104">
        <v>261</v>
      </c>
      <c r="E15" s="104">
        <v>378</v>
      </c>
      <c r="F15" s="104">
        <v>223</v>
      </c>
    </row>
    <row r="16" spans="1:6" x14ac:dyDescent="0.25">
      <c r="A16" s="117" t="s">
        <v>212</v>
      </c>
      <c r="B16" s="104">
        <v>55</v>
      </c>
      <c r="C16" s="104">
        <v>519</v>
      </c>
      <c r="D16" s="104">
        <v>180</v>
      </c>
      <c r="E16" s="104">
        <v>104</v>
      </c>
      <c r="F16" s="104">
        <v>199</v>
      </c>
    </row>
    <row r="17" spans="1:6" x14ac:dyDescent="0.25">
      <c r="A17" s="118" t="s">
        <v>213</v>
      </c>
      <c r="B17" s="106">
        <v>6157</v>
      </c>
      <c r="C17" s="106">
        <v>4459</v>
      </c>
      <c r="D17" s="106">
        <v>3156</v>
      </c>
      <c r="E17" s="106">
        <v>3081</v>
      </c>
      <c r="F17" s="106">
        <v>4346</v>
      </c>
    </row>
    <row r="18" spans="1:6" x14ac:dyDescent="0.25">
      <c r="A18" s="105"/>
      <c r="B18" s="105"/>
      <c r="C18" s="105"/>
      <c r="D18" s="105"/>
      <c r="E18" s="105"/>
      <c r="F18" s="105"/>
    </row>
    <row r="19" spans="1:6" x14ac:dyDescent="0.25">
      <c r="A19" s="117" t="s">
        <v>214</v>
      </c>
      <c r="B19" s="104">
        <v>32504</v>
      </c>
      <c r="C19" s="104">
        <v>33222</v>
      </c>
      <c r="D19" s="104">
        <v>36648</v>
      </c>
      <c r="E19" s="104">
        <v>31157</v>
      </c>
      <c r="F19" s="104">
        <v>31742</v>
      </c>
    </row>
    <row r="20" spans="1:6" x14ac:dyDescent="0.25">
      <c r="A20" s="117" t="s">
        <v>215</v>
      </c>
      <c r="B20" s="104">
        <v>-16312</v>
      </c>
      <c r="C20" s="104">
        <v>-17139</v>
      </c>
      <c r="D20" s="104">
        <v>-19088</v>
      </c>
      <c r="E20" s="104">
        <v>-16448</v>
      </c>
      <c r="F20" s="104">
        <v>-17064</v>
      </c>
    </row>
    <row r="21" spans="1:6" x14ac:dyDescent="0.25">
      <c r="A21" s="118" t="s">
        <v>216</v>
      </c>
      <c r="B21" s="106">
        <v>16192</v>
      </c>
      <c r="C21" s="106">
        <v>16083</v>
      </c>
      <c r="D21" s="106">
        <v>17560</v>
      </c>
      <c r="E21" s="106">
        <v>14709</v>
      </c>
      <c r="F21" s="106">
        <v>14678</v>
      </c>
    </row>
    <row r="22" spans="1:6" x14ac:dyDescent="0.25">
      <c r="A22" s="105"/>
      <c r="B22" s="105"/>
      <c r="C22" s="105"/>
      <c r="D22" s="105"/>
      <c r="E22" s="105"/>
      <c r="F22" s="105"/>
    </row>
    <row r="23" spans="1:6" x14ac:dyDescent="0.25">
      <c r="A23" s="117" t="s">
        <v>217</v>
      </c>
      <c r="B23" s="200">
        <v>0</v>
      </c>
      <c r="C23" s="200">
        <v>0</v>
      </c>
      <c r="D23" s="104">
        <v>1</v>
      </c>
      <c r="E23" s="104">
        <v>5</v>
      </c>
      <c r="F23" s="104">
        <v>2</v>
      </c>
    </row>
    <row r="24" spans="1:6" x14ac:dyDescent="0.25">
      <c r="A24" s="117" t="s">
        <v>218</v>
      </c>
      <c r="B24" s="104">
        <v>360</v>
      </c>
      <c r="C24" s="104">
        <v>360</v>
      </c>
      <c r="D24" s="104">
        <v>360</v>
      </c>
      <c r="E24" s="104">
        <v>360</v>
      </c>
      <c r="F24" s="104">
        <v>360</v>
      </c>
    </row>
    <row r="25" spans="1:6" x14ac:dyDescent="0.25">
      <c r="A25" s="117" t="s">
        <v>219</v>
      </c>
      <c r="B25" s="104">
        <v>21</v>
      </c>
      <c r="C25" s="104">
        <v>21</v>
      </c>
      <c r="D25" s="104">
        <v>80</v>
      </c>
      <c r="E25" s="104">
        <v>59</v>
      </c>
      <c r="F25" s="104">
        <v>71</v>
      </c>
    </row>
    <row r="26" spans="1:6" x14ac:dyDescent="0.25">
      <c r="A26" s="117" t="s">
        <v>220</v>
      </c>
      <c r="B26" s="104">
        <v>382</v>
      </c>
      <c r="C26" s="104">
        <v>510</v>
      </c>
      <c r="D26" s="104">
        <v>625</v>
      </c>
      <c r="E26" s="104">
        <v>607</v>
      </c>
      <c r="F26" s="104">
        <v>1058</v>
      </c>
    </row>
    <row r="27" spans="1:6" x14ac:dyDescent="0.25">
      <c r="A27" s="118" t="s">
        <v>0</v>
      </c>
      <c r="B27" s="114">
        <v>23112</v>
      </c>
      <c r="C27" s="114">
        <v>21433</v>
      </c>
      <c r="D27" s="114">
        <v>21782</v>
      </c>
      <c r="E27" s="114">
        <v>18821</v>
      </c>
      <c r="F27" s="114">
        <v>20515</v>
      </c>
    </row>
    <row r="28" spans="1:6" x14ac:dyDescent="0.25">
      <c r="A28" s="105"/>
      <c r="B28" s="105"/>
      <c r="C28" s="105"/>
      <c r="D28" s="105"/>
      <c r="E28" s="105"/>
      <c r="F28" s="105"/>
    </row>
    <row r="29" spans="1:6" x14ac:dyDescent="0.25">
      <c r="A29" s="118" t="s">
        <v>221</v>
      </c>
      <c r="B29" s="105"/>
      <c r="C29" s="105"/>
      <c r="D29" s="105"/>
      <c r="E29" s="105"/>
      <c r="F29" s="105"/>
    </row>
    <row r="30" spans="1:6" x14ac:dyDescent="0.25">
      <c r="A30" s="117" t="s">
        <v>222</v>
      </c>
      <c r="B30" s="104">
        <v>435</v>
      </c>
      <c r="C30" s="104">
        <v>495</v>
      </c>
      <c r="D30" s="104">
        <v>411</v>
      </c>
      <c r="E30" s="104">
        <v>200</v>
      </c>
      <c r="F30" s="104">
        <v>220</v>
      </c>
    </row>
    <row r="31" spans="1:6" x14ac:dyDescent="0.25">
      <c r="A31" s="117" t="s">
        <v>223</v>
      </c>
      <c r="B31" s="104">
        <v>1303</v>
      </c>
      <c r="C31" s="104">
        <v>1560</v>
      </c>
      <c r="D31" s="104">
        <v>1059</v>
      </c>
      <c r="E31" s="104">
        <v>759</v>
      </c>
      <c r="F31" s="104">
        <v>1045</v>
      </c>
    </row>
    <row r="32" spans="1:6" x14ac:dyDescent="0.25">
      <c r="A32" s="117" t="s">
        <v>224</v>
      </c>
      <c r="B32" s="104">
        <v>580</v>
      </c>
      <c r="C32" s="104">
        <v>52</v>
      </c>
      <c r="D32" s="200">
        <v>0</v>
      </c>
      <c r="E32" s="104">
        <v>10</v>
      </c>
      <c r="F32" s="104">
        <v>517</v>
      </c>
    </row>
    <row r="33" spans="1:21" x14ac:dyDescent="0.25">
      <c r="A33" s="117" t="s">
        <v>225</v>
      </c>
      <c r="B33" s="200">
        <v>0</v>
      </c>
      <c r="C33" s="104">
        <v>15</v>
      </c>
      <c r="D33" s="104">
        <v>199</v>
      </c>
      <c r="E33" s="104">
        <v>81</v>
      </c>
      <c r="F33" s="104">
        <v>89</v>
      </c>
    </row>
    <row r="34" spans="1:21" x14ac:dyDescent="0.25">
      <c r="A34" s="117" t="s">
        <v>226</v>
      </c>
      <c r="B34" s="104">
        <v>83</v>
      </c>
      <c r="C34" s="104">
        <v>81</v>
      </c>
      <c r="D34" s="104">
        <v>97</v>
      </c>
      <c r="E34" s="104">
        <v>81</v>
      </c>
      <c r="F34" s="104">
        <v>528</v>
      </c>
    </row>
    <row r="35" spans="1:21" x14ac:dyDescent="0.25">
      <c r="A35" s="117" t="s">
        <v>227</v>
      </c>
      <c r="B35" s="104">
        <v>34</v>
      </c>
      <c r="C35" s="200">
        <v>0</v>
      </c>
      <c r="D35" s="104">
        <v>744</v>
      </c>
      <c r="E35" s="104">
        <v>492</v>
      </c>
      <c r="F35" s="104">
        <v>665</v>
      </c>
    </row>
    <row r="36" spans="1:21" x14ac:dyDescent="0.25">
      <c r="A36" s="118" t="s">
        <v>228</v>
      </c>
      <c r="B36" s="106">
        <v>2435</v>
      </c>
      <c r="C36" s="106">
        <v>2203</v>
      </c>
      <c r="D36" s="106">
        <v>2510</v>
      </c>
      <c r="E36" s="106">
        <v>1623</v>
      </c>
      <c r="F36" s="106">
        <v>3064</v>
      </c>
    </row>
    <row r="37" spans="1:21" x14ac:dyDescent="0.25">
      <c r="A37" s="105"/>
      <c r="B37" s="105"/>
      <c r="C37" s="105"/>
      <c r="D37" s="105"/>
      <c r="E37" s="105"/>
      <c r="F37" s="105"/>
    </row>
    <row r="38" spans="1:21" x14ac:dyDescent="0.25">
      <c r="A38" s="117" t="s">
        <v>229</v>
      </c>
      <c r="B38" s="104">
        <v>6397</v>
      </c>
      <c r="C38" s="104">
        <v>6353</v>
      </c>
      <c r="D38" s="104">
        <v>7142</v>
      </c>
      <c r="E38" s="104">
        <v>8286</v>
      </c>
      <c r="F38" s="104">
        <v>7941</v>
      </c>
    </row>
    <row r="39" spans="1:21" x14ac:dyDescent="0.25">
      <c r="A39" s="117" t="s">
        <v>230</v>
      </c>
      <c r="B39" s="200">
        <v>0</v>
      </c>
      <c r="C39" s="104">
        <v>254</v>
      </c>
      <c r="D39" s="104">
        <v>591</v>
      </c>
      <c r="E39" s="104">
        <v>698</v>
      </c>
      <c r="F39" s="104">
        <v>594</v>
      </c>
    </row>
    <row r="40" spans="1:21" x14ac:dyDescent="0.25">
      <c r="A40" s="117" t="s">
        <v>231</v>
      </c>
      <c r="B40" s="104">
        <v>429</v>
      </c>
      <c r="C40" s="104">
        <v>421</v>
      </c>
      <c r="D40" s="104">
        <v>415</v>
      </c>
      <c r="E40" s="104">
        <v>342</v>
      </c>
      <c r="F40" s="104">
        <v>383</v>
      </c>
      <c r="I40" s="14"/>
      <c r="J40" s="14"/>
      <c r="K40" s="14"/>
      <c r="L40" s="14"/>
      <c r="M40" s="14"/>
      <c r="N40" s="14"/>
      <c r="O40" s="14"/>
      <c r="P40" s="14"/>
      <c r="Q40" s="14"/>
      <c r="R40" s="14"/>
      <c r="S40" s="14"/>
      <c r="T40" s="14"/>
      <c r="U40" s="14"/>
    </row>
    <row r="41" spans="1:21" x14ac:dyDescent="0.25">
      <c r="A41" s="117" t="s">
        <v>232</v>
      </c>
      <c r="B41" s="104">
        <v>1497</v>
      </c>
      <c r="C41" s="104">
        <v>1314</v>
      </c>
      <c r="D41" s="104">
        <v>1418</v>
      </c>
      <c r="E41" s="104">
        <v>1537</v>
      </c>
      <c r="F41" s="104">
        <v>1507</v>
      </c>
    </row>
    <row r="42" spans="1:21" x14ac:dyDescent="0.25">
      <c r="A42" s="118" t="s">
        <v>1</v>
      </c>
      <c r="B42" s="106">
        <v>10758</v>
      </c>
      <c r="C42" s="106">
        <v>10545</v>
      </c>
      <c r="D42" s="106">
        <v>12076</v>
      </c>
      <c r="E42" s="106">
        <v>12486</v>
      </c>
      <c r="F42" s="106">
        <v>13489</v>
      </c>
    </row>
    <row r="43" spans="1:21" x14ac:dyDescent="0.25">
      <c r="A43" s="105"/>
      <c r="B43" s="105"/>
      <c r="C43" s="105"/>
      <c r="D43" s="105"/>
      <c r="E43" s="105"/>
      <c r="F43" s="105"/>
    </row>
    <row r="44" spans="1:21" x14ac:dyDescent="0.25">
      <c r="A44" s="117" t="s">
        <v>233</v>
      </c>
      <c r="B44" s="104">
        <v>1</v>
      </c>
      <c r="C44" s="104">
        <v>1</v>
      </c>
      <c r="D44" s="200">
        <v>0</v>
      </c>
      <c r="E44" s="200">
        <v>0</v>
      </c>
      <c r="F44" s="200">
        <v>0</v>
      </c>
    </row>
    <row r="45" spans="1:21" x14ac:dyDescent="0.25">
      <c r="A45" s="118" t="s">
        <v>234</v>
      </c>
      <c r="B45" s="106">
        <v>1</v>
      </c>
      <c r="C45" s="106">
        <v>1</v>
      </c>
      <c r="D45" s="200">
        <v>0</v>
      </c>
      <c r="E45" s="200">
        <v>0</v>
      </c>
      <c r="F45" s="200">
        <v>0</v>
      </c>
    </row>
    <row r="46" spans="1:21" x14ac:dyDescent="0.25">
      <c r="A46" s="105"/>
      <c r="B46" s="105"/>
      <c r="C46" s="105"/>
      <c r="D46" s="105"/>
      <c r="E46" s="105"/>
      <c r="F46" s="105"/>
    </row>
    <row r="47" spans="1:21" x14ac:dyDescent="0.25">
      <c r="A47" s="117" t="s">
        <v>235</v>
      </c>
      <c r="B47" s="104">
        <v>315</v>
      </c>
      <c r="C47" s="104">
        <v>291</v>
      </c>
      <c r="D47" s="104">
        <v>305</v>
      </c>
      <c r="E47" s="104">
        <v>307</v>
      </c>
      <c r="F47" s="104">
        <v>310</v>
      </c>
    </row>
    <row r="48" spans="1:21" x14ac:dyDescent="0.25">
      <c r="A48" s="117" t="s">
        <v>236</v>
      </c>
      <c r="B48" s="104">
        <v>5824</v>
      </c>
      <c r="C48" s="104">
        <v>5386</v>
      </c>
      <c r="D48" s="104">
        <v>5591</v>
      </c>
      <c r="E48" s="104">
        <v>5684</v>
      </c>
      <c r="F48" s="104">
        <v>6017</v>
      </c>
    </row>
    <row r="49" spans="1:6" x14ac:dyDescent="0.25">
      <c r="A49" s="117" t="s">
        <v>237</v>
      </c>
      <c r="B49" s="104">
        <v>5597</v>
      </c>
      <c r="C49" s="104">
        <v>4257</v>
      </c>
      <c r="D49" s="104">
        <v>3535</v>
      </c>
      <c r="E49" s="104">
        <v>130</v>
      </c>
      <c r="F49" s="104">
        <v>379</v>
      </c>
    </row>
    <row r="50" spans="1:6" x14ac:dyDescent="0.25">
      <c r="A50" s="117" t="s">
        <v>238</v>
      </c>
      <c r="B50" s="200">
        <v>0</v>
      </c>
      <c r="C50" s="200">
        <v>0</v>
      </c>
      <c r="D50" s="200">
        <v>0</v>
      </c>
      <c r="E50" s="200">
        <v>0</v>
      </c>
      <c r="F50" s="200">
        <v>0</v>
      </c>
    </row>
    <row r="51" spans="1:6" x14ac:dyDescent="0.25">
      <c r="A51" s="117" t="s">
        <v>239</v>
      </c>
      <c r="B51" s="104">
        <v>-686</v>
      </c>
      <c r="C51" s="104">
        <v>-306</v>
      </c>
      <c r="D51" s="104">
        <v>-699</v>
      </c>
      <c r="E51" s="104">
        <v>-755</v>
      </c>
      <c r="F51" s="104">
        <v>-406</v>
      </c>
    </row>
    <row r="52" spans="1:6" x14ac:dyDescent="0.25">
      <c r="A52" s="118" t="s">
        <v>240</v>
      </c>
      <c r="B52" s="106">
        <v>11050</v>
      </c>
      <c r="C52" s="106">
        <v>9628</v>
      </c>
      <c r="D52" s="106">
        <v>8732</v>
      </c>
      <c r="E52" s="106">
        <v>5366</v>
      </c>
      <c r="F52" s="106">
        <v>6300</v>
      </c>
    </row>
    <row r="53" spans="1:6" x14ac:dyDescent="0.25">
      <c r="A53" s="105"/>
      <c r="B53" s="105"/>
      <c r="C53" s="105"/>
      <c r="D53" s="105"/>
      <c r="E53" s="105"/>
      <c r="F53" s="105"/>
    </row>
    <row r="54" spans="1:6" x14ac:dyDescent="0.25">
      <c r="A54" s="117" t="s">
        <v>241</v>
      </c>
      <c r="B54" s="104">
        <v>1303</v>
      </c>
      <c r="C54" s="104">
        <v>1259</v>
      </c>
      <c r="D54" s="104">
        <v>974</v>
      </c>
      <c r="E54" s="104">
        <v>969</v>
      </c>
      <c r="F54" s="104">
        <v>726</v>
      </c>
    </row>
    <row r="55" spans="1:6" x14ac:dyDescent="0.25">
      <c r="A55" s="105"/>
      <c r="B55" s="105"/>
      <c r="C55" s="105"/>
      <c r="D55" s="105"/>
      <c r="E55" s="105"/>
      <c r="F55" s="105"/>
    </row>
    <row r="56" spans="1:6" x14ac:dyDescent="0.25">
      <c r="A56" s="118" t="s">
        <v>2</v>
      </c>
      <c r="B56" s="119">
        <v>12354</v>
      </c>
      <c r="C56" s="119">
        <v>10888</v>
      </c>
      <c r="D56" s="119">
        <v>9706</v>
      </c>
      <c r="E56" s="119">
        <v>6335</v>
      </c>
      <c r="F56" s="119">
        <v>7026</v>
      </c>
    </row>
    <row r="57" spans="1:6" x14ac:dyDescent="0.25">
      <c r="A57" s="105"/>
      <c r="B57" s="105"/>
      <c r="C57" s="105"/>
      <c r="D57" s="105"/>
      <c r="E57" s="105"/>
      <c r="F57" s="105"/>
    </row>
    <row r="58" spans="1:6" x14ac:dyDescent="0.25">
      <c r="A58" s="118" t="s">
        <v>242</v>
      </c>
      <c r="B58" s="114">
        <v>23112</v>
      </c>
      <c r="C58" s="114">
        <v>21433</v>
      </c>
      <c r="D58" s="114">
        <v>21782</v>
      </c>
      <c r="E58" s="114">
        <v>18821</v>
      </c>
      <c r="F58" s="114">
        <v>20515</v>
      </c>
    </row>
    <row r="59" spans="1:6" x14ac:dyDescent="0.25">
      <c r="A59" s="105"/>
      <c r="B59" s="105"/>
      <c r="C59" s="105"/>
      <c r="D59" s="105"/>
      <c r="E59" s="105"/>
      <c r="F59" s="105"/>
    </row>
    <row r="60" spans="1:6" x14ac:dyDescent="0.25">
      <c r="A60" s="118" t="s">
        <v>163</v>
      </c>
      <c r="B60" s="105"/>
      <c r="C60" s="105"/>
      <c r="D60" s="105"/>
      <c r="E60" s="105"/>
      <c r="F60" s="105"/>
    </row>
    <row r="61" spans="1:6" x14ac:dyDescent="0.25">
      <c r="A61" s="117" t="s">
        <v>243</v>
      </c>
      <c r="B61" s="104">
        <v>311.85161499999998</v>
      </c>
      <c r="C61" s="104">
        <v>300.15326199999998</v>
      </c>
      <c r="D61" s="104">
        <v>303.20058699999998</v>
      </c>
      <c r="E61" s="104">
        <v>305.06955299999998</v>
      </c>
      <c r="F61" s="104">
        <v>308.12952300000001</v>
      </c>
    </row>
    <row r="62" spans="1:6" x14ac:dyDescent="0.25">
      <c r="A62" s="117" t="s">
        <v>244</v>
      </c>
      <c r="B62" s="104">
        <v>311.85161499999998</v>
      </c>
      <c r="C62" s="104">
        <v>288.55353400000001</v>
      </c>
      <c r="D62" s="104">
        <v>302.94147199999998</v>
      </c>
      <c r="E62" s="104">
        <v>305.06309199999998</v>
      </c>
      <c r="F62" s="104">
        <v>308.12895300000002</v>
      </c>
    </row>
    <row r="63" spans="1:6" x14ac:dyDescent="0.25">
      <c r="A63" s="117" t="s">
        <v>245</v>
      </c>
      <c r="B63" s="107">
        <v>35.43</v>
      </c>
      <c r="C63" s="107">
        <v>33.369999999999997</v>
      </c>
      <c r="D63" s="107">
        <v>28.82</v>
      </c>
      <c r="E63" s="107">
        <v>17.59</v>
      </c>
      <c r="F63" s="107">
        <v>20.45</v>
      </c>
    </row>
    <row r="64" spans="1:6" x14ac:dyDescent="0.25">
      <c r="A64" s="117" t="s">
        <v>246</v>
      </c>
      <c r="B64" s="104">
        <v>10690</v>
      </c>
      <c r="C64" s="104">
        <v>9268</v>
      </c>
      <c r="D64" s="104">
        <v>8372</v>
      </c>
      <c r="E64" s="104">
        <v>5006</v>
      </c>
      <c r="F64" s="104">
        <v>5940</v>
      </c>
    </row>
    <row r="65" spans="1:6" x14ac:dyDescent="0.25">
      <c r="A65" s="117" t="s">
        <v>247</v>
      </c>
      <c r="B65" s="107">
        <v>34.28</v>
      </c>
      <c r="C65" s="107">
        <v>32.119999999999997</v>
      </c>
      <c r="D65" s="107">
        <v>27.64</v>
      </c>
      <c r="E65" s="107">
        <v>16.41</v>
      </c>
      <c r="F65" s="107">
        <v>19.28</v>
      </c>
    </row>
    <row r="66" spans="1:6" x14ac:dyDescent="0.25">
      <c r="A66" s="117" t="s">
        <v>248</v>
      </c>
      <c r="B66" s="104">
        <v>6977</v>
      </c>
      <c r="C66" s="104">
        <v>6674</v>
      </c>
      <c r="D66" s="104">
        <v>7932</v>
      </c>
      <c r="E66" s="104">
        <v>9075</v>
      </c>
      <c r="F66" s="104">
        <v>9141</v>
      </c>
    </row>
    <row r="67" spans="1:6" x14ac:dyDescent="0.25">
      <c r="A67" s="117" t="s">
        <v>4</v>
      </c>
      <c r="B67" s="104">
        <v>2130</v>
      </c>
      <c r="C67" s="104">
        <v>3980</v>
      </c>
      <c r="D67" s="104">
        <v>6387</v>
      </c>
      <c r="E67" s="104">
        <v>7336</v>
      </c>
      <c r="F67" s="104">
        <v>6428</v>
      </c>
    </row>
    <row r="68" spans="1:6" x14ac:dyDescent="0.25">
      <c r="A68" s="117" t="s">
        <v>249</v>
      </c>
      <c r="B68" s="104">
        <v>282</v>
      </c>
      <c r="C68" s="104">
        <v>140</v>
      </c>
      <c r="D68" s="104">
        <v>177</v>
      </c>
      <c r="E68" s="104">
        <v>311</v>
      </c>
      <c r="F68" s="104">
        <v>-161</v>
      </c>
    </row>
    <row r="69" spans="1:6" x14ac:dyDescent="0.25">
      <c r="A69" s="117" t="s">
        <v>250</v>
      </c>
      <c r="B69" s="104">
        <v>904</v>
      </c>
      <c r="C69" s="104">
        <v>1168</v>
      </c>
      <c r="D69" s="104" t="s">
        <v>165</v>
      </c>
      <c r="E69" s="104">
        <v>3376</v>
      </c>
      <c r="F69" s="104">
        <v>1832</v>
      </c>
    </row>
    <row r="70" spans="1:6" x14ac:dyDescent="0.25">
      <c r="A70" s="117" t="s">
        <v>251</v>
      </c>
      <c r="B70" s="104">
        <v>1303</v>
      </c>
      <c r="C70" s="104">
        <v>1259</v>
      </c>
      <c r="D70" s="104">
        <v>974</v>
      </c>
      <c r="E70" s="104">
        <v>969</v>
      </c>
      <c r="F70" s="104">
        <v>726</v>
      </c>
    </row>
    <row r="71" spans="1:6" x14ac:dyDescent="0.25">
      <c r="A71" s="117" t="s">
        <v>252</v>
      </c>
      <c r="B71" s="111" t="s">
        <v>253</v>
      </c>
      <c r="C71" s="111" t="s">
        <v>253</v>
      </c>
      <c r="D71" s="111" t="s">
        <v>253</v>
      </c>
      <c r="E71" s="111" t="s">
        <v>253</v>
      </c>
      <c r="F71" s="111" t="s">
        <v>253</v>
      </c>
    </row>
    <row r="72" spans="1:6" x14ac:dyDescent="0.25">
      <c r="A72" s="117" t="s">
        <v>254</v>
      </c>
      <c r="B72" s="104">
        <v>173</v>
      </c>
      <c r="C72" s="104">
        <v>171</v>
      </c>
      <c r="D72" s="104">
        <v>169</v>
      </c>
      <c r="E72" s="104">
        <v>152</v>
      </c>
      <c r="F72" s="104">
        <v>171</v>
      </c>
    </row>
    <row r="73" spans="1:6" x14ac:dyDescent="0.25">
      <c r="A73" s="117" t="s">
        <v>255</v>
      </c>
      <c r="B73" s="104">
        <v>59</v>
      </c>
      <c r="C73" s="104">
        <v>74</v>
      </c>
      <c r="D73" s="104">
        <v>92</v>
      </c>
      <c r="E73" s="104">
        <v>226</v>
      </c>
      <c r="F73" s="104">
        <v>52</v>
      </c>
    </row>
    <row r="74" spans="1:6" x14ac:dyDescent="0.25">
      <c r="A74" s="117" t="s">
        <v>256</v>
      </c>
      <c r="B74" s="104">
        <v>29232</v>
      </c>
      <c r="C74" s="104">
        <v>29691</v>
      </c>
      <c r="D74" s="104">
        <v>31876</v>
      </c>
      <c r="E74" s="104">
        <v>26318</v>
      </c>
      <c r="F74" s="104">
        <v>26806</v>
      </c>
    </row>
    <row r="75" spans="1:6" x14ac:dyDescent="0.25">
      <c r="A75" s="117" t="s">
        <v>257</v>
      </c>
      <c r="B75" s="120">
        <v>2075</v>
      </c>
      <c r="C75" s="120">
        <v>1708</v>
      </c>
      <c r="D75" s="120">
        <v>1775</v>
      </c>
      <c r="E75" s="120">
        <v>1621</v>
      </c>
      <c r="F75" s="120">
        <v>1545</v>
      </c>
    </row>
    <row r="76" spans="1:6" x14ac:dyDescent="0.25">
      <c r="A76" s="117" t="s">
        <v>178</v>
      </c>
      <c r="B76" s="110">
        <v>43881</v>
      </c>
      <c r="C76" s="110">
        <v>44256</v>
      </c>
      <c r="D76" s="110">
        <v>44621</v>
      </c>
      <c r="E76" s="110">
        <v>44621</v>
      </c>
      <c r="F76" s="110">
        <v>44621</v>
      </c>
    </row>
    <row r="77" spans="1:6" x14ac:dyDescent="0.25">
      <c r="A77" s="117" t="s">
        <v>179</v>
      </c>
      <c r="B77" s="111" t="s">
        <v>181</v>
      </c>
      <c r="C77" s="111" t="s">
        <v>181</v>
      </c>
      <c r="D77" s="111" t="s">
        <v>181</v>
      </c>
      <c r="E77" s="111" t="s">
        <v>181</v>
      </c>
      <c r="F77" s="111" t="s">
        <v>182</v>
      </c>
    </row>
    <row r="78" spans="1:6" x14ac:dyDescent="0.25">
      <c r="A78" s="121" t="s">
        <v>183</v>
      </c>
      <c r="B78" s="122" t="s">
        <v>258</v>
      </c>
      <c r="C78" s="122" t="s">
        <v>258</v>
      </c>
      <c r="D78" s="122" t="s">
        <v>258</v>
      </c>
      <c r="E78" s="122" t="s">
        <v>184</v>
      </c>
      <c r="F78" s="122" t="s">
        <v>184</v>
      </c>
    </row>
    <row r="79" spans="1:6" ht="15" customHeight="1" x14ac:dyDescent="0.25">
      <c r="A79" s="328" t="s">
        <v>259</v>
      </c>
      <c r="B79" s="328"/>
      <c r="C79" s="328"/>
      <c r="D79" s="328"/>
      <c r="E79" s="328"/>
      <c r="F79" s="328"/>
    </row>
    <row r="80" spans="1:6" x14ac:dyDescent="0.25">
      <c r="A80" s="325"/>
      <c r="B80" s="325"/>
      <c r="C80" s="325"/>
      <c r="D80" s="325"/>
      <c r="E80" s="325"/>
      <c r="F80" s="325"/>
    </row>
  </sheetData>
  <mergeCells count="3">
    <mergeCell ref="A4:F4"/>
    <mergeCell ref="A1:F3"/>
    <mergeCell ref="A79:F8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19E3-3D3F-3242-B226-3A725507ACE9}">
  <dimension ref="A1:F63"/>
  <sheetViews>
    <sheetView showGridLines="0" workbookViewId="0">
      <pane ySplit="6" topLeftCell="A7" activePane="bottomLeft" state="frozen"/>
      <selection pane="bottomLeft" activeCell="A7" sqref="A7"/>
    </sheetView>
  </sheetViews>
  <sheetFormatPr defaultColWidth="8.875" defaultRowHeight="15" x14ac:dyDescent="0.25"/>
  <cols>
    <col min="1" max="1" width="35.125" style="1" customWidth="1"/>
    <col min="2" max="11" width="11.875" style="1" customWidth="1"/>
    <col min="12" max="16384" width="8.875" style="1"/>
  </cols>
  <sheetData>
    <row r="1" spans="1:6" ht="15" customHeight="1" x14ac:dyDescent="0.25">
      <c r="A1" s="299" t="s">
        <v>85</v>
      </c>
      <c r="B1" s="299"/>
      <c r="C1" s="299"/>
      <c r="D1" s="299"/>
      <c r="E1" s="299"/>
      <c r="F1" s="329"/>
    </row>
    <row r="2" spans="1:6" ht="15" customHeight="1" x14ac:dyDescent="0.25">
      <c r="A2" s="299"/>
      <c r="B2" s="299"/>
      <c r="C2" s="299"/>
      <c r="D2" s="299"/>
      <c r="E2" s="299"/>
      <c r="F2" s="329"/>
    </row>
    <row r="3" spans="1:6" ht="15.75" customHeight="1" thickBot="1" x14ac:dyDescent="0.3">
      <c r="A3" s="300"/>
      <c r="B3" s="300"/>
      <c r="C3" s="300"/>
      <c r="D3" s="300"/>
      <c r="E3" s="300"/>
      <c r="F3" s="330"/>
    </row>
    <row r="4" spans="1:6" ht="23.25" customHeight="1" x14ac:dyDescent="0.25">
      <c r="A4" s="301" t="s">
        <v>261</v>
      </c>
      <c r="B4" s="301"/>
      <c r="C4" s="301"/>
      <c r="D4" s="301"/>
      <c r="E4" s="301"/>
      <c r="F4" s="331"/>
    </row>
    <row r="5" spans="1:6" ht="26.25" x14ac:dyDescent="0.25">
      <c r="A5" s="133" t="s">
        <v>89</v>
      </c>
      <c r="B5" s="83" t="s">
        <v>262</v>
      </c>
      <c r="C5" s="83" t="s">
        <v>263</v>
      </c>
      <c r="D5" s="83" t="s">
        <v>264</v>
      </c>
      <c r="E5" s="83" t="s">
        <v>203</v>
      </c>
      <c r="F5" s="83" t="s">
        <v>204</v>
      </c>
    </row>
    <row r="6" spans="1:6" x14ac:dyDescent="0.25">
      <c r="A6" s="80" t="s">
        <v>371</v>
      </c>
      <c r="B6" s="123" t="s">
        <v>95</v>
      </c>
      <c r="C6" s="123" t="s">
        <v>95</v>
      </c>
      <c r="D6" s="123" t="s">
        <v>95</v>
      </c>
      <c r="E6" s="123" t="s">
        <v>95</v>
      </c>
      <c r="F6" s="123" t="s">
        <v>95</v>
      </c>
    </row>
    <row r="7" spans="1:6" x14ac:dyDescent="0.25">
      <c r="A7" s="124" t="s">
        <v>125</v>
      </c>
      <c r="B7" s="105"/>
      <c r="C7" s="105"/>
      <c r="D7" s="105"/>
      <c r="E7" s="105"/>
      <c r="F7" s="105"/>
    </row>
    <row r="8" spans="1:6" x14ac:dyDescent="0.25">
      <c r="A8" s="125" t="s">
        <v>44</v>
      </c>
      <c r="B8" s="106">
        <v>-4074</v>
      </c>
      <c r="C8" s="106">
        <v>-282</v>
      </c>
      <c r="D8" s="106">
        <v>-408</v>
      </c>
      <c r="E8" s="106">
        <v>-3093</v>
      </c>
      <c r="F8" s="106">
        <v>559</v>
      </c>
    </row>
    <row r="9" spans="1:6" x14ac:dyDescent="0.25">
      <c r="A9" s="86" t="s">
        <v>265</v>
      </c>
      <c r="B9" s="104">
        <v>2864</v>
      </c>
      <c r="C9" s="104">
        <v>1867</v>
      </c>
      <c r="D9" s="104">
        <v>2122</v>
      </c>
      <c r="E9" s="104">
        <v>2074</v>
      </c>
      <c r="F9" s="104">
        <v>1528</v>
      </c>
    </row>
    <row r="10" spans="1:6" x14ac:dyDescent="0.25">
      <c r="A10" s="86" t="s">
        <v>130</v>
      </c>
      <c r="B10" s="104">
        <v>2012</v>
      </c>
      <c r="C10" s="104">
        <v>51</v>
      </c>
      <c r="D10" s="104">
        <v>17</v>
      </c>
      <c r="E10" s="104">
        <v>176</v>
      </c>
      <c r="F10" s="104">
        <v>20</v>
      </c>
    </row>
    <row r="11" spans="1:6" x14ac:dyDescent="0.25">
      <c r="A11" s="125" t="s">
        <v>266</v>
      </c>
      <c r="B11" s="106">
        <v>4876</v>
      </c>
      <c r="C11" s="106">
        <v>1918</v>
      </c>
      <c r="D11" s="106">
        <v>2139</v>
      </c>
      <c r="E11" s="106">
        <v>2250</v>
      </c>
      <c r="F11" s="106">
        <v>1548</v>
      </c>
    </row>
    <row r="12" spans="1:6" x14ac:dyDescent="0.25">
      <c r="A12" s="86"/>
      <c r="B12" s="105"/>
      <c r="C12" s="105"/>
      <c r="D12" s="105"/>
      <c r="E12" s="105"/>
      <c r="F12" s="105"/>
    </row>
    <row r="13" spans="1:6" x14ac:dyDescent="0.25">
      <c r="A13" s="86" t="s">
        <v>267</v>
      </c>
      <c r="B13" s="104">
        <v>86</v>
      </c>
      <c r="C13" s="104">
        <v>-32</v>
      </c>
      <c r="D13" s="104">
        <v>-22</v>
      </c>
      <c r="E13" s="104">
        <v>-87</v>
      </c>
      <c r="F13" s="104">
        <v>-29</v>
      </c>
    </row>
    <row r="14" spans="1:6" x14ac:dyDescent="0.25">
      <c r="A14" s="86" t="s">
        <v>268</v>
      </c>
      <c r="B14" s="104">
        <v>2522</v>
      </c>
      <c r="C14" s="104">
        <v>16</v>
      </c>
      <c r="D14" s="200">
        <v>0</v>
      </c>
      <c r="E14" s="104">
        <v>2126</v>
      </c>
      <c r="F14" s="104">
        <v>147</v>
      </c>
    </row>
    <row r="15" spans="1:6" x14ac:dyDescent="0.25">
      <c r="A15" s="86" t="s">
        <v>269</v>
      </c>
      <c r="B15" s="104">
        <v>86</v>
      </c>
      <c r="C15" s="104">
        <v>72</v>
      </c>
      <c r="D15" s="104">
        <v>85</v>
      </c>
      <c r="E15" s="104">
        <v>79</v>
      </c>
      <c r="F15" s="104">
        <v>77</v>
      </c>
    </row>
    <row r="16" spans="1:6" x14ac:dyDescent="0.25">
      <c r="A16" s="86" t="s">
        <v>270</v>
      </c>
      <c r="B16" s="104">
        <v>-1752</v>
      </c>
      <c r="C16" s="104">
        <v>437</v>
      </c>
      <c r="D16" s="104">
        <v>443</v>
      </c>
      <c r="E16" s="104">
        <v>528</v>
      </c>
      <c r="F16" s="104">
        <v>689</v>
      </c>
    </row>
    <row r="17" spans="1:6" x14ac:dyDescent="0.25">
      <c r="A17" s="86" t="s">
        <v>271</v>
      </c>
      <c r="B17" s="104">
        <v>-340</v>
      </c>
      <c r="C17" s="104">
        <v>-138</v>
      </c>
      <c r="D17" s="104">
        <v>-383</v>
      </c>
      <c r="E17" s="104">
        <v>267</v>
      </c>
      <c r="F17" s="104">
        <v>-748</v>
      </c>
    </row>
    <row r="18" spans="1:6" x14ac:dyDescent="0.25">
      <c r="A18" s="86" t="s">
        <v>272</v>
      </c>
      <c r="B18" s="104">
        <v>-64</v>
      </c>
      <c r="C18" s="104">
        <v>-12</v>
      </c>
      <c r="D18" s="104">
        <v>-16</v>
      </c>
      <c r="E18" s="104">
        <v>-117</v>
      </c>
      <c r="F18" s="104">
        <v>135</v>
      </c>
    </row>
    <row r="19" spans="1:6" x14ac:dyDescent="0.25">
      <c r="A19" s="86" t="s">
        <v>273</v>
      </c>
      <c r="B19" s="104">
        <v>-44</v>
      </c>
      <c r="C19" s="104">
        <v>88</v>
      </c>
      <c r="D19" s="104">
        <v>4</v>
      </c>
      <c r="E19" s="104">
        <v>-533</v>
      </c>
      <c r="F19" s="104">
        <v>241</v>
      </c>
    </row>
    <row r="20" spans="1:6" x14ac:dyDescent="0.25">
      <c r="A20" s="85" t="s">
        <v>274</v>
      </c>
      <c r="B20" s="104">
        <v>-34</v>
      </c>
      <c r="C20" s="104">
        <v>-2</v>
      </c>
      <c r="D20" s="104">
        <v>16</v>
      </c>
      <c r="E20" s="104">
        <v>-16</v>
      </c>
      <c r="F20" s="104">
        <v>447</v>
      </c>
    </row>
    <row r="21" spans="1:6" x14ac:dyDescent="0.25">
      <c r="A21" s="85" t="s">
        <v>275</v>
      </c>
      <c r="B21" s="104">
        <v>-317</v>
      </c>
      <c r="C21" s="104">
        <v>-126</v>
      </c>
      <c r="D21" s="104">
        <v>-216</v>
      </c>
      <c r="E21" s="104">
        <v>-71</v>
      </c>
      <c r="F21" s="104">
        <v>-176</v>
      </c>
    </row>
    <row r="22" spans="1:6" x14ac:dyDescent="0.25">
      <c r="A22" s="124" t="s">
        <v>276</v>
      </c>
      <c r="B22" s="106">
        <v>945</v>
      </c>
      <c r="C22" s="106">
        <v>1939</v>
      </c>
      <c r="D22" s="106">
        <v>1642</v>
      </c>
      <c r="E22" s="106">
        <v>1333</v>
      </c>
      <c r="F22" s="106">
        <v>2890</v>
      </c>
    </row>
    <row r="23" spans="1:6" x14ac:dyDescent="0.25">
      <c r="A23" s="87"/>
      <c r="B23" s="105"/>
      <c r="C23" s="105"/>
      <c r="D23" s="105"/>
      <c r="E23" s="105"/>
      <c r="F23" s="105"/>
    </row>
    <row r="24" spans="1:6" x14ac:dyDescent="0.25">
      <c r="A24" s="86" t="s">
        <v>277</v>
      </c>
      <c r="B24" s="104">
        <v>-1937</v>
      </c>
      <c r="C24" s="104">
        <v>-2097</v>
      </c>
      <c r="D24" s="104">
        <v>-2829</v>
      </c>
      <c r="E24" s="104">
        <v>-2197</v>
      </c>
      <c r="F24" s="104">
        <v>-1747</v>
      </c>
    </row>
    <row r="25" spans="1:6" x14ac:dyDescent="0.25">
      <c r="A25" s="88" t="s">
        <v>278</v>
      </c>
      <c r="B25" s="104">
        <v>3296</v>
      </c>
      <c r="C25" s="104">
        <v>607</v>
      </c>
      <c r="D25" s="104">
        <v>22</v>
      </c>
      <c r="E25" s="104">
        <v>493</v>
      </c>
      <c r="F25" s="104">
        <v>427</v>
      </c>
    </row>
    <row r="26" spans="1:6" x14ac:dyDescent="0.25">
      <c r="A26" s="88" t="s">
        <v>279</v>
      </c>
      <c r="B26" s="200">
        <v>0</v>
      </c>
      <c r="C26" s="200">
        <v>0</v>
      </c>
      <c r="D26" s="200">
        <v>0</v>
      </c>
      <c r="E26" s="200">
        <v>0</v>
      </c>
      <c r="F26" s="200">
        <v>0</v>
      </c>
    </row>
    <row r="27" spans="1:6" x14ac:dyDescent="0.25">
      <c r="A27" s="86" t="s">
        <v>280</v>
      </c>
      <c r="B27" s="200">
        <v>0</v>
      </c>
      <c r="C27" s="200">
        <v>0</v>
      </c>
      <c r="D27" s="200">
        <v>0</v>
      </c>
      <c r="E27" s="200">
        <v>0</v>
      </c>
      <c r="F27" s="200">
        <v>0</v>
      </c>
    </row>
    <row r="28" spans="1:6" x14ac:dyDescent="0.25">
      <c r="A28" s="88" t="s">
        <v>281</v>
      </c>
      <c r="B28" s="200">
        <v>0</v>
      </c>
      <c r="C28" s="104">
        <v>-67</v>
      </c>
      <c r="D28" s="104">
        <v>-33</v>
      </c>
      <c r="E28" s="200">
        <v>0</v>
      </c>
      <c r="F28" s="200">
        <v>0</v>
      </c>
    </row>
    <row r="29" spans="1:6" x14ac:dyDescent="0.25">
      <c r="A29" s="88" t="s">
        <v>282</v>
      </c>
      <c r="B29" s="200">
        <v>0</v>
      </c>
      <c r="C29" s="200">
        <v>0</v>
      </c>
      <c r="D29" s="200">
        <v>0</v>
      </c>
      <c r="E29" s="200">
        <v>0</v>
      </c>
      <c r="F29" s="200">
        <v>0</v>
      </c>
    </row>
    <row r="30" spans="1:6" x14ac:dyDescent="0.25">
      <c r="A30" s="86" t="s">
        <v>283</v>
      </c>
      <c r="B30" s="104">
        <v>-1</v>
      </c>
      <c r="C30" s="104">
        <v>-9</v>
      </c>
      <c r="D30" s="104">
        <v>-3</v>
      </c>
      <c r="E30" s="104">
        <v>-3</v>
      </c>
      <c r="F30" s="104">
        <v>-5</v>
      </c>
    </row>
    <row r="31" spans="1:6" x14ac:dyDescent="0.25">
      <c r="A31" s="125" t="s">
        <v>284</v>
      </c>
      <c r="B31" s="106">
        <v>1358</v>
      </c>
      <c r="C31" s="106">
        <v>-1566</v>
      </c>
      <c r="D31" s="106">
        <v>-2843</v>
      </c>
      <c r="E31" s="106">
        <v>-1707</v>
      </c>
      <c r="F31" s="106">
        <v>-1325</v>
      </c>
    </row>
    <row r="32" spans="1:6" x14ac:dyDescent="0.25">
      <c r="A32" s="87"/>
      <c r="B32" s="105"/>
      <c r="C32" s="105"/>
      <c r="D32" s="105"/>
      <c r="E32" s="105"/>
      <c r="F32" s="105"/>
    </row>
    <row r="33" spans="1:6" x14ac:dyDescent="0.25">
      <c r="A33" s="86" t="s">
        <v>285</v>
      </c>
      <c r="B33" s="200">
        <v>0</v>
      </c>
      <c r="C33" s="200">
        <v>0</v>
      </c>
      <c r="D33" s="104">
        <v>32</v>
      </c>
      <c r="E33" s="104">
        <v>152</v>
      </c>
      <c r="F33" s="104" t="s">
        <v>107</v>
      </c>
    </row>
    <row r="34" spans="1:6" x14ac:dyDescent="0.25">
      <c r="A34" s="86" t="s">
        <v>286</v>
      </c>
      <c r="B34" s="104">
        <v>800</v>
      </c>
      <c r="C34" s="200">
        <v>0</v>
      </c>
      <c r="D34" s="104">
        <v>760</v>
      </c>
      <c r="E34" s="104">
        <v>1000</v>
      </c>
      <c r="F34" s="104">
        <v>750</v>
      </c>
    </row>
    <row r="35" spans="1:6" x14ac:dyDescent="0.25">
      <c r="A35" s="125" t="s">
        <v>287</v>
      </c>
      <c r="B35" s="106">
        <v>800</v>
      </c>
      <c r="C35" s="200">
        <v>0</v>
      </c>
      <c r="D35" s="106">
        <v>792</v>
      </c>
      <c r="E35" s="106">
        <v>1152</v>
      </c>
      <c r="F35" s="106">
        <v>750</v>
      </c>
    </row>
    <row r="36" spans="1:6" x14ac:dyDescent="0.25">
      <c r="A36" s="86" t="s">
        <v>288</v>
      </c>
      <c r="B36" s="104">
        <v>-153</v>
      </c>
      <c r="C36" s="200">
        <v>0</v>
      </c>
      <c r="D36" s="200">
        <v>0</v>
      </c>
      <c r="E36" s="200">
        <v>0</v>
      </c>
      <c r="F36" s="104">
        <v>-80</v>
      </c>
    </row>
    <row r="37" spans="1:6" x14ac:dyDescent="0.25">
      <c r="A37" s="86" t="s">
        <v>289</v>
      </c>
      <c r="B37" s="104">
        <v>-459</v>
      </c>
      <c r="C37" s="104">
        <v>-633</v>
      </c>
      <c r="D37" s="104">
        <v>-57</v>
      </c>
      <c r="E37" s="104">
        <v>-7</v>
      </c>
      <c r="F37" s="104">
        <v>-520</v>
      </c>
    </row>
    <row r="38" spans="1:6" x14ac:dyDescent="0.25">
      <c r="A38" s="125" t="s">
        <v>290</v>
      </c>
      <c r="B38" s="106">
        <v>-612</v>
      </c>
      <c r="C38" s="106">
        <v>-633</v>
      </c>
      <c r="D38" s="106">
        <v>-57</v>
      </c>
      <c r="E38" s="106">
        <v>-7</v>
      </c>
      <c r="F38" s="106">
        <v>-600</v>
      </c>
    </row>
    <row r="39" spans="1:6" x14ac:dyDescent="0.25">
      <c r="A39" s="124"/>
      <c r="B39" s="105"/>
      <c r="C39" s="105"/>
      <c r="D39" s="105"/>
      <c r="E39" s="105"/>
      <c r="F39" s="105"/>
    </row>
    <row r="40" spans="1:6" x14ac:dyDescent="0.25">
      <c r="A40" s="85" t="s">
        <v>291</v>
      </c>
      <c r="B40" s="200">
        <v>0</v>
      </c>
      <c r="C40" s="200">
        <v>0</v>
      </c>
      <c r="D40" s="104">
        <v>40</v>
      </c>
      <c r="E40" s="104">
        <v>15</v>
      </c>
      <c r="F40" s="104">
        <v>255</v>
      </c>
    </row>
    <row r="41" spans="1:6" x14ac:dyDescent="0.25">
      <c r="A41" s="85" t="s">
        <v>292</v>
      </c>
      <c r="B41" s="104">
        <v>-110</v>
      </c>
      <c r="C41" s="104">
        <v>-1365</v>
      </c>
      <c r="D41" s="104">
        <v>-25</v>
      </c>
      <c r="E41" s="200">
        <v>0</v>
      </c>
      <c r="F41" s="200">
        <v>0</v>
      </c>
    </row>
    <row r="42" spans="1:6" x14ac:dyDescent="0.25">
      <c r="A42" s="87"/>
      <c r="B42" s="105"/>
      <c r="C42" s="105"/>
      <c r="D42" s="105"/>
      <c r="E42" s="105"/>
      <c r="F42" s="105"/>
    </row>
    <row r="43" spans="1:6" x14ac:dyDescent="0.25">
      <c r="A43" s="86" t="s">
        <v>293</v>
      </c>
      <c r="B43" s="104">
        <v>-317</v>
      </c>
      <c r="C43" s="104">
        <v>-299</v>
      </c>
      <c r="D43" s="200">
        <v>0</v>
      </c>
      <c r="E43" s="104">
        <v>-309</v>
      </c>
      <c r="F43" s="104">
        <v>-311</v>
      </c>
    </row>
    <row r="44" spans="1:6" x14ac:dyDescent="0.25">
      <c r="A44" s="86" t="s">
        <v>294</v>
      </c>
      <c r="B44" s="104">
        <v>-46</v>
      </c>
      <c r="C44" s="104">
        <v>-46</v>
      </c>
      <c r="D44" s="200">
        <v>0</v>
      </c>
      <c r="E44" s="200">
        <v>0</v>
      </c>
      <c r="F44" s="200">
        <v>0</v>
      </c>
    </row>
    <row r="45" spans="1:6" x14ac:dyDescent="0.25">
      <c r="A45" s="86" t="s">
        <v>295</v>
      </c>
      <c r="B45" s="200">
        <v>0</v>
      </c>
      <c r="C45" s="200">
        <v>0</v>
      </c>
      <c r="D45" s="104">
        <v>-316</v>
      </c>
      <c r="E45" s="200">
        <v>0</v>
      </c>
      <c r="F45" s="200">
        <v>0</v>
      </c>
    </row>
    <row r="46" spans="1:6" x14ac:dyDescent="0.25">
      <c r="A46" s="125" t="s">
        <v>296</v>
      </c>
      <c r="B46" s="106">
        <v>-363</v>
      </c>
      <c r="C46" s="106">
        <v>-345</v>
      </c>
      <c r="D46" s="106">
        <v>-316</v>
      </c>
      <c r="E46" s="106">
        <v>-309</v>
      </c>
      <c r="F46" s="106">
        <v>-311</v>
      </c>
    </row>
    <row r="47" spans="1:6" x14ac:dyDescent="0.25">
      <c r="A47" s="87"/>
      <c r="B47" s="105"/>
      <c r="C47" s="105"/>
      <c r="D47" s="105"/>
      <c r="E47" s="105"/>
      <c r="F47" s="105"/>
    </row>
    <row r="48" spans="1:6" x14ac:dyDescent="0.25">
      <c r="A48" s="86" t="s">
        <v>297</v>
      </c>
      <c r="B48" s="200">
        <v>0</v>
      </c>
      <c r="C48" s="200">
        <v>0</v>
      </c>
      <c r="D48" s="200">
        <v>0</v>
      </c>
      <c r="E48" s="200">
        <v>0</v>
      </c>
      <c r="F48" s="200">
        <v>0</v>
      </c>
    </row>
    <row r="49" spans="1:6" x14ac:dyDescent="0.25">
      <c r="A49" s="86" t="s">
        <v>298</v>
      </c>
      <c r="B49" s="104">
        <v>97</v>
      </c>
      <c r="C49" s="104">
        <v>-183</v>
      </c>
      <c r="D49" s="104">
        <v>-382</v>
      </c>
      <c r="E49" s="104">
        <v>-283</v>
      </c>
      <c r="F49" s="104">
        <v>-685</v>
      </c>
    </row>
    <row r="50" spans="1:6" x14ac:dyDescent="0.25">
      <c r="A50" s="125" t="s">
        <v>299</v>
      </c>
      <c r="B50" s="106">
        <v>-188</v>
      </c>
      <c r="C50" s="106">
        <v>-2526</v>
      </c>
      <c r="D50" s="106">
        <v>52</v>
      </c>
      <c r="E50" s="106">
        <v>568</v>
      </c>
      <c r="F50" s="106">
        <v>-591</v>
      </c>
    </row>
    <row r="51" spans="1:6" x14ac:dyDescent="0.25">
      <c r="A51" s="87"/>
      <c r="B51" s="105"/>
      <c r="C51" s="105"/>
      <c r="D51" s="105"/>
      <c r="E51" s="105"/>
      <c r="F51" s="105"/>
    </row>
    <row r="52" spans="1:6" x14ac:dyDescent="0.25">
      <c r="A52" s="124" t="s">
        <v>300</v>
      </c>
      <c r="B52" s="114">
        <v>2115</v>
      </c>
      <c r="C52" s="114">
        <v>-2153</v>
      </c>
      <c r="D52" s="114">
        <v>-1149</v>
      </c>
      <c r="E52" s="114">
        <v>194</v>
      </c>
      <c r="F52" s="114">
        <v>974</v>
      </c>
    </row>
    <row r="53" spans="1:6" x14ac:dyDescent="0.25">
      <c r="A53" s="124"/>
      <c r="B53" s="105"/>
      <c r="C53" s="105"/>
      <c r="D53" s="105"/>
      <c r="E53" s="105"/>
      <c r="F53" s="105"/>
    </row>
    <row r="54" spans="1:6" x14ac:dyDescent="0.25">
      <c r="A54" s="125" t="s">
        <v>163</v>
      </c>
      <c r="B54" s="105"/>
      <c r="C54" s="105"/>
      <c r="D54" s="105"/>
      <c r="E54" s="105"/>
      <c r="F54" s="105"/>
    </row>
    <row r="55" spans="1:6" x14ac:dyDescent="0.25">
      <c r="A55" s="85" t="s">
        <v>301</v>
      </c>
      <c r="B55" s="104">
        <v>314</v>
      </c>
      <c r="C55" s="104">
        <v>394</v>
      </c>
      <c r="D55" s="104">
        <v>380</v>
      </c>
      <c r="E55" s="104">
        <v>460</v>
      </c>
      <c r="F55" s="104">
        <v>459</v>
      </c>
    </row>
    <row r="56" spans="1:6" x14ac:dyDescent="0.25">
      <c r="A56" s="85" t="s">
        <v>302</v>
      </c>
      <c r="B56" s="104">
        <v>210</v>
      </c>
      <c r="C56" s="104">
        <v>463</v>
      </c>
      <c r="D56" s="104">
        <v>417</v>
      </c>
      <c r="E56" s="104">
        <v>64</v>
      </c>
      <c r="F56" s="104">
        <v>16</v>
      </c>
    </row>
    <row r="57" spans="1:6" x14ac:dyDescent="0.25">
      <c r="A57" s="85" t="s">
        <v>303</v>
      </c>
      <c r="B57" s="104">
        <v>991.25</v>
      </c>
      <c r="C57" s="104">
        <v>-58.5</v>
      </c>
      <c r="D57" s="104">
        <v>-79.8</v>
      </c>
      <c r="E57" s="104">
        <v>-832.4</v>
      </c>
      <c r="F57" s="104">
        <v>1516.75</v>
      </c>
    </row>
    <row r="58" spans="1:6" x14ac:dyDescent="0.25">
      <c r="A58" s="85" t="s">
        <v>304</v>
      </c>
      <c r="B58" s="104">
        <v>1194.375</v>
      </c>
      <c r="C58" s="104">
        <v>190.875</v>
      </c>
      <c r="D58" s="104">
        <v>157.75</v>
      </c>
      <c r="E58" s="104">
        <v>-539.9</v>
      </c>
      <c r="F58" s="104">
        <v>1817.375</v>
      </c>
    </row>
    <row r="59" spans="1:6" x14ac:dyDescent="0.25">
      <c r="A59" s="85" t="s">
        <v>305</v>
      </c>
      <c r="B59" s="104">
        <v>50</v>
      </c>
      <c r="C59" s="104">
        <v>174</v>
      </c>
      <c r="D59" s="104">
        <v>-329</v>
      </c>
      <c r="E59" s="104">
        <v>510</v>
      </c>
      <c r="F59" s="104">
        <v>-635</v>
      </c>
    </row>
    <row r="60" spans="1:6" x14ac:dyDescent="0.25">
      <c r="A60" s="85" t="s">
        <v>306</v>
      </c>
      <c r="B60" s="104">
        <v>188</v>
      </c>
      <c r="C60" s="104">
        <v>-633</v>
      </c>
      <c r="D60" s="104">
        <v>735</v>
      </c>
      <c r="E60" s="104">
        <v>1145</v>
      </c>
      <c r="F60" s="104">
        <v>150</v>
      </c>
    </row>
    <row r="61" spans="1:6" x14ac:dyDescent="0.25">
      <c r="A61" s="85" t="s">
        <v>178</v>
      </c>
      <c r="B61" s="110">
        <v>43881</v>
      </c>
      <c r="C61" s="110">
        <v>44256</v>
      </c>
      <c r="D61" s="110">
        <v>44621</v>
      </c>
      <c r="E61" s="110">
        <v>44621</v>
      </c>
      <c r="F61" s="110">
        <v>44621</v>
      </c>
    </row>
    <row r="62" spans="1:6" x14ac:dyDescent="0.25">
      <c r="A62" s="86" t="s">
        <v>179</v>
      </c>
      <c r="B62" s="111" t="s">
        <v>181</v>
      </c>
      <c r="C62" s="111" t="s">
        <v>181</v>
      </c>
      <c r="D62" s="111" t="s">
        <v>181</v>
      </c>
      <c r="E62" s="111" t="s">
        <v>181</v>
      </c>
      <c r="F62" s="111" t="s">
        <v>182</v>
      </c>
    </row>
    <row r="63" spans="1:6" x14ac:dyDescent="0.25">
      <c r="A63" s="126" t="s">
        <v>183</v>
      </c>
      <c r="B63" s="122" t="s">
        <v>184</v>
      </c>
      <c r="C63" s="122" t="s">
        <v>184</v>
      </c>
      <c r="D63" s="122" t="s">
        <v>184</v>
      </c>
      <c r="E63" s="122" t="s">
        <v>184</v>
      </c>
      <c r="F63" s="122" t="s">
        <v>184</v>
      </c>
    </row>
  </sheetData>
  <mergeCells count="2">
    <mergeCell ref="A4:F4"/>
    <mergeCell ref="A1: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6999-BA55-B341-A521-35F9ECEF0065}">
  <dimension ref="A1:F151"/>
  <sheetViews>
    <sheetView showGridLines="0" workbookViewId="0">
      <pane ySplit="5" topLeftCell="A70" activePane="bottomLeft" state="frozen"/>
      <selection pane="bottomLeft" activeCell="D15" sqref="D15"/>
    </sheetView>
  </sheetViews>
  <sheetFormatPr defaultColWidth="8.875" defaultRowHeight="15" x14ac:dyDescent="0.25"/>
  <cols>
    <col min="1" max="1" width="32.375" style="1" customWidth="1"/>
    <col min="2" max="11" width="11.875" style="1" customWidth="1"/>
    <col min="12" max="16384" width="8.875" style="1"/>
  </cols>
  <sheetData>
    <row r="1" spans="1:6" x14ac:dyDescent="0.25">
      <c r="A1" s="299" t="s">
        <v>85</v>
      </c>
      <c r="B1" s="299"/>
      <c r="C1" s="299"/>
      <c r="D1" s="299"/>
      <c r="E1" s="299"/>
      <c r="F1" s="329"/>
    </row>
    <row r="2" spans="1:6" x14ac:dyDescent="0.25">
      <c r="A2" s="299"/>
      <c r="B2" s="299"/>
      <c r="C2" s="299"/>
      <c r="D2" s="299"/>
      <c r="E2" s="299"/>
      <c r="F2" s="329"/>
    </row>
    <row r="3" spans="1:6" ht="15.75" thickBot="1" x14ac:dyDescent="0.3">
      <c r="A3" s="300"/>
      <c r="B3" s="300"/>
      <c r="C3" s="300"/>
      <c r="D3" s="300"/>
      <c r="E3" s="300"/>
      <c r="F3" s="330"/>
    </row>
    <row r="4" spans="1:6" ht="23.25" customHeight="1" x14ac:dyDescent="0.25">
      <c r="A4" s="332" t="s">
        <v>375</v>
      </c>
      <c r="B4" s="332"/>
      <c r="C4" s="332"/>
      <c r="D4" s="332"/>
      <c r="E4" s="332"/>
      <c r="F4" s="333"/>
    </row>
    <row r="5" spans="1:6" ht="26.25" x14ac:dyDescent="0.25">
      <c r="A5" s="140" t="s">
        <v>89</v>
      </c>
      <c r="B5" s="134" t="s">
        <v>262</v>
      </c>
      <c r="C5" s="141" t="s">
        <v>263</v>
      </c>
      <c r="D5" s="141" t="s">
        <v>264</v>
      </c>
      <c r="E5" s="141" t="s">
        <v>203</v>
      </c>
      <c r="F5" s="141" t="s">
        <v>204</v>
      </c>
    </row>
    <row r="6" spans="1:6" x14ac:dyDescent="0.25">
      <c r="A6" s="135" t="s">
        <v>308</v>
      </c>
      <c r="B6" s="105"/>
      <c r="C6" s="105"/>
      <c r="D6" s="105"/>
      <c r="E6" s="105"/>
      <c r="F6" s="105"/>
    </row>
    <row r="7" spans="1:6" x14ac:dyDescent="0.25">
      <c r="A7" s="136" t="s">
        <v>309</v>
      </c>
      <c r="B7" s="109">
        <v>-6.8838999999999997E-2</v>
      </c>
      <c r="C7" s="109">
        <v>2.1186E-2</v>
      </c>
      <c r="D7" s="109">
        <v>2.0074000000000002E-2</v>
      </c>
      <c r="E7" s="109">
        <v>-7.9729999999999992E-3</v>
      </c>
      <c r="F7" s="109">
        <v>6.6319000000000003E-2</v>
      </c>
    </row>
    <row r="8" spans="1:6" x14ac:dyDescent="0.25">
      <c r="A8" s="136" t="s">
        <v>310</v>
      </c>
      <c r="B8" s="109">
        <v>-8.5344000000000003E-2</v>
      </c>
      <c r="C8" s="109">
        <v>2.5579999999999999E-2</v>
      </c>
      <c r="D8" s="109">
        <v>2.4643999999999999E-2</v>
      </c>
      <c r="E8" s="109">
        <v>-9.7959999999999992E-3</v>
      </c>
      <c r="F8" s="109">
        <v>8.2614999999999994E-2</v>
      </c>
    </row>
    <row r="9" spans="1:6" x14ac:dyDescent="0.25">
      <c r="A9" s="136" t="s">
        <v>311</v>
      </c>
      <c r="B9" s="109">
        <v>-0.28205400000000003</v>
      </c>
      <c r="C9" s="109">
        <v>-9.8949999999999993E-3</v>
      </c>
      <c r="D9" s="109">
        <v>-2.3307000000000001E-2</v>
      </c>
      <c r="E9" s="109">
        <v>-0.35396699999999998</v>
      </c>
      <c r="F9" s="109">
        <v>0.13322300000000001</v>
      </c>
    </row>
    <row r="10" spans="1:6" x14ac:dyDescent="0.25">
      <c r="A10" s="136" t="s">
        <v>312</v>
      </c>
      <c r="B10" s="109">
        <v>-0.32208799999999999</v>
      </c>
      <c r="C10" s="109">
        <v>-3.1724000000000002E-2</v>
      </c>
      <c r="D10" s="109">
        <v>-4.4880000000000003E-2</v>
      </c>
      <c r="E10" s="109">
        <v>-0.43878499999999998</v>
      </c>
      <c r="F10" s="109">
        <v>9.5834000000000003E-2</v>
      </c>
    </row>
    <row r="11" spans="1:6" x14ac:dyDescent="0.25">
      <c r="A11" s="113"/>
      <c r="B11" s="105"/>
      <c r="C11" s="105"/>
      <c r="D11" s="105"/>
      <c r="E11" s="105"/>
      <c r="F11" s="105"/>
    </row>
    <row r="12" spans="1:6" x14ac:dyDescent="0.25">
      <c r="A12" s="135" t="s">
        <v>313</v>
      </c>
      <c r="B12" s="105"/>
      <c r="C12" s="105"/>
      <c r="D12" s="105"/>
      <c r="E12" s="105"/>
      <c r="F12" s="105"/>
    </row>
    <row r="13" spans="1:6" x14ac:dyDescent="0.25">
      <c r="A13" s="136" t="s">
        <v>314</v>
      </c>
      <c r="B13" s="109">
        <v>0.76304400000000006</v>
      </c>
      <c r="C13" s="109">
        <v>0.71212600000000004</v>
      </c>
      <c r="D13" s="109">
        <v>0.72492400000000001</v>
      </c>
      <c r="E13" s="109">
        <v>0.80563499999999999</v>
      </c>
      <c r="F13" s="109">
        <v>0.72140800000000005</v>
      </c>
    </row>
    <row r="14" spans="1:6" x14ac:dyDescent="0.25">
      <c r="A14" s="136" t="s">
        <v>315</v>
      </c>
      <c r="B14" s="109">
        <v>0.34673599999999999</v>
      </c>
      <c r="C14" s="109">
        <v>0.246423</v>
      </c>
      <c r="D14" s="109">
        <v>0.25415900000000002</v>
      </c>
      <c r="E14" s="109">
        <v>0.34118399999999999</v>
      </c>
      <c r="F14" s="109">
        <v>0.21490200000000001</v>
      </c>
    </row>
    <row r="15" spans="1:6" x14ac:dyDescent="0.25">
      <c r="A15" s="136" t="s">
        <v>316</v>
      </c>
      <c r="B15" s="109">
        <v>0.37909100000000001</v>
      </c>
      <c r="C15" s="109">
        <v>0.43449199999999999</v>
      </c>
      <c r="D15" s="109">
        <v>0.44889800000000002</v>
      </c>
      <c r="E15" s="109">
        <v>0.43825599999999998</v>
      </c>
      <c r="F15" s="109">
        <v>0.49787700000000001</v>
      </c>
    </row>
    <row r="16" spans="1:6" x14ac:dyDescent="0.25">
      <c r="A16" s="136" t="s">
        <v>317</v>
      </c>
      <c r="B16" s="109">
        <v>-0.53282200000000002</v>
      </c>
      <c r="C16" s="109">
        <v>0.122724</v>
      </c>
      <c r="D16" s="109">
        <v>0.10996599999999999</v>
      </c>
      <c r="E16" s="109">
        <v>-5.7009999999999998E-2</v>
      </c>
      <c r="F16" s="109">
        <v>0.28585100000000002</v>
      </c>
    </row>
    <row r="17" spans="1:6" x14ac:dyDescent="0.25">
      <c r="A17" s="136" t="s">
        <v>318</v>
      </c>
      <c r="B17" s="109">
        <v>-0.53282200000000002</v>
      </c>
      <c r="C17" s="109">
        <v>0.122724</v>
      </c>
      <c r="D17" s="109">
        <v>0.10996599999999999</v>
      </c>
      <c r="E17" s="109">
        <v>-5.7009999999999998E-2</v>
      </c>
      <c r="F17" s="109">
        <v>0.28585100000000002</v>
      </c>
    </row>
    <row r="18" spans="1:6" x14ac:dyDescent="0.25">
      <c r="A18" s="136" t="s">
        <v>319</v>
      </c>
      <c r="B18" s="109">
        <v>-0.73704800000000004</v>
      </c>
      <c r="C18" s="109">
        <v>-1.8693000000000001E-2</v>
      </c>
      <c r="D18" s="109">
        <v>-3.8027999999999999E-2</v>
      </c>
      <c r="E18" s="109">
        <v>-0.62491699999999994</v>
      </c>
      <c r="F18" s="109">
        <v>0.121901</v>
      </c>
    </row>
    <row r="19" spans="1:6" x14ac:dyDescent="0.25">
      <c r="A19" s="136" t="s">
        <v>320</v>
      </c>
      <c r="B19" s="109">
        <v>-0.76192199999999999</v>
      </c>
      <c r="C19" s="109">
        <v>-4.5837999999999997E-2</v>
      </c>
      <c r="D19" s="109">
        <v>-6.4648999999999998E-2</v>
      </c>
      <c r="E19" s="109">
        <v>-0.68082699999999996</v>
      </c>
      <c r="F19" s="109">
        <v>7.6563999999999993E-2</v>
      </c>
    </row>
    <row r="20" spans="1:6" x14ac:dyDescent="0.25">
      <c r="A20" s="136" t="s">
        <v>321</v>
      </c>
      <c r="B20" s="109">
        <v>-0.77052500000000002</v>
      </c>
      <c r="C20" s="109">
        <v>-5.3315000000000001E-2</v>
      </c>
      <c r="D20" s="109">
        <v>-6.5282000000000007E-2</v>
      </c>
      <c r="E20" s="109">
        <v>-0.68082699999999996</v>
      </c>
      <c r="F20" s="109">
        <v>7.6563999999999993E-2</v>
      </c>
    </row>
    <row r="21" spans="1:6" x14ac:dyDescent="0.25">
      <c r="A21" s="136" t="s">
        <v>322</v>
      </c>
      <c r="B21" s="109">
        <v>-0.39412199999999997</v>
      </c>
      <c r="C21" s="109">
        <v>8.5129999999999997E-3</v>
      </c>
      <c r="D21" s="109">
        <v>4.7730000000000003E-3</v>
      </c>
      <c r="E21" s="109">
        <v>-0.156752</v>
      </c>
      <c r="F21" s="109">
        <v>9.2315999999999995E-2</v>
      </c>
    </row>
    <row r="22" spans="1:6" x14ac:dyDescent="0.25">
      <c r="A22" s="136" t="s">
        <v>323</v>
      </c>
      <c r="B22" s="109">
        <v>0.18538399999999999</v>
      </c>
      <c r="C22" s="109">
        <v>-9.5090000000000001E-3</v>
      </c>
      <c r="D22" s="109">
        <v>-1.2636E-2</v>
      </c>
      <c r="E22" s="109">
        <v>-0.18322099999999999</v>
      </c>
      <c r="F22" s="109">
        <v>0.20774500000000001</v>
      </c>
    </row>
    <row r="23" spans="1:6" x14ac:dyDescent="0.25">
      <c r="A23" s="136" t="s">
        <v>324</v>
      </c>
      <c r="B23" s="109">
        <v>0.22337199999999999</v>
      </c>
      <c r="C23" s="109">
        <v>3.1026000000000001E-2</v>
      </c>
      <c r="D23" s="109">
        <v>2.4996000000000001E-2</v>
      </c>
      <c r="E23" s="109">
        <v>-0.118836</v>
      </c>
      <c r="F23" s="109">
        <v>0.248921</v>
      </c>
    </row>
    <row r="24" spans="1:6" x14ac:dyDescent="0.25">
      <c r="A24" s="113"/>
      <c r="B24" s="105"/>
      <c r="C24" s="105"/>
      <c r="D24" s="105"/>
      <c r="E24" s="105"/>
      <c r="F24" s="105"/>
    </row>
    <row r="25" spans="1:6" x14ac:dyDescent="0.25">
      <c r="A25" s="135" t="s">
        <v>325</v>
      </c>
      <c r="B25" s="105"/>
      <c r="C25" s="105"/>
      <c r="D25" s="105"/>
      <c r="E25" s="105"/>
      <c r="F25" s="105"/>
    </row>
    <row r="26" spans="1:6" x14ac:dyDescent="0.25">
      <c r="A26" s="136" t="s">
        <v>326</v>
      </c>
      <c r="B26" s="138">
        <v>0.20671500000000001</v>
      </c>
      <c r="C26" s="138">
        <v>0.27621499999999999</v>
      </c>
      <c r="D26" s="138">
        <v>0.292074</v>
      </c>
      <c r="E26" s="138">
        <v>0.223776</v>
      </c>
      <c r="F26" s="138">
        <v>0.37121199999999999</v>
      </c>
    </row>
    <row r="27" spans="1:6" x14ac:dyDescent="0.25">
      <c r="A27" s="136" t="s">
        <v>327</v>
      </c>
      <c r="B27" s="138">
        <v>0.26878099999999999</v>
      </c>
      <c r="C27" s="138">
        <v>0.38122299999999998</v>
      </c>
      <c r="D27" s="138">
        <v>0.37517400000000001</v>
      </c>
      <c r="E27" s="138">
        <v>0.28156999999999999</v>
      </c>
      <c r="F27" s="138">
        <v>0.49688599999999999</v>
      </c>
    </row>
    <row r="28" spans="1:6" x14ac:dyDescent="0.25">
      <c r="A28" s="136" t="s">
        <v>328</v>
      </c>
      <c r="B28" s="138">
        <v>6.6134810000000002</v>
      </c>
      <c r="C28" s="138">
        <v>8.4972370000000002</v>
      </c>
      <c r="D28" s="138">
        <v>7.3769720000000003</v>
      </c>
      <c r="E28" s="138">
        <v>5.5066660000000001</v>
      </c>
      <c r="F28" s="138">
        <v>8.2404060000000001</v>
      </c>
    </row>
    <row r="29" spans="1:6" x14ac:dyDescent="0.25">
      <c r="A29" s="136" t="s">
        <v>329</v>
      </c>
      <c r="B29" s="138">
        <v>4.5657649999999999</v>
      </c>
      <c r="C29" s="138">
        <v>7.4255760000000004</v>
      </c>
      <c r="D29" s="138">
        <v>6.8616599999999996</v>
      </c>
      <c r="E29" s="138">
        <v>2.763693</v>
      </c>
      <c r="F29" s="138">
        <v>6.7687179999999998</v>
      </c>
    </row>
    <row r="30" spans="1:6" x14ac:dyDescent="0.25">
      <c r="A30" s="113"/>
      <c r="B30" s="105"/>
      <c r="C30" s="105"/>
      <c r="D30" s="105"/>
      <c r="E30" s="105"/>
      <c r="F30" s="105"/>
    </row>
    <row r="31" spans="1:6" x14ac:dyDescent="0.25">
      <c r="A31" s="135" t="s">
        <v>330</v>
      </c>
      <c r="B31" s="105"/>
      <c r="C31" s="105"/>
      <c r="D31" s="105"/>
      <c r="E31" s="105"/>
      <c r="F31" s="105"/>
    </row>
    <row r="32" spans="1:6" x14ac:dyDescent="0.25">
      <c r="A32" s="136" t="s">
        <v>331</v>
      </c>
      <c r="B32" s="138">
        <v>2.5285419999999998</v>
      </c>
      <c r="C32" s="138">
        <v>2.0240580000000001</v>
      </c>
      <c r="D32" s="138">
        <v>1.2573700000000001</v>
      </c>
      <c r="E32" s="138">
        <v>1.898336</v>
      </c>
      <c r="F32" s="138">
        <v>1.418407</v>
      </c>
    </row>
    <row r="33" spans="1:6" x14ac:dyDescent="0.25">
      <c r="A33" s="136" t="s">
        <v>332</v>
      </c>
      <c r="B33" s="138">
        <v>2.4106770000000002</v>
      </c>
      <c r="C33" s="138">
        <v>1.6772579999999999</v>
      </c>
      <c r="D33" s="138">
        <v>1.0816730000000001</v>
      </c>
      <c r="E33" s="138">
        <v>1.6013550000000001</v>
      </c>
      <c r="F33" s="138">
        <v>1.280678</v>
      </c>
    </row>
    <row r="34" spans="1:6" x14ac:dyDescent="0.25">
      <c r="A34" s="136" t="s">
        <v>333</v>
      </c>
      <c r="B34" s="138">
        <v>0.38808999999999999</v>
      </c>
      <c r="C34" s="138">
        <v>0.88016300000000003</v>
      </c>
      <c r="D34" s="138">
        <v>0.65418299999999996</v>
      </c>
      <c r="E34" s="138">
        <v>0.82131799999999999</v>
      </c>
      <c r="F34" s="138">
        <v>0.94321100000000002</v>
      </c>
    </row>
    <row r="35" spans="1:6" x14ac:dyDescent="0.25">
      <c r="A35" s="136" t="s">
        <v>334</v>
      </c>
      <c r="B35" s="104">
        <v>55.190190000000001</v>
      </c>
      <c r="C35" s="104">
        <v>42.955024999999999</v>
      </c>
      <c r="D35" s="104">
        <v>49.477939999999997</v>
      </c>
      <c r="E35" s="104">
        <v>66.464867999999996</v>
      </c>
      <c r="F35" s="104">
        <v>44.293844999999997</v>
      </c>
    </row>
    <row r="36" spans="1:6" x14ac:dyDescent="0.25">
      <c r="A36" s="136" t="s">
        <v>335</v>
      </c>
      <c r="B36" s="104">
        <v>79.942665000000005</v>
      </c>
      <c r="C36" s="104">
        <v>49.154184999999998</v>
      </c>
      <c r="D36" s="104">
        <v>53.194004999999997</v>
      </c>
      <c r="E36" s="104">
        <v>132.43124399999999</v>
      </c>
      <c r="F36" s="104">
        <v>53.924370000000003</v>
      </c>
    </row>
    <row r="37" spans="1:6" x14ac:dyDescent="0.25">
      <c r="A37" s="136" t="s">
        <v>336</v>
      </c>
      <c r="B37" s="104">
        <v>134.702155</v>
      </c>
      <c r="C37" s="104">
        <v>95.137249999999995</v>
      </c>
      <c r="D37" s="104">
        <v>94.374764999999996</v>
      </c>
      <c r="E37" s="104">
        <v>111.813</v>
      </c>
      <c r="F37" s="104">
        <v>40.792765000000003</v>
      </c>
    </row>
    <row r="38" spans="1:6" x14ac:dyDescent="0.25">
      <c r="A38" s="136" t="s">
        <v>337</v>
      </c>
      <c r="B38" s="104">
        <v>0.43070000000000003</v>
      </c>
      <c r="C38" s="104">
        <v>-3</v>
      </c>
      <c r="D38" s="104">
        <v>8.2971800000000009</v>
      </c>
      <c r="E38" s="104">
        <v>87.083112</v>
      </c>
      <c r="F38" s="104">
        <v>57.425449999999998</v>
      </c>
    </row>
    <row r="39" spans="1:6" x14ac:dyDescent="0.25">
      <c r="A39" s="113"/>
      <c r="B39" s="105"/>
      <c r="C39" s="105"/>
      <c r="D39" s="105"/>
      <c r="E39" s="105"/>
      <c r="F39" s="105"/>
    </row>
    <row r="40" spans="1:6" x14ac:dyDescent="0.25">
      <c r="A40" s="135" t="s">
        <v>338</v>
      </c>
      <c r="B40" s="105"/>
      <c r="C40" s="105"/>
      <c r="D40" s="105"/>
      <c r="E40" s="105"/>
      <c r="F40" s="105"/>
    </row>
    <row r="41" spans="1:6" x14ac:dyDescent="0.25">
      <c r="A41" s="136" t="s">
        <v>339</v>
      </c>
      <c r="B41" s="109">
        <v>0.56475600000000004</v>
      </c>
      <c r="C41" s="109">
        <v>0.61296799999999996</v>
      </c>
      <c r="D41" s="109">
        <v>0.81722600000000001</v>
      </c>
      <c r="E41" s="109">
        <v>1.432517</v>
      </c>
      <c r="F41" s="109">
        <v>1.301024</v>
      </c>
    </row>
    <row r="42" spans="1:6" x14ac:dyDescent="0.25">
      <c r="A42" s="136" t="s">
        <v>340</v>
      </c>
      <c r="B42" s="109">
        <v>0.36092200000000002</v>
      </c>
      <c r="C42" s="109">
        <v>0.380025</v>
      </c>
      <c r="D42" s="109">
        <v>0.44971</v>
      </c>
      <c r="E42" s="109">
        <v>0.58890299999999995</v>
      </c>
      <c r="F42" s="109">
        <v>0.565411</v>
      </c>
    </row>
    <row r="43" spans="1:6" x14ac:dyDescent="0.25">
      <c r="A43" s="136" t="s">
        <v>341</v>
      </c>
      <c r="B43" s="109">
        <v>0.51780700000000002</v>
      </c>
      <c r="C43" s="109">
        <v>0.60681399999999996</v>
      </c>
      <c r="D43" s="109">
        <v>0.79672299999999996</v>
      </c>
      <c r="E43" s="109">
        <v>1.418153</v>
      </c>
      <c r="F43" s="109">
        <v>1.2147730000000001</v>
      </c>
    </row>
    <row r="44" spans="1:6" x14ac:dyDescent="0.25">
      <c r="A44" s="136" t="s">
        <v>342</v>
      </c>
      <c r="B44" s="109">
        <v>0.33091900000000002</v>
      </c>
      <c r="C44" s="109">
        <v>0.37620900000000002</v>
      </c>
      <c r="D44" s="109">
        <v>0.43842799999999998</v>
      </c>
      <c r="E44" s="109">
        <v>0.58299800000000002</v>
      </c>
      <c r="F44" s="109">
        <v>0.52792700000000004</v>
      </c>
    </row>
    <row r="45" spans="1:6" x14ac:dyDescent="0.25">
      <c r="A45" s="136" t="s">
        <v>343</v>
      </c>
      <c r="B45" s="109">
        <v>0.465472</v>
      </c>
      <c r="C45" s="109">
        <v>0.49199799999999999</v>
      </c>
      <c r="D45" s="109">
        <v>0.55440199999999995</v>
      </c>
      <c r="E45" s="109">
        <v>0.66340699999999997</v>
      </c>
      <c r="F45" s="109">
        <v>0.65751800000000005</v>
      </c>
    </row>
    <row r="46" spans="1:6" x14ac:dyDescent="0.25">
      <c r="A46" s="136"/>
      <c r="B46" s="105"/>
      <c r="C46" s="105"/>
      <c r="D46" s="105"/>
      <c r="E46" s="105"/>
      <c r="F46" s="105"/>
    </row>
    <row r="47" spans="1:6" x14ac:dyDescent="0.25">
      <c r="A47" s="136" t="s">
        <v>344</v>
      </c>
      <c r="B47" s="111" t="s">
        <v>101</v>
      </c>
      <c r="C47" s="138">
        <v>1.8922300000000001</v>
      </c>
      <c r="D47" s="138">
        <v>1.8263149999999999</v>
      </c>
      <c r="E47" s="111" t="s">
        <v>101</v>
      </c>
      <c r="F47" s="138">
        <v>4.3388770000000001</v>
      </c>
    </row>
    <row r="48" spans="1:6" x14ac:dyDescent="0.25">
      <c r="A48" s="136" t="s">
        <v>345</v>
      </c>
      <c r="B48" s="138">
        <v>6.236923</v>
      </c>
      <c r="C48" s="138">
        <v>6.6992479999999999</v>
      </c>
      <c r="D48" s="138">
        <v>9.1789470000000009</v>
      </c>
      <c r="E48" s="138">
        <v>5.1559819999999998</v>
      </c>
      <c r="F48" s="138">
        <v>8.0332640000000008</v>
      </c>
    </row>
    <row r="49" spans="1:6" x14ac:dyDescent="0.25">
      <c r="A49" s="136" t="s">
        <v>346</v>
      </c>
      <c r="B49" s="138">
        <v>0.27692299999999997</v>
      </c>
      <c r="C49" s="138">
        <v>1.4436089999999999</v>
      </c>
      <c r="D49" s="138">
        <v>1.73421</v>
      </c>
      <c r="E49" s="138">
        <v>0.461538</v>
      </c>
      <c r="F49" s="138">
        <v>4.4012469999999997</v>
      </c>
    </row>
    <row r="50" spans="1:6" x14ac:dyDescent="0.25">
      <c r="A50" s="136" t="s">
        <v>347</v>
      </c>
      <c r="B50" s="138">
        <v>3.4420320000000002</v>
      </c>
      <c r="C50" s="138">
        <v>2.49682</v>
      </c>
      <c r="D50" s="138">
        <v>2.2740819999999999</v>
      </c>
      <c r="E50" s="138">
        <v>3.7608779999999999</v>
      </c>
      <c r="F50" s="138">
        <v>2.3656830000000002</v>
      </c>
    </row>
    <row r="51" spans="1:6" x14ac:dyDescent="0.25">
      <c r="A51" s="136" t="s">
        <v>348</v>
      </c>
      <c r="B51" s="138">
        <v>1.0508139999999999</v>
      </c>
      <c r="C51" s="138">
        <v>1.488963</v>
      </c>
      <c r="D51" s="138">
        <v>1.831135</v>
      </c>
      <c r="E51" s="138">
        <v>3.0401980000000002</v>
      </c>
      <c r="F51" s="138">
        <v>1.6635610000000001</v>
      </c>
    </row>
    <row r="52" spans="1:6" x14ac:dyDescent="0.25">
      <c r="A52" s="136" t="s">
        <v>349</v>
      </c>
      <c r="B52" s="138">
        <v>77.522221999999999</v>
      </c>
      <c r="C52" s="138">
        <v>11.586805</v>
      </c>
      <c r="D52" s="138">
        <v>12.036417999999999</v>
      </c>
      <c r="E52" s="138">
        <v>42.013888000000001</v>
      </c>
      <c r="F52" s="138">
        <v>4.3179020000000001</v>
      </c>
    </row>
    <row r="53" spans="1:6" x14ac:dyDescent="0.25">
      <c r="A53" s="136" t="s">
        <v>350</v>
      </c>
      <c r="B53" s="138">
        <v>23.666665999999999</v>
      </c>
      <c r="C53" s="138">
        <v>6.9097220000000004</v>
      </c>
      <c r="D53" s="138">
        <v>9.6919570000000004</v>
      </c>
      <c r="E53" s="138">
        <v>33.962961999999997</v>
      </c>
      <c r="F53" s="138">
        <v>3.0363720000000001</v>
      </c>
    </row>
    <row r="54" spans="1:6" x14ac:dyDescent="0.25">
      <c r="A54" s="136"/>
      <c r="B54" s="105"/>
      <c r="C54" s="105"/>
      <c r="D54" s="105"/>
      <c r="E54" s="105"/>
      <c r="F54" s="105"/>
    </row>
    <row r="55" spans="1:6" x14ac:dyDescent="0.25">
      <c r="A55" s="136" t="s">
        <v>351</v>
      </c>
      <c r="B55" s="108">
        <v>1.176517</v>
      </c>
      <c r="C55" s="108">
        <v>1.800389</v>
      </c>
      <c r="D55" s="108">
        <v>1.5705180000000001</v>
      </c>
      <c r="E55" s="108">
        <v>1.002974</v>
      </c>
      <c r="F55" s="108">
        <v>1.8149409999999999</v>
      </c>
    </row>
    <row r="56" spans="1:6" x14ac:dyDescent="0.25">
      <c r="A56" s="113"/>
      <c r="B56" s="105"/>
      <c r="C56" s="105"/>
      <c r="D56" s="105"/>
      <c r="E56" s="105"/>
      <c r="F56" s="105"/>
    </row>
    <row r="57" spans="1:6" x14ac:dyDescent="0.25">
      <c r="A57" s="135" t="s">
        <v>352</v>
      </c>
      <c r="B57" s="105"/>
      <c r="C57" s="105"/>
      <c r="D57" s="105"/>
      <c r="E57" s="105"/>
      <c r="F57" s="105"/>
    </row>
    <row r="58" spans="1:6" x14ac:dyDescent="0.25">
      <c r="A58" s="136" t="s">
        <v>127</v>
      </c>
      <c r="B58" s="109">
        <v>0.147178</v>
      </c>
      <c r="C58" s="109">
        <v>0.15055099999999999</v>
      </c>
      <c r="D58" s="109">
        <v>2.5845E-2</v>
      </c>
      <c r="E58" s="109">
        <v>-0.28014600000000001</v>
      </c>
      <c r="F58" s="109">
        <v>0.60708700000000004</v>
      </c>
    </row>
    <row r="59" spans="1:6" x14ac:dyDescent="0.25">
      <c r="A59" s="136" t="s">
        <v>128</v>
      </c>
      <c r="B59" s="109">
        <v>0.133963</v>
      </c>
      <c r="C59" s="109">
        <v>7.3774000000000006E-2</v>
      </c>
      <c r="D59" s="109">
        <v>4.4282000000000002E-2</v>
      </c>
      <c r="E59" s="109">
        <v>-0.2</v>
      </c>
      <c r="F59" s="109">
        <v>0.43907099999999999</v>
      </c>
    </row>
    <row r="60" spans="1:6" x14ac:dyDescent="0.25">
      <c r="A60" s="136" t="s">
        <v>353</v>
      </c>
      <c r="B60" s="109">
        <v>1.1655979999999999</v>
      </c>
      <c r="C60" s="109">
        <v>0.31869700000000001</v>
      </c>
      <c r="D60" s="109">
        <v>5.9857E-2</v>
      </c>
      <c r="E60" s="109">
        <v>-0.29721199999999998</v>
      </c>
      <c r="F60" s="109">
        <v>0.82571499999999998</v>
      </c>
    </row>
    <row r="61" spans="1:6" x14ac:dyDescent="0.25">
      <c r="A61" s="136" t="s">
        <v>354</v>
      </c>
      <c r="B61" s="109" t="s">
        <v>101</v>
      </c>
      <c r="C61" s="109" t="s">
        <v>101</v>
      </c>
      <c r="D61" s="109">
        <v>-8.0795000000000006E-2</v>
      </c>
      <c r="E61" s="109" t="s">
        <v>101</v>
      </c>
      <c r="F61" s="109" t="s">
        <v>101</v>
      </c>
    </row>
    <row r="62" spans="1:6" x14ac:dyDescent="0.25">
      <c r="A62" s="136" t="s">
        <v>355</v>
      </c>
      <c r="B62" s="109" t="s">
        <v>101</v>
      </c>
      <c r="C62" s="109" t="s">
        <v>101</v>
      </c>
      <c r="D62" s="109">
        <v>-8.0795000000000006E-2</v>
      </c>
      <c r="E62" s="109" t="s">
        <v>101</v>
      </c>
      <c r="F62" s="109" t="s">
        <v>101</v>
      </c>
    </row>
    <row r="63" spans="1:6" x14ac:dyDescent="0.25">
      <c r="A63" s="136" t="s">
        <v>145</v>
      </c>
      <c r="B63" s="109" t="s">
        <v>101</v>
      </c>
      <c r="C63" s="109" t="s">
        <v>101</v>
      </c>
      <c r="D63" s="109" t="s">
        <v>101</v>
      </c>
      <c r="E63" s="109" t="s">
        <v>101</v>
      </c>
      <c r="F63" s="109" t="s">
        <v>101</v>
      </c>
    </row>
    <row r="64" spans="1:6" x14ac:dyDescent="0.25">
      <c r="A64" s="136" t="s">
        <v>150</v>
      </c>
      <c r="B64" s="109" t="s">
        <v>101</v>
      </c>
      <c r="C64" s="109" t="s">
        <v>101</v>
      </c>
      <c r="D64" s="109" t="s">
        <v>101</v>
      </c>
      <c r="E64" s="109" t="s">
        <v>101</v>
      </c>
      <c r="F64" s="109" t="s">
        <v>101</v>
      </c>
    </row>
    <row r="65" spans="1:6" x14ac:dyDescent="0.25">
      <c r="A65" s="136" t="s">
        <v>356</v>
      </c>
      <c r="B65" s="109" t="s">
        <v>101</v>
      </c>
      <c r="C65" s="109" t="s">
        <v>101</v>
      </c>
      <c r="D65" s="109">
        <v>-0.42482199999999998</v>
      </c>
      <c r="E65" s="109" t="s">
        <v>101</v>
      </c>
      <c r="F65" s="109" t="s">
        <v>101</v>
      </c>
    </row>
    <row r="66" spans="1:6" x14ac:dyDescent="0.25">
      <c r="A66" s="136" t="s">
        <v>357</v>
      </c>
      <c r="B66" s="109" t="s">
        <v>101</v>
      </c>
      <c r="C66" s="109" t="s">
        <v>101</v>
      </c>
      <c r="D66" s="109" t="s">
        <v>101</v>
      </c>
      <c r="E66" s="109" t="s">
        <v>101</v>
      </c>
      <c r="F66" s="109" t="s">
        <v>101</v>
      </c>
    </row>
    <row r="67" spans="1:6" x14ac:dyDescent="0.25">
      <c r="A67" s="113"/>
      <c r="B67" s="105"/>
      <c r="C67" s="105"/>
      <c r="D67" s="105"/>
      <c r="E67" s="105"/>
      <c r="F67" s="105"/>
    </row>
    <row r="68" spans="1:6" x14ac:dyDescent="0.25">
      <c r="A68" s="136" t="s">
        <v>358</v>
      </c>
      <c r="B68" s="109">
        <v>-0.27978799999999998</v>
      </c>
      <c r="C68" s="109">
        <v>0.138847</v>
      </c>
      <c r="D68" s="109">
        <v>0.219195</v>
      </c>
      <c r="E68" s="109">
        <v>-0.24468100000000001</v>
      </c>
      <c r="F68" s="109">
        <v>0.49577399999999999</v>
      </c>
    </row>
    <row r="69" spans="1:6" x14ac:dyDescent="0.25">
      <c r="A69" s="136" t="s">
        <v>359</v>
      </c>
      <c r="B69" s="109">
        <v>-0.28173399999999998</v>
      </c>
      <c r="C69" s="109">
        <v>5.6034E-2</v>
      </c>
      <c r="D69" s="109">
        <v>6.5306000000000003E-2</v>
      </c>
      <c r="E69" s="109">
        <v>0.44827499999999998</v>
      </c>
      <c r="F69" s="109">
        <v>-0.410053</v>
      </c>
    </row>
    <row r="70" spans="1:6" x14ac:dyDescent="0.25">
      <c r="A70" s="136" t="s">
        <v>360</v>
      </c>
      <c r="B70" s="109">
        <v>-0.313753</v>
      </c>
      <c r="C70" s="109">
        <v>-6.7320000000000001E-3</v>
      </c>
      <c r="D70" s="109">
        <v>9.1836000000000001E-2</v>
      </c>
      <c r="E70" s="109">
        <v>-0.162358</v>
      </c>
      <c r="F70" s="109">
        <v>-2.1080000000000001E-3</v>
      </c>
    </row>
    <row r="71" spans="1:6" x14ac:dyDescent="0.25">
      <c r="A71" s="136" t="s">
        <v>361</v>
      </c>
      <c r="B71" s="109">
        <v>-0.19248199999999999</v>
      </c>
      <c r="C71" s="109">
        <v>-7.2647000000000003E-2</v>
      </c>
      <c r="D71" s="109">
        <v>1.6282999999999999E-2</v>
      </c>
      <c r="E71" s="109">
        <v>-0.135938</v>
      </c>
      <c r="F71" s="109">
        <v>9.0005000000000002E-2</v>
      </c>
    </row>
    <row r="72" spans="1:6" x14ac:dyDescent="0.25">
      <c r="A72" s="136"/>
      <c r="B72" s="105"/>
      <c r="C72" s="105"/>
      <c r="D72" s="105"/>
      <c r="E72" s="105"/>
      <c r="F72" s="105"/>
    </row>
    <row r="73" spans="1:6" x14ac:dyDescent="0.25">
      <c r="A73" s="136" t="s">
        <v>362</v>
      </c>
      <c r="B73" s="109">
        <v>-0.24495</v>
      </c>
      <c r="C73" s="109">
        <v>-0.133022</v>
      </c>
      <c r="D73" s="109">
        <v>-9.6676999999999999E-2</v>
      </c>
      <c r="E73" s="109">
        <v>-0.402055</v>
      </c>
      <c r="F73" s="109">
        <v>0.18657599999999999</v>
      </c>
    </row>
    <row r="74" spans="1:6" x14ac:dyDescent="0.25">
      <c r="A74" s="136" t="s">
        <v>363</v>
      </c>
      <c r="B74" s="109">
        <v>-0.23966199999999999</v>
      </c>
      <c r="C74" s="109">
        <v>-0.128688</v>
      </c>
      <c r="D74" s="109">
        <v>-9.3062000000000006E-2</v>
      </c>
      <c r="E74" s="109">
        <v>-0.38547900000000002</v>
      </c>
      <c r="F74" s="109">
        <v>0.17405799999999999</v>
      </c>
    </row>
    <row r="75" spans="1:6" x14ac:dyDescent="0.25">
      <c r="A75" s="136" t="s">
        <v>276</v>
      </c>
      <c r="B75" s="109">
        <v>0.18867900000000001</v>
      </c>
      <c r="C75" s="109">
        <v>1.0518510000000001</v>
      </c>
      <c r="D75" s="109">
        <v>-0.153172</v>
      </c>
      <c r="E75" s="109">
        <v>-0.18818599999999999</v>
      </c>
      <c r="F75" s="109">
        <v>1.168042</v>
      </c>
    </row>
    <row r="76" spans="1:6" x14ac:dyDescent="0.25">
      <c r="A76" s="136" t="s">
        <v>364</v>
      </c>
      <c r="B76" s="109">
        <v>-0.13949400000000001</v>
      </c>
      <c r="C76" s="109">
        <v>8.2600999999999994E-2</v>
      </c>
      <c r="D76" s="109">
        <v>0.34906999999999999</v>
      </c>
      <c r="E76" s="109">
        <v>-0.22340099999999999</v>
      </c>
      <c r="F76" s="109">
        <v>-0.20482500000000001</v>
      </c>
    </row>
    <row r="77" spans="1:6" x14ac:dyDescent="0.25">
      <c r="A77" s="136" t="s">
        <v>365</v>
      </c>
      <c r="B77" s="109" t="s">
        <v>101</v>
      </c>
      <c r="C77" s="109" t="s">
        <v>101</v>
      </c>
      <c r="D77" s="109" t="s">
        <v>101</v>
      </c>
      <c r="E77" s="109" t="s">
        <v>101</v>
      </c>
      <c r="F77" s="109" t="s">
        <v>101</v>
      </c>
    </row>
    <row r="78" spans="1:6" x14ac:dyDescent="0.25">
      <c r="A78" s="136" t="s">
        <v>366</v>
      </c>
      <c r="B78" s="109" t="s">
        <v>101</v>
      </c>
      <c r="C78" s="109">
        <v>-0.84018899999999996</v>
      </c>
      <c r="D78" s="109">
        <v>-0.173543</v>
      </c>
      <c r="E78" s="109" t="s">
        <v>101</v>
      </c>
      <c r="F78" s="109" t="s">
        <v>101</v>
      </c>
    </row>
    <row r="79" spans="1:6" x14ac:dyDescent="0.25">
      <c r="A79" s="136" t="s">
        <v>367</v>
      </c>
      <c r="B79" s="109">
        <v>0</v>
      </c>
      <c r="C79" s="109">
        <v>0</v>
      </c>
      <c r="D79" s="109">
        <v>0</v>
      </c>
      <c r="E79" s="109">
        <v>0</v>
      </c>
      <c r="F79" s="109">
        <v>0</v>
      </c>
    </row>
    <row r="80" spans="1:6" x14ac:dyDescent="0.25">
      <c r="A80" s="113"/>
      <c r="B80" s="105"/>
      <c r="C80" s="105"/>
      <c r="D80" s="105"/>
      <c r="E80" s="105"/>
      <c r="F80" s="105"/>
    </row>
    <row r="81" spans="1:6" x14ac:dyDescent="0.25">
      <c r="A81" s="135" t="s">
        <v>368</v>
      </c>
      <c r="B81" s="105"/>
      <c r="C81" s="105"/>
      <c r="D81" s="105"/>
      <c r="E81" s="105"/>
      <c r="F81" s="105"/>
    </row>
    <row r="82" spans="1:6" x14ac:dyDescent="0.25">
      <c r="A82" s="136" t="s">
        <v>127</v>
      </c>
      <c r="B82" s="109">
        <v>-9.2321E-2</v>
      </c>
      <c r="C82" s="109">
        <v>0.148864</v>
      </c>
      <c r="D82" s="109">
        <v>8.6411000000000002E-2</v>
      </c>
      <c r="E82" s="109">
        <v>-0.14066400000000001</v>
      </c>
      <c r="F82" s="109">
        <v>7.5578000000000006E-2</v>
      </c>
    </row>
    <row r="83" spans="1:6" x14ac:dyDescent="0.25">
      <c r="A83" s="136" t="s">
        <v>128</v>
      </c>
      <c r="B83" s="109">
        <v>-0.113874</v>
      </c>
      <c r="C83" s="109">
        <v>0.10345799999999999</v>
      </c>
      <c r="D83" s="109">
        <v>5.8924999999999998E-2</v>
      </c>
      <c r="E83" s="109">
        <v>-8.5984000000000005E-2</v>
      </c>
      <c r="F83" s="109">
        <v>7.2966000000000003E-2</v>
      </c>
    </row>
    <row r="84" spans="1:6" x14ac:dyDescent="0.25">
      <c r="A84" s="136" t="s">
        <v>353</v>
      </c>
      <c r="B84" s="109">
        <v>-5.4413999999999997E-2</v>
      </c>
      <c r="C84" s="109">
        <v>0.68990200000000002</v>
      </c>
      <c r="D84" s="109">
        <v>0.18221399999999999</v>
      </c>
      <c r="E84" s="109">
        <v>-0.13694999999999999</v>
      </c>
      <c r="F84" s="109">
        <v>0.13273699999999999</v>
      </c>
    </row>
    <row r="85" spans="1:6" x14ac:dyDescent="0.25">
      <c r="A85" s="136" t="s">
        <v>354</v>
      </c>
      <c r="B85" s="109" t="s">
        <v>101</v>
      </c>
      <c r="C85" s="109" t="s">
        <v>101</v>
      </c>
      <c r="D85" s="109" t="s">
        <v>101</v>
      </c>
      <c r="E85" s="109" t="s">
        <v>101</v>
      </c>
      <c r="F85" s="109">
        <v>0.73412900000000003</v>
      </c>
    </row>
    <row r="86" spans="1:6" x14ac:dyDescent="0.25">
      <c r="A86" s="136" t="s">
        <v>355</v>
      </c>
      <c r="B86" s="109" t="s">
        <v>101</v>
      </c>
      <c r="C86" s="109" t="s">
        <v>101</v>
      </c>
      <c r="D86" s="109" t="s">
        <v>101</v>
      </c>
      <c r="E86" s="109" t="s">
        <v>101</v>
      </c>
      <c r="F86" s="109">
        <v>0.73412900000000003</v>
      </c>
    </row>
    <row r="87" spans="1:6" x14ac:dyDescent="0.25">
      <c r="A87" s="136" t="s">
        <v>145</v>
      </c>
      <c r="B87" s="109" t="s">
        <v>101</v>
      </c>
      <c r="C87" s="109" t="s">
        <v>101</v>
      </c>
      <c r="D87" s="109" t="s">
        <v>101</v>
      </c>
      <c r="E87" s="109" t="s">
        <v>101</v>
      </c>
      <c r="F87" s="109" t="s">
        <v>101</v>
      </c>
    </row>
    <row r="88" spans="1:6" x14ac:dyDescent="0.25">
      <c r="A88" s="136" t="s">
        <v>150</v>
      </c>
      <c r="B88" s="109" t="s">
        <v>101</v>
      </c>
      <c r="C88" s="109" t="s">
        <v>101</v>
      </c>
      <c r="D88" s="109" t="s">
        <v>101</v>
      </c>
      <c r="E88" s="109" t="s">
        <v>101</v>
      </c>
      <c r="F88" s="109" t="s">
        <v>101</v>
      </c>
    </row>
    <row r="89" spans="1:6" x14ac:dyDescent="0.25">
      <c r="A89" s="136" t="s">
        <v>356</v>
      </c>
      <c r="B89" s="109" t="s">
        <v>101</v>
      </c>
      <c r="C89" s="109" t="s">
        <v>101</v>
      </c>
      <c r="D89" s="109" t="s">
        <v>101</v>
      </c>
      <c r="E89" s="109" t="s">
        <v>101</v>
      </c>
      <c r="F89" s="109">
        <v>3.730057</v>
      </c>
    </row>
    <row r="90" spans="1:6" x14ac:dyDescent="0.25">
      <c r="A90" s="136" t="s">
        <v>357</v>
      </c>
      <c r="B90" s="109" t="s">
        <v>101</v>
      </c>
      <c r="C90" s="109" t="s">
        <v>101</v>
      </c>
      <c r="D90" s="109" t="s">
        <v>101</v>
      </c>
      <c r="E90" s="109" t="s">
        <v>101</v>
      </c>
      <c r="F90" s="109" t="s">
        <v>101</v>
      </c>
    </row>
    <row r="91" spans="1:6" x14ac:dyDescent="0.25">
      <c r="A91" s="136"/>
      <c r="B91" s="105"/>
      <c r="C91" s="105"/>
      <c r="D91" s="105"/>
      <c r="E91" s="105"/>
      <c r="F91" s="105"/>
    </row>
    <row r="92" spans="1:6" x14ac:dyDescent="0.25">
      <c r="A92" s="136" t="s">
        <v>358</v>
      </c>
      <c r="B92" s="109">
        <v>-0.10596899999999999</v>
      </c>
      <c r="C92" s="109">
        <v>-9.4343999999999997E-2</v>
      </c>
      <c r="D92" s="109">
        <v>0.178337</v>
      </c>
      <c r="E92" s="109">
        <v>-4.0375000000000001E-2</v>
      </c>
      <c r="F92" s="109">
        <v>6.2913999999999998E-2</v>
      </c>
    </row>
    <row r="93" spans="1:6" x14ac:dyDescent="0.25">
      <c r="A93" s="136" t="s">
        <v>359</v>
      </c>
      <c r="B93" s="109">
        <v>-0.23746900000000001</v>
      </c>
      <c r="C93" s="109">
        <v>-0.12907299999999999</v>
      </c>
      <c r="D93" s="109">
        <v>6.0659999999999999E-2</v>
      </c>
      <c r="E93" s="109">
        <v>0.242118</v>
      </c>
      <c r="F93" s="109">
        <v>-7.5659000000000004E-2</v>
      </c>
    </row>
    <row r="94" spans="1:6" x14ac:dyDescent="0.25">
      <c r="A94" s="136" t="s">
        <v>360</v>
      </c>
      <c r="B94" s="109">
        <v>-0.21613099999999999</v>
      </c>
      <c r="C94" s="109">
        <v>-0.17439299999999999</v>
      </c>
      <c r="D94" s="109">
        <v>4.1387E-2</v>
      </c>
      <c r="E94" s="109">
        <v>-4.367E-2</v>
      </c>
      <c r="F94" s="109">
        <v>-8.5736999999999994E-2</v>
      </c>
    </row>
    <row r="95" spans="1:6" x14ac:dyDescent="0.25">
      <c r="A95" s="136" t="s">
        <v>361</v>
      </c>
      <c r="B95" s="109">
        <v>-0.17741899999999999</v>
      </c>
      <c r="C95" s="109">
        <v>-0.13463600000000001</v>
      </c>
      <c r="D95" s="109">
        <v>-2.9198999999999999E-2</v>
      </c>
      <c r="E95" s="109">
        <v>-6.2913999999999998E-2</v>
      </c>
      <c r="F95" s="109">
        <v>-2.9520000000000001E-2</v>
      </c>
    </row>
    <row r="96" spans="1:6" x14ac:dyDescent="0.25">
      <c r="A96" s="136"/>
      <c r="B96" s="105"/>
      <c r="C96" s="105"/>
      <c r="D96" s="105"/>
      <c r="E96" s="105"/>
      <c r="F96" s="105"/>
    </row>
    <row r="97" spans="1:6" x14ac:dyDescent="0.25">
      <c r="A97" s="136" t="s">
        <v>362</v>
      </c>
      <c r="B97" s="109">
        <v>-0.25012899999999999</v>
      </c>
      <c r="C97" s="109">
        <v>-0.19091900000000001</v>
      </c>
      <c r="D97" s="109">
        <v>-0.115036</v>
      </c>
      <c r="E97" s="109">
        <v>-0.26505899999999999</v>
      </c>
      <c r="F97" s="109">
        <v>-0.15767800000000001</v>
      </c>
    </row>
    <row r="98" spans="1:6" x14ac:dyDescent="0.25">
      <c r="A98" s="136" t="s">
        <v>363</v>
      </c>
      <c r="B98" s="109">
        <v>-0.24501800000000001</v>
      </c>
      <c r="C98" s="109">
        <v>-0.18606400000000001</v>
      </c>
      <c r="D98" s="109">
        <v>-0.111053</v>
      </c>
      <c r="E98" s="109">
        <v>-0.25345299999999998</v>
      </c>
      <c r="F98" s="109">
        <v>-0.15059800000000001</v>
      </c>
    </row>
    <row r="99" spans="1:6" x14ac:dyDescent="0.25">
      <c r="A99" s="136" t="s">
        <v>276</v>
      </c>
      <c r="B99" s="109">
        <v>-0.30932599999999999</v>
      </c>
      <c r="C99" s="109">
        <v>0.56172800000000001</v>
      </c>
      <c r="D99" s="109">
        <v>0.31816800000000001</v>
      </c>
      <c r="E99" s="109">
        <v>-0.17086399999999999</v>
      </c>
      <c r="F99" s="109">
        <v>0.32666800000000001</v>
      </c>
    </row>
    <row r="100" spans="1:6" x14ac:dyDescent="0.25">
      <c r="A100" s="136" t="s">
        <v>364</v>
      </c>
      <c r="B100" s="109">
        <v>-0.33046700000000001</v>
      </c>
      <c r="C100" s="109">
        <v>-3.4812999999999997E-2</v>
      </c>
      <c r="D100" s="109">
        <v>0.208514</v>
      </c>
      <c r="E100" s="109">
        <v>2.3566E-2</v>
      </c>
      <c r="F100" s="109">
        <v>-0.214168</v>
      </c>
    </row>
    <row r="101" spans="1:6" x14ac:dyDescent="0.25">
      <c r="A101" s="136" t="s">
        <v>365</v>
      </c>
      <c r="B101" s="109" t="s">
        <v>101</v>
      </c>
      <c r="C101" s="109" t="s">
        <v>101</v>
      </c>
      <c r="D101" s="109" t="s">
        <v>101</v>
      </c>
      <c r="E101" s="109" t="s">
        <v>101</v>
      </c>
      <c r="F101" s="109" t="s">
        <v>101</v>
      </c>
    </row>
    <row r="102" spans="1:6" x14ac:dyDescent="0.25">
      <c r="A102" s="136" t="s">
        <v>366</v>
      </c>
      <c r="B102" s="109" t="s">
        <v>101</v>
      </c>
      <c r="C102" s="109" t="s">
        <v>101</v>
      </c>
      <c r="D102" s="109">
        <v>-0.63657600000000003</v>
      </c>
      <c r="E102" s="109" t="s">
        <v>101</v>
      </c>
      <c r="F102" s="109">
        <v>2.3942009999999998</v>
      </c>
    </row>
    <row r="103" spans="1:6" x14ac:dyDescent="0.25">
      <c r="A103" s="136" t="s">
        <v>367</v>
      </c>
      <c r="B103" s="109">
        <v>0</v>
      </c>
      <c r="C103" s="109">
        <v>0</v>
      </c>
      <c r="D103" s="109">
        <v>0</v>
      </c>
      <c r="E103" s="109">
        <v>0</v>
      </c>
      <c r="F103" s="109">
        <v>0</v>
      </c>
    </row>
    <row r="104" spans="1:6" x14ac:dyDescent="0.25">
      <c r="A104" s="113"/>
      <c r="B104" s="105"/>
      <c r="C104" s="105"/>
      <c r="D104" s="105"/>
      <c r="E104" s="105"/>
      <c r="F104" s="105"/>
    </row>
    <row r="105" spans="1:6" x14ac:dyDescent="0.25">
      <c r="A105" s="135" t="s">
        <v>369</v>
      </c>
      <c r="B105" s="105"/>
      <c r="C105" s="105"/>
      <c r="D105" s="105"/>
      <c r="E105" s="105"/>
      <c r="F105" s="105"/>
    </row>
    <row r="106" spans="1:6" x14ac:dyDescent="0.25">
      <c r="A106" s="136" t="s">
        <v>127</v>
      </c>
      <c r="B106" s="109">
        <v>-0.20047599999999999</v>
      </c>
      <c r="C106" s="109">
        <v>-1.7670999999999999E-2</v>
      </c>
      <c r="D106" s="109">
        <v>0.10630000000000001</v>
      </c>
      <c r="E106" s="109">
        <v>-5.2866999999999997E-2</v>
      </c>
      <c r="F106" s="109">
        <v>5.8737999999999999E-2</v>
      </c>
    </row>
    <row r="107" spans="1:6" x14ac:dyDescent="0.25">
      <c r="A107" s="136" t="s">
        <v>128</v>
      </c>
      <c r="B107" s="109">
        <v>-0.22434899999999999</v>
      </c>
      <c r="C107" s="109">
        <v>-5.5284E-2</v>
      </c>
      <c r="D107" s="109">
        <v>8.3368999999999999E-2</v>
      </c>
      <c r="E107" s="109">
        <v>-3.5563999999999998E-2</v>
      </c>
      <c r="F107" s="109">
        <v>6.3317999999999999E-2</v>
      </c>
    </row>
    <row r="108" spans="1:6" x14ac:dyDescent="0.25">
      <c r="A108" s="136" t="s">
        <v>353</v>
      </c>
      <c r="B108" s="109">
        <v>-0.29247299999999998</v>
      </c>
      <c r="C108" s="109">
        <v>5.645E-2</v>
      </c>
      <c r="D108" s="109">
        <v>0.446517</v>
      </c>
      <c r="E108" s="109">
        <v>-5.9560000000000004E-3</v>
      </c>
      <c r="F108" s="109">
        <v>0.107903</v>
      </c>
    </row>
    <row r="109" spans="1:6" x14ac:dyDescent="0.25">
      <c r="A109" s="136" t="s">
        <v>354</v>
      </c>
      <c r="B109" s="109" t="s">
        <v>101</v>
      </c>
      <c r="C109" s="109" t="s">
        <v>101</v>
      </c>
      <c r="D109" s="109" t="s">
        <v>101</v>
      </c>
      <c r="E109" s="109" t="s">
        <v>101</v>
      </c>
      <c r="F109" s="109">
        <v>0.40343299999999999</v>
      </c>
    </row>
    <row r="110" spans="1:6" x14ac:dyDescent="0.25">
      <c r="A110" s="136" t="s">
        <v>355</v>
      </c>
      <c r="B110" s="109" t="s">
        <v>101</v>
      </c>
      <c r="C110" s="109" t="s">
        <v>101</v>
      </c>
      <c r="D110" s="109" t="s">
        <v>101</v>
      </c>
      <c r="E110" s="109" t="s">
        <v>101</v>
      </c>
      <c r="F110" s="109">
        <v>0.40343299999999999</v>
      </c>
    </row>
    <row r="111" spans="1:6" x14ac:dyDescent="0.25">
      <c r="A111" s="136" t="s">
        <v>145</v>
      </c>
      <c r="B111" s="109" t="s">
        <v>101</v>
      </c>
      <c r="C111" s="109" t="s">
        <v>101</v>
      </c>
      <c r="D111" s="109" t="s">
        <v>101</v>
      </c>
      <c r="E111" s="109" t="s">
        <v>101</v>
      </c>
      <c r="F111" s="109" t="s">
        <v>101</v>
      </c>
    </row>
    <row r="112" spans="1:6" x14ac:dyDescent="0.25">
      <c r="A112" s="136" t="s">
        <v>150</v>
      </c>
      <c r="B112" s="109" t="s">
        <v>101</v>
      </c>
      <c r="C112" s="109" t="s">
        <v>101</v>
      </c>
      <c r="D112" s="109" t="s">
        <v>101</v>
      </c>
      <c r="E112" s="109" t="s">
        <v>101</v>
      </c>
      <c r="F112" s="109" t="s">
        <v>101</v>
      </c>
    </row>
    <row r="113" spans="1:6" x14ac:dyDescent="0.25">
      <c r="A113" s="136" t="s">
        <v>356</v>
      </c>
      <c r="B113" s="109" t="s">
        <v>101</v>
      </c>
      <c r="C113" s="109" t="s">
        <v>101</v>
      </c>
      <c r="D113" s="109" t="s">
        <v>101</v>
      </c>
      <c r="E113" s="109" t="s">
        <v>101</v>
      </c>
      <c r="F113" s="109">
        <v>1.343394</v>
      </c>
    </row>
    <row r="114" spans="1:6" x14ac:dyDescent="0.25">
      <c r="A114" s="136" t="s">
        <v>357</v>
      </c>
      <c r="B114" s="109" t="s">
        <v>101</v>
      </c>
      <c r="C114" s="109" t="s">
        <v>101</v>
      </c>
      <c r="D114" s="109" t="s">
        <v>101</v>
      </c>
      <c r="E114" s="109" t="s">
        <v>101</v>
      </c>
      <c r="F114" s="109" t="s">
        <v>101</v>
      </c>
    </row>
    <row r="115" spans="1:6" x14ac:dyDescent="0.25">
      <c r="A115" s="136"/>
      <c r="B115" s="105"/>
      <c r="C115" s="105"/>
      <c r="D115" s="105"/>
      <c r="E115" s="105"/>
      <c r="F115" s="105"/>
    </row>
    <row r="116" spans="1:6" x14ac:dyDescent="0.25">
      <c r="A116" s="136" t="s">
        <v>358</v>
      </c>
      <c r="B116" s="109">
        <v>-0.255716</v>
      </c>
      <c r="C116" s="109">
        <v>-3.0852000000000001E-2</v>
      </c>
      <c r="D116" s="109">
        <v>0</v>
      </c>
      <c r="E116" s="109">
        <v>1.5990999999999998E-2</v>
      </c>
      <c r="F116" s="109">
        <v>0.112645</v>
      </c>
    </row>
    <row r="117" spans="1:6" x14ac:dyDescent="0.25">
      <c r="A117" s="136" t="s">
        <v>359</v>
      </c>
      <c r="B117" s="109">
        <v>-0.23927899999999999</v>
      </c>
      <c r="C117" s="109">
        <v>-0.15004200000000001</v>
      </c>
      <c r="D117" s="109">
        <v>-6.8579000000000001E-2</v>
      </c>
      <c r="E117" s="109">
        <v>0.176706</v>
      </c>
      <c r="F117" s="109">
        <v>-3.0875E-2</v>
      </c>
    </row>
    <row r="118" spans="1:6" x14ac:dyDescent="0.25">
      <c r="A118" s="136" t="s">
        <v>360</v>
      </c>
      <c r="B118" s="109">
        <v>-0.162021</v>
      </c>
      <c r="C118" s="109">
        <v>-0.15176200000000001</v>
      </c>
      <c r="D118" s="109">
        <v>-9.3778E-2</v>
      </c>
      <c r="E118" s="109">
        <v>-3.1511999999999998E-2</v>
      </c>
      <c r="F118" s="109">
        <v>-3.0012E-2</v>
      </c>
    </row>
    <row r="119" spans="1:6" x14ac:dyDescent="0.25">
      <c r="A119" s="136" t="s">
        <v>361</v>
      </c>
      <c r="B119" s="109">
        <v>-0.15574099999999999</v>
      </c>
      <c r="C119" s="109">
        <v>-0.14388100000000001</v>
      </c>
      <c r="D119" s="109">
        <v>-8.6999999999999994E-2</v>
      </c>
      <c r="E119" s="109">
        <v>-6.6169000000000006E-2</v>
      </c>
      <c r="F119" s="109">
        <v>-1.4486000000000001E-2</v>
      </c>
    </row>
    <row r="120" spans="1:6" x14ac:dyDescent="0.25">
      <c r="A120" s="136"/>
      <c r="B120" s="105"/>
      <c r="C120" s="105"/>
      <c r="D120" s="105"/>
      <c r="E120" s="105"/>
      <c r="F120" s="105"/>
    </row>
    <row r="121" spans="1:6" x14ac:dyDescent="0.25">
      <c r="A121" s="136" t="s">
        <v>362</v>
      </c>
      <c r="B121" s="109">
        <v>-0.19308900000000001</v>
      </c>
      <c r="C121" s="109">
        <v>-0.21296599999999999</v>
      </c>
      <c r="D121" s="109">
        <v>-0.16065099999999999</v>
      </c>
      <c r="E121" s="109">
        <v>-0.22344700000000001</v>
      </c>
      <c r="F121" s="109">
        <v>-0.13781599999999999</v>
      </c>
    </row>
    <row r="122" spans="1:6" x14ac:dyDescent="0.25">
      <c r="A122" s="136" t="s">
        <v>363</v>
      </c>
      <c r="B122" s="109">
        <v>-0.20755299999999999</v>
      </c>
      <c r="C122" s="109">
        <v>-0.20807800000000001</v>
      </c>
      <c r="D122" s="109">
        <v>-0.15617400000000001</v>
      </c>
      <c r="E122" s="109">
        <v>-0.21398800000000001</v>
      </c>
      <c r="F122" s="109">
        <v>-0.13183700000000001</v>
      </c>
    </row>
    <row r="123" spans="1:6" x14ac:dyDescent="0.25">
      <c r="A123" s="136" t="s">
        <v>276</v>
      </c>
      <c r="B123" s="109">
        <v>-0.40370200000000001</v>
      </c>
      <c r="C123" s="109">
        <v>-7.1180000000000002E-3</v>
      </c>
      <c r="D123" s="109">
        <v>0.273509</v>
      </c>
      <c r="E123" s="109">
        <v>0.1215</v>
      </c>
      <c r="F123" s="109">
        <v>0.14228199999999999</v>
      </c>
    </row>
    <row r="124" spans="1:6" x14ac:dyDescent="0.25">
      <c r="A124" s="136" t="s">
        <v>364</v>
      </c>
      <c r="B124" s="109">
        <v>-0.28112599999999999</v>
      </c>
      <c r="C124" s="109">
        <v>-0.21415300000000001</v>
      </c>
      <c r="D124" s="109">
        <v>7.9159999999999994E-2</v>
      </c>
      <c r="E124" s="109">
        <v>4.2877999999999999E-2</v>
      </c>
      <c r="F124" s="109">
        <v>-5.9054000000000002E-2</v>
      </c>
    </row>
    <row r="125" spans="1:6" x14ac:dyDescent="0.25">
      <c r="A125" s="136" t="s">
        <v>365</v>
      </c>
      <c r="B125" s="109">
        <v>-4.6024000000000002E-2</v>
      </c>
      <c r="C125" s="109" t="s">
        <v>101</v>
      </c>
      <c r="D125" s="109" t="s">
        <v>101</v>
      </c>
      <c r="E125" s="109" t="s">
        <v>101</v>
      </c>
      <c r="F125" s="109" t="s">
        <v>101</v>
      </c>
    </row>
    <row r="126" spans="1:6" x14ac:dyDescent="0.25">
      <c r="A126" s="136" t="s">
        <v>366</v>
      </c>
      <c r="B126" s="109">
        <v>-3.8489000000000002E-2</v>
      </c>
      <c r="C126" s="109" t="s">
        <v>101</v>
      </c>
      <c r="D126" s="109" t="s">
        <v>101</v>
      </c>
      <c r="E126" s="109" t="s">
        <v>101</v>
      </c>
      <c r="F126" s="109">
        <v>1.1194919999999999</v>
      </c>
    </row>
    <row r="127" spans="1:6" x14ac:dyDescent="0.25">
      <c r="A127" s="136" t="s">
        <v>367</v>
      </c>
      <c r="B127" s="109">
        <v>0</v>
      </c>
      <c r="C127" s="109">
        <v>0</v>
      </c>
      <c r="D127" s="109">
        <v>0</v>
      </c>
      <c r="E127" s="109">
        <v>0</v>
      </c>
      <c r="F127" s="109">
        <v>0</v>
      </c>
    </row>
    <row r="128" spans="1:6" x14ac:dyDescent="0.25">
      <c r="A128" s="113"/>
      <c r="B128" s="105"/>
      <c r="C128" s="105"/>
      <c r="D128" s="105"/>
      <c r="E128" s="105"/>
      <c r="F128" s="105"/>
    </row>
    <row r="129" spans="1:6" x14ac:dyDescent="0.25">
      <c r="A129" s="135" t="s">
        <v>370</v>
      </c>
      <c r="B129" s="105"/>
      <c r="C129" s="105"/>
      <c r="D129" s="105"/>
      <c r="E129" s="105"/>
      <c r="F129" s="105"/>
    </row>
    <row r="130" spans="1:6" x14ac:dyDescent="0.25">
      <c r="A130" s="136" t="s">
        <v>127</v>
      </c>
      <c r="B130" s="109">
        <v>-0.14488999999999999</v>
      </c>
      <c r="C130" s="109">
        <v>-0.11810900000000001</v>
      </c>
      <c r="D130" s="109">
        <v>-9.6149999999999999E-2</v>
      </c>
      <c r="E130" s="109">
        <v>-6.8849999999999995E-2</v>
      </c>
      <c r="F130" s="109">
        <v>9.3908000000000005E-2</v>
      </c>
    </row>
    <row r="131" spans="1:6" x14ac:dyDescent="0.25">
      <c r="A131" s="136" t="s">
        <v>128</v>
      </c>
      <c r="B131" s="109">
        <v>-0.170067</v>
      </c>
      <c r="C131" s="109">
        <v>-0.148865</v>
      </c>
      <c r="D131" s="109">
        <v>-0.121491</v>
      </c>
      <c r="E131" s="109">
        <v>-6.7685999999999996E-2</v>
      </c>
      <c r="F131" s="109">
        <v>7.9196000000000003E-2</v>
      </c>
    </row>
    <row r="132" spans="1:6" x14ac:dyDescent="0.25">
      <c r="A132" s="136" t="s">
        <v>353</v>
      </c>
      <c r="B132" s="109">
        <v>-0.22478400000000001</v>
      </c>
      <c r="C132" s="109">
        <v>-0.166183</v>
      </c>
      <c r="D132" s="109">
        <v>-0.131191</v>
      </c>
      <c r="E132" s="109">
        <v>-2.563E-2</v>
      </c>
      <c r="F132" s="109">
        <v>0.31173400000000001</v>
      </c>
    </row>
    <row r="133" spans="1:6" x14ac:dyDescent="0.25">
      <c r="A133" s="136" t="s">
        <v>354</v>
      </c>
      <c r="B133" s="109" t="s">
        <v>101</v>
      </c>
      <c r="C133" s="109">
        <v>-0.24821699999999999</v>
      </c>
      <c r="D133" s="109">
        <v>-0.19531699999999999</v>
      </c>
      <c r="E133" s="109" t="s">
        <v>101</v>
      </c>
      <c r="F133" s="109" t="s">
        <v>101</v>
      </c>
    </row>
    <row r="134" spans="1:6" x14ac:dyDescent="0.25">
      <c r="A134" s="136" t="s">
        <v>355</v>
      </c>
      <c r="B134" s="109" t="s">
        <v>101</v>
      </c>
      <c r="C134" s="109">
        <v>-0.24821699999999999</v>
      </c>
      <c r="D134" s="109">
        <v>-0.19531699999999999</v>
      </c>
      <c r="E134" s="109" t="s">
        <v>101</v>
      </c>
      <c r="F134" s="109" t="s">
        <v>101</v>
      </c>
    </row>
    <row r="135" spans="1:6" x14ac:dyDescent="0.25">
      <c r="A135" s="136" t="s">
        <v>145</v>
      </c>
      <c r="B135" s="109" t="s">
        <v>101</v>
      </c>
      <c r="C135" s="109" t="s">
        <v>101</v>
      </c>
      <c r="D135" s="109" t="s">
        <v>101</v>
      </c>
      <c r="E135" s="109" t="s">
        <v>101</v>
      </c>
      <c r="F135" s="109" t="s">
        <v>101</v>
      </c>
    </row>
    <row r="136" spans="1:6" x14ac:dyDescent="0.25">
      <c r="A136" s="136" t="s">
        <v>150</v>
      </c>
      <c r="B136" s="109" t="s">
        <v>101</v>
      </c>
      <c r="C136" s="109" t="s">
        <v>101</v>
      </c>
      <c r="D136" s="109" t="s">
        <v>101</v>
      </c>
      <c r="E136" s="109" t="s">
        <v>101</v>
      </c>
      <c r="F136" s="109" t="s">
        <v>101</v>
      </c>
    </row>
    <row r="137" spans="1:6" x14ac:dyDescent="0.25">
      <c r="A137" s="136" t="s">
        <v>356</v>
      </c>
      <c r="B137" s="109" t="s">
        <v>101</v>
      </c>
      <c r="C137" s="109">
        <v>-0.48942000000000002</v>
      </c>
      <c r="D137" s="109">
        <v>-0.49865399999999999</v>
      </c>
      <c r="E137" s="109" t="s">
        <v>101</v>
      </c>
      <c r="F137" s="109" t="s">
        <v>101</v>
      </c>
    </row>
    <row r="138" spans="1:6" x14ac:dyDescent="0.25">
      <c r="A138" s="136" t="s">
        <v>357</v>
      </c>
      <c r="B138" s="109" t="s">
        <v>101</v>
      </c>
      <c r="C138" s="109" t="s">
        <v>101</v>
      </c>
      <c r="D138" s="109" t="s">
        <v>101</v>
      </c>
      <c r="E138" s="109" t="s">
        <v>101</v>
      </c>
      <c r="F138" s="109" t="s">
        <v>101</v>
      </c>
    </row>
    <row r="139" spans="1:6" x14ac:dyDescent="0.25">
      <c r="A139" s="136"/>
      <c r="B139" s="105"/>
      <c r="C139" s="105"/>
      <c r="D139" s="105"/>
      <c r="E139" s="105"/>
      <c r="F139" s="105"/>
    </row>
    <row r="140" spans="1:6" x14ac:dyDescent="0.25">
      <c r="A140" s="136" t="s">
        <v>358</v>
      </c>
      <c r="B140" s="109">
        <v>-0.30100100000000002</v>
      </c>
      <c r="C140" s="109">
        <v>-0.24258399999999999</v>
      </c>
      <c r="D140" s="109">
        <v>-0.105561</v>
      </c>
      <c r="E140" s="109">
        <v>-3.4672000000000001E-2</v>
      </c>
      <c r="F140" s="109">
        <v>2.4705999999999999E-2</v>
      </c>
    </row>
    <row r="141" spans="1:6" x14ac:dyDescent="0.25">
      <c r="A141" s="136" t="s">
        <v>359</v>
      </c>
      <c r="B141" s="109">
        <v>-0.286995</v>
      </c>
      <c r="C141" s="109">
        <v>-0.23805499999999999</v>
      </c>
      <c r="D141" s="109">
        <v>-0.131108</v>
      </c>
      <c r="E141" s="109">
        <v>-1.0755000000000001E-2</v>
      </c>
      <c r="F141" s="109">
        <v>-7.1417999999999995E-2</v>
      </c>
    </row>
    <row r="142" spans="1:6" x14ac:dyDescent="0.25">
      <c r="A142" s="136" t="s">
        <v>360</v>
      </c>
      <c r="B142" s="109">
        <v>-0.10883</v>
      </c>
      <c r="C142" s="109">
        <v>-0.10981100000000001</v>
      </c>
      <c r="D142" s="109">
        <v>-8.5918999999999995E-2</v>
      </c>
      <c r="E142" s="109">
        <v>-0.11007400000000001</v>
      </c>
      <c r="F142" s="109">
        <v>-9.0569999999999998E-2</v>
      </c>
    </row>
    <row r="143" spans="1:6" x14ac:dyDescent="0.25">
      <c r="A143" s="136" t="s">
        <v>361</v>
      </c>
      <c r="B143" s="109">
        <v>-0.118571</v>
      </c>
      <c r="C143" s="109">
        <v>-0.128994</v>
      </c>
      <c r="D143" s="109">
        <v>-0.107234</v>
      </c>
      <c r="E143" s="109">
        <v>-0.112369</v>
      </c>
      <c r="F143" s="109">
        <v>-6.4427999999999999E-2</v>
      </c>
    </row>
    <row r="144" spans="1:6" x14ac:dyDescent="0.25">
      <c r="A144" s="136"/>
      <c r="B144" s="105"/>
      <c r="C144" s="105"/>
      <c r="D144" s="105"/>
      <c r="E144" s="105"/>
      <c r="F144" s="105"/>
    </row>
    <row r="145" spans="1:6" x14ac:dyDescent="0.25">
      <c r="A145" s="136" t="s">
        <v>362</v>
      </c>
      <c r="B145" s="109">
        <v>-0.107546</v>
      </c>
      <c r="C145" s="109">
        <v>-0.165135</v>
      </c>
      <c r="D145" s="109">
        <v>-0.16273000000000001</v>
      </c>
      <c r="E145" s="109">
        <v>-0.234232</v>
      </c>
      <c r="F145" s="109">
        <v>-0.15946299999999999</v>
      </c>
    </row>
    <row r="146" spans="1:6" x14ac:dyDescent="0.25">
      <c r="A146" s="136" t="s">
        <v>363</v>
      </c>
      <c r="B146" s="109">
        <v>-0.121267</v>
      </c>
      <c r="C146" s="109">
        <v>-0.171872</v>
      </c>
      <c r="D146" s="109">
        <v>-0.17027800000000001</v>
      </c>
      <c r="E146" s="109">
        <v>-0.22655</v>
      </c>
      <c r="F146" s="109">
        <v>-0.153948</v>
      </c>
    </row>
    <row r="147" spans="1:6" x14ac:dyDescent="0.25">
      <c r="A147" s="136" t="s">
        <v>276</v>
      </c>
      <c r="B147" s="109">
        <v>-0.30092600000000003</v>
      </c>
      <c r="C147" s="109">
        <v>-0.17579400000000001</v>
      </c>
      <c r="D147" s="109">
        <v>-0.181034</v>
      </c>
      <c r="E147" s="109">
        <v>-7.6175999999999994E-2</v>
      </c>
      <c r="F147" s="109">
        <v>0.294512</v>
      </c>
    </row>
    <row r="148" spans="1:6" x14ac:dyDescent="0.25">
      <c r="A148" s="136" t="s">
        <v>364</v>
      </c>
      <c r="B148" s="109">
        <v>-0.240844</v>
      </c>
      <c r="C148" s="109">
        <v>-0.18790599999999999</v>
      </c>
      <c r="D148" s="109">
        <v>-0.115104</v>
      </c>
      <c r="E148" s="109">
        <v>-0.126528</v>
      </c>
      <c r="F148" s="109">
        <v>-4.9431000000000003E-2</v>
      </c>
    </row>
    <row r="149" spans="1:6" x14ac:dyDescent="0.25">
      <c r="A149" s="136" t="s">
        <v>365</v>
      </c>
      <c r="B149" s="109" t="s">
        <v>101</v>
      </c>
      <c r="C149" s="109" t="s">
        <v>101</v>
      </c>
      <c r="D149" s="109" t="s">
        <v>101</v>
      </c>
      <c r="E149" s="109" t="s">
        <v>101</v>
      </c>
      <c r="F149" s="109" t="s">
        <v>101</v>
      </c>
    </row>
    <row r="150" spans="1:6" x14ac:dyDescent="0.25">
      <c r="A150" s="136" t="s">
        <v>366</v>
      </c>
      <c r="B150" s="109" t="s">
        <v>101</v>
      </c>
      <c r="C150" s="109" t="s">
        <v>101</v>
      </c>
      <c r="D150" s="109">
        <v>-0.34846500000000002</v>
      </c>
      <c r="E150" s="109" t="s">
        <v>101</v>
      </c>
      <c r="F150" s="109" t="s">
        <v>101</v>
      </c>
    </row>
    <row r="151" spans="1:6" x14ac:dyDescent="0.25">
      <c r="A151" s="137" t="s">
        <v>367</v>
      </c>
      <c r="B151" s="139">
        <v>0.201124</v>
      </c>
      <c r="C151" s="139">
        <v>7.3941000000000007E-2</v>
      </c>
      <c r="D151" s="139">
        <v>0</v>
      </c>
      <c r="E151" s="139">
        <v>0</v>
      </c>
      <c r="F151" s="139">
        <v>0</v>
      </c>
    </row>
  </sheetData>
  <mergeCells count="2">
    <mergeCell ref="A1:F3"/>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41DAC-94AF-1D4B-B97B-339278275EB6}">
  <dimension ref="A1:V22"/>
  <sheetViews>
    <sheetView showGridLines="0" topLeftCell="D1" workbookViewId="0">
      <selection activeCell="F17" sqref="F17"/>
    </sheetView>
  </sheetViews>
  <sheetFormatPr defaultColWidth="11" defaultRowHeight="15.75" x14ac:dyDescent="0.25"/>
  <cols>
    <col min="2" max="2" width="22.875" customWidth="1"/>
    <col min="5" max="5" width="22" bestFit="1" customWidth="1"/>
    <col min="6" max="6" width="11.125" bestFit="1" customWidth="1"/>
    <col min="8" max="8" width="21" customWidth="1"/>
  </cols>
  <sheetData>
    <row r="1" spans="1:22" x14ac:dyDescent="0.25">
      <c r="A1" s="299" t="s">
        <v>85</v>
      </c>
      <c r="B1" s="299"/>
      <c r="C1" s="299"/>
      <c r="D1" s="299"/>
      <c r="E1" s="299"/>
      <c r="F1" s="299"/>
      <c r="G1" s="299"/>
      <c r="H1" s="299"/>
      <c r="I1" s="299"/>
      <c r="J1" s="299"/>
      <c r="K1" s="299"/>
      <c r="L1" s="299"/>
      <c r="M1" s="299"/>
      <c r="N1" s="299"/>
      <c r="O1" s="299"/>
      <c r="P1" s="299"/>
      <c r="Q1" s="299"/>
      <c r="R1" s="299"/>
      <c r="S1" s="299"/>
      <c r="T1" s="299"/>
      <c r="U1" s="299"/>
      <c r="V1" s="299"/>
    </row>
    <row r="2" spans="1:22" x14ac:dyDescent="0.25">
      <c r="A2" s="299"/>
      <c r="B2" s="299"/>
      <c r="C2" s="299"/>
      <c r="D2" s="299"/>
      <c r="E2" s="299"/>
      <c r="F2" s="299"/>
      <c r="G2" s="299"/>
      <c r="H2" s="299"/>
      <c r="I2" s="299"/>
      <c r="J2" s="299"/>
      <c r="K2" s="299"/>
      <c r="L2" s="299"/>
      <c r="M2" s="299"/>
      <c r="N2" s="299"/>
      <c r="O2" s="299"/>
      <c r="P2" s="299"/>
      <c r="Q2" s="299"/>
      <c r="R2" s="299"/>
      <c r="S2" s="299"/>
      <c r="T2" s="299"/>
      <c r="U2" s="299"/>
      <c r="V2" s="299"/>
    </row>
    <row r="3" spans="1:22" ht="16.5" thickBot="1" x14ac:dyDescent="0.3">
      <c r="A3" s="300"/>
      <c r="B3" s="300"/>
      <c r="C3" s="300"/>
      <c r="D3" s="300"/>
      <c r="E3" s="300"/>
      <c r="F3" s="300"/>
      <c r="G3" s="300"/>
      <c r="H3" s="300"/>
      <c r="I3" s="300"/>
      <c r="J3" s="300"/>
      <c r="K3" s="300"/>
      <c r="L3" s="300"/>
      <c r="M3" s="300"/>
      <c r="N3" s="300"/>
      <c r="O3" s="300"/>
      <c r="P3" s="300"/>
      <c r="Q3" s="300"/>
      <c r="R3" s="300"/>
      <c r="S3" s="300"/>
      <c r="T3" s="300"/>
      <c r="U3" s="300"/>
      <c r="V3" s="300"/>
    </row>
    <row r="4" spans="1:22" ht="24" customHeight="1" x14ac:dyDescent="0.25">
      <c r="A4" s="301" t="s">
        <v>440</v>
      </c>
      <c r="B4" s="301"/>
      <c r="C4" s="301"/>
      <c r="D4" s="301"/>
      <c r="E4" s="301"/>
      <c r="F4" s="301"/>
      <c r="G4" s="301"/>
      <c r="H4" s="301"/>
      <c r="I4" s="301"/>
      <c r="J4" s="301"/>
      <c r="K4" s="301"/>
      <c r="L4" s="301"/>
      <c r="M4" s="301"/>
      <c r="N4" s="301"/>
      <c r="O4" s="301"/>
      <c r="P4" s="301"/>
      <c r="Q4" s="301"/>
      <c r="R4" s="301"/>
      <c r="S4" s="301"/>
      <c r="T4" s="301"/>
      <c r="U4" s="301"/>
      <c r="V4" s="301"/>
    </row>
    <row r="5" spans="1:22" ht="16.5" thickBot="1" x14ac:dyDescent="0.3"/>
    <row r="6" spans="1:22" ht="16.5" thickBot="1" x14ac:dyDescent="0.3">
      <c r="B6" s="297" t="s">
        <v>10</v>
      </c>
      <c r="C6" s="298"/>
      <c r="D6" s="4"/>
      <c r="E6" s="297" t="s">
        <v>11</v>
      </c>
      <c r="F6" s="298"/>
      <c r="G6" s="4"/>
      <c r="H6" s="297" t="s">
        <v>12</v>
      </c>
      <c r="I6" s="298"/>
    </row>
    <row r="7" spans="1:22" x14ac:dyDescent="0.25">
      <c r="B7" s="5" t="s">
        <v>13</v>
      </c>
      <c r="C7" s="6">
        <v>1.78</v>
      </c>
      <c r="D7" s="7"/>
      <c r="E7" s="4" t="s">
        <v>11</v>
      </c>
      <c r="F7" s="8">
        <f>-InterestExp/Debt</f>
        <v>5.262006345038836E-2</v>
      </c>
      <c r="G7" s="4"/>
      <c r="H7" s="5" t="s">
        <v>14</v>
      </c>
      <c r="I7" s="8">
        <f>C17</f>
        <v>0.76654857278535882</v>
      </c>
    </row>
    <row r="8" spans="1:22" x14ac:dyDescent="0.25">
      <c r="B8" s="5" t="s">
        <v>18</v>
      </c>
      <c r="C8" s="6">
        <v>1.77</v>
      </c>
      <c r="D8" s="7"/>
      <c r="E8" s="4" t="s">
        <v>16</v>
      </c>
      <c r="F8" s="10">
        <f>C16</f>
        <v>9141</v>
      </c>
      <c r="G8" s="4"/>
      <c r="H8" s="5" t="s">
        <v>17</v>
      </c>
      <c r="I8" s="8">
        <f>C18</f>
        <v>0.23345142721464116</v>
      </c>
    </row>
    <row r="9" spans="1:22" x14ac:dyDescent="0.25">
      <c r="B9" s="5" t="s">
        <v>15</v>
      </c>
      <c r="C9" s="9">
        <v>1.76</v>
      </c>
      <c r="D9" s="7"/>
      <c r="E9" s="4" t="s">
        <v>19</v>
      </c>
      <c r="F9" s="11">
        <f>'Income Statement'!$F$77</f>
        <v>0.40268399999999999</v>
      </c>
      <c r="G9" s="4"/>
      <c r="H9" s="5" t="s">
        <v>378</v>
      </c>
      <c r="I9" s="11">
        <f>F10</f>
        <v>3.143080581993217E-2</v>
      </c>
    </row>
    <row r="10" spans="1:22" x14ac:dyDescent="0.25">
      <c r="B10" s="5" t="s">
        <v>377</v>
      </c>
      <c r="C10" s="6">
        <v>1.77</v>
      </c>
      <c r="D10" s="7"/>
      <c r="E10" s="248" t="s">
        <v>378</v>
      </c>
      <c r="F10" s="254">
        <f>F7*(1-F9)</f>
        <v>3.143080581993217E-2</v>
      </c>
      <c r="G10" s="4"/>
      <c r="H10" s="5" t="s">
        <v>21</v>
      </c>
      <c r="I10" s="11">
        <f>F19</f>
        <v>0.10130800000000001</v>
      </c>
    </row>
    <row r="11" spans="1:22" x14ac:dyDescent="0.25">
      <c r="B11" s="248" t="s">
        <v>20</v>
      </c>
      <c r="C11" s="249">
        <f>AVERAGE(C7:C10)</f>
        <v>1.77</v>
      </c>
      <c r="D11" s="4"/>
      <c r="E11" s="4"/>
      <c r="F11" s="4"/>
      <c r="G11" s="4"/>
      <c r="H11" s="252" t="s">
        <v>22</v>
      </c>
      <c r="I11" s="256">
        <f>I8*I9+I7*I10</f>
        <v>8.4995069288908556E-2</v>
      </c>
    </row>
    <row r="12" spans="1:22" x14ac:dyDescent="0.25">
      <c r="B12" s="4"/>
      <c r="C12" s="4"/>
      <c r="D12" s="4"/>
      <c r="E12" s="4"/>
      <c r="F12" s="4"/>
      <c r="G12" s="4"/>
      <c r="H12" s="4"/>
      <c r="I12" s="4"/>
    </row>
    <row r="13" spans="1:22" ht="16.5" thickBot="1" x14ac:dyDescent="0.3">
      <c r="B13" s="4"/>
      <c r="C13" s="4"/>
      <c r="D13" s="4"/>
      <c r="E13" s="4"/>
      <c r="F13" s="4"/>
      <c r="G13" s="4"/>
      <c r="H13" s="4"/>
      <c r="I13" s="4"/>
    </row>
    <row r="14" spans="1:22" ht="16.5" thickBot="1" x14ac:dyDescent="0.3">
      <c r="B14" s="297" t="s">
        <v>23</v>
      </c>
      <c r="C14" s="298"/>
      <c r="D14" s="4"/>
      <c r="E14" s="297" t="s">
        <v>21</v>
      </c>
      <c r="F14" s="298"/>
      <c r="G14" s="4"/>
      <c r="H14" s="4"/>
      <c r="I14" s="4"/>
    </row>
    <row r="15" spans="1:22" x14ac:dyDescent="0.25">
      <c r="B15" s="5" t="s">
        <v>25</v>
      </c>
      <c r="C15" s="10">
        <f>'Key Stats'!B38</f>
        <v>30014.896835</v>
      </c>
      <c r="D15" s="4"/>
      <c r="E15" s="5" t="s">
        <v>24</v>
      </c>
      <c r="F15" s="9">
        <f>Beta</f>
        <v>1.77</v>
      </c>
      <c r="G15" s="4"/>
      <c r="H15" s="4"/>
      <c r="I15" s="4"/>
    </row>
    <row r="16" spans="1:22" x14ac:dyDescent="0.25">
      <c r="B16" s="5" t="s">
        <v>27</v>
      </c>
      <c r="C16" s="10">
        <f>'Key Stats'!B49</f>
        <v>9141</v>
      </c>
      <c r="D16" s="4"/>
      <c r="E16" s="5" t="s">
        <v>26</v>
      </c>
      <c r="F16" s="11">
        <v>2.6259999999999999E-2</v>
      </c>
      <c r="G16" s="4"/>
      <c r="H16" s="4"/>
      <c r="I16" s="4"/>
    </row>
    <row r="17" spans="2:9" x14ac:dyDescent="0.25">
      <c r="B17" s="250" t="s">
        <v>14</v>
      </c>
      <c r="C17" s="251">
        <f>C15/(C15+C16)</f>
        <v>0.76654857278535882</v>
      </c>
      <c r="D17" s="4"/>
      <c r="E17" s="5" t="s">
        <v>45</v>
      </c>
      <c r="F17" s="52">
        <v>4.24E-2</v>
      </c>
      <c r="G17" s="4"/>
      <c r="H17" s="4"/>
      <c r="I17" s="4"/>
    </row>
    <row r="18" spans="2:9" x14ac:dyDescent="0.25">
      <c r="B18" s="252" t="s">
        <v>17</v>
      </c>
      <c r="C18" s="253">
        <f>C16/(C15+C16)</f>
        <v>0.23345142721464116</v>
      </c>
      <c r="D18" s="4"/>
      <c r="E18" s="5" t="s">
        <v>28</v>
      </c>
      <c r="F18" s="8">
        <f>F16+F17</f>
        <v>6.8659999999999999E-2</v>
      </c>
      <c r="G18" s="4"/>
    </row>
    <row r="19" spans="2:9" x14ac:dyDescent="0.25">
      <c r="E19" s="248" t="s">
        <v>21</v>
      </c>
      <c r="F19" s="255">
        <f>F16+(F15*F17)</f>
        <v>0.10130800000000001</v>
      </c>
    </row>
    <row r="22" spans="2:9" x14ac:dyDescent="0.25">
      <c r="D22" s="53"/>
    </row>
  </sheetData>
  <mergeCells count="7">
    <mergeCell ref="E14:F14"/>
    <mergeCell ref="B14:C14"/>
    <mergeCell ref="A1:V3"/>
    <mergeCell ref="A4:V4"/>
    <mergeCell ref="B6:C6"/>
    <mergeCell ref="E6:F6"/>
    <mergeCell ref="H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C5E8-27B8-4904-846F-8FBAFDB743D1}">
  <dimension ref="A1:W73"/>
  <sheetViews>
    <sheetView showGridLines="0" zoomScaleNormal="100" workbookViewId="0">
      <pane ySplit="7" topLeftCell="A17" activePane="bottomLeft" state="frozen"/>
      <selection pane="bottomLeft" activeCell="M44" sqref="M44"/>
    </sheetView>
  </sheetViews>
  <sheetFormatPr defaultColWidth="10.125" defaultRowHeight="12.75" x14ac:dyDescent="0.2"/>
  <cols>
    <col min="1" max="1" width="10.125" style="169" customWidth="1"/>
    <col min="2" max="2" width="17.375" style="169" customWidth="1"/>
    <col min="3" max="3" width="12.5" style="169" bestFit="1" customWidth="1"/>
    <col min="4" max="4" width="16.375" style="169" bestFit="1" customWidth="1"/>
    <col min="5" max="5" width="14.5" style="169" bestFit="1" customWidth="1"/>
    <col min="6" max="14" width="11.625" style="169" bestFit="1" customWidth="1"/>
    <col min="15" max="15" width="33.375" style="169" bestFit="1" customWidth="1"/>
    <col min="16" max="21" width="6.625" style="169" bestFit="1" customWidth="1"/>
    <col min="22" max="22" width="11.875" style="169" bestFit="1" customWidth="1"/>
    <col min="23" max="23" width="10.375" style="169" bestFit="1" customWidth="1"/>
    <col min="24" max="16384" width="10.125" style="169"/>
  </cols>
  <sheetData>
    <row r="1" spans="1:22" ht="15.75" customHeight="1" x14ac:dyDescent="0.2">
      <c r="A1" s="299" t="s">
        <v>85</v>
      </c>
      <c r="B1" s="299"/>
      <c r="C1" s="299"/>
      <c r="D1" s="299"/>
      <c r="E1" s="299"/>
      <c r="F1" s="299"/>
      <c r="G1" s="299"/>
      <c r="H1" s="299"/>
      <c r="I1" s="299"/>
      <c r="J1" s="299"/>
      <c r="K1" s="299"/>
      <c r="L1" s="299"/>
      <c r="M1" s="299"/>
      <c r="N1" s="299"/>
      <c r="O1" s="299"/>
      <c r="P1" s="299"/>
      <c r="Q1" s="299"/>
      <c r="R1" s="299"/>
      <c r="S1" s="299"/>
      <c r="T1" s="299"/>
      <c r="U1" s="299"/>
      <c r="V1" s="299"/>
    </row>
    <row r="2" spans="1:22" ht="15.75" customHeight="1" x14ac:dyDescent="0.2">
      <c r="A2" s="299"/>
      <c r="B2" s="299"/>
      <c r="C2" s="299"/>
      <c r="D2" s="299"/>
      <c r="E2" s="299"/>
      <c r="F2" s="299"/>
      <c r="G2" s="299"/>
      <c r="H2" s="299"/>
      <c r="I2" s="299"/>
      <c r="J2" s="299"/>
      <c r="K2" s="299"/>
      <c r="L2" s="299"/>
      <c r="M2" s="299"/>
      <c r="N2" s="299"/>
      <c r="O2" s="299"/>
      <c r="P2" s="299"/>
      <c r="Q2" s="299"/>
      <c r="R2" s="299"/>
      <c r="S2" s="299"/>
      <c r="T2" s="299"/>
      <c r="U2" s="299"/>
      <c r="V2" s="299"/>
    </row>
    <row r="3" spans="1:22" ht="16.5" customHeight="1" thickBot="1" x14ac:dyDescent="0.25">
      <c r="A3" s="300"/>
      <c r="B3" s="300"/>
      <c r="C3" s="300"/>
      <c r="D3" s="300"/>
      <c r="E3" s="300"/>
      <c r="F3" s="300"/>
      <c r="G3" s="300"/>
      <c r="H3" s="300"/>
      <c r="I3" s="300"/>
      <c r="J3" s="300"/>
      <c r="K3" s="300"/>
      <c r="L3" s="300"/>
      <c r="M3" s="300"/>
      <c r="N3" s="300"/>
      <c r="O3" s="300"/>
      <c r="P3" s="300"/>
      <c r="Q3" s="300"/>
      <c r="R3" s="300"/>
      <c r="S3" s="300"/>
      <c r="T3" s="300"/>
      <c r="U3" s="300"/>
      <c r="V3" s="300"/>
    </row>
    <row r="4" spans="1:22" ht="30.75" customHeight="1" x14ac:dyDescent="0.2">
      <c r="A4" s="301" t="s">
        <v>427</v>
      </c>
      <c r="B4" s="301"/>
      <c r="C4" s="301"/>
      <c r="D4" s="301"/>
      <c r="E4" s="301"/>
      <c r="F4" s="301"/>
      <c r="G4" s="301"/>
      <c r="H4" s="301"/>
      <c r="I4" s="301"/>
      <c r="J4" s="301"/>
      <c r="K4" s="301"/>
      <c r="L4" s="301"/>
      <c r="M4" s="301"/>
      <c r="N4" s="301"/>
      <c r="O4" s="301"/>
      <c r="P4" s="301"/>
      <c r="Q4" s="301"/>
      <c r="R4" s="301"/>
      <c r="S4" s="301"/>
      <c r="T4" s="301"/>
      <c r="U4" s="301"/>
      <c r="V4" s="301"/>
    </row>
    <row r="5" spans="1:22" ht="18" customHeight="1" x14ac:dyDescent="0.2">
      <c r="A5" s="304" t="s">
        <v>439</v>
      </c>
      <c r="B5" s="304"/>
      <c r="C5" s="304" t="s">
        <v>382</v>
      </c>
      <c r="D5" s="304"/>
      <c r="E5" s="304"/>
      <c r="F5" s="304"/>
      <c r="G5" s="303"/>
      <c r="H5" s="306" t="s">
        <v>35</v>
      </c>
      <c r="I5" s="307"/>
      <c r="J5" s="307"/>
      <c r="K5" s="307"/>
      <c r="L5" s="307"/>
      <c r="M5" s="308"/>
      <c r="O5" s="309" t="s">
        <v>383</v>
      </c>
      <c r="P5" s="310"/>
      <c r="Q5" s="310"/>
      <c r="R5" s="310"/>
      <c r="S5" s="310"/>
      <c r="T5" s="310"/>
      <c r="U5" s="311"/>
    </row>
    <row r="6" spans="1:22" ht="20.25" customHeight="1" x14ac:dyDescent="0.2">
      <c r="A6" s="305" t="s">
        <v>438</v>
      </c>
      <c r="B6" s="305"/>
      <c r="C6" s="225" t="s">
        <v>384</v>
      </c>
      <c r="D6" s="225" t="s">
        <v>385</v>
      </c>
      <c r="E6" s="225" t="s">
        <v>386</v>
      </c>
      <c r="F6" s="225" t="s">
        <v>387</v>
      </c>
      <c r="G6" s="226" t="s">
        <v>388</v>
      </c>
      <c r="H6" s="234" t="s">
        <v>389</v>
      </c>
      <c r="I6" s="234" t="s">
        <v>390</v>
      </c>
      <c r="J6" s="234" t="s">
        <v>391</v>
      </c>
      <c r="K6" s="234" t="s">
        <v>392</v>
      </c>
      <c r="L6" s="234" t="s">
        <v>393</v>
      </c>
      <c r="M6" s="235" t="s">
        <v>394</v>
      </c>
      <c r="O6" s="312"/>
      <c r="P6" s="313"/>
      <c r="Q6" s="313"/>
      <c r="R6" s="313"/>
      <c r="S6" s="313"/>
      <c r="T6" s="313"/>
      <c r="U6" s="314"/>
    </row>
    <row r="7" spans="1:22" x14ac:dyDescent="0.2">
      <c r="A7" s="171"/>
      <c r="G7" s="170"/>
      <c r="M7" s="195"/>
      <c r="O7" s="193"/>
      <c r="P7" s="228" t="s">
        <v>389</v>
      </c>
      <c r="Q7" s="228" t="s">
        <v>390</v>
      </c>
      <c r="R7" s="228" t="s">
        <v>391</v>
      </c>
      <c r="S7" s="228" t="s">
        <v>392</v>
      </c>
      <c r="T7" s="228" t="s">
        <v>393</v>
      </c>
      <c r="U7" s="227" t="s">
        <v>394</v>
      </c>
    </row>
    <row r="8" spans="1:22" x14ac:dyDescent="0.2">
      <c r="A8" s="171" t="s">
        <v>6</v>
      </c>
      <c r="G8" s="170"/>
      <c r="M8" s="170"/>
      <c r="O8" s="172"/>
      <c r="P8" s="201"/>
      <c r="Q8" s="201"/>
      <c r="R8" s="201"/>
      <c r="S8" s="201"/>
      <c r="T8" s="201"/>
      <c r="U8" s="170"/>
      <c r="V8" s="169" t="s">
        <v>432</v>
      </c>
    </row>
    <row r="9" spans="1:22" x14ac:dyDescent="0.2">
      <c r="A9" s="281" t="s">
        <v>395</v>
      </c>
      <c r="B9" s="282"/>
      <c r="C9" s="283">
        <f>'Income Statement'!B8</f>
        <v>5347</v>
      </c>
      <c r="D9" s="283">
        <f>'Income Statement'!C8</f>
        <v>6152</v>
      </c>
      <c r="E9" s="283">
        <f>'Income Statement'!D8</f>
        <v>6311</v>
      </c>
      <c r="F9" s="283">
        <f>'Income Statement'!E8</f>
        <v>4543</v>
      </c>
      <c r="G9" s="284">
        <f>'Income Statement'!F8</f>
        <v>7301</v>
      </c>
      <c r="H9" s="285">
        <f t="shared" ref="H9:M9" si="0">G9*(1+H10)</f>
        <v>8980.23</v>
      </c>
      <c r="I9" s="285">
        <f t="shared" si="0"/>
        <v>9519.0437999999995</v>
      </c>
      <c r="J9" s="285">
        <f t="shared" si="0"/>
        <v>10137.781647</v>
      </c>
      <c r="K9" s="285">
        <f t="shared" si="0"/>
        <v>11495.113113074711</v>
      </c>
      <c r="L9" s="285">
        <f t="shared" si="0"/>
        <v>13005.43774826011</v>
      </c>
      <c r="M9" s="286">
        <f t="shared" si="0"/>
        <v>14681.687941539865</v>
      </c>
      <c r="O9" s="171"/>
      <c r="P9" s="201"/>
      <c r="Q9" s="201"/>
      <c r="R9" s="201"/>
      <c r="S9" s="201"/>
      <c r="T9" s="201"/>
      <c r="U9" s="170"/>
    </row>
    <row r="10" spans="1:22" x14ac:dyDescent="0.2">
      <c r="A10" s="287" t="s">
        <v>396</v>
      </c>
      <c r="B10" s="282"/>
      <c r="C10" s="282"/>
      <c r="D10" s="288">
        <f>(D9-C9)/C9</f>
        <v>0.15055171123994762</v>
      </c>
      <c r="E10" s="288">
        <f>(E9-D9)/D9</f>
        <v>2.5845253576072823E-2</v>
      </c>
      <c r="F10" s="288">
        <f>(F9-E9)/E9</f>
        <v>-0.2801457772143876</v>
      </c>
      <c r="G10" s="289">
        <f>(G9-F9)/F9</f>
        <v>0.60708782742681044</v>
      </c>
      <c r="H10" s="290">
        <f t="shared" ref="H10:M10" si="1">P10</f>
        <v>0.23</v>
      </c>
      <c r="I10" s="290">
        <f t="shared" si="1"/>
        <v>0.06</v>
      </c>
      <c r="J10" s="290">
        <f t="shared" si="1"/>
        <v>6.5000000000000002E-2</v>
      </c>
      <c r="K10" s="290">
        <f t="shared" si="1"/>
        <v>0.13388841004248453</v>
      </c>
      <c r="L10" s="290">
        <f t="shared" si="1"/>
        <v>0.13138841004248453</v>
      </c>
      <c r="M10" s="291">
        <f t="shared" si="1"/>
        <v>0.12888841004248452</v>
      </c>
      <c r="N10" s="334"/>
      <c r="O10" s="281" t="s">
        <v>431</v>
      </c>
      <c r="P10" s="292">
        <v>0.23</v>
      </c>
      <c r="Q10" s="292">
        <v>0.06</v>
      </c>
      <c r="R10" s="292">
        <v>6.5000000000000002E-2</v>
      </c>
      <c r="S10" s="292">
        <f>AVERAGE(F10:J10)+$V$10</f>
        <v>0.13388841004248453</v>
      </c>
      <c r="T10" s="292">
        <f>S10+$V$10</f>
        <v>0.13138841004248453</v>
      </c>
      <c r="U10" s="293">
        <f>T10+$V$10</f>
        <v>0.12888841004248452</v>
      </c>
      <c r="V10" s="290">
        <v>-2.5000000000000001E-3</v>
      </c>
    </row>
    <row r="11" spans="1:22" x14ac:dyDescent="0.2">
      <c r="A11" s="171" t="s">
        <v>453</v>
      </c>
      <c r="C11" s="174">
        <f t="shared" ref="C11:M11" si="2">C14*C13</f>
        <v>5513.7599999999993</v>
      </c>
      <c r="D11" s="174">
        <f t="shared" si="2"/>
        <v>6137.77</v>
      </c>
      <c r="E11" s="174">
        <f t="shared" si="2"/>
        <v>6443.3950000000004</v>
      </c>
      <c r="F11" s="174">
        <f t="shared" si="2"/>
        <v>5371.1639999999998</v>
      </c>
      <c r="G11" s="181">
        <f t="shared" si="2"/>
        <v>6903.192</v>
      </c>
      <c r="H11" s="174">
        <f t="shared" si="2"/>
        <v>8957.8596525000012</v>
      </c>
      <c r="I11" s="174">
        <f t="shared" si="2"/>
        <v>9635.8472100000017</v>
      </c>
      <c r="J11" s="174">
        <f t="shared" si="2"/>
        <v>10480.93271542969</v>
      </c>
      <c r="K11" s="174">
        <f t="shared" si="2"/>
        <v>11241.509670316409</v>
      </c>
      <c r="L11" s="174">
        <f t="shared" si="2"/>
        <v>12708.032040734766</v>
      </c>
      <c r="M11" s="181">
        <f t="shared" si="2"/>
        <v>14570.034521809455</v>
      </c>
      <c r="N11" s="175"/>
      <c r="O11" s="171"/>
      <c r="P11" s="229"/>
      <c r="Q11" s="229"/>
      <c r="R11" s="229"/>
      <c r="S11" s="229"/>
      <c r="T11" s="229"/>
      <c r="U11" s="176"/>
      <c r="V11" s="179"/>
    </row>
    <row r="12" spans="1:22" x14ac:dyDescent="0.2">
      <c r="A12" s="214" t="s">
        <v>396</v>
      </c>
      <c r="C12" s="174"/>
      <c r="D12" s="177">
        <f>(D11-C11)/C11</f>
        <v>0.11317322480485208</v>
      </c>
      <c r="E12" s="177">
        <f>(E11-D11)/D11</f>
        <v>4.9794143475561971E-2</v>
      </c>
      <c r="F12" s="177">
        <f>(F11-E11)/E11</f>
        <v>-0.16640777105858023</v>
      </c>
      <c r="G12" s="178">
        <f>(G11-F11)/F11</f>
        <v>0.28523202791797092</v>
      </c>
      <c r="H12" s="269">
        <f t="shared" ref="H12:M12" si="3">H11/G11-1</f>
        <v>0.29764022969374193</v>
      </c>
      <c r="I12" s="269">
        <f t="shared" si="3"/>
        <v>7.5686333990596211E-2</v>
      </c>
      <c r="J12" s="269">
        <f t="shared" si="3"/>
        <v>8.7702252538071068E-2</v>
      </c>
      <c r="K12" s="269">
        <f t="shared" si="3"/>
        <v>7.2567678424938498E-2</v>
      </c>
      <c r="L12" s="269">
        <f t="shared" si="3"/>
        <v>0.13045599865387825</v>
      </c>
      <c r="M12" s="263">
        <f t="shared" si="3"/>
        <v>0.14652170179506641</v>
      </c>
      <c r="N12" s="175"/>
      <c r="O12" s="171"/>
      <c r="P12" s="229"/>
      <c r="Q12" s="229"/>
      <c r="R12" s="229"/>
      <c r="S12" s="229"/>
      <c r="T12" s="229"/>
      <c r="U12" s="176"/>
      <c r="V12" s="179"/>
    </row>
    <row r="13" spans="1:22" x14ac:dyDescent="0.2">
      <c r="A13" s="214" t="s">
        <v>450</v>
      </c>
      <c r="C13" s="270">
        <v>49.23</v>
      </c>
      <c r="D13" s="206">
        <v>60.77</v>
      </c>
      <c r="E13" s="206">
        <v>56.77</v>
      </c>
      <c r="F13" s="206">
        <v>44.28</v>
      </c>
      <c r="G13" s="213">
        <v>60.08</v>
      </c>
      <c r="H13" s="270">
        <f>65.93*1.1</f>
        <v>72.52300000000001</v>
      </c>
      <c r="I13" s="270">
        <f>63.04*1.1</f>
        <v>69.344000000000008</v>
      </c>
      <c r="J13" s="270">
        <f>60.95*1.125</f>
        <v>68.568750000000009</v>
      </c>
      <c r="K13" s="270">
        <f>59.43*1.125</f>
        <v>66.858750000000001</v>
      </c>
      <c r="L13" s="270">
        <f>58.42*1.125</f>
        <v>65.722499999999997</v>
      </c>
      <c r="M13" s="213">
        <f>L13*AVERAGE(I13/H13, J13/I13, K13/J13, L13/K13)</f>
        <v>64.129593656362758</v>
      </c>
      <c r="N13" s="175"/>
      <c r="O13" s="171"/>
      <c r="P13" s="229"/>
      <c r="Q13" s="229"/>
      <c r="R13" s="229"/>
      <c r="S13" s="229"/>
      <c r="T13" s="229"/>
      <c r="U13" s="176"/>
      <c r="V13" s="179"/>
    </row>
    <row r="14" spans="1:22" x14ac:dyDescent="0.2">
      <c r="A14" s="171" t="s">
        <v>451</v>
      </c>
      <c r="C14" s="169">
        <v>112</v>
      </c>
      <c r="D14" s="275">
        <v>101</v>
      </c>
      <c r="E14" s="273">
        <v>113.5</v>
      </c>
      <c r="F14" s="273">
        <v>121.3</v>
      </c>
      <c r="G14" s="274">
        <v>114.9</v>
      </c>
      <c r="H14" s="271">
        <f>G14*1.075</f>
        <v>123.5175</v>
      </c>
      <c r="I14" s="271">
        <f>H14*1.125</f>
        <v>138.9571875</v>
      </c>
      <c r="J14" s="271">
        <f t="shared" ref="J14:M14" si="4">I14*1.1</f>
        <v>152.85290625000002</v>
      </c>
      <c r="K14" s="271">
        <f t="shared" si="4"/>
        <v>168.13819687500003</v>
      </c>
      <c r="L14" s="271">
        <f>K14*1.15</f>
        <v>193.35892640625002</v>
      </c>
      <c r="M14" s="272">
        <f>L14*1.175</f>
        <v>227.1967385273438</v>
      </c>
      <c r="N14" s="269">
        <f>_xlfn.RRI(5,H14,L14)</f>
        <v>9.3772869281030902E-2</v>
      </c>
      <c r="O14" s="171"/>
      <c r="P14" s="229"/>
      <c r="Q14" s="229"/>
      <c r="R14" s="229"/>
      <c r="S14" s="229"/>
      <c r="T14" s="229"/>
      <c r="U14" s="176"/>
      <c r="V14" s="179"/>
    </row>
    <row r="15" spans="1:22" x14ac:dyDescent="0.2">
      <c r="A15" s="171" t="s">
        <v>397</v>
      </c>
      <c r="C15" s="173">
        <f>'Income Statement'!B9</f>
        <v>0</v>
      </c>
      <c r="D15" s="173">
        <f>'Income Statement'!C9</f>
        <v>0</v>
      </c>
      <c r="E15" s="173">
        <f>'Income Statement'!D9</f>
        <v>0</v>
      </c>
      <c r="F15" s="173">
        <f>'Income Statement'!E9</f>
        <v>0</v>
      </c>
      <c r="G15" s="167">
        <f>'Income Statement'!F9</f>
        <v>0</v>
      </c>
      <c r="H15" s="174">
        <f t="shared" ref="H15:M15" si="5">G15*(1+H16)</f>
        <v>0</v>
      </c>
      <c r="I15" s="174">
        <f t="shared" si="5"/>
        <v>0</v>
      </c>
      <c r="J15" s="174">
        <f t="shared" si="5"/>
        <v>0</v>
      </c>
      <c r="K15" s="174">
        <f t="shared" si="5"/>
        <v>0</v>
      </c>
      <c r="L15" s="174">
        <f t="shared" si="5"/>
        <v>0</v>
      </c>
      <c r="M15" s="181">
        <f t="shared" si="5"/>
        <v>0</v>
      </c>
      <c r="O15" s="171"/>
      <c r="P15" s="201"/>
      <c r="Q15" s="201"/>
      <c r="R15" s="201"/>
      <c r="S15" s="201"/>
      <c r="T15" s="201"/>
      <c r="U15" s="170"/>
    </row>
    <row r="16" spans="1:22" x14ac:dyDescent="0.2">
      <c r="A16" s="214" t="s">
        <v>398</v>
      </c>
      <c r="D16" s="177">
        <v>0</v>
      </c>
      <c r="E16" s="177">
        <v>0</v>
      </c>
      <c r="F16" s="177">
        <v>0</v>
      </c>
      <c r="G16" s="178">
        <v>0</v>
      </c>
      <c r="H16" s="177">
        <f t="shared" ref="H16:M16" si="6">P16</f>
        <v>0</v>
      </c>
      <c r="I16" s="177">
        <f t="shared" si="6"/>
        <v>0</v>
      </c>
      <c r="J16" s="177">
        <f t="shared" si="6"/>
        <v>0</v>
      </c>
      <c r="K16" s="177">
        <f t="shared" si="6"/>
        <v>0</v>
      </c>
      <c r="L16" s="177">
        <f t="shared" si="6"/>
        <v>0</v>
      </c>
      <c r="M16" s="178">
        <f t="shared" si="6"/>
        <v>0</v>
      </c>
      <c r="N16" s="180"/>
      <c r="O16" s="171" t="s">
        <v>397</v>
      </c>
      <c r="P16" s="229">
        <v>0</v>
      </c>
      <c r="Q16" s="229">
        <v>0</v>
      </c>
      <c r="R16" s="229">
        <v>0</v>
      </c>
      <c r="S16" s="229">
        <v>0</v>
      </c>
      <c r="T16" s="229">
        <v>0</v>
      </c>
      <c r="U16" s="176">
        <v>0</v>
      </c>
      <c r="V16" s="179">
        <v>0</v>
      </c>
    </row>
    <row r="17" spans="1:23" x14ac:dyDescent="0.2">
      <c r="A17" s="172" t="s">
        <v>96</v>
      </c>
      <c r="C17" s="174">
        <f>C9+C15</f>
        <v>5347</v>
      </c>
      <c r="D17" s="174">
        <f t="shared" ref="D17:M17" si="7">D9+D15</f>
        <v>6152</v>
      </c>
      <c r="E17" s="174">
        <f t="shared" si="7"/>
        <v>6311</v>
      </c>
      <c r="F17" s="174">
        <f t="shared" si="7"/>
        <v>4543</v>
      </c>
      <c r="G17" s="181">
        <f t="shared" si="7"/>
        <v>7301</v>
      </c>
      <c r="H17" s="174">
        <f>H11+H15</f>
        <v>8957.8596525000012</v>
      </c>
      <c r="I17" s="174">
        <f t="shared" ref="I17:M17" si="8">I11+I15</f>
        <v>9635.8472100000017</v>
      </c>
      <c r="J17" s="174">
        <f t="shared" si="8"/>
        <v>10480.93271542969</v>
      </c>
      <c r="K17" s="174">
        <f t="shared" si="8"/>
        <v>11241.509670316409</v>
      </c>
      <c r="L17" s="174">
        <f t="shared" si="8"/>
        <v>12708.032040734766</v>
      </c>
      <c r="M17" s="181">
        <f t="shared" si="8"/>
        <v>14570.034521809455</v>
      </c>
      <c r="O17" s="171"/>
      <c r="P17" s="201"/>
      <c r="Q17" s="201"/>
      <c r="R17" s="201"/>
      <c r="S17" s="201"/>
      <c r="T17" s="201"/>
      <c r="U17" s="170"/>
    </row>
    <row r="18" spans="1:23" x14ac:dyDescent="0.2">
      <c r="A18" s="171" t="s">
        <v>425</v>
      </c>
      <c r="C18" s="174"/>
      <c r="D18" s="177">
        <f t="shared" ref="D18:M18" si="9">(D17-C17)/C17</f>
        <v>0.15055171123994762</v>
      </c>
      <c r="E18" s="177">
        <f t="shared" si="9"/>
        <v>2.5845253576072823E-2</v>
      </c>
      <c r="F18" s="177">
        <f t="shared" si="9"/>
        <v>-0.2801457772143876</v>
      </c>
      <c r="G18" s="178">
        <f t="shared" si="9"/>
        <v>0.60708782742681044</v>
      </c>
      <c r="H18" s="182">
        <f t="shared" si="9"/>
        <v>0.22693598856321068</v>
      </c>
      <c r="I18" s="182">
        <f t="shared" si="9"/>
        <v>7.5686333990596141E-2</v>
      </c>
      <c r="J18" s="182">
        <f t="shared" si="9"/>
        <v>8.770225253807111E-2</v>
      </c>
      <c r="K18" s="182">
        <f t="shared" si="9"/>
        <v>7.2567678424938512E-2</v>
      </c>
      <c r="L18" s="182">
        <f t="shared" si="9"/>
        <v>0.1304559986538783</v>
      </c>
      <c r="M18" s="178">
        <f t="shared" si="9"/>
        <v>0.14652170179506643</v>
      </c>
      <c r="O18" s="171"/>
      <c r="P18" s="201"/>
      <c r="Q18" s="201"/>
      <c r="R18" s="201"/>
      <c r="S18" s="201"/>
      <c r="T18" s="201"/>
      <c r="U18" s="170"/>
    </row>
    <row r="19" spans="1:23" x14ac:dyDescent="0.2">
      <c r="A19" s="171" t="s">
        <v>399</v>
      </c>
      <c r="B19" s="201"/>
      <c r="C19" s="173">
        <f>'Income Statement'!B12</f>
        <v>1267</v>
      </c>
      <c r="D19" s="173">
        <f>'Income Statement'!C12</f>
        <v>1771</v>
      </c>
      <c r="E19" s="173">
        <f>'Income Statement'!D12</f>
        <v>1736</v>
      </c>
      <c r="F19" s="173">
        <f>'Income Statement'!E12</f>
        <v>883</v>
      </c>
      <c r="G19" s="167">
        <f>'Income Statement'!F12</f>
        <v>2034</v>
      </c>
      <c r="H19" s="202">
        <f t="shared" ref="H19:M19" si="10">H17-H21</f>
        <v>2415.2548541420356</v>
      </c>
      <c r="I19" s="202">
        <f t="shared" si="10"/>
        <v>2580.396056020636</v>
      </c>
      <c r="J19" s="202">
        <f t="shared" si="10"/>
        <v>2857.8428421463377</v>
      </c>
      <c r="K19" s="202">
        <f t="shared" si="10"/>
        <v>2947.1810683524254</v>
      </c>
      <c r="L19" s="202">
        <f t="shared" si="10"/>
        <v>3306.2424537566749</v>
      </c>
      <c r="M19" s="181">
        <f t="shared" si="10"/>
        <v>3736.9955346857278</v>
      </c>
      <c r="O19" s="171"/>
      <c r="P19" s="201"/>
      <c r="Q19" s="201"/>
      <c r="R19" s="201"/>
      <c r="S19" s="201"/>
      <c r="T19" s="201"/>
      <c r="U19" s="170"/>
    </row>
    <row r="20" spans="1:23" ht="13.5" thickBot="1" x14ac:dyDescent="0.25">
      <c r="A20" s="171" t="s">
        <v>428</v>
      </c>
      <c r="B20" s="201"/>
      <c r="C20" s="177">
        <f t="shared" ref="C20:M20" si="11">C19/C17</f>
        <v>0.23695530203852627</v>
      </c>
      <c r="D20" s="177">
        <f t="shared" si="11"/>
        <v>0.28787386215864758</v>
      </c>
      <c r="E20" s="177">
        <f t="shared" si="11"/>
        <v>0.27507526540960225</v>
      </c>
      <c r="F20" s="177">
        <f t="shared" si="11"/>
        <v>0.19436495707682147</v>
      </c>
      <c r="G20" s="178">
        <f t="shared" si="11"/>
        <v>0.2785919737022326</v>
      </c>
      <c r="H20" s="177">
        <f t="shared" si="11"/>
        <v>0.2696241008272523</v>
      </c>
      <c r="I20" s="177">
        <f t="shared" si="11"/>
        <v>0.26779130052443367</v>
      </c>
      <c r="J20" s="177">
        <f t="shared" si="11"/>
        <v>0.27267066011588015</v>
      </c>
      <c r="K20" s="177">
        <f t="shared" si="11"/>
        <v>0.26216950879244966</v>
      </c>
      <c r="L20" s="177">
        <f t="shared" si="11"/>
        <v>0.2601695087924496</v>
      </c>
      <c r="M20" s="178">
        <f t="shared" si="11"/>
        <v>0.25648501581049304</v>
      </c>
      <c r="O20" s="171"/>
      <c r="P20" s="201"/>
      <c r="Q20" s="201"/>
      <c r="R20" s="201"/>
      <c r="S20" s="201"/>
      <c r="T20" s="201"/>
      <c r="U20" s="170"/>
    </row>
    <row r="21" spans="1:23" ht="13.5" thickTop="1" x14ac:dyDescent="0.2">
      <c r="A21" s="215" t="s">
        <v>400</v>
      </c>
      <c r="B21" s="204"/>
      <c r="C21" s="205">
        <f>C17-C19</f>
        <v>4080</v>
      </c>
      <c r="D21" s="205">
        <f>D17-D19</f>
        <v>4381</v>
      </c>
      <c r="E21" s="205">
        <f>E17-E19</f>
        <v>4575</v>
      </c>
      <c r="F21" s="205">
        <f>F17-F19</f>
        <v>3660</v>
      </c>
      <c r="G21" s="190">
        <f>G17-G19</f>
        <v>5267</v>
      </c>
      <c r="H21" s="205">
        <f t="shared" ref="H21:M21" si="12">H22*H17</f>
        <v>6542.6047983579656</v>
      </c>
      <c r="I21" s="205">
        <f t="shared" si="12"/>
        <v>7055.4511539793657</v>
      </c>
      <c r="J21" s="205">
        <f t="shared" si="12"/>
        <v>7623.0898732833521</v>
      </c>
      <c r="K21" s="205">
        <f t="shared" si="12"/>
        <v>8294.3286019639836</v>
      </c>
      <c r="L21" s="205">
        <f t="shared" si="12"/>
        <v>9401.7895869780914</v>
      </c>
      <c r="M21" s="190">
        <f t="shared" si="12"/>
        <v>10833.038987123728</v>
      </c>
      <c r="N21" s="179"/>
      <c r="O21" s="171"/>
      <c r="P21" s="201"/>
      <c r="Q21" s="201"/>
      <c r="R21" s="201"/>
      <c r="S21" s="201"/>
      <c r="T21" s="201"/>
      <c r="U21" s="170"/>
    </row>
    <row r="22" spans="1:23" x14ac:dyDescent="0.2">
      <c r="A22" s="214" t="s">
        <v>429</v>
      </c>
      <c r="C22" s="177">
        <f>C21/C17</f>
        <v>0.76304469796147367</v>
      </c>
      <c r="D22" s="177">
        <f>D21/D17</f>
        <v>0.71212613784135237</v>
      </c>
      <c r="E22" s="177">
        <f>E21/E17</f>
        <v>0.72492473459039775</v>
      </c>
      <c r="F22" s="177">
        <f>F21/F17</f>
        <v>0.80563504292317856</v>
      </c>
      <c r="G22" s="178">
        <f>G21/G17</f>
        <v>0.72140802629776746</v>
      </c>
      <c r="H22" s="208">
        <f t="shared" ref="H22:M22" si="13">P22</f>
        <v>0.7303758991727477</v>
      </c>
      <c r="I22" s="208">
        <f t="shared" si="13"/>
        <v>0.73220869947556633</v>
      </c>
      <c r="J22" s="208">
        <f t="shared" si="13"/>
        <v>0.72732933988411985</v>
      </c>
      <c r="K22" s="208">
        <f t="shared" si="13"/>
        <v>0.7378304912075504</v>
      </c>
      <c r="L22" s="208">
        <f t="shared" si="13"/>
        <v>0.7398304912075504</v>
      </c>
      <c r="M22" s="222">
        <f t="shared" si="13"/>
        <v>0.7435149841895069</v>
      </c>
      <c r="O22" s="171" t="s">
        <v>429</v>
      </c>
      <c r="P22" s="203">
        <f>AVERAGE(C22:E22,G22)</f>
        <v>0.7303758991727477</v>
      </c>
      <c r="Q22" s="203">
        <f>AVERAGE(D22:E22,G22:H22)+$V$22</f>
        <v>0.73220869947556633</v>
      </c>
      <c r="R22" s="203">
        <f>AVERAGE(E22,G22:I22)+V22%</f>
        <v>0.72732933988411985</v>
      </c>
      <c r="S22" s="203">
        <f>AVERAGE(G22:J22)+$V$22</f>
        <v>0.7378304912075504</v>
      </c>
      <c r="T22" s="203">
        <f>AVERAGE(G22:K22)+$V$22</f>
        <v>0.7398304912075504</v>
      </c>
      <c r="U22" s="221">
        <f>AVERAGE(H22:L22)+$V$22</f>
        <v>0.7435149841895069</v>
      </c>
      <c r="V22" s="179">
        <v>0.01</v>
      </c>
    </row>
    <row r="23" spans="1:23" x14ac:dyDescent="0.2">
      <c r="A23" s="172"/>
      <c r="C23" s="174"/>
      <c r="D23" s="177"/>
      <c r="E23" s="177"/>
      <c r="F23" s="177"/>
      <c r="G23" s="178"/>
      <c r="M23" s="170"/>
      <c r="O23" s="171"/>
      <c r="P23" s="201"/>
      <c r="Q23" s="201"/>
      <c r="R23" s="201"/>
      <c r="S23" s="201"/>
      <c r="T23" s="201"/>
      <c r="U23" s="170"/>
    </row>
    <row r="24" spans="1:23" x14ac:dyDescent="0.2">
      <c r="A24" s="171" t="s">
        <v>401</v>
      </c>
      <c r="B24" s="201"/>
      <c r="C24" s="173">
        <f>'Income Statement'!B15</f>
        <v>1854</v>
      </c>
      <c r="D24" s="173">
        <f>'Income Statement'!C15</f>
        <v>1516</v>
      </c>
      <c r="E24" s="173">
        <f>'Income Statement'!D15</f>
        <v>1604</v>
      </c>
      <c r="F24" s="173">
        <f>'Income Statement'!E15</f>
        <v>1550</v>
      </c>
      <c r="G24" s="167">
        <f>'Income Statement'!F15</f>
        <v>1569</v>
      </c>
      <c r="H24" s="202">
        <f t="shared" ref="H24:M24" si="14">H25*H17</f>
        <v>2149.0090573681773</v>
      </c>
      <c r="I24" s="202">
        <f t="shared" si="14"/>
        <v>2263.4804385829616</v>
      </c>
      <c r="J24" s="202">
        <f t="shared" si="14"/>
        <v>2409.5881080453996</v>
      </c>
      <c r="K24" s="202">
        <f t="shared" si="14"/>
        <v>2528.2387746550121</v>
      </c>
      <c r="L24" s="202">
        <f t="shared" si="14"/>
        <v>2794.5225286344157</v>
      </c>
      <c r="M24" s="181">
        <f t="shared" si="14"/>
        <v>3131.1305526255351</v>
      </c>
      <c r="O24" s="171"/>
      <c r="P24" s="201"/>
      <c r="Q24" s="201"/>
      <c r="R24" s="201"/>
      <c r="S24" s="201"/>
      <c r="T24" s="201"/>
      <c r="U24" s="170"/>
    </row>
    <row r="25" spans="1:23" x14ac:dyDescent="0.2">
      <c r="A25" s="171" t="s">
        <v>428</v>
      </c>
      <c r="B25" s="201"/>
      <c r="C25" s="177">
        <f>C24/C17</f>
        <v>0.34673648775014027</v>
      </c>
      <c r="D25" s="177">
        <f>D24/D17</f>
        <v>0.24642392717815345</v>
      </c>
      <c r="E25" s="177">
        <f>E24/E17</f>
        <v>0.25415940421486294</v>
      </c>
      <c r="F25" s="177">
        <f>F24/F17</f>
        <v>0.34118423948932425</v>
      </c>
      <c r="G25" s="178">
        <f>G24/G17</f>
        <v>0.21490206820983426</v>
      </c>
      <c r="H25" s="208">
        <f t="shared" ref="H25:M25" si="15">P25</f>
        <v>0.23990206820983426</v>
      </c>
      <c r="I25" s="208">
        <f t="shared" si="15"/>
        <v>0.23490206820983425</v>
      </c>
      <c r="J25" s="208">
        <f t="shared" si="15"/>
        <v>0.22990206820983425</v>
      </c>
      <c r="K25" s="208">
        <f t="shared" si="15"/>
        <v>0.22490206820983424</v>
      </c>
      <c r="L25" s="208">
        <f t="shared" si="15"/>
        <v>0.21990206820983424</v>
      </c>
      <c r="M25" s="222">
        <f t="shared" si="15"/>
        <v>0.21490206820983423</v>
      </c>
      <c r="O25" s="171" t="s">
        <v>433</v>
      </c>
      <c r="P25" s="262">
        <f>G25+2.5%</f>
        <v>0.23990206820983426</v>
      </c>
      <c r="Q25" s="262">
        <f>P25+$V$25</f>
        <v>0.23490206820983425</v>
      </c>
      <c r="R25" s="262">
        <f t="shared" ref="R25:U25" si="16">Q25+$V$25</f>
        <v>0.22990206820983425</v>
      </c>
      <c r="S25" s="262">
        <f t="shared" si="16"/>
        <v>0.22490206820983424</v>
      </c>
      <c r="T25" s="262">
        <f t="shared" si="16"/>
        <v>0.21990206820983424</v>
      </c>
      <c r="U25" s="263">
        <f t="shared" si="16"/>
        <v>0.21490206820983423</v>
      </c>
      <c r="V25" s="179">
        <v>-5.0000000000000001E-3</v>
      </c>
      <c r="W25" s="179"/>
    </row>
    <row r="26" spans="1:23" x14ac:dyDescent="0.2">
      <c r="A26" s="171" t="s">
        <v>129</v>
      </c>
      <c r="B26" s="201"/>
      <c r="C26" s="206">
        <f>'Income Statement'!B16</f>
        <v>195</v>
      </c>
      <c r="D26" s="206">
        <f>'Income Statement'!C16</f>
        <v>308</v>
      </c>
      <c r="E26" s="206">
        <f>'Income Statement'!D16</f>
        <v>216</v>
      </c>
      <c r="F26" s="206">
        <f>'Income Statement'!E16</f>
        <v>175</v>
      </c>
      <c r="G26" s="213">
        <f>'Income Statement'!F16</f>
        <v>142</v>
      </c>
      <c r="H26" s="202">
        <f t="shared" ref="H26:M26" si="17">H27*H17</f>
        <v>296.19424043625349</v>
      </c>
      <c r="I26" s="202">
        <f t="shared" si="17"/>
        <v>277.6604011739891</v>
      </c>
      <c r="J26" s="202">
        <f t="shared" si="17"/>
        <v>287.83482271033057</v>
      </c>
      <c r="K26" s="202">
        <f t="shared" si="17"/>
        <v>277.64491956400457</v>
      </c>
      <c r="L26" s="202">
        <f t="shared" si="17"/>
        <v>330.54083662706097</v>
      </c>
      <c r="M26" s="181">
        <f t="shared" si="17"/>
        <v>353.27469357301209</v>
      </c>
      <c r="O26" s="171"/>
      <c r="P26" s="201"/>
      <c r="Q26" s="201"/>
      <c r="R26" s="201"/>
      <c r="S26" s="201"/>
      <c r="T26" s="201"/>
      <c r="U26" s="170"/>
    </row>
    <row r="27" spans="1:23" x14ac:dyDescent="0.2">
      <c r="A27" s="171" t="s">
        <v>428</v>
      </c>
      <c r="B27" s="201"/>
      <c r="C27" s="177">
        <f>C26/C17</f>
        <v>3.6469048064335138E-2</v>
      </c>
      <c r="D27" s="177">
        <f>D26/D17</f>
        <v>5.0065019505851759E-2</v>
      </c>
      <c r="E27" s="177">
        <f>E26/E17</f>
        <v>3.4225954682300747E-2</v>
      </c>
      <c r="F27" s="177">
        <f>F26/F17</f>
        <v>3.8520801232665637E-2</v>
      </c>
      <c r="G27" s="178">
        <f>G26/G17</f>
        <v>1.9449390494452816E-2</v>
      </c>
      <c r="H27" s="203">
        <f t="shared" ref="H27:M27" si="18">P27</f>
        <v>3.3065291478817739E-2</v>
      </c>
      <c r="I27" s="203">
        <f t="shared" si="18"/>
        <v>2.8815359472059234E-2</v>
      </c>
      <c r="J27" s="203">
        <f t="shared" si="18"/>
        <v>2.7462710669498857E-2</v>
      </c>
      <c r="K27" s="203">
        <f t="shared" si="18"/>
        <v>2.4698188028707165E-2</v>
      </c>
      <c r="L27" s="203">
        <f t="shared" si="18"/>
        <v>2.6010387412270752E-2</v>
      </c>
      <c r="M27" s="221">
        <f t="shared" si="18"/>
        <v>2.4246661395634004E-2</v>
      </c>
      <c r="O27" s="171" t="s">
        <v>434</v>
      </c>
      <c r="P27" s="203">
        <f>AVERAGE(D27:G27)+$V$27</f>
        <v>3.3065291478817739E-2</v>
      </c>
      <c r="Q27" s="203">
        <f t="shared" ref="Q27:U27" si="19">AVERAGE(E27:H27)+$V$27</f>
        <v>2.8815359472059234E-2</v>
      </c>
      <c r="R27" s="203">
        <f t="shared" si="19"/>
        <v>2.7462710669498857E-2</v>
      </c>
      <c r="S27" s="203">
        <f t="shared" si="19"/>
        <v>2.4698188028707165E-2</v>
      </c>
      <c r="T27" s="203">
        <f t="shared" si="19"/>
        <v>2.6010387412270752E-2</v>
      </c>
      <c r="U27" s="221">
        <f t="shared" si="19"/>
        <v>2.4246661395634004E-2</v>
      </c>
      <c r="V27" s="179">
        <v>-2.5000000000000001E-3</v>
      </c>
      <c r="W27" s="179"/>
    </row>
    <row r="28" spans="1:23" x14ac:dyDescent="0.2">
      <c r="A28" s="216" t="s">
        <v>130</v>
      </c>
      <c r="B28" s="201"/>
      <c r="C28" s="206">
        <f>'Income Statement'!B19</f>
        <v>2012</v>
      </c>
      <c r="D28" s="206">
        <f>'Income Statement'!C19</f>
        <v>51</v>
      </c>
      <c r="E28" s="206">
        <f>'Income Statement'!D19</f>
        <v>17</v>
      </c>
      <c r="F28" s="206">
        <f>'Income Statement'!E19</f>
        <v>176</v>
      </c>
      <c r="G28" s="213">
        <f>'Income Statement'!F19</f>
        <v>20</v>
      </c>
      <c r="H28" s="202">
        <f t="shared" ref="H28:M28" si="20">H29*H17</f>
        <v>40.976376839991175</v>
      </c>
      <c r="I28" s="202">
        <f t="shared" si="20"/>
        <v>32.143288755204637</v>
      </c>
      <c r="J28" s="202">
        <f t="shared" si="20"/>
        <v>129.41442506588965</v>
      </c>
      <c r="K28" s="202">
        <f t="shared" si="20"/>
        <v>64.630554833094166</v>
      </c>
      <c r="L28" s="202">
        <f t="shared" si="20"/>
        <v>82.624558657972571</v>
      </c>
      <c r="M28" s="181">
        <f t="shared" si="20"/>
        <v>101.7514560901902</v>
      </c>
      <c r="O28" s="171"/>
      <c r="P28" s="201"/>
      <c r="Q28" s="201"/>
      <c r="R28" s="201"/>
      <c r="S28" s="201"/>
      <c r="T28" s="201"/>
      <c r="U28" s="170"/>
    </row>
    <row r="29" spans="1:23" x14ac:dyDescent="0.2">
      <c r="A29" s="171" t="s">
        <v>428</v>
      </c>
      <c r="B29" s="201"/>
      <c r="C29" s="177">
        <f>C28/C17</f>
        <v>0.37628576772021693</v>
      </c>
      <c r="D29" s="177">
        <f>D28/D17</f>
        <v>8.2899869960988293E-3</v>
      </c>
      <c r="E29" s="177">
        <f>E28/E17</f>
        <v>2.6937093962921882E-3</v>
      </c>
      <c r="F29" s="177">
        <f>F28/F17</f>
        <v>3.8740920096852302E-2</v>
      </c>
      <c r="G29" s="178">
        <f>G28/G17</f>
        <v>2.7393507738665934E-3</v>
      </c>
      <c r="H29" s="203">
        <f t="shared" ref="H29:M29" si="21">P29</f>
        <v>4.5743490554192032E-3</v>
      </c>
      <c r="I29" s="203">
        <f t="shared" si="21"/>
        <v>3.3358030751926616E-3</v>
      </c>
      <c r="J29" s="203">
        <f t="shared" si="21"/>
        <v>1.2347605750332689E-2</v>
      </c>
      <c r="K29" s="203">
        <f t="shared" si="21"/>
        <v>5.7492771637027863E-3</v>
      </c>
      <c r="L29" s="203">
        <f t="shared" si="21"/>
        <v>6.5017587611618348E-3</v>
      </c>
      <c r="M29" s="221">
        <f t="shared" si="21"/>
        <v>6.9836111875974929E-3</v>
      </c>
      <c r="O29" s="171" t="s">
        <v>435</v>
      </c>
      <c r="P29" s="203">
        <f>AVERAGE(D29:E29,G29)</f>
        <v>4.5743490554192032E-3</v>
      </c>
      <c r="Q29" s="203">
        <f>AVERAGE(E29,G29:H29)</f>
        <v>3.3358030751926616E-3</v>
      </c>
      <c r="R29" s="203">
        <f t="shared" ref="R29:U29" si="22">AVERAGE(F29:I29)</f>
        <v>1.2347605750332689E-2</v>
      </c>
      <c r="S29" s="203">
        <f t="shared" si="22"/>
        <v>5.7492771637027863E-3</v>
      </c>
      <c r="T29" s="203">
        <f t="shared" si="22"/>
        <v>6.5017587611618348E-3</v>
      </c>
      <c r="U29" s="221">
        <f t="shared" si="22"/>
        <v>6.9836111875974929E-3</v>
      </c>
      <c r="V29" s="179">
        <v>0</v>
      </c>
      <c r="W29" s="179"/>
    </row>
    <row r="30" spans="1:23" x14ac:dyDescent="0.2">
      <c r="A30" s="217" t="s">
        <v>197</v>
      </c>
      <c r="B30" s="201"/>
      <c r="C30" s="206">
        <f>'Income Statement'!B20</f>
        <v>4</v>
      </c>
      <c r="D30" s="206">
        <f>'Income Statement'!C20</f>
        <v>-116</v>
      </c>
      <c r="E30" s="206">
        <f>'Income Statement'!D20</f>
        <v>-78</v>
      </c>
      <c r="F30" s="206">
        <f>'Income Statement'!E20</f>
        <v>-56</v>
      </c>
      <c r="G30" s="213">
        <f>'Income Statement'!F20</f>
        <v>-79</v>
      </c>
      <c r="H30" s="202">
        <f t="shared" ref="H30:M30" si="23">H31*H17</f>
        <v>-96.053405803748959</v>
      </c>
      <c r="I30" s="202">
        <f t="shared" si="23"/>
        <v>-77.250449867018304</v>
      </c>
      <c r="J30" s="202">
        <f t="shared" si="23"/>
        <v>-61.30561216660346</v>
      </c>
      <c r="K30" s="202">
        <f t="shared" si="23"/>
        <v>-51.117700589257403</v>
      </c>
      <c r="L30" s="202">
        <f t="shared" si="23"/>
        <v>-38.014064639055327</v>
      </c>
      <c r="M30" s="181">
        <f t="shared" si="23"/>
        <v>-20.769916177901283</v>
      </c>
      <c r="O30" s="171"/>
      <c r="P30" s="201"/>
      <c r="Q30" s="201"/>
      <c r="R30" s="201"/>
      <c r="S30" s="201"/>
      <c r="T30" s="201"/>
      <c r="U30" s="170"/>
    </row>
    <row r="31" spans="1:23" ht="13.5" thickBot="1" x14ac:dyDescent="0.25">
      <c r="A31" s="171" t="s">
        <v>428</v>
      </c>
      <c r="B31" s="201"/>
      <c r="C31" s="177">
        <f>C30/C17</f>
        <v>7.4808303721713115E-4</v>
      </c>
      <c r="D31" s="177">
        <f>D30/D17</f>
        <v>-1.8855656697009102E-2</v>
      </c>
      <c r="E31" s="177">
        <f>E30/E17</f>
        <v>-1.2359372524164159E-2</v>
      </c>
      <c r="F31" s="177">
        <f>F30/F17</f>
        <v>-1.2326656394453005E-2</v>
      </c>
      <c r="G31" s="178">
        <f>G30/G17</f>
        <v>-1.0820435556773044E-2</v>
      </c>
      <c r="H31" s="203">
        <f t="shared" ref="H31:M31" si="24">P31</f>
        <v>-1.0722807627036434E-2</v>
      </c>
      <c r="I31" s="203">
        <f t="shared" si="24"/>
        <v>-8.016985759887147E-3</v>
      </c>
      <c r="J31" s="203">
        <f t="shared" si="24"/>
        <v>-5.8492515724627566E-3</v>
      </c>
      <c r="K31" s="203">
        <f t="shared" si="24"/>
        <v>-4.5472273821224778E-3</v>
      </c>
      <c r="L31" s="203">
        <f t="shared" si="24"/>
        <v>-2.9913415796563722E-3</v>
      </c>
      <c r="M31" s="232">
        <f t="shared" si="24"/>
        <v>-1.4255227842330373E-3</v>
      </c>
      <c r="O31" s="171" t="s">
        <v>437</v>
      </c>
      <c r="P31" s="203">
        <f>AVERAGE(C31:G31)</f>
        <v>-1.0722807627036434E-2</v>
      </c>
      <c r="Q31" s="203">
        <f>AVERAGE(D31:H31)+$V$31</f>
        <v>-8.016985759887147E-3</v>
      </c>
      <c r="R31" s="203">
        <f t="shared" ref="R31:U31" si="25">AVERAGE(E31:I31)+$V$31</f>
        <v>-5.8492515724627566E-3</v>
      </c>
      <c r="S31" s="203">
        <f t="shared" si="25"/>
        <v>-4.5472273821224778E-3</v>
      </c>
      <c r="T31" s="203">
        <f t="shared" si="25"/>
        <v>-2.9913415796563722E-3</v>
      </c>
      <c r="U31" s="221">
        <f t="shared" si="25"/>
        <v>-1.4255227842330373E-3</v>
      </c>
      <c r="V31" s="179">
        <v>5.0000000000000001E-3</v>
      </c>
    </row>
    <row r="32" spans="1:23" ht="13.5" thickTop="1" x14ac:dyDescent="0.2">
      <c r="A32" s="215" t="s">
        <v>34</v>
      </c>
      <c r="B32" s="204"/>
      <c r="C32" s="205">
        <f>C21-SUM(C24,C26,C28,C30)</f>
        <v>15</v>
      </c>
      <c r="D32" s="205">
        <f t="shared" ref="D32:M32" si="26">D21-SUM(D24,D26,D28,D30)</f>
        <v>2622</v>
      </c>
      <c r="E32" s="205">
        <f t="shared" si="26"/>
        <v>2816</v>
      </c>
      <c r="F32" s="205">
        <f t="shared" si="26"/>
        <v>1815</v>
      </c>
      <c r="G32" s="190">
        <f t="shared" si="26"/>
        <v>3615</v>
      </c>
      <c r="H32" s="205">
        <f t="shared" si="26"/>
        <v>4152.4785295172924</v>
      </c>
      <c r="I32" s="205">
        <f t="shared" si="26"/>
        <v>4559.4174753342286</v>
      </c>
      <c r="J32" s="205">
        <f t="shared" si="26"/>
        <v>4857.5581296283362</v>
      </c>
      <c r="K32" s="205">
        <f t="shared" si="26"/>
        <v>5474.9320535011302</v>
      </c>
      <c r="L32" s="205">
        <f t="shared" si="26"/>
        <v>6232.1157276976974</v>
      </c>
      <c r="M32" s="190">
        <f t="shared" si="26"/>
        <v>7267.652201012892</v>
      </c>
      <c r="O32" s="171"/>
      <c r="P32" s="201"/>
      <c r="Q32" s="201"/>
      <c r="R32" s="201"/>
      <c r="S32" s="201"/>
      <c r="T32" s="201"/>
      <c r="U32" s="170"/>
    </row>
    <row r="33" spans="1:22" x14ac:dyDescent="0.2">
      <c r="A33" s="172" t="s">
        <v>426</v>
      </c>
      <c r="C33" s="177">
        <f t="shared" ref="C33:M33" si="27">C32/C17</f>
        <v>2.8053113895642415E-3</v>
      </c>
      <c r="D33" s="177">
        <f t="shared" si="27"/>
        <v>0.42620286085825748</v>
      </c>
      <c r="E33" s="177">
        <f t="shared" si="27"/>
        <v>0.44620503882110601</v>
      </c>
      <c r="F33" s="177">
        <f t="shared" si="27"/>
        <v>0.39951573849878935</v>
      </c>
      <c r="G33" s="178">
        <f t="shared" si="27"/>
        <v>0.49513765237638679</v>
      </c>
      <c r="H33" s="177">
        <f t="shared" si="27"/>
        <v>0.46355699805571293</v>
      </c>
      <c r="I33" s="177">
        <f t="shared" si="27"/>
        <v>0.47317245447836731</v>
      </c>
      <c r="J33" s="177">
        <f t="shared" si="27"/>
        <v>0.46346620682691692</v>
      </c>
      <c r="K33" s="177">
        <f t="shared" si="27"/>
        <v>0.48702818518742869</v>
      </c>
      <c r="L33" s="177">
        <f t="shared" si="27"/>
        <v>0.49040761840393993</v>
      </c>
      <c r="M33" s="178">
        <f t="shared" si="27"/>
        <v>0.49880816618067431</v>
      </c>
      <c r="O33" s="171"/>
      <c r="P33" s="201"/>
      <c r="Q33" s="201"/>
      <c r="R33" s="201"/>
      <c r="S33" s="201"/>
      <c r="T33" s="201"/>
      <c r="U33" s="170"/>
    </row>
    <row r="34" spans="1:22" x14ac:dyDescent="0.2">
      <c r="A34" s="172"/>
      <c r="C34" s="174"/>
      <c r="D34" s="174"/>
      <c r="E34" s="174"/>
      <c r="F34" s="174"/>
      <c r="G34" s="181"/>
      <c r="M34" s="170"/>
      <c r="O34" s="171"/>
      <c r="P34" s="201"/>
      <c r="Q34" s="201"/>
      <c r="R34" s="201"/>
      <c r="S34" s="201"/>
      <c r="T34" s="201"/>
      <c r="U34" s="170"/>
    </row>
    <row r="35" spans="1:22" x14ac:dyDescent="0.2">
      <c r="A35" s="171" t="s">
        <v>402</v>
      </c>
      <c r="B35" s="201"/>
      <c r="C35" s="173">
        <f>'Income Statement'!B18</f>
        <v>2864</v>
      </c>
      <c r="D35" s="173">
        <f>'Income Statement'!C18</f>
        <v>1867</v>
      </c>
      <c r="E35" s="173">
        <f>'Income Statement'!D18</f>
        <v>2122</v>
      </c>
      <c r="F35" s="173">
        <f>'Income Statement'!E18</f>
        <v>2074</v>
      </c>
      <c r="G35" s="167">
        <f>'Income Statement'!F18</f>
        <v>1528</v>
      </c>
      <c r="H35" s="202">
        <f t="shared" ref="H35:M35" si="28">H36*H17</f>
        <v>3208.9870266134158</v>
      </c>
      <c r="I35" s="202">
        <f t="shared" si="28"/>
        <v>3355.5050183811686</v>
      </c>
      <c r="J35" s="202">
        <f t="shared" si="28"/>
        <v>3544.9810397417023</v>
      </c>
      <c r="K35" s="202">
        <f t="shared" si="28"/>
        <v>3411.7440586192179</v>
      </c>
      <c r="L35" s="202">
        <f t="shared" si="28"/>
        <v>3831.4104728563543</v>
      </c>
      <c r="M35" s="181">
        <f t="shared" si="28"/>
        <v>4661.492294703</v>
      </c>
      <c r="O35" s="171"/>
      <c r="P35" s="201"/>
      <c r="Q35" s="201"/>
      <c r="R35" s="201"/>
      <c r="S35" s="201"/>
      <c r="T35" s="201"/>
      <c r="U35" s="170"/>
    </row>
    <row r="36" spans="1:22" ht="13.5" thickBot="1" x14ac:dyDescent="0.25">
      <c r="A36" s="218" t="s">
        <v>430</v>
      </c>
      <c r="B36" s="183"/>
      <c r="C36" s="209">
        <f>C35/C17</f>
        <v>0.53562745464746586</v>
      </c>
      <c r="D36" s="209">
        <f>D35/D17</f>
        <v>0.30347854356306891</v>
      </c>
      <c r="E36" s="209">
        <f>E35/E17</f>
        <v>0.3362383140548249</v>
      </c>
      <c r="F36" s="209">
        <f>F35/F17</f>
        <v>0.45652652432313451</v>
      </c>
      <c r="G36" s="210">
        <f>G35/G17</f>
        <v>0.20928639912340774</v>
      </c>
      <c r="H36" s="211">
        <f t="shared" ref="H36:M36" si="29">P36</f>
        <v>0.35823144714238037</v>
      </c>
      <c r="I36" s="211">
        <f t="shared" si="29"/>
        <v>0.34823144714238036</v>
      </c>
      <c r="J36" s="211">
        <f t="shared" si="29"/>
        <v>0.33823144714238035</v>
      </c>
      <c r="K36" s="211">
        <f t="shared" si="29"/>
        <v>0.30349518513763724</v>
      </c>
      <c r="L36" s="211">
        <f t="shared" si="29"/>
        <v>0.30149518513763723</v>
      </c>
      <c r="M36" s="223">
        <f t="shared" si="29"/>
        <v>0.31993694234048309</v>
      </c>
      <c r="O36" s="171" t="s">
        <v>436</v>
      </c>
      <c r="P36" s="229">
        <f>AVERAGE(C36:G36)+V36</f>
        <v>0.35823144714238037</v>
      </c>
      <c r="Q36" s="229">
        <f>P36+$V$36</f>
        <v>0.34823144714238036</v>
      </c>
      <c r="R36" s="229">
        <f>Q36+$V$36</f>
        <v>0.33823144714238035</v>
      </c>
      <c r="S36" s="229">
        <f>AVERAGE(G36:J36)+$V$36</f>
        <v>0.30349518513763724</v>
      </c>
      <c r="T36" s="229">
        <f>AVERAGE(G36:K36)+$V$36</f>
        <v>0.30149518513763723</v>
      </c>
      <c r="U36" s="176">
        <f>AVERAGE(H36:L36)+$V$36</f>
        <v>0.31993694234048309</v>
      </c>
      <c r="V36" s="179">
        <v>-0.01</v>
      </c>
    </row>
    <row r="37" spans="1:22" ht="13.5" thickTop="1" x14ac:dyDescent="0.2">
      <c r="A37" s="172" t="s">
        <v>8</v>
      </c>
      <c r="C37" s="174">
        <f t="shared" ref="C37:M37" si="30">C32-C35</f>
        <v>-2849</v>
      </c>
      <c r="D37" s="174">
        <f t="shared" si="30"/>
        <v>755</v>
      </c>
      <c r="E37" s="174">
        <f t="shared" si="30"/>
        <v>694</v>
      </c>
      <c r="F37" s="174">
        <f t="shared" si="30"/>
        <v>-259</v>
      </c>
      <c r="G37" s="181">
        <f t="shared" si="30"/>
        <v>2087</v>
      </c>
      <c r="H37" s="174">
        <f t="shared" si="30"/>
        <v>943.49150290387661</v>
      </c>
      <c r="I37" s="174">
        <f t="shared" si="30"/>
        <v>1203.91245695306</v>
      </c>
      <c r="J37" s="174">
        <f t="shared" si="30"/>
        <v>1312.577089886634</v>
      </c>
      <c r="K37" s="174">
        <f t="shared" si="30"/>
        <v>2063.1879948819123</v>
      </c>
      <c r="L37" s="174">
        <f t="shared" si="30"/>
        <v>2400.705254841343</v>
      </c>
      <c r="M37" s="181">
        <f t="shared" si="30"/>
        <v>2606.159906309892</v>
      </c>
      <c r="O37" s="172"/>
      <c r="P37" s="229"/>
      <c r="Q37" s="229"/>
      <c r="R37" s="229"/>
      <c r="S37" s="229"/>
      <c r="T37" s="229"/>
      <c r="U37" s="176"/>
    </row>
    <row r="38" spans="1:22" x14ac:dyDescent="0.2">
      <c r="A38" s="172" t="s">
        <v>426</v>
      </c>
      <c r="C38" s="177">
        <f t="shared" ref="C38:M38" si="31">C37/C17</f>
        <v>-0.53282214325790167</v>
      </c>
      <c r="D38" s="177">
        <f t="shared" si="31"/>
        <v>0.12272431729518855</v>
      </c>
      <c r="E38" s="177">
        <f t="shared" si="31"/>
        <v>0.1099667247662811</v>
      </c>
      <c r="F38" s="177">
        <f t="shared" si="31"/>
        <v>-5.7010785824345149E-2</v>
      </c>
      <c r="G38" s="178">
        <f t="shared" si="31"/>
        <v>0.28585125325297905</v>
      </c>
      <c r="H38" s="177">
        <f t="shared" si="31"/>
        <v>0.10532555091333258</v>
      </c>
      <c r="I38" s="177">
        <f t="shared" si="31"/>
        <v>0.12494100733598699</v>
      </c>
      <c r="J38" s="177">
        <f t="shared" si="31"/>
        <v>0.12523475968453651</v>
      </c>
      <c r="K38" s="177">
        <f t="shared" si="31"/>
        <v>0.18353300004979142</v>
      </c>
      <c r="L38" s="177">
        <f t="shared" si="31"/>
        <v>0.18891243326630269</v>
      </c>
      <c r="M38" s="178">
        <f t="shared" si="31"/>
        <v>0.17887122384019119</v>
      </c>
      <c r="O38" s="171"/>
      <c r="P38" s="229"/>
      <c r="Q38" s="229"/>
      <c r="R38" s="229"/>
      <c r="S38" s="229"/>
      <c r="T38" s="229"/>
      <c r="U38" s="176"/>
    </row>
    <row r="39" spans="1:22" x14ac:dyDescent="0.2">
      <c r="A39" s="172"/>
      <c r="C39" s="174"/>
      <c r="D39" s="174"/>
      <c r="E39" s="174"/>
      <c r="F39" s="174"/>
      <c r="G39" s="181"/>
      <c r="M39" s="170"/>
      <c r="O39" s="171"/>
      <c r="P39" s="229"/>
      <c r="Q39" s="229"/>
      <c r="R39" s="229"/>
      <c r="S39" s="229"/>
      <c r="T39" s="229"/>
      <c r="U39" s="176"/>
    </row>
    <row r="40" spans="1:22" x14ac:dyDescent="0.2">
      <c r="A40" s="171" t="s">
        <v>403</v>
      </c>
      <c r="C40" s="173">
        <f>-'Income Statement'!B27</f>
        <v>325</v>
      </c>
      <c r="D40" s="173">
        <f>-'Income Statement'!C27</f>
        <v>399</v>
      </c>
      <c r="E40" s="173">
        <f>-'Income Statement'!D27</f>
        <v>380</v>
      </c>
      <c r="F40" s="173">
        <f>-'Income Statement'!E27</f>
        <v>468</v>
      </c>
      <c r="G40" s="173">
        <f>-'Income Statement'!F27</f>
        <v>481</v>
      </c>
      <c r="H40" s="294">
        <f>G40*AVERAGE(D40/C40, E40/D40, F40/E40, G40/F40)*0.95</f>
        <v>507.14938293650789</v>
      </c>
      <c r="I40" s="174">
        <f>H40*0.95</f>
        <v>481.7919137896825</v>
      </c>
      <c r="J40" s="174">
        <f t="shared" ref="J40:M40" si="32">I40*0.95</f>
        <v>457.70231810019834</v>
      </c>
      <c r="K40" s="174">
        <f t="shared" si="32"/>
        <v>434.81720219518843</v>
      </c>
      <c r="L40" s="174">
        <f t="shared" si="32"/>
        <v>413.07634208542896</v>
      </c>
      <c r="M40" s="181">
        <f t="shared" si="32"/>
        <v>392.42252498115749</v>
      </c>
      <c r="O40" s="171"/>
      <c r="P40" s="229"/>
      <c r="Q40" s="229"/>
      <c r="R40" s="229"/>
      <c r="S40" s="229"/>
      <c r="T40" s="229"/>
      <c r="U40" s="176"/>
    </row>
    <row r="41" spans="1:22" x14ac:dyDescent="0.2">
      <c r="A41" s="171" t="s">
        <v>404</v>
      </c>
      <c r="C41" s="175">
        <f t="shared" ref="C41:M41" si="33">TaxRate</f>
        <v>0.40268399999999999</v>
      </c>
      <c r="D41" s="175">
        <f t="shared" si="33"/>
        <v>0.40268399999999999</v>
      </c>
      <c r="E41" s="175">
        <f t="shared" si="33"/>
        <v>0.40268399999999999</v>
      </c>
      <c r="F41" s="175">
        <f t="shared" si="33"/>
        <v>0.40268399999999999</v>
      </c>
      <c r="G41" s="176">
        <f t="shared" si="33"/>
        <v>0.40268399999999999</v>
      </c>
      <c r="H41" s="175">
        <f t="shared" si="33"/>
        <v>0.40268399999999999</v>
      </c>
      <c r="I41" s="175">
        <f t="shared" si="33"/>
        <v>0.40268399999999999</v>
      </c>
      <c r="J41" s="175">
        <f t="shared" si="33"/>
        <v>0.40268399999999999</v>
      </c>
      <c r="K41" s="175">
        <f t="shared" si="33"/>
        <v>0.40268399999999999</v>
      </c>
      <c r="L41" s="175">
        <f t="shared" si="33"/>
        <v>0.40268399999999999</v>
      </c>
      <c r="M41" s="176">
        <f t="shared" si="33"/>
        <v>0.40268399999999999</v>
      </c>
      <c r="O41" s="171"/>
      <c r="P41" s="229"/>
      <c r="Q41" s="229"/>
      <c r="R41" s="229"/>
      <c r="S41" s="229"/>
      <c r="T41" s="229"/>
      <c r="U41" s="176"/>
    </row>
    <row r="42" spans="1:22" ht="13.5" thickBot="1" x14ac:dyDescent="0.25">
      <c r="A42" s="197" t="s">
        <v>46</v>
      </c>
      <c r="B42" s="183"/>
      <c r="C42" s="184">
        <f t="shared" ref="C42:M42" si="34">(C37-C40)*C41</f>
        <v>-1278.1190159999999</v>
      </c>
      <c r="D42" s="184">
        <f t="shared" si="34"/>
        <v>143.355504</v>
      </c>
      <c r="E42" s="184">
        <f t="shared" si="34"/>
        <v>126.44277599999999</v>
      </c>
      <c r="F42" s="184">
        <f t="shared" si="34"/>
        <v>-292.75126799999998</v>
      </c>
      <c r="G42" s="189">
        <f t="shared" si="34"/>
        <v>646.71050400000001</v>
      </c>
      <c r="H42" s="184">
        <f t="shared" si="34"/>
        <v>175.70799023693991</v>
      </c>
      <c r="I42" s="184">
        <f t="shared" si="34"/>
        <v>290.78638880320153</v>
      </c>
      <c r="J42" s="184">
        <f t="shared" si="34"/>
        <v>344.24439260204906</v>
      </c>
      <c r="K42" s="184">
        <f t="shared" si="34"/>
        <v>655.71886428226071</v>
      </c>
      <c r="L42" s="184">
        <f t="shared" si="34"/>
        <v>800.38636110420248</v>
      </c>
      <c r="M42" s="189">
        <f t="shared" si="34"/>
        <v>891.43662366298008</v>
      </c>
      <c r="O42" s="171"/>
      <c r="P42" s="201"/>
      <c r="Q42" s="201"/>
      <c r="R42" s="201"/>
      <c r="S42" s="201"/>
      <c r="T42" s="201"/>
      <c r="U42" s="170"/>
    </row>
    <row r="43" spans="1:22" ht="13.5" thickTop="1" x14ac:dyDescent="0.2">
      <c r="A43" s="244" t="s">
        <v>44</v>
      </c>
      <c r="B43" s="245"/>
      <c r="C43" s="246">
        <f t="shared" ref="C43:M43" si="35">C37-SUM(C40,C42)</f>
        <v>-1895.8809840000001</v>
      </c>
      <c r="D43" s="246">
        <f t="shared" si="35"/>
        <v>212.644496</v>
      </c>
      <c r="E43" s="246">
        <f t="shared" si="35"/>
        <v>187.55722400000002</v>
      </c>
      <c r="F43" s="246">
        <f t="shared" si="35"/>
        <v>-434.24873200000002</v>
      </c>
      <c r="G43" s="247">
        <f t="shared" si="35"/>
        <v>959.28949599999987</v>
      </c>
      <c r="H43" s="246">
        <f t="shared" si="35"/>
        <v>260.63412973042887</v>
      </c>
      <c r="I43" s="246">
        <f t="shared" si="35"/>
        <v>431.33415436017594</v>
      </c>
      <c r="J43" s="246">
        <f t="shared" si="35"/>
        <v>510.63037918438658</v>
      </c>
      <c r="K43" s="246">
        <f t="shared" si="35"/>
        <v>972.65192840446321</v>
      </c>
      <c r="L43" s="246">
        <f t="shared" si="35"/>
        <v>1187.2425516517117</v>
      </c>
      <c r="M43" s="247">
        <f t="shared" si="35"/>
        <v>1322.3007576657544</v>
      </c>
      <c r="O43" s="171"/>
      <c r="P43" s="229"/>
      <c r="Q43" s="229"/>
      <c r="R43" s="229"/>
      <c r="S43" s="229"/>
      <c r="T43" s="229"/>
      <c r="U43" s="176"/>
    </row>
    <row r="44" spans="1:22" x14ac:dyDescent="0.2">
      <c r="A44" s="171"/>
      <c r="G44" s="170"/>
      <c r="H44" s="191"/>
      <c r="J44" s="191"/>
      <c r="K44" s="191"/>
      <c r="L44" s="278" t="s">
        <v>100</v>
      </c>
      <c r="M44" s="181">
        <f>M43/SharesOutstanding</f>
        <v>4.2913796276047016</v>
      </c>
      <c r="O44" s="171"/>
      <c r="P44" s="201"/>
      <c r="Q44" s="201"/>
      <c r="R44" s="201"/>
      <c r="S44" s="201"/>
      <c r="T44" s="201"/>
      <c r="U44" s="170"/>
    </row>
    <row r="45" spans="1:22" x14ac:dyDescent="0.2">
      <c r="A45" s="172" t="s">
        <v>405</v>
      </c>
      <c r="G45" s="170"/>
      <c r="L45" s="279" t="s">
        <v>452</v>
      </c>
      <c r="M45" s="277">
        <f>CurrentPrice/M44</f>
        <v>25.080512408564353</v>
      </c>
      <c r="O45" s="171"/>
      <c r="P45" s="201"/>
      <c r="Q45" s="201"/>
      <c r="R45" s="201"/>
      <c r="S45" s="201"/>
      <c r="T45" s="201"/>
      <c r="U45" s="170"/>
    </row>
    <row r="46" spans="1:22" x14ac:dyDescent="0.2">
      <c r="A46" s="171" t="s">
        <v>406</v>
      </c>
      <c r="C46" s="192">
        <f>'Balance Sheet'!B11</f>
        <v>677</v>
      </c>
      <c r="D46" s="192">
        <f>'Balance Sheet'!C11</f>
        <v>771</v>
      </c>
      <c r="E46" s="192">
        <f>'Balance Sheet'!D11</f>
        <v>940</v>
      </c>
      <c r="F46" s="192">
        <f>'Balance Sheet'!E11</f>
        <v>710</v>
      </c>
      <c r="G46" s="167">
        <f>'Balance Sheet'!F11</f>
        <v>1062</v>
      </c>
      <c r="H46" s="174"/>
      <c r="I46" s="174"/>
      <c r="J46" s="174"/>
      <c r="K46" s="174"/>
      <c r="M46" s="170"/>
      <c r="O46" s="171"/>
      <c r="P46" s="201"/>
      <c r="Q46" s="201"/>
      <c r="R46" s="201"/>
      <c r="S46" s="201"/>
      <c r="T46" s="201"/>
      <c r="U46" s="170"/>
    </row>
    <row r="47" spans="1:22" x14ac:dyDescent="0.2">
      <c r="A47" s="171" t="s">
        <v>407</v>
      </c>
      <c r="C47" s="192">
        <f>'Balance Sheet'!B15</f>
        <v>232</v>
      </c>
      <c r="D47" s="192">
        <f>'Balance Sheet'!C15</f>
        <v>245</v>
      </c>
      <c r="E47" s="192">
        <f>'Balance Sheet'!D15</f>
        <v>261</v>
      </c>
      <c r="F47" s="192">
        <f>'Balance Sheet'!E15</f>
        <v>378</v>
      </c>
      <c r="G47" s="167">
        <f>'Balance Sheet'!F15</f>
        <v>223</v>
      </c>
      <c r="H47" s="174"/>
      <c r="I47" s="174"/>
      <c r="J47" s="174"/>
      <c r="K47" s="174"/>
      <c r="L47" s="174"/>
      <c r="M47" s="181"/>
      <c r="O47" s="171"/>
      <c r="P47" s="201"/>
      <c r="Q47" s="201"/>
      <c r="R47" s="201"/>
      <c r="S47" s="201"/>
      <c r="T47" s="201"/>
      <c r="U47" s="170"/>
    </row>
    <row r="48" spans="1:22" x14ac:dyDescent="0.2">
      <c r="A48" s="171" t="s">
        <v>408</v>
      </c>
      <c r="C48" s="192">
        <f>'Cash Flow'!B22</f>
        <v>945</v>
      </c>
      <c r="D48" s="192">
        <f>'Cash Flow'!C22</f>
        <v>1939</v>
      </c>
      <c r="E48" s="192">
        <f>'Cash Flow'!D22</f>
        <v>1642</v>
      </c>
      <c r="F48" s="192">
        <f>'Cash Flow'!E22</f>
        <v>1333</v>
      </c>
      <c r="G48" s="167">
        <f>'Cash Flow'!F22</f>
        <v>2890</v>
      </c>
      <c r="H48" s="174"/>
      <c r="I48" s="174"/>
      <c r="J48" s="174"/>
      <c r="K48" s="174"/>
      <c r="L48" s="174"/>
      <c r="M48" s="181"/>
      <c r="O48" s="171"/>
      <c r="P48" s="201"/>
      <c r="Q48" s="201"/>
      <c r="R48" s="201"/>
      <c r="S48" s="201"/>
      <c r="T48" s="201"/>
      <c r="U48" s="170"/>
    </row>
    <row r="49" spans="1:22" x14ac:dyDescent="0.2">
      <c r="A49" s="171" t="s">
        <v>409</v>
      </c>
      <c r="C49" s="192">
        <f>'Balance Sheet'!B30</f>
        <v>435</v>
      </c>
      <c r="D49" s="192">
        <f>'Balance Sheet'!C30</f>
        <v>495</v>
      </c>
      <c r="E49" s="192">
        <f>'Balance Sheet'!D30</f>
        <v>411</v>
      </c>
      <c r="F49" s="192">
        <f>'Balance Sheet'!E30</f>
        <v>200</v>
      </c>
      <c r="G49" s="167">
        <f>'Balance Sheet'!F30</f>
        <v>220</v>
      </c>
      <c r="H49" s="174"/>
      <c r="I49" s="174"/>
      <c r="J49" s="174"/>
      <c r="K49" s="174"/>
      <c r="L49" s="174"/>
      <c r="M49" s="181"/>
      <c r="O49" s="171"/>
      <c r="P49" s="201"/>
      <c r="Q49" s="201"/>
      <c r="R49" s="201"/>
      <c r="S49" s="201"/>
      <c r="T49" s="201"/>
      <c r="U49" s="170"/>
    </row>
    <row r="50" spans="1:22" x14ac:dyDescent="0.2">
      <c r="A50" s="171" t="s">
        <v>410</v>
      </c>
      <c r="C50" s="192">
        <v>0</v>
      </c>
      <c r="D50" s="192">
        <v>0</v>
      </c>
      <c r="E50" s="192">
        <v>0</v>
      </c>
      <c r="F50" s="192">
        <v>0</v>
      </c>
      <c r="G50" s="167">
        <v>0</v>
      </c>
      <c r="H50" s="174"/>
      <c r="I50" s="174"/>
      <c r="J50" s="174"/>
      <c r="K50" s="174"/>
      <c r="L50" s="174"/>
      <c r="M50" s="181"/>
      <c r="O50" s="171"/>
      <c r="P50" s="201"/>
      <c r="Q50" s="201"/>
      <c r="R50" s="201"/>
      <c r="S50" s="201"/>
      <c r="T50" s="201"/>
      <c r="U50" s="170"/>
    </row>
    <row r="51" spans="1:22" x14ac:dyDescent="0.2">
      <c r="A51" s="172" t="s">
        <v>411</v>
      </c>
      <c r="C51" s="192">
        <f>C46+C47+C48-C49-C50</f>
        <v>1419</v>
      </c>
      <c r="D51" s="192">
        <f>D46+D47+D48-D49-D50</f>
        <v>2460</v>
      </c>
      <c r="E51" s="192">
        <f>E46+E47+E48-E49-E50</f>
        <v>2432</v>
      </c>
      <c r="F51" s="192">
        <f>F46+F47+F48-F49-F50</f>
        <v>2221</v>
      </c>
      <c r="G51" s="167">
        <f>G46+G47+G48-G49-G50</f>
        <v>3955</v>
      </c>
      <c r="H51" s="192">
        <f t="shared" ref="H51:M51" si="36">H52*H17</f>
        <v>4615.943034729391</v>
      </c>
      <c r="I51" s="192">
        <f t="shared" si="36"/>
        <v>5061.6653130374862</v>
      </c>
      <c r="J51" s="192">
        <f t="shared" si="36"/>
        <v>5632.7929227910872</v>
      </c>
      <c r="K51" s="192">
        <f t="shared" si="36"/>
        <v>6025.5354520023848</v>
      </c>
      <c r="L51" s="192">
        <f t="shared" si="36"/>
        <v>6899.3405075077026</v>
      </c>
      <c r="M51" s="167">
        <f t="shared" si="36"/>
        <v>7995.8012435574346</v>
      </c>
      <c r="O51" s="171"/>
      <c r="P51" s="201"/>
      <c r="Q51" s="201"/>
      <c r="R51" s="201"/>
      <c r="S51" s="201"/>
      <c r="T51" s="201"/>
      <c r="U51" s="170"/>
    </row>
    <row r="52" spans="1:22" x14ac:dyDescent="0.2">
      <c r="A52" s="171" t="s">
        <v>428</v>
      </c>
      <c r="C52" s="182">
        <f>C51/C17</f>
        <v>0.26538245745277728</v>
      </c>
      <c r="D52" s="182">
        <f>D51/D17</f>
        <v>0.39986996098829647</v>
      </c>
      <c r="E52" s="182">
        <f>E51/E17</f>
        <v>0.38535889716368243</v>
      </c>
      <c r="F52" s="182">
        <f>F51/F17</f>
        <v>0.48888399735857363</v>
      </c>
      <c r="G52" s="178">
        <f>G51/G17</f>
        <v>0.54170661553211885</v>
      </c>
      <c r="H52" s="212">
        <f t="shared" ref="H52:M52" si="37">P52</f>
        <v>0.51529530644534627</v>
      </c>
      <c r="I52" s="212">
        <f t="shared" si="37"/>
        <v>0.52529530644534628</v>
      </c>
      <c r="J52" s="212">
        <f t="shared" si="37"/>
        <v>0.53743240947427051</v>
      </c>
      <c r="K52" s="212">
        <f t="shared" si="37"/>
        <v>0.5360076741216544</v>
      </c>
      <c r="L52" s="212">
        <f t="shared" si="37"/>
        <v>0.54291179668042366</v>
      </c>
      <c r="M52" s="224">
        <f t="shared" si="37"/>
        <v>0.54878396009211616</v>
      </c>
      <c r="O52" s="186" t="s">
        <v>442</v>
      </c>
      <c r="P52" s="230">
        <f>AVERAGE(F52:G52)</f>
        <v>0.51529530644534627</v>
      </c>
      <c r="Q52" s="230">
        <f>AVERAGE(F52:H52)+$V$52</f>
        <v>0.52529530644534628</v>
      </c>
      <c r="R52" s="230">
        <f t="shared" ref="R52:U52" si="38">AVERAGE(G52:I52)+$V$52</f>
        <v>0.53743240947427051</v>
      </c>
      <c r="S52" s="230">
        <f t="shared" si="38"/>
        <v>0.5360076741216544</v>
      </c>
      <c r="T52" s="230">
        <f t="shared" si="38"/>
        <v>0.54291179668042366</v>
      </c>
      <c r="U52" s="231">
        <f t="shared" si="38"/>
        <v>0.54878396009211616</v>
      </c>
      <c r="V52" s="179">
        <v>0.01</v>
      </c>
    </row>
    <row r="53" spans="1:22" x14ac:dyDescent="0.2">
      <c r="A53" s="172" t="s">
        <v>412</v>
      </c>
      <c r="C53" s="192"/>
      <c r="D53" s="192">
        <f>D51-C51</f>
        <v>1041</v>
      </c>
      <c r="E53" s="192">
        <f>E51-D51</f>
        <v>-28</v>
      </c>
      <c r="F53" s="192">
        <f t="shared" ref="F53:M53" si="39">F51-E51</f>
        <v>-211</v>
      </c>
      <c r="G53" s="167">
        <f t="shared" si="39"/>
        <v>1734</v>
      </c>
      <c r="H53" s="192">
        <f>H51-G51</f>
        <v>660.943034729391</v>
      </c>
      <c r="I53" s="192">
        <f t="shared" si="39"/>
        <v>445.72227830809516</v>
      </c>
      <c r="J53" s="192">
        <f t="shared" si="39"/>
        <v>571.12760975360106</v>
      </c>
      <c r="K53" s="192">
        <f t="shared" si="39"/>
        <v>392.74252921129755</v>
      </c>
      <c r="L53" s="192">
        <f t="shared" si="39"/>
        <v>873.8050555053178</v>
      </c>
      <c r="M53" s="167">
        <f t="shared" si="39"/>
        <v>1096.4607360497321</v>
      </c>
    </row>
    <row r="54" spans="1:22" x14ac:dyDescent="0.2">
      <c r="A54" s="171"/>
      <c r="C54" s="191"/>
      <c r="D54" s="191"/>
      <c r="E54" s="191"/>
      <c r="F54" s="191"/>
      <c r="G54" s="188"/>
      <c r="H54" s="191"/>
      <c r="I54" s="191"/>
      <c r="J54" s="191"/>
      <c r="K54" s="191"/>
      <c r="L54" s="191"/>
      <c r="M54" s="188"/>
    </row>
    <row r="55" spans="1:22" x14ac:dyDescent="0.2">
      <c r="A55" s="172" t="s">
        <v>446</v>
      </c>
      <c r="G55" s="170"/>
      <c r="M55" s="170"/>
    </row>
    <row r="56" spans="1:22" x14ac:dyDescent="0.2">
      <c r="A56" s="171" t="s">
        <v>449</v>
      </c>
      <c r="C56" s="174">
        <f t="shared" ref="C56:M56" si="40">(C43+C42+C40)*(1-C41)</f>
        <v>-1701.7532839999999</v>
      </c>
      <c r="D56" s="174">
        <f t="shared" si="40"/>
        <v>450.97357999999997</v>
      </c>
      <c r="E56" s="174">
        <f t="shared" si="40"/>
        <v>414.53730399999995</v>
      </c>
      <c r="F56" s="174">
        <f t="shared" si="40"/>
        <v>-154.70484399999998</v>
      </c>
      <c r="G56" s="181">
        <f t="shared" si="40"/>
        <v>1246.5984919999999</v>
      </c>
      <c r="H56" s="174">
        <f t="shared" si="40"/>
        <v>563.56257054853188</v>
      </c>
      <c r="I56" s="174">
        <f t="shared" si="40"/>
        <v>719.11617313737395</v>
      </c>
      <c r="J56" s="174">
        <f t="shared" si="40"/>
        <v>784.02329702272459</v>
      </c>
      <c r="K56" s="174">
        <f t="shared" si="40"/>
        <v>1232.3752003508844</v>
      </c>
      <c r="L56" s="174">
        <f t="shared" si="40"/>
        <v>1433.9796600008115</v>
      </c>
      <c r="M56" s="181">
        <f t="shared" si="40"/>
        <v>1556.7010105973993</v>
      </c>
    </row>
    <row r="57" spans="1:22" x14ac:dyDescent="0.2">
      <c r="A57" s="171" t="s">
        <v>448</v>
      </c>
      <c r="C57" s="174">
        <f t="shared" ref="C57:M57" si="41">C35</f>
        <v>2864</v>
      </c>
      <c r="D57" s="174">
        <f t="shared" si="41"/>
        <v>1867</v>
      </c>
      <c r="E57" s="174">
        <f t="shared" si="41"/>
        <v>2122</v>
      </c>
      <c r="F57" s="174">
        <f t="shared" si="41"/>
        <v>2074</v>
      </c>
      <c r="G57" s="181">
        <f t="shared" si="41"/>
        <v>1528</v>
      </c>
      <c r="H57" s="174">
        <f t="shared" si="41"/>
        <v>3208.9870266134158</v>
      </c>
      <c r="I57" s="174">
        <f t="shared" si="41"/>
        <v>3355.5050183811686</v>
      </c>
      <c r="J57" s="174">
        <f t="shared" si="41"/>
        <v>3544.9810397417023</v>
      </c>
      <c r="K57" s="174">
        <f t="shared" si="41"/>
        <v>3411.7440586192179</v>
      </c>
      <c r="L57" s="174">
        <f t="shared" si="41"/>
        <v>3831.4104728563543</v>
      </c>
      <c r="M57" s="181">
        <f t="shared" si="41"/>
        <v>4661.492294703</v>
      </c>
    </row>
    <row r="58" spans="1:22" x14ac:dyDescent="0.2">
      <c r="A58" s="171" t="s">
        <v>413</v>
      </c>
      <c r="C58" s="174">
        <f>C53</f>
        <v>0</v>
      </c>
      <c r="D58" s="174">
        <f>-D53</f>
        <v>-1041</v>
      </c>
      <c r="E58" s="174">
        <f>-E53</f>
        <v>28</v>
      </c>
      <c r="F58" s="174">
        <f>-F53</f>
        <v>211</v>
      </c>
      <c r="G58" s="181">
        <f>-G53</f>
        <v>-1734</v>
      </c>
      <c r="H58" s="174">
        <f t="shared" ref="H58:M58" si="42">H53</f>
        <v>660.943034729391</v>
      </c>
      <c r="I58" s="174">
        <f t="shared" si="42"/>
        <v>445.72227830809516</v>
      </c>
      <c r="J58" s="174">
        <f t="shared" si="42"/>
        <v>571.12760975360106</v>
      </c>
      <c r="K58" s="174">
        <f t="shared" si="42"/>
        <v>392.74252921129755</v>
      </c>
      <c r="L58" s="174">
        <f t="shared" si="42"/>
        <v>873.8050555053178</v>
      </c>
      <c r="M58" s="181">
        <f t="shared" si="42"/>
        <v>1096.4607360497321</v>
      </c>
    </row>
    <row r="59" spans="1:22" x14ac:dyDescent="0.2">
      <c r="A59" s="171" t="s">
        <v>414</v>
      </c>
      <c r="C59" s="192">
        <f>'Cash Flow'!B24</f>
        <v>-1937</v>
      </c>
      <c r="D59" s="192">
        <f>'Cash Flow'!C24</f>
        <v>-2097</v>
      </c>
      <c r="E59" s="192">
        <f>'Cash Flow'!D24</f>
        <v>-2829</v>
      </c>
      <c r="F59" s="192">
        <f>'Cash Flow'!E24</f>
        <v>-2197</v>
      </c>
      <c r="G59" s="167">
        <f>'Cash Flow'!F24</f>
        <v>-1747</v>
      </c>
      <c r="H59" s="192">
        <f>AVERAGE(C59:G59)</f>
        <v>-2161.4</v>
      </c>
      <c r="I59" s="192">
        <f t="shared" ref="I59:M59" si="43">AVERAGE(D59:H59)</f>
        <v>-2206.2799999999997</v>
      </c>
      <c r="J59" s="192">
        <f t="shared" si="43"/>
        <v>-2228.136</v>
      </c>
      <c r="K59" s="192">
        <f t="shared" si="43"/>
        <v>-2107.9632000000001</v>
      </c>
      <c r="L59" s="192">
        <f t="shared" si="43"/>
        <v>-2090.1558400000004</v>
      </c>
      <c r="M59" s="167">
        <f t="shared" si="43"/>
        <v>-2158.7870080000002</v>
      </c>
    </row>
    <row r="60" spans="1:22" x14ac:dyDescent="0.2">
      <c r="A60" s="168" t="s">
        <v>447</v>
      </c>
      <c r="B60" s="187"/>
      <c r="C60" s="219"/>
      <c r="D60" s="219">
        <f t="shared" ref="D60:M60" si="44">SUM(D56:D59)</f>
        <v>-820.02642000000014</v>
      </c>
      <c r="E60" s="219">
        <f t="shared" si="44"/>
        <v>-264.46269600000005</v>
      </c>
      <c r="F60" s="219">
        <f t="shared" si="44"/>
        <v>-66.704843999999866</v>
      </c>
      <c r="G60" s="220">
        <f t="shared" si="44"/>
        <v>-706.40150799999992</v>
      </c>
      <c r="H60" s="219">
        <f t="shared" si="44"/>
        <v>2272.0926318913384</v>
      </c>
      <c r="I60" s="219">
        <f t="shared" si="44"/>
        <v>2314.0634698266376</v>
      </c>
      <c r="J60" s="219">
        <f t="shared" si="44"/>
        <v>2671.9959465180277</v>
      </c>
      <c r="K60" s="219">
        <f t="shared" si="44"/>
        <v>2928.8985881813996</v>
      </c>
      <c r="L60" s="219">
        <f t="shared" si="44"/>
        <v>4049.039348362483</v>
      </c>
      <c r="M60" s="220">
        <f t="shared" si="44"/>
        <v>5155.8670333501314</v>
      </c>
    </row>
    <row r="62" spans="1:22" x14ac:dyDescent="0.2">
      <c r="H62" s="191"/>
      <c r="I62" s="191"/>
      <c r="J62" s="191"/>
      <c r="K62" s="191"/>
      <c r="L62" s="191"/>
      <c r="M62" s="191"/>
    </row>
    <row r="63" spans="1:22" x14ac:dyDescent="0.2">
      <c r="B63" s="302" t="s">
        <v>415</v>
      </c>
      <c r="C63" s="303"/>
      <c r="G63" s="193" t="s">
        <v>416</v>
      </c>
      <c r="H63" s="194">
        <v>1</v>
      </c>
      <c r="I63" s="194">
        <v>2</v>
      </c>
      <c r="J63" s="194">
        <v>3</v>
      </c>
      <c r="K63" s="194">
        <v>4</v>
      </c>
      <c r="L63" s="194">
        <v>5</v>
      </c>
      <c r="M63" s="195">
        <v>6</v>
      </c>
      <c r="O63" s="169" t="s">
        <v>36</v>
      </c>
    </row>
    <row r="64" spans="1:22" x14ac:dyDescent="0.2">
      <c r="B64" s="172" t="s">
        <v>417</v>
      </c>
      <c r="C64" s="181">
        <f>M66/(1+M64)^M63</f>
        <v>32288.879534887063</v>
      </c>
      <c r="G64" s="171" t="s">
        <v>418</v>
      </c>
      <c r="H64" s="185">
        <f t="shared" ref="H64:M64" si="45">WACC</f>
        <v>8.4995069288908556E-2</v>
      </c>
      <c r="I64" s="185">
        <f t="shared" si="45"/>
        <v>8.4995069288908556E-2</v>
      </c>
      <c r="J64" s="185">
        <f t="shared" si="45"/>
        <v>8.4995069288908556E-2</v>
      </c>
      <c r="K64" s="185">
        <f t="shared" si="45"/>
        <v>8.4995069288908556E-2</v>
      </c>
      <c r="L64" s="185">
        <f t="shared" si="45"/>
        <v>8.4995069288908556E-2</v>
      </c>
      <c r="M64" s="188">
        <f t="shared" si="45"/>
        <v>8.4995069288908556E-2</v>
      </c>
      <c r="O64" s="261">
        <v>2.5000000000000001E-2</v>
      </c>
    </row>
    <row r="65" spans="2:15" x14ac:dyDescent="0.2">
      <c r="B65" s="172" t="s">
        <v>419</v>
      </c>
      <c r="C65" s="165">
        <f>SUM(H65:M65)</f>
        <v>14118.43335946431</v>
      </c>
      <c r="G65" s="233" t="s">
        <v>420</v>
      </c>
      <c r="H65" s="173">
        <f t="shared" ref="H65:M65" si="46">H60/(1+H64)^H63</f>
        <v>2094.1041081232174</v>
      </c>
      <c r="I65" s="173">
        <f t="shared" si="46"/>
        <v>1965.7113144796349</v>
      </c>
      <c r="J65" s="173">
        <f t="shared" si="46"/>
        <v>2091.9557856395991</v>
      </c>
      <c r="K65" s="173">
        <f t="shared" si="46"/>
        <v>2113.4563200511352</v>
      </c>
      <c r="L65" s="173">
        <f t="shared" si="46"/>
        <v>2692.8562743276893</v>
      </c>
      <c r="M65" s="167">
        <f t="shared" si="46"/>
        <v>3160.3495568430344</v>
      </c>
    </row>
    <row r="66" spans="2:15" x14ac:dyDescent="0.2">
      <c r="B66" s="172" t="s">
        <v>31</v>
      </c>
      <c r="C66" s="181">
        <f>C65+C64</f>
        <v>46407.312894351373</v>
      </c>
      <c r="G66" s="186"/>
      <c r="H66" s="187"/>
      <c r="I66" s="187"/>
      <c r="J66" s="187"/>
      <c r="K66" s="187"/>
      <c r="L66" s="187"/>
      <c r="M66" s="196">
        <f>(M65)/(M64-O64)</f>
        <v>52676.821517185854</v>
      </c>
      <c r="O66" s="169" t="s">
        <v>421</v>
      </c>
    </row>
    <row r="67" spans="2:15" x14ac:dyDescent="0.2">
      <c r="B67" s="172" t="s">
        <v>39</v>
      </c>
      <c r="C67" s="166">
        <f>-Debt</f>
        <v>-9141</v>
      </c>
    </row>
    <row r="68" spans="2:15" x14ac:dyDescent="0.2">
      <c r="B68" s="172" t="s">
        <v>422</v>
      </c>
      <c r="C68" s="166">
        <f>'Balance Sheet'!F9</f>
        <v>2713</v>
      </c>
    </row>
    <row r="69" spans="2:15" x14ac:dyDescent="0.2">
      <c r="B69" s="172" t="s">
        <v>25</v>
      </c>
      <c r="C69" s="181">
        <f>C66+C67+C68</f>
        <v>39979.312894351373</v>
      </c>
    </row>
    <row r="70" spans="2:15" x14ac:dyDescent="0.2">
      <c r="B70" s="172" t="s">
        <v>3</v>
      </c>
      <c r="C70" s="170">
        <f>SharesOutstanding</f>
        <v>308.12952300000001</v>
      </c>
    </row>
    <row r="71" spans="2:15" ht="13.5" thickBot="1" x14ac:dyDescent="0.25">
      <c r="B71" s="241" t="s">
        <v>423</v>
      </c>
      <c r="C71" s="198">
        <f>CurrentPrice</f>
        <v>107.63</v>
      </c>
    </row>
    <row r="72" spans="2:15" ht="13.5" thickTop="1" x14ac:dyDescent="0.2">
      <c r="B72" s="172" t="s">
        <v>424</v>
      </c>
      <c r="C72" s="181">
        <f>C69/C70</f>
        <v>129.74840094875094</v>
      </c>
    </row>
    <row r="73" spans="2:15" x14ac:dyDescent="0.2">
      <c r="B73" s="242" t="s">
        <v>43</v>
      </c>
      <c r="C73" s="243">
        <f>(C72-C71)/C71</f>
        <v>0.20550405043901279</v>
      </c>
      <c r="H73" s="269"/>
    </row>
  </sheetData>
  <mergeCells count="8">
    <mergeCell ref="B63:C63"/>
    <mergeCell ref="A5:B5"/>
    <mergeCell ref="A6:B6"/>
    <mergeCell ref="A4:V4"/>
    <mergeCell ref="A1:V3"/>
    <mergeCell ref="C5:G5"/>
    <mergeCell ref="H5:M5"/>
    <mergeCell ref="O5:U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3982-30DC-44B3-AD75-1A54DA189517}">
  <dimension ref="A1:V73"/>
  <sheetViews>
    <sheetView showGridLines="0" zoomScale="90" zoomScaleNormal="90" workbookViewId="0">
      <pane ySplit="7" topLeftCell="A8" activePane="bottomLeft" state="frozen"/>
      <selection pane="bottomLeft" activeCell="H13" sqref="H13:M13"/>
    </sheetView>
  </sheetViews>
  <sheetFormatPr defaultColWidth="10.125" defaultRowHeight="12.75" x14ac:dyDescent="0.2"/>
  <cols>
    <col min="1" max="1" width="10.125" style="169" customWidth="1"/>
    <col min="2" max="2" width="16.375" style="169" bestFit="1" customWidth="1"/>
    <col min="3" max="3" width="11.625" style="169" bestFit="1" customWidth="1"/>
    <col min="4" max="4" width="16.375" style="169" bestFit="1" customWidth="1"/>
    <col min="5" max="5" width="14.5" style="169" bestFit="1" customWidth="1"/>
    <col min="6" max="14" width="11.625" style="169" bestFit="1" customWidth="1"/>
    <col min="15" max="15" width="33.375" style="169" bestFit="1" customWidth="1"/>
    <col min="16" max="21" width="6.625" style="169" bestFit="1" customWidth="1"/>
    <col min="22" max="22" width="11.875" style="169" bestFit="1" customWidth="1"/>
    <col min="23" max="23" width="10.375" style="169" bestFit="1" customWidth="1"/>
    <col min="24" max="16384" width="10.125" style="169"/>
  </cols>
  <sheetData>
    <row r="1" spans="1:22" ht="15.75" customHeight="1" x14ac:dyDescent="0.2">
      <c r="A1" s="299" t="s">
        <v>85</v>
      </c>
      <c r="B1" s="299"/>
      <c r="C1" s="299"/>
      <c r="D1" s="299"/>
      <c r="E1" s="299"/>
      <c r="F1" s="299"/>
      <c r="G1" s="299"/>
      <c r="H1" s="299"/>
      <c r="I1" s="299"/>
      <c r="J1" s="299"/>
      <c r="K1" s="299"/>
      <c r="L1" s="299"/>
      <c r="M1" s="299"/>
      <c r="N1" s="299"/>
      <c r="O1" s="299"/>
      <c r="P1" s="299"/>
      <c r="Q1" s="299"/>
      <c r="R1" s="299"/>
      <c r="S1" s="299"/>
      <c r="T1" s="299"/>
      <c r="U1" s="299"/>
      <c r="V1" s="299"/>
    </row>
    <row r="2" spans="1:22" ht="15.75" customHeight="1" x14ac:dyDescent="0.2">
      <c r="A2" s="299"/>
      <c r="B2" s="299"/>
      <c r="C2" s="299"/>
      <c r="D2" s="299"/>
      <c r="E2" s="299"/>
      <c r="F2" s="299"/>
      <c r="G2" s="299"/>
      <c r="H2" s="299"/>
      <c r="I2" s="299"/>
      <c r="J2" s="299"/>
      <c r="K2" s="299"/>
      <c r="L2" s="299"/>
      <c r="M2" s="299"/>
      <c r="N2" s="299"/>
      <c r="O2" s="299"/>
      <c r="P2" s="299"/>
      <c r="Q2" s="299"/>
      <c r="R2" s="299"/>
      <c r="S2" s="299"/>
      <c r="T2" s="299"/>
      <c r="U2" s="299"/>
      <c r="V2" s="299"/>
    </row>
    <row r="3" spans="1:22" ht="16.5" customHeight="1" thickBot="1" x14ac:dyDescent="0.25">
      <c r="A3" s="300"/>
      <c r="B3" s="300"/>
      <c r="C3" s="300"/>
      <c r="D3" s="300"/>
      <c r="E3" s="300"/>
      <c r="F3" s="300"/>
      <c r="G3" s="300"/>
      <c r="H3" s="300"/>
      <c r="I3" s="300"/>
      <c r="J3" s="300"/>
      <c r="K3" s="300"/>
      <c r="L3" s="300"/>
      <c r="M3" s="300"/>
      <c r="N3" s="300"/>
      <c r="O3" s="300"/>
      <c r="P3" s="300"/>
      <c r="Q3" s="300"/>
      <c r="R3" s="300"/>
      <c r="S3" s="300"/>
      <c r="T3" s="300"/>
      <c r="U3" s="300"/>
      <c r="V3" s="300"/>
    </row>
    <row r="4" spans="1:22" ht="30.75" customHeight="1" x14ac:dyDescent="0.2">
      <c r="A4" s="301" t="s">
        <v>443</v>
      </c>
      <c r="B4" s="301"/>
      <c r="C4" s="301"/>
      <c r="D4" s="301"/>
      <c r="E4" s="301"/>
      <c r="F4" s="301"/>
      <c r="G4" s="301"/>
      <c r="H4" s="301"/>
      <c r="I4" s="301"/>
      <c r="J4" s="301"/>
      <c r="K4" s="301"/>
      <c r="L4" s="301"/>
      <c r="M4" s="301"/>
      <c r="N4" s="301"/>
      <c r="O4" s="301"/>
      <c r="P4" s="301"/>
      <c r="Q4" s="301"/>
      <c r="R4" s="301"/>
      <c r="S4" s="301"/>
      <c r="T4" s="301"/>
      <c r="U4" s="301"/>
      <c r="V4" s="301"/>
    </row>
    <row r="5" spans="1:22" ht="18" customHeight="1" x14ac:dyDescent="0.2">
      <c r="A5" s="304" t="s">
        <v>439</v>
      </c>
      <c r="B5" s="304"/>
      <c r="C5" s="304" t="s">
        <v>382</v>
      </c>
      <c r="D5" s="304"/>
      <c r="E5" s="304"/>
      <c r="F5" s="304"/>
      <c r="G5" s="303"/>
      <c r="H5" s="306" t="s">
        <v>35</v>
      </c>
      <c r="I5" s="307"/>
      <c r="J5" s="307"/>
      <c r="K5" s="307"/>
      <c r="L5" s="307"/>
      <c r="M5" s="308"/>
      <c r="O5" s="309" t="s">
        <v>383</v>
      </c>
      <c r="P5" s="310"/>
      <c r="Q5" s="310"/>
      <c r="R5" s="310"/>
      <c r="S5" s="310"/>
      <c r="T5" s="310"/>
      <c r="U5" s="311"/>
    </row>
    <row r="6" spans="1:22" ht="20.25" customHeight="1" x14ac:dyDescent="0.2">
      <c r="A6" s="305" t="s">
        <v>438</v>
      </c>
      <c r="B6" s="305"/>
      <c r="C6" s="225" t="s">
        <v>384</v>
      </c>
      <c r="D6" s="225" t="s">
        <v>385</v>
      </c>
      <c r="E6" s="225" t="s">
        <v>386</v>
      </c>
      <c r="F6" s="225" t="s">
        <v>387</v>
      </c>
      <c r="G6" s="226" t="s">
        <v>388</v>
      </c>
      <c r="H6" s="234" t="s">
        <v>389</v>
      </c>
      <c r="I6" s="234" t="s">
        <v>390</v>
      </c>
      <c r="J6" s="234" t="s">
        <v>391</v>
      </c>
      <c r="K6" s="234" t="s">
        <v>392</v>
      </c>
      <c r="L6" s="234" t="s">
        <v>393</v>
      </c>
      <c r="M6" s="235" t="s">
        <v>394</v>
      </c>
      <c r="O6" s="312"/>
      <c r="P6" s="313"/>
      <c r="Q6" s="313"/>
      <c r="R6" s="313"/>
      <c r="S6" s="313"/>
      <c r="T6" s="313"/>
      <c r="U6" s="314"/>
    </row>
    <row r="7" spans="1:22" x14ac:dyDescent="0.2">
      <c r="A7" s="171"/>
      <c r="G7" s="170"/>
      <c r="H7" s="276"/>
      <c r="I7" s="276"/>
      <c r="J7" s="276"/>
      <c r="K7" s="276"/>
      <c r="L7" s="276"/>
      <c r="M7" s="280"/>
      <c r="O7" s="193"/>
      <c r="P7" s="228" t="s">
        <v>389</v>
      </c>
      <c r="Q7" s="228" t="s">
        <v>390</v>
      </c>
      <c r="R7" s="228" t="s">
        <v>391</v>
      </c>
      <c r="S7" s="228" t="s">
        <v>392</v>
      </c>
      <c r="T7" s="228" t="s">
        <v>393</v>
      </c>
      <c r="U7" s="227" t="s">
        <v>394</v>
      </c>
    </row>
    <row r="8" spans="1:22" x14ac:dyDescent="0.2">
      <c r="A8" s="171" t="s">
        <v>6</v>
      </c>
      <c r="G8" s="170"/>
      <c r="H8" s="174"/>
      <c r="I8" s="174"/>
      <c r="J8" s="174"/>
      <c r="K8" s="174"/>
      <c r="L8" s="174"/>
      <c r="M8" s="181"/>
      <c r="O8" s="172"/>
      <c r="P8" s="201"/>
      <c r="Q8" s="201"/>
      <c r="R8" s="201"/>
      <c r="S8" s="201"/>
      <c r="T8" s="201"/>
      <c r="U8" s="170"/>
      <c r="V8" s="169" t="s">
        <v>432</v>
      </c>
    </row>
    <row r="9" spans="1:22" x14ac:dyDescent="0.2">
      <c r="A9" s="281" t="s">
        <v>395</v>
      </c>
      <c r="B9" s="282"/>
      <c r="C9" s="283">
        <f>'Income Statement'!B8</f>
        <v>5347</v>
      </c>
      <c r="D9" s="283">
        <f>'Income Statement'!C8</f>
        <v>6152</v>
      </c>
      <c r="E9" s="283">
        <f>'Income Statement'!D8</f>
        <v>6311</v>
      </c>
      <c r="F9" s="283">
        <f>'Income Statement'!E8</f>
        <v>4543</v>
      </c>
      <c r="G9" s="284">
        <f>'Income Statement'!F8</f>
        <v>7301</v>
      </c>
      <c r="H9" s="285">
        <f t="shared" ref="H9:M9" si="0">G9*(1+H10)</f>
        <v>8688.19</v>
      </c>
      <c r="I9" s="285">
        <f t="shared" si="0"/>
        <v>9166.0404500000004</v>
      </c>
      <c r="J9" s="285">
        <f t="shared" si="0"/>
        <v>9716.0028770000008</v>
      </c>
      <c r="K9" s="285">
        <f t="shared" si="0"/>
        <v>10846.833003822238</v>
      </c>
      <c r="L9" s="285">
        <f t="shared" si="0"/>
        <v>12000.810321095232</v>
      </c>
      <c r="M9" s="286">
        <f t="shared" si="0"/>
        <v>13157.54934716704</v>
      </c>
      <c r="O9" s="171"/>
      <c r="P9" s="201"/>
      <c r="Q9" s="201"/>
      <c r="R9" s="201"/>
      <c r="S9" s="201"/>
      <c r="T9" s="201"/>
      <c r="U9" s="170"/>
    </row>
    <row r="10" spans="1:22" x14ac:dyDescent="0.2">
      <c r="A10" s="287" t="s">
        <v>396</v>
      </c>
      <c r="B10" s="282"/>
      <c r="C10" s="282"/>
      <c r="D10" s="288">
        <f>(D9-C9)/C9</f>
        <v>0.15055171123994762</v>
      </c>
      <c r="E10" s="288">
        <f>(E9-D9)/D9</f>
        <v>2.5845253576072823E-2</v>
      </c>
      <c r="F10" s="288">
        <f>(F9-E9)/E9</f>
        <v>-0.2801457772143876</v>
      </c>
      <c r="G10" s="289">
        <f>(G9-F9)/F9</f>
        <v>0.60708782742681044</v>
      </c>
      <c r="H10" s="290">
        <f t="shared" ref="H10:M10" si="1">P10</f>
        <v>0.19</v>
      </c>
      <c r="I10" s="290">
        <f t="shared" si="1"/>
        <v>5.5E-2</v>
      </c>
      <c r="J10" s="290">
        <f t="shared" si="1"/>
        <v>0.06</v>
      </c>
      <c r="K10" s="290">
        <f t="shared" si="1"/>
        <v>0.11638841004248458</v>
      </c>
      <c r="L10" s="290">
        <f t="shared" si="1"/>
        <v>0.10638841004248459</v>
      </c>
      <c r="M10" s="291">
        <f t="shared" si="1"/>
        <v>9.6388410042484593E-2</v>
      </c>
      <c r="N10" s="175"/>
      <c r="O10" s="281" t="s">
        <v>431</v>
      </c>
      <c r="P10" s="292">
        <v>0.19</v>
      </c>
      <c r="Q10" s="292">
        <v>5.5E-2</v>
      </c>
      <c r="R10" s="292">
        <v>0.06</v>
      </c>
      <c r="S10" s="292">
        <f>AVERAGE(F10:J10)+$V$10</f>
        <v>0.11638841004248458</v>
      </c>
      <c r="T10" s="292">
        <f>S10+$V$10</f>
        <v>0.10638841004248459</v>
      </c>
      <c r="U10" s="293">
        <f>T10+$V$10</f>
        <v>9.6388410042484593E-2</v>
      </c>
      <c r="V10" s="290">
        <v>-0.01</v>
      </c>
    </row>
    <row r="11" spans="1:22" x14ac:dyDescent="0.2">
      <c r="A11" s="171" t="s">
        <v>453</v>
      </c>
      <c r="C11" s="174">
        <f t="shared" ref="C11:M11" si="2">C14*C13</f>
        <v>5513.7599999999993</v>
      </c>
      <c r="D11" s="174">
        <f t="shared" si="2"/>
        <v>6137.77</v>
      </c>
      <c r="E11" s="174">
        <f t="shared" si="2"/>
        <v>6443.3950000000004</v>
      </c>
      <c r="F11" s="174">
        <f t="shared" si="2"/>
        <v>5371.1639999999998</v>
      </c>
      <c r="G11" s="181">
        <f t="shared" si="2"/>
        <v>6903.192</v>
      </c>
      <c r="H11" s="174">
        <f t="shared" si="2"/>
        <v>8143.5087750000012</v>
      </c>
      <c r="I11" s="174">
        <f t="shared" si="2"/>
        <v>8954.5246799999986</v>
      </c>
      <c r="J11" s="174">
        <f t="shared" si="2"/>
        <v>9306.9741464062499</v>
      </c>
      <c r="K11" s="174">
        <f t="shared" si="2"/>
        <v>9982.3596533718755</v>
      </c>
      <c r="L11" s="174">
        <f t="shared" si="2"/>
        <v>11039.300560638281</v>
      </c>
      <c r="M11" s="181">
        <f t="shared" si="2"/>
        <v>12317.763729883356</v>
      </c>
      <c r="N11" s="175"/>
      <c r="O11" s="171"/>
      <c r="P11" s="229"/>
      <c r="Q11" s="229"/>
      <c r="R11" s="229"/>
      <c r="S11" s="229"/>
      <c r="T11" s="229"/>
      <c r="U11" s="176"/>
      <c r="V11" s="179"/>
    </row>
    <row r="12" spans="1:22" x14ac:dyDescent="0.2">
      <c r="A12" s="214" t="s">
        <v>396</v>
      </c>
      <c r="C12" s="174"/>
      <c r="D12" s="177">
        <f>(D11-C11)/C11</f>
        <v>0.11317322480485208</v>
      </c>
      <c r="E12" s="177">
        <f>(E11-D11)/D11</f>
        <v>4.9794143475561971E-2</v>
      </c>
      <c r="F12" s="177">
        <f>(F11-E11)/E11</f>
        <v>-0.16640777105858023</v>
      </c>
      <c r="G12" s="178">
        <f>(G11-F11)/F11</f>
        <v>0.28523202791797092</v>
      </c>
      <c r="H12" s="269">
        <f t="shared" ref="H12:M12" si="3">H11/G11-1</f>
        <v>0.17967293608521984</v>
      </c>
      <c r="I12" s="269">
        <f t="shared" si="3"/>
        <v>9.9590474745942403E-2</v>
      </c>
      <c r="J12" s="269">
        <f t="shared" si="3"/>
        <v>3.9359930203045845E-2</v>
      </c>
      <c r="K12" s="269">
        <f t="shared" si="3"/>
        <v>7.2567678424938498E-2</v>
      </c>
      <c r="L12" s="269">
        <f t="shared" si="3"/>
        <v>0.10588086824835941</v>
      </c>
      <c r="M12" s="263">
        <f t="shared" si="3"/>
        <v>0.11581016045559633</v>
      </c>
      <c r="N12" s="175"/>
      <c r="O12" s="171"/>
      <c r="P12" s="229"/>
      <c r="Q12" s="229"/>
      <c r="R12" s="229"/>
      <c r="S12" s="229"/>
      <c r="T12" s="229"/>
      <c r="U12" s="176"/>
      <c r="V12" s="179"/>
    </row>
    <row r="13" spans="1:22" x14ac:dyDescent="0.2">
      <c r="A13" s="214" t="s">
        <v>450</v>
      </c>
      <c r="C13" s="270">
        <v>49.23</v>
      </c>
      <c r="D13" s="206">
        <v>60.77</v>
      </c>
      <c r="E13" s="206">
        <v>56.77</v>
      </c>
      <c r="F13" s="206">
        <v>44.28</v>
      </c>
      <c r="G13" s="213">
        <v>60.08</v>
      </c>
      <c r="H13" s="270">
        <v>65.930000000000007</v>
      </c>
      <c r="I13" s="270">
        <v>63.04</v>
      </c>
      <c r="J13" s="270">
        <v>60.95</v>
      </c>
      <c r="K13" s="270">
        <v>59.43</v>
      </c>
      <c r="L13" s="270">
        <v>58.42</v>
      </c>
      <c r="M13" s="213">
        <f>L13*AVERAGE(I13/H13, J13/I13, K13/J13, L13/K13)</f>
        <v>56.683156151144303</v>
      </c>
      <c r="N13" s="175"/>
      <c r="O13" s="171"/>
      <c r="P13" s="229"/>
      <c r="Q13" s="229"/>
      <c r="R13" s="229"/>
      <c r="S13" s="229"/>
      <c r="T13" s="229"/>
      <c r="U13" s="176"/>
      <c r="V13" s="179"/>
    </row>
    <row r="14" spans="1:22" x14ac:dyDescent="0.2">
      <c r="A14" s="171" t="s">
        <v>451</v>
      </c>
      <c r="C14" s="169">
        <v>112</v>
      </c>
      <c r="D14" s="275">
        <v>101</v>
      </c>
      <c r="E14" s="273">
        <v>113.5</v>
      </c>
      <c r="F14" s="273">
        <v>121.3</v>
      </c>
      <c r="G14" s="274">
        <v>114.9</v>
      </c>
      <c r="H14" s="271">
        <f>G14*1.075</f>
        <v>123.5175</v>
      </c>
      <c r="I14" s="271">
        <f>H14*1.15</f>
        <v>142.04512499999998</v>
      </c>
      <c r="J14" s="271">
        <f>I14*1.075</f>
        <v>152.69850937499999</v>
      </c>
      <c r="K14" s="271">
        <f>J14*1.1</f>
        <v>167.96836031250001</v>
      </c>
      <c r="L14" s="271">
        <f>K14*1.125</f>
        <v>188.9644053515625</v>
      </c>
      <c r="M14" s="272">
        <f>L14*1.15</f>
        <v>217.30906615429686</v>
      </c>
      <c r="N14" s="269">
        <f>_xlfn.RRI(5,H14,L14)</f>
        <v>8.875535089116604E-2</v>
      </c>
      <c r="O14" s="171"/>
      <c r="P14" s="229"/>
      <c r="Q14" s="229"/>
      <c r="R14" s="229"/>
      <c r="S14" s="229"/>
      <c r="T14" s="229"/>
      <c r="U14" s="176"/>
      <c r="V14" s="179"/>
    </row>
    <row r="15" spans="1:22" x14ac:dyDescent="0.2">
      <c r="A15" s="171" t="s">
        <v>397</v>
      </c>
      <c r="C15" s="173">
        <f>'Income Statement'!B9</f>
        <v>0</v>
      </c>
      <c r="D15" s="173">
        <f>'Income Statement'!C9</f>
        <v>0</v>
      </c>
      <c r="E15" s="173">
        <f>'Income Statement'!D9</f>
        <v>0</v>
      </c>
      <c r="F15" s="173">
        <f>'Income Statement'!E9</f>
        <v>0</v>
      </c>
      <c r="G15" s="167">
        <f>'Income Statement'!F9</f>
        <v>0</v>
      </c>
      <c r="H15" s="174">
        <f t="shared" ref="H15:M15" si="4">G15*(1+H16)</f>
        <v>0</v>
      </c>
      <c r="I15" s="174">
        <f t="shared" si="4"/>
        <v>0</v>
      </c>
      <c r="J15" s="174">
        <f t="shared" si="4"/>
        <v>0</v>
      </c>
      <c r="K15" s="174">
        <f t="shared" si="4"/>
        <v>0</v>
      </c>
      <c r="L15" s="174">
        <f t="shared" si="4"/>
        <v>0</v>
      </c>
      <c r="M15" s="181">
        <f t="shared" si="4"/>
        <v>0</v>
      </c>
      <c r="O15" s="171"/>
      <c r="P15" s="201"/>
      <c r="Q15" s="201"/>
      <c r="R15" s="201"/>
      <c r="S15" s="201"/>
      <c r="T15" s="201"/>
      <c r="U15" s="170"/>
    </row>
    <row r="16" spans="1:22" x14ac:dyDescent="0.2">
      <c r="A16" s="214" t="s">
        <v>398</v>
      </c>
      <c r="D16" s="177">
        <v>0</v>
      </c>
      <c r="E16" s="177">
        <v>0</v>
      </c>
      <c r="F16" s="177">
        <v>0</v>
      </c>
      <c r="G16" s="178">
        <v>0</v>
      </c>
      <c r="H16" s="177">
        <f t="shared" ref="H16:M16" si="5">P16</f>
        <v>0</v>
      </c>
      <c r="I16" s="177">
        <f t="shared" si="5"/>
        <v>0</v>
      </c>
      <c r="J16" s="177">
        <f t="shared" si="5"/>
        <v>0</v>
      </c>
      <c r="K16" s="177">
        <f t="shared" si="5"/>
        <v>0</v>
      </c>
      <c r="L16" s="177">
        <f t="shared" si="5"/>
        <v>0</v>
      </c>
      <c r="M16" s="178">
        <f t="shared" si="5"/>
        <v>0</v>
      </c>
      <c r="N16" s="180"/>
      <c r="O16" s="171" t="s">
        <v>397</v>
      </c>
      <c r="P16" s="229">
        <v>0</v>
      </c>
      <c r="Q16" s="229">
        <v>0</v>
      </c>
      <c r="R16" s="229">
        <v>0</v>
      </c>
      <c r="S16" s="229">
        <v>0</v>
      </c>
      <c r="T16" s="229">
        <v>0</v>
      </c>
      <c r="U16" s="176">
        <v>0</v>
      </c>
      <c r="V16" s="179">
        <v>0</v>
      </c>
    </row>
    <row r="17" spans="1:22" x14ac:dyDescent="0.2">
      <c r="A17" s="172" t="s">
        <v>96</v>
      </c>
      <c r="C17" s="174">
        <f>C9+C15</f>
        <v>5347</v>
      </c>
      <c r="D17" s="174">
        <f t="shared" ref="D17:M17" si="6">D9+D15</f>
        <v>6152</v>
      </c>
      <c r="E17" s="174">
        <f t="shared" si="6"/>
        <v>6311</v>
      </c>
      <c r="F17" s="174">
        <f t="shared" si="6"/>
        <v>4543</v>
      </c>
      <c r="G17" s="181">
        <f t="shared" si="6"/>
        <v>7301</v>
      </c>
      <c r="H17" s="174">
        <f>H11+H15</f>
        <v>8143.5087750000012</v>
      </c>
      <c r="I17" s="174">
        <f t="shared" ref="I17:M17" si="7">I11+I15</f>
        <v>8954.5246799999986</v>
      </c>
      <c r="J17" s="174">
        <f t="shared" si="7"/>
        <v>9306.9741464062499</v>
      </c>
      <c r="K17" s="174">
        <f t="shared" si="7"/>
        <v>9982.3596533718755</v>
      </c>
      <c r="L17" s="174">
        <f t="shared" si="7"/>
        <v>11039.300560638281</v>
      </c>
      <c r="M17" s="181">
        <f t="shared" si="7"/>
        <v>12317.763729883356</v>
      </c>
      <c r="O17" s="171"/>
      <c r="P17" s="201"/>
      <c r="Q17" s="201"/>
      <c r="R17" s="201"/>
      <c r="S17" s="201"/>
      <c r="T17" s="201"/>
      <c r="U17" s="170"/>
    </row>
    <row r="18" spans="1:22" x14ac:dyDescent="0.2">
      <c r="A18" s="171" t="s">
        <v>425</v>
      </c>
      <c r="C18" s="174"/>
      <c r="D18" s="177">
        <f t="shared" ref="D18:M18" si="8">(D17-C17)/C17</f>
        <v>0.15055171123994762</v>
      </c>
      <c r="E18" s="177">
        <f t="shared" si="8"/>
        <v>2.5845253576072823E-2</v>
      </c>
      <c r="F18" s="177">
        <f t="shared" si="8"/>
        <v>-0.2801457772143876</v>
      </c>
      <c r="G18" s="178">
        <f t="shared" si="8"/>
        <v>0.60708782742681044</v>
      </c>
      <c r="H18" s="182">
        <f t="shared" si="8"/>
        <v>0.11539635323928245</v>
      </c>
      <c r="I18" s="182">
        <f t="shared" si="8"/>
        <v>9.9590474745942348E-2</v>
      </c>
      <c r="J18" s="182">
        <f t="shared" si="8"/>
        <v>3.9359930203045838E-2</v>
      </c>
      <c r="K18" s="182">
        <f t="shared" si="8"/>
        <v>7.2567678424938539E-2</v>
      </c>
      <c r="L18" s="182">
        <f t="shared" si="8"/>
        <v>0.10588086824835935</v>
      </c>
      <c r="M18" s="178">
        <f t="shared" si="8"/>
        <v>0.11581016045559642</v>
      </c>
      <c r="O18" s="171"/>
      <c r="P18" s="201"/>
      <c r="Q18" s="201"/>
      <c r="R18" s="201"/>
      <c r="S18" s="201"/>
      <c r="T18" s="201"/>
      <c r="U18" s="170"/>
    </row>
    <row r="19" spans="1:22" x14ac:dyDescent="0.2">
      <c r="A19" s="171" t="s">
        <v>399</v>
      </c>
      <c r="B19" s="201"/>
      <c r="C19" s="173">
        <f>'Income Statement'!B12</f>
        <v>1267</v>
      </c>
      <c r="D19" s="173">
        <f>'Income Statement'!C12</f>
        <v>1771</v>
      </c>
      <c r="E19" s="173">
        <f>'Income Statement'!D12</f>
        <v>1736</v>
      </c>
      <c r="F19" s="173">
        <f>'Income Statement'!E12</f>
        <v>883</v>
      </c>
      <c r="G19" s="167">
        <f>'Income Statement'!F12</f>
        <v>2034</v>
      </c>
      <c r="H19" s="202">
        <f t="shared" ref="H19:M19" si="9">H17-H21</f>
        <v>2195.6862310382139</v>
      </c>
      <c r="I19" s="202">
        <f t="shared" si="9"/>
        <v>2442.716433035338</v>
      </c>
      <c r="J19" s="202">
        <f t="shared" si="9"/>
        <v>2549.8378505723504</v>
      </c>
      <c r="K19" s="202">
        <f t="shared" si="9"/>
        <v>2682.7043416349925</v>
      </c>
      <c r="L19" s="202">
        <f t="shared" si="9"/>
        <v>2955.7121060203099</v>
      </c>
      <c r="M19" s="181">
        <f t="shared" si="9"/>
        <v>3271.2902973136897</v>
      </c>
      <c r="O19" s="171"/>
      <c r="P19" s="201"/>
      <c r="Q19" s="201"/>
      <c r="R19" s="201"/>
      <c r="S19" s="201"/>
      <c r="T19" s="201"/>
      <c r="U19" s="170"/>
    </row>
    <row r="20" spans="1:22" ht="13.5" thickBot="1" x14ac:dyDescent="0.25">
      <c r="A20" s="171" t="s">
        <v>428</v>
      </c>
      <c r="B20" s="201"/>
      <c r="C20" s="177">
        <f t="shared" ref="C20:M20" si="10">C19/C17</f>
        <v>0.23695530203852627</v>
      </c>
      <c r="D20" s="177">
        <f t="shared" si="10"/>
        <v>0.28787386215864758</v>
      </c>
      <c r="E20" s="177">
        <f t="shared" si="10"/>
        <v>0.27507526540960225</v>
      </c>
      <c r="F20" s="177">
        <f t="shared" si="10"/>
        <v>0.19436495707682147</v>
      </c>
      <c r="G20" s="178">
        <f t="shared" si="10"/>
        <v>0.2785919737022326</v>
      </c>
      <c r="H20" s="177">
        <f t="shared" si="10"/>
        <v>0.26962410082725224</v>
      </c>
      <c r="I20" s="177">
        <f t="shared" si="10"/>
        <v>0.27279130052443368</v>
      </c>
      <c r="J20" s="177">
        <f t="shared" si="10"/>
        <v>0.27397066011588012</v>
      </c>
      <c r="K20" s="177">
        <f t="shared" si="10"/>
        <v>0.26874450879244965</v>
      </c>
      <c r="L20" s="177">
        <f t="shared" si="10"/>
        <v>0.2677445087924496</v>
      </c>
      <c r="M20" s="178">
        <f t="shared" si="10"/>
        <v>0.26557501581049303</v>
      </c>
      <c r="O20" s="171"/>
      <c r="P20" s="201"/>
      <c r="Q20" s="201"/>
      <c r="R20" s="201"/>
      <c r="S20" s="201"/>
      <c r="T20" s="201"/>
      <c r="U20" s="170"/>
    </row>
    <row r="21" spans="1:22" ht="13.5" thickTop="1" x14ac:dyDescent="0.2">
      <c r="A21" s="215" t="s">
        <v>400</v>
      </c>
      <c r="B21" s="204"/>
      <c r="C21" s="205">
        <f>C17-C19</f>
        <v>4080</v>
      </c>
      <c r="D21" s="205">
        <f>D17-D19</f>
        <v>4381</v>
      </c>
      <c r="E21" s="205">
        <f>E17-E19</f>
        <v>4575</v>
      </c>
      <c r="F21" s="205">
        <f>F17-F19</f>
        <v>3660</v>
      </c>
      <c r="G21" s="190">
        <f>G17-G19</f>
        <v>5267</v>
      </c>
      <c r="H21" s="205">
        <f t="shared" ref="H21:M21" si="11">H22*H17</f>
        <v>5947.8225439617872</v>
      </c>
      <c r="I21" s="205">
        <f t="shared" si="11"/>
        <v>6511.8082469646606</v>
      </c>
      <c r="J21" s="205">
        <f t="shared" si="11"/>
        <v>6757.1362958338996</v>
      </c>
      <c r="K21" s="205">
        <f t="shared" si="11"/>
        <v>7299.655311736883</v>
      </c>
      <c r="L21" s="205">
        <f t="shared" si="11"/>
        <v>8083.5884546179714</v>
      </c>
      <c r="M21" s="190">
        <f t="shared" si="11"/>
        <v>9046.4734325696663</v>
      </c>
      <c r="N21" s="179"/>
      <c r="O21" s="171"/>
      <c r="P21" s="201"/>
      <c r="Q21" s="201"/>
      <c r="R21" s="201"/>
      <c r="S21" s="201"/>
      <c r="T21" s="201"/>
      <c r="U21" s="170"/>
    </row>
    <row r="22" spans="1:22" x14ac:dyDescent="0.2">
      <c r="A22" s="214" t="s">
        <v>429</v>
      </c>
      <c r="C22" s="177">
        <f>C21/C17</f>
        <v>0.76304469796147367</v>
      </c>
      <c r="D22" s="177">
        <f>D21/D17</f>
        <v>0.71212613784135237</v>
      </c>
      <c r="E22" s="177">
        <f>E21/E17</f>
        <v>0.72492473459039775</v>
      </c>
      <c r="F22" s="177">
        <f>F21/F17</f>
        <v>0.80563504292317856</v>
      </c>
      <c r="G22" s="178">
        <f>G21/G17</f>
        <v>0.72140802629776746</v>
      </c>
      <c r="H22" s="208">
        <f t="shared" ref="H22:M22" si="12">P22</f>
        <v>0.7303758991727477</v>
      </c>
      <c r="I22" s="208">
        <f t="shared" si="12"/>
        <v>0.72720869947556632</v>
      </c>
      <c r="J22" s="208">
        <f t="shared" si="12"/>
        <v>0.72602933988411988</v>
      </c>
      <c r="K22" s="208">
        <f t="shared" si="12"/>
        <v>0.7312554912075504</v>
      </c>
      <c r="L22" s="208">
        <f t="shared" si="12"/>
        <v>0.7322554912075504</v>
      </c>
      <c r="M22" s="222">
        <f t="shared" si="12"/>
        <v>0.73442498418950697</v>
      </c>
      <c r="O22" s="171" t="s">
        <v>429</v>
      </c>
      <c r="P22" s="203">
        <f>AVERAGE(C22:E22,G22)</f>
        <v>0.7303758991727477</v>
      </c>
      <c r="Q22" s="203">
        <f>AVERAGE(D22:E22,G22:H22)+$V$22</f>
        <v>0.72720869947556632</v>
      </c>
      <c r="R22" s="203">
        <f>AVERAGE(E22,G22:I22)+V22%</f>
        <v>0.72602933988411988</v>
      </c>
      <c r="S22" s="203">
        <f>AVERAGE(G22:J22)+$V$22</f>
        <v>0.7312554912075504</v>
      </c>
      <c r="T22" s="203">
        <f t="shared" ref="T22:U22" si="13">AVERAGE(G22:K22)+$V$22</f>
        <v>0.7322554912075504</v>
      </c>
      <c r="U22" s="221">
        <f t="shared" si="13"/>
        <v>0.73442498418950697</v>
      </c>
      <c r="V22" s="179">
        <v>5.0000000000000001E-3</v>
      </c>
    </row>
    <row r="23" spans="1:22" x14ac:dyDescent="0.2">
      <c r="A23" s="172"/>
      <c r="C23" s="174"/>
      <c r="D23" s="177"/>
      <c r="E23" s="177"/>
      <c r="F23" s="177"/>
      <c r="G23" s="178"/>
      <c r="M23" s="170"/>
      <c r="O23" s="171"/>
      <c r="P23" s="201"/>
      <c r="Q23" s="201"/>
      <c r="R23" s="201"/>
      <c r="S23" s="201"/>
      <c r="T23" s="201"/>
      <c r="U23" s="170"/>
    </row>
    <row r="24" spans="1:22" x14ac:dyDescent="0.2">
      <c r="A24" s="171" t="s">
        <v>401</v>
      </c>
      <c r="B24" s="201"/>
      <c r="C24" s="173">
        <f>'Income Statement'!B15</f>
        <v>1854</v>
      </c>
      <c r="D24" s="173">
        <f>'Income Statement'!C15</f>
        <v>1516</v>
      </c>
      <c r="E24" s="173">
        <f>'Income Statement'!D15</f>
        <v>1604</v>
      </c>
      <c r="F24" s="173">
        <f>'Income Statement'!E15</f>
        <v>1550</v>
      </c>
      <c r="G24" s="167">
        <f>'Income Statement'!F15</f>
        <v>1569</v>
      </c>
      <c r="H24" s="202">
        <f t="shared" ref="H24:M24" si="14">H25*H17</f>
        <v>2035.0796853574341</v>
      </c>
      <c r="I24" s="202">
        <f t="shared" si="14"/>
        <v>2215.3679256680039</v>
      </c>
      <c r="J24" s="202">
        <f t="shared" si="14"/>
        <v>2279.2972172303475</v>
      </c>
      <c r="K24" s="202">
        <f t="shared" si="14"/>
        <v>2419.7446255917466</v>
      </c>
      <c r="L24" s="202">
        <f t="shared" si="14"/>
        <v>2648.3510360871064</v>
      </c>
      <c r="M24" s="181">
        <f t="shared" si="14"/>
        <v>2924.2625851943908</v>
      </c>
      <c r="O24" s="171"/>
      <c r="P24" s="201"/>
      <c r="Q24" s="201"/>
      <c r="R24" s="201"/>
      <c r="S24" s="201"/>
      <c r="T24" s="201"/>
      <c r="U24" s="170"/>
    </row>
    <row r="25" spans="1:22" x14ac:dyDescent="0.2">
      <c r="A25" s="171" t="s">
        <v>428</v>
      </c>
      <c r="B25" s="201"/>
      <c r="C25" s="177">
        <f>C24/C17</f>
        <v>0.34673648775014027</v>
      </c>
      <c r="D25" s="177">
        <f>D24/D17</f>
        <v>0.24642392717815345</v>
      </c>
      <c r="E25" s="177">
        <f>E24/E17</f>
        <v>0.25415940421486294</v>
      </c>
      <c r="F25" s="177">
        <f>F24/F17</f>
        <v>0.34118423948932425</v>
      </c>
      <c r="G25" s="178">
        <f>G24/G17</f>
        <v>0.21490206820983426</v>
      </c>
      <c r="H25" s="208">
        <f t="shared" ref="H25:M25" si="15">P25</f>
        <v>0.24990206820983427</v>
      </c>
      <c r="I25" s="208">
        <f t="shared" si="15"/>
        <v>0.24740206820983426</v>
      </c>
      <c r="J25" s="208">
        <f t="shared" si="15"/>
        <v>0.24490206820983426</v>
      </c>
      <c r="K25" s="208">
        <f t="shared" si="15"/>
        <v>0.24240206820983426</v>
      </c>
      <c r="L25" s="208">
        <f t="shared" si="15"/>
        <v>0.23990206820983426</v>
      </c>
      <c r="M25" s="222">
        <f t="shared" si="15"/>
        <v>0.23740206820983425</v>
      </c>
      <c r="O25" s="171" t="s">
        <v>433</v>
      </c>
      <c r="P25" s="262">
        <f>G25+3.5%</f>
        <v>0.24990206820983427</v>
      </c>
      <c r="Q25" s="262">
        <f>P25+$V$25</f>
        <v>0.24740206820983426</v>
      </c>
      <c r="R25" s="262">
        <f t="shared" ref="R25:U25" si="16">Q25+$V$25</f>
        <v>0.24490206820983426</v>
      </c>
      <c r="S25" s="262">
        <f t="shared" si="16"/>
        <v>0.24240206820983426</v>
      </c>
      <c r="T25" s="262">
        <f t="shared" si="16"/>
        <v>0.23990206820983426</v>
      </c>
      <c r="U25" s="263">
        <f t="shared" si="16"/>
        <v>0.23740206820983425</v>
      </c>
      <c r="V25" s="179">
        <v>-2.5000000000000001E-3</v>
      </c>
    </row>
    <row r="26" spans="1:22" x14ac:dyDescent="0.2">
      <c r="A26" s="171" t="s">
        <v>129</v>
      </c>
      <c r="B26" s="201"/>
      <c r="C26" s="206">
        <f>'Income Statement'!B16</f>
        <v>195</v>
      </c>
      <c r="D26" s="206">
        <f>'Income Statement'!C16</f>
        <v>308</v>
      </c>
      <c r="E26" s="206">
        <f>'Income Statement'!D16</f>
        <v>216</v>
      </c>
      <c r="F26" s="206">
        <f>'Income Statement'!E16</f>
        <v>175</v>
      </c>
      <c r="G26" s="213">
        <f>'Income Statement'!F16</f>
        <v>142</v>
      </c>
      <c r="H26" s="202">
        <f t="shared" ref="H26:M26" si="17">H27*H17</f>
        <v>289.62626324318506</v>
      </c>
      <c r="I26" s="202">
        <f t="shared" si="17"/>
        <v>286.01073718062611</v>
      </c>
      <c r="J26" s="202">
        <f t="shared" si="17"/>
        <v>291.95010595066032</v>
      </c>
      <c r="K26" s="202">
        <f t="shared" si="17"/>
        <v>295.28818618413845</v>
      </c>
      <c r="L26" s="202">
        <f t="shared" si="17"/>
        <v>354.51502780362637</v>
      </c>
      <c r="M26" s="181">
        <f t="shared" si="17"/>
        <v>384.943123216728</v>
      </c>
      <c r="O26" s="171"/>
      <c r="P26" s="201"/>
      <c r="Q26" s="201"/>
      <c r="R26" s="201"/>
      <c r="S26" s="201"/>
      <c r="T26" s="201"/>
      <c r="U26" s="170"/>
    </row>
    <row r="27" spans="1:22" x14ac:dyDescent="0.2">
      <c r="A27" s="171" t="s">
        <v>428</v>
      </c>
      <c r="B27" s="201"/>
      <c r="C27" s="177">
        <f>C26/C17</f>
        <v>3.6469048064335138E-2</v>
      </c>
      <c r="D27" s="177">
        <f>D26/D17</f>
        <v>5.0065019505851759E-2</v>
      </c>
      <c r="E27" s="177">
        <f>E26/E17</f>
        <v>3.4225954682300747E-2</v>
      </c>
      <c r="F27" s="177">
        <f>F26/F17</f>
        <v>3.8520801232665637E-2</v>
      </c>
      <c r="G27" s="178">
        <f>G26/G17</f>
        <v>1.9449390494452816E-2</v>
      </c>
      <c r="H27" s="203">
        <f t="shared" ref="H27:M27" si="18">P27</f>
        <v>3.5565291478817741E-2</v>
      </c>
      <c r="I27" s="203">
        <f t="shared" si="18"/>
        <v>3.1940359472059233E-2</v>
      </c>
      <c r="J27" s="203">
        <f t="shared" si="18"/>
        <v>3.1368960669498853E-2</v>
      </c>
      <c r="K27" s="203">
        <f t="shared" si="18"/>
        <v>2.9581000528707158E-2</v>
      </c>
      <c r="L27" s="203">
        <f t="shared" si="18"/>
        <v>3.2113903037270748E-2</v>
      </c>
      <c r="M27" s="221">
        <f t="shared" si="18"/>
        <v>3.1251055926884E-2</v>
      </c>
      <c r="O27" s="171" t="s">
        <v>434</v>
      </c>
      <c r="P27" s="203">
        <f>AVERAGE(D27:G27)</f>
        <v>3.5565291478817741E-2</v>
      </c>
      <c r="Q27" s="203">
        <f t="shared" ref="Q27:U27" si="19">AVERAGE(E27:H27)</f>
        <v>3.1940359472059233E-2</v>
      </c>
      <c r="R27" s="203">
        <f t="shared" si="19"/>
        <v>3.1368960669498853E-2</v>
      </c>
      <c r="S27" s="203">
        <f t="shared" si="19"/>
        <v>2.9581000528707158E-2</v>
      </c>
      <c r="T27" s="203">
        <f t="shared" si="19"/>
        <v>3.2113903037270748E-2</v>
      </c>
      <c r="U27" s="221">
        <f t="shared" si="19"/>
        <v>3.1251055926884E-2</v>
      </c>
      <c r="V27" s="179">
        <v>0</v>
      </c>
    </row>
    <row r="28" spans="1:22" x14ac:dyDescent="0.2">
      <c r="A28" s="216" t="s">
        <v>130</v>
      </c>
      <c r="B28" s="201"/>
      <c r="C28" s="206">
        <f>'Income Statement'!B19</f>
        <v>2012</v>
      </c>
      <c r="D28" s="206">
        <f>'Income Statement'!C19</f>
        <v>51</v>
      </c>
      <c r="E28" s="206">
        <f>'Income Statement'!D19</f>
        <v>17</v>
      </c>
      <c r="F28" s="206">
        <f>'Income Statement'!E19</f>
        <v>176</v>
      </c>
      <c r="G28" s="213">
        <f>'Income Statement'!F19</f>
        <v>20</v>
      </c>
      <c r="H28" s="202">
        <f t="shared" ref="H28:M28" si="20">H29*H17</f>
        <v>77.968795547719253</v>
      </c>
      <c r="I28" s="202">
        <f t="shared" si="20"/>
        <v>152.25371910490134</v>
      </c>
      <c r="J28" s="202">
        <f t="shared" si="20"/>
        <v>181.43407448057781</v>
      </c>
      <c r="K28" s="202">
        <f t="shared" si="20"/>
        <v>105.84003480413514</v>
      </c>
      <c r="L28" s="202">
        <f t="shared" si="20"/>
        <v>136.8139116587059</v>
      </c>
      <c r="M28" s="181">
        <f t="shared" si="20"/>
        <v>200.74162540929424</v>
      </c>
      <c r="O28" s="171"/>
      <c r="P28" s="201"/>
      <c r="Q28" s="201"/>
      <c r="R28" s="201"/>
      <c r="S28" s="201"/>
      <c r="T28" s="201"/>
      <c r="U28" s="170"/>
    </row>
    <row r="29" spans="1:22" x14ac:dyDescent="0.2">
      <c r="A29" s="171" t="s">
        <v>428</v>
      </c>
      <c r="B29" s="201"/>
      <c r="C29" s="177">
        <f>C28/C17</f>
        <v>0.37628576772021693</v>
      </c>
      <c r="D29" s="177">
        <f>D28/D17</f>
        <v>8.2899869960988293E-3</v>
      </c>
      <c r="E29" s="177">
        <f>E28/E17</f>
        <v>2.6937093962921882E-3</v>
      </c>
      <c r="F29" s="177">
        <f>F28/F17</f>
        <v>3.8740920096852302E-2</v>
      </c>
      <c r="G29" s="178">
        <f>G28/G17</f>
        <v>2.7393507738665934E-3</v>
      </c>
      <c r="H29" s="203">
        <f t="shared" ref="H29:M29" si="21">P29</f>
        <v>9.5743490554192033E-3</v>
      </c>
      <c r="I29" s="203">
        <f t="shared" si="21"/>
        <v>1.7002992849521229E-2</v>
      </c>
      <c r="J29" s="203">
        <f t="shared" si="21"/>
        <v>1.9494421240080041E-2</v>
      </c>
      <c r="K29" s="203">
        <f t="shared" si="21"/>
        <v>1.0602707023121946E-2</v>
      </c>
      <c r="L29" s="203">
        <f t="shared" si="21"/>
        <v>1.2393349642687458E-2</v>
      </c>
      <c r="M29" s="221">
        <f t="shared" si="21"/>
        <v>1.6296921244096242E-2</v>
      </c>
      <c r="O29" s="171" t="s">
        <v>435</v>
      </c>
      <c r="P29" s="203">
        <f>AVERAGE(D29:E29,G29)+V29</f>
        <v>9.5743490554192033E-3</v>
      </c>
      <c r="Q29" s="203">
        <f t="shared" ref="Q29:U29" si="22">AVERAGE(E29:F29,H29)+W29</f>
        <v>1.7002992849521229E-2</v>
      </c>
      <c r="R29" s="203">
        <f t="shared" si="22"/>
        <v>1.9494421240080041E-2</v>
      </c>
      <c r="S29" s="203">
        <f t="shared" si="22"/>
        <v>1.0602707023121946E-2</v>
      </c>
      <c r="T29" s="203">
        <f t="shared" si="22"/>
        <v>1.2393349642687458E-2</v>
      </c>
      <c r="U29" s="221">
        <f t="shared" si="22"/>
        <v>1.6296921244096242E-2</v>
      </c>
      <c r="V29" s="179">
        <v>5.0000000000000001E-3</v>
      </c>
    </row>
    <row r="30" spans="1:22" x14ac:dyDescent="0.2">
      <c r="A30" s="217" t="s">
        <v>197</v>
      </c>
      <c r="B30" s="201"/>
      <c r="C30" s="206">
        <f>'Income Statement'!B20</f>
        <v>4</v>
      </c>
      <c r="D30" s="206">
        <f>'Income Statement'!C20</f>
        <v>-116</v>
      </c>
      <c r="E30" s="206">
        <f>'Income Statement'!D20</f>
        <v>-78</v>
      </c>
      <c r="F30" s="206">
        <f>'Income Statement'!E20</f>
        <v>-56</v>
      </c>
      <c r="G30" s="213">
        <f>'Income Statement'!F20</f>
        <v>-79</v>
      </c>
      <c r="H30" s="202">
        <f t="shared" ref="H30:M30" si="23">H31*H17</f>
        <v>-87.321278003408139</v>
      </c>
      <c r="I30" s="202">
        <f t="shared" si="23"/>
        <v>-116.560920246118</v>
      </c>
      <c r="J30" s="202">
        <f t="shared" si="23"/>
        <v>-110.28067803917449</v>
      </c>
      <c r="K30" s="202">
        <f t="shared" si="23"/>
        <v>-117.26504865828475</v>
      </c>
      <c r="L30" s="202">
        <f t="shared" si="23"/>
        <v>-128.40187562127593</v>
      </c>
      <c r="M30" s="181">
        <f t="shared" si="23"/>
        <v>-145.26982719917868</v>
      </c>
      <c r="O30" s="171"/>
      <c r="P30" s="201"/>
      <c r="Q30" s="201"/>
      <c r="R30" s="201"/>
      <c r="S30" s="201"/>
      <c r="T30" s="201"/>
      <c r="U30" s="170"/>
    </row>
    <row r="31" spans="1:22" ht="13.5" thickBot="1" x14ac:dyDescent="0.25">
      <c r="A31" s="171" t="s">
        <v>428</v>
      </c>
      <c r="B31" s="201"/>
      <c r="C31" s="177">
        <f>C30/C17</f>
        <v>7.4808303721713115E-4</v>
      </c>
      <c r="D31" s="177">
        <f>D30/D17</f>
        <v>-1.8855656697009102E-2</v>
      </c>
      <c r="E31" s="177">
        <f>E30/E17</f>
        <v>-1.2359372524164159E-2</v>
      </c>
      <c r="F31" s="177">
        <f>F30/F17</f>
        <v>-1.2326656394453005E-2</v>
      </c>
      <c r="G31" s="178">
        <f>G30/G17</f>
        <v>-1.0820435556773044E-2</v>
      </c>
      <c r="H31" s="203">
        <f t="shared" ref="H31:M31" si="24">P31</f>
        <v>-1.0722807627036434E-2</v>
      </c>
      <c r="I31" s="203">
        <f t="shared" si="24"/>
        <v>-1.3016985759887148E-2</v>
      </c>
      <c r="J31" s="203">
        <f t="shared" si="24"/>
        <v>-1.1849251572462758E-2</v>
      </c>
      <c r="K31" s="203">
        <f t="shared" si="24"/>
        <v>-1.1747227382122478E-2</v>
      </c>
      <c r="L31" s="203">
        <f t="shared" si="24"/>
        <v>-1.1631341579656371E-2</v>
      </c>
      <c r="M31" s="232">
        <f t="shared" si="24"/>
        <v>-1.1793522784233037E-2</v>
      </c>
      <c r="O31" s="171" t="s">
        <v>437</v>
      </c>
      <c r="P31" s="203">
        <f>AVERAGE(C31:G31)</f>
        <v>-1.0722807627036434E-2</v>
      </c>
      <c r="Q31" s="203">
        <f>AVERAGE(D31:H31)</f>
        <v>-1.3016985759887148E-2</v>
      </c>
      <c r="R31" s="203">
        <f t="shared" ref="R31:U31" si="25">AVERAGE(E31:I31)</f>
        <v>-1.1849251572462758E-2</v>
      </c>
      <c r="S31" s="203">
        <f t="shared" si="25"/>
        <v>-1.1747227382122478E-2</v>
      </c>
      <c r="T31" s="203">
        <f t="shared" si="25"/>
        <v>-1.1631341579656371E-2</v>
      </c>
      <c r="U31" s="221">
        <f t="shared" si="25"/>
        <v>-1.1793522784233037E-2</v>
      </c>
      <c r="V31" s="179">
        <v>0</v>
      </c>
    </row>
    <row r="32" spans="1:22" ht="13.5" thickTop="1" x14ac:dyDescent="0.2">
      <c r="A32" s="215" t="s">
        <v>34</v>
      </c>
      <c r="B32" s="204"/>
      <c r="C32" s="205">
        <f>C21-SUM(C24,C26,C28,C30)</f>
        <v>15</v>
      </c>
      <c r="D32" s="205">
        <f t="shared" ref="D32:M32" si="26">D21-SUM(D24,D26,D28,D30)</f>
        <v>2622</v>
      </c>
      <c r="E32" s="205">
        <f t="shared" si="26"/>
        <v>2816</v>
      </c>
      <c r="F32" s="205">
        <f t="shared" si="26"/>
        <v>1815</v>
      </c>
      <c r="G32" s="190">
        <f t="shared" si="26"/>
        <v>3615</v>
      </c>
      <c r="H32" s="205">
        <f t="shared" si="26"/>
        <v>3632.469077816857</v>
      </c>
      <c r="I32" s="205">
        <f t="shared" si="26"/>
        <v>3974.736785257247</v>
      </c>
      <c r="J32" s="205">
        <f t="shared" si="26"/>
        <v>4114.7355762114885</v>
      </c>
      <c r="K32" s="205">
        <f t="shared" si="26"/>
        <v>4596.0475138151478</v>
      </c>
      <c r="L32" s="205">
        <f t="shared" si="26"/>
        <v>5072.3103546898092</v>
      </c>
      <c r="M32" s="190">
        <f t="shared" si="26"/>
        <v>5681.7959259484323</v>
      </c>
      <c r="O32" s="171"/>
      <c r="P32" s="201"/>
      <c r="Q32" s="201"/>
      <c r="R32" s="201"/>
      <c r="S32" s="201"/>
      <c r="T32" s="201"/>
      <c r="U32" s="170"/>
    </row>
    <row r="33" spans="1:22" x14ac:dyDescent="0.2">
      <c r="A33" s="172" t="s">
        <v>426</v>
      </c>
      <c r="C33" s="177">
        <f t="shared" ref="C33:M33" si="27">C32/C17</f>
        <v>2.8053113895642415E-3</v>
      </c>
      <c r="D33" s="177">
        <f t="shared" si="27"/>
        <v>0.42620286085825748</v>
      </c>
      <c r="E33" s="177">
        <f t="shared" si="27"/>
        <v>0.44620503882110601</v>
      </c>
      <c r="F33" s="177">
        <f t="shared" si="27"/>
        <v>0.39951573849878935</v>
      </c>
      <c r="G33" s="178">
        <f t="shared" si="27"/>
        <v>0.49513765237638679</v>
      </c>
      <c r="H33" s="177">
        <f t="shared" si="27"/>
        <v>0.44605699805571297</v>
      </c>
      <c r="I33" s="177">
        <f t="shared" si="27"/>
        <v>0.44388026470403874</v>
      </c>
      <c r="J33" s="177">
        <f t="shared" si="27"/>
        <v>0.44211314133716945</v>
      </c>
      <c r="K33" s="177">
        <f t="shared" si="27"/>
        <v>0.46041694282800955</v>
      </c>
      <c r="L33" s="177">
        <f t="shared" si="27"/>
        <v>0.45947751189741437</v>
      </c>
      <c r="M33" s="178">
        <f t="shared" si="27"/>
        <v>0.46126846159292556</v>
      </c>
      <c r="O33" s="171"/>
      <c r="P33" s="201"/>
      <c r="Q33" s="201"/>
      <c r="R33" s="201"/>
      <c r="S33" s="201"/>
      <c r="T33" s="201"/>
      <c r="U33" s="170"/>
    </row>
    <row r="34" spans="1:22" x14ac:dyDescent="0.2">
      <c r="A34" s="172"/>
      <c r="C34" s="174"/>
      <c r="D34" s="174"/>
      <c r="E34" s="174"/>
      <c r="F34" s="174"/>
      <c r="G34" s="181"/>
      <c r="M34" s="170"/>
      <c r="O34" s="171"/>
      <c r="P34" s="201"/>
      <c r="Q34" s="201"/>
      <c r="R34" s="201"/>
      <c r="S34" s="201"/>
      <c r="T34" s="201"/>
      <c r="U34" s="170"/>
    </row>
    <row r="35" spans="1:22" x14ac:dyDescent="0.2">
      <c r="A35" s="171" t="s">
        <v>402</v>
      </c>
      <c r="B35" s="201"/>
      <c r="C35" s="173">
        <f>'Income Statement'!B18</f>
        <v>2864</v>
      </c>
      <c r="D35" s="173">
        <f>'Income Statement'!C18</f>
        <v>1867</v>
      </c>
      <c r="E35" s="173">
        <f>'Income Statement'!D18</f>
        <v>2122</v>
      </c>
      <c r="F35" s="173">
        <f>'Income Statement'!E18</f>
        <v>2074</v>
      </c>
      <c r="G35" s="167">
        <f>'Income Statement'!F18</f>
        <v>1528</v>
      </c>
      <c r="H35" s="202">
        <f t="shared" ref="H35:M35" si="28">H36*H17</f>
        <v>2957.9784771599238</v>
      </c>
      <c r="I35" s="202">
        <f t="shared" si="28"/>
        <v>3207.7923345885602</v>
      </c>
      <c r="J35" s="202">
        <f t="shared" si="28"/>
        <v>3287.5159462518</v>
      </c>
      <c r="K35" s="202">
        <f t="shared" si="28"/>
        <v>3154.3775867777258</v>
      </c>
      <c r="L35" s="202">
        <f t="shared" si="28"/>
        <v>3477.3265238882773</v>
      </c>
      <c r="M35" s="181">
        <f t="shared" si="28"/>
        <v>4140.4554366354951</v>
      </c>
      <c r="O35" s="171"/>
      <c r="P35" s="201"/>
      <c r="Q35" s="201"/>
      <c r="R35" s="201"/>
      <c r="S35" s="201"/>
      <c r="T35" s="201"/>
      <c r="U35" s="170"/>
    </row>
    <row r="36" spans="1:22" ht="13.5" thickBot="1" x14ac:dyDescent="0.25">
      <c r="A36" s="218" t="s">
        <v>430</v>
      </c>
      <c r="B36" s="183"/>
      <c r="C36" s="209">
        <f>C35/C17</f>
        <v>0.53562745464746586</v>
      </c>
      <c r="D36" s="209">
        <f>D35/D17</f>
        <v>0.30347854356306891</v>
      </c>
      <c r="E36" s="209">
        <f>E35/E17</f>
        <v>0.3362383140548249</v>
      </c>
      <c r="F36" s="209">
        <f>F35/F17</f>
        <v>0.45652652432313451</v>
      </c>
      <c r="G36" s="210">
        <f>G35/G17</f>
        <v>0.20928639912340774</v>
      </c>
      <c r="H36" s="211">
        <f t="shared" ref="H36:M36" si="29">P36</f>
        <v>0.36323144714238037</v>
      </c>
      <c r="I36" s="211">
        <f t="shared" si="29"/>
        <v>0.35823144714238037</v>
      </c>
      <c r="J36" s="211">
        <f t="shared" si="29"/>
        <v>0.35323144714238036</v>
      </c>
      <c r="K36" s="211">
        <f t="shared" si="29"/>
        <v>0.31599518513763719</v>
      </c>
      <c r="L36" s="211">
        <f t="shared" si="29"/>
        <v>0.31499518513763719</v>
      </c>
      <c r="M36" s="223">
        <f t="shared" si="29"/>
        <v>0.33613694234048308</v>
      </c>
      <c r="O36" s="171" t="s">
        <v>436</v>
      </c>
      <c r="P36" s="229">
        <f>AVERAGE(C36:G36)+V36</f>
        <v>0.36323144714238037</v>
      </c>
      <c r="Q36" s="229">
        <f>P36+$V$36</f>
        <v>0.35823144714238037</v>
      </c>
      <c r="R36" s="229">
        <f>Q36+$V$36</f>
        <v>0.35323144714238036</v>
      </c>
      <c r="S36" s="229">
        <f>AVERAGE(G36:J36)+$V$36</f>
        <v>0.31599518513763719</v>
      </c>
      <c r="T36" s="229">
        <f>AVERAGE(G36:K36)+$V$36</f>
        <v>0.31499518513763719</v>
      </c>
      <c r="U36" s="176">
        <f>AVERAGE(H36:L36)+$V$36</f>
        <v>0.33613694234048308</v>
      </c>
      <c r="V36" s="179">
        <v>-5.0000000000000001E-3</v>
      </c>
    </row>
    <row r="37" spans="1:22" ht="13.5" thickTop="1" x14ac:dyDescent="0.2">
      <c r="A37" s="172" t="s">
        <v>8</v>
      </c>
      <c r="C37" s="174">
        <f t="shared" ref="C37:M37" si="30">C32-C35</f>
        <v>-2849</v>
      </c>
      <c r="D37" s="174">
        <f t="shared" si="30"/>
        <v>755</v>
      </c>
      <c r="E37" s="174">
        <f t="shared" si="30"/>
        <v>694</v>
      </c>
      <c r="F37" s="174">
        <f t="shared" si="30"/>
        <v>-259</v>
      </c>
      <c r="G37" s="181">
        <f t="shared" si="30"/>
        <v>2087</v>
      </c>
      <c r="H37" s="174">
        <f t="shared" si="30"/>
        <v>674.49060065693311</v>
      </c>
      <c r="I37" s="174">
        <f t="shared" si="30"/>
        <v>766.94445066868684</v>
      </c>
      <c r="J37" s="174">
        <f t="shared" si="30"/>
        <v>827.21962995968852</v>
      </c>
      <c r="K37" s="174">
        <f t="shared" si="30"/>
        <v>1441.669927037422</v>
      </c>
      <c r="L37" s="174">
        <f t="shared" si="30"/>
        <v>1594.9838308015319</v>
      </c>
      <c r="M37" s="181">
        <f t="shared" si="30"/>
        <v>1541.3404893129373</v>
      </c>
      <c r="O37" s="172"/>
      <c r="P37" s="229"/>
      <c r="Q37" s="229"/>
      <c r="R37" s="229"/>
      <c r="S37" s="229"/>
      <c r="T37" s="229"/>
      <c r="U37" s="176"/>
    </row>
    <row r="38" spans="1:22" x14ac:dyDescent="0.2">
      <c r="A38" s="172" t="s">
        <v>426</v>
      </c>
      <c r="C38" s="177">
        <f t="shared" ref="C38:M38" si="31">C37/C17</f>
        <v>-0.53282214325790167</v>
      </c>
      <c r="D38" s="177">
        <f t="shared" si="31"/>
        <v>0.12272431729518855</v>
      </c>
      <c r="E38" s="177">
        <f t="shared" si="31"/>
        <v>0.1099667247662811</v>
      </c>
      <c r="F38" s="177">
        <f t="shared" si="31"/>
        <v>-5.7010785824345149E-2</v>
      </c>
      <c r="G38" s="178">
        <f t="shared" si="31"/>
        <v>0.28585125325297905</v>
      </c>
      <c r="H38" s="177">
        <f t="shared" si="31"/>
        <v>8.282555091333256E-2</v>
      </c>
      <c r="I38" s="177">
        <f t="shared" si="31"/>
        <v>8.5648817561658333E-2</v>
      </c>
      <c r="J38" s="177">
        <f t="shared" si="31"/>
        <v>8.8881694194789085E-2</v>
      </c>
      <c r="K38" s="177">
        <f t="shared" si="31"/>
        <v>0.14442175769037233</v>
      </c>
      <c r="L38" s="177">
        <f t="shared" si="31"/>
        <v>0.14448232675977721</v>
      </c>
      <c r="M38" s="178">
        <f t="shared" si="31"/>
        <v>0.12513151925244251</v>
      </c>
      <c r="O38" s="171"/>
      <c r="P38" s="229"/>
      <c r="Q38" s="229"/>
      <c r="R38" s="229"/>
      <c r="S38" s="229"/>
      <c r="T38" s="229"/>
      <c r="U38" s="176"/>
    </row>
    <row r="39" spans="1:22" x14ac:dyDescent="0.2">
      <c r="A39" s="172"/>
      <c r="C39" s="174"/>
      <c r="D39" s="174"/>
      <c r="E39" s="174"/>
      <c r="F39" s="174"/>
      <c r="G39" s="181"/>
      <c r="M39" s="170"/>
      <c r="O39" s="171"/>
      <c r="P39" s="229"/>
      <c r="Q39" s="229"/>
      <c r="R39" s="229"/>
      <c r="S39" s="229"/>
      <c r="T39" s="229"/>
      <c r="U39" s="176"/>
    </row>
    <row r="40" spans="1:22" x14ac:dyDescent="0.2">
      <c r="A40" s="171" t="s">
        <v>403</v>
      </c>
      <c r="C40" s="173">
        <f>-'Income Statement'!B27</f>
        <v>325</v>
      </c>
      <c r="D40" s="173">
        <f>-'Income Statement'!C27</f>
        <v>399</v>
      </c>
      <c r="E40" s="173">
        <f>-'Income Statement'!D27</f>
        <v>380</v>
      </c>
      <c r="F40" s="173">
        <f>-'Income Statement'!E27</f>
        <v>468</v>
      </c>
      <c r="G40" s="173">
        <f>-'Income Statement'!F27</f>
        <v>481</v>
      </c>
      <c r="H40" s="294">
        <f>G40*AVERAGE(D40/C40, E40/D40, F40/E40, G40/F40)*0.975</f>
        <v>520.49541932957391</v>
      </c>
      <c r="I40" s="174">
        <f>H40*0.975</f>
        <v>507.48303384633454</v>
      </c>
      <c r="J40" s="174">
        <f t="shared" ref="J40:M40" si="32">I40*0.975</f>
        <v>494.79595800017614</v>
      </c>
      <c r="K40" s="174">
        <f t="shared" si="32"/>
        <v>482.42605905017172</v>
      </c>
      <c r="L40" s="174">
        <f t="shared" si="32"/>
        <v>470.36540757391742</v>
      </c>
      <c r="M40" s="181">
        <f t="shared" si="32"/>
        <v>458.60627238456948</v>
      </c>
      <c r="O40" s="171"/>
      <c r="P40" s="229"/>
      <c r="Q40" s="229"/>
      <c r="R40" s="229"/>
      <c r="S40" s="229"/>
      <c r="T40" s="229"/>
      <c r="U40" s="176"/>
    </row>
    <row r="41" spans="1:22" x14ac:dyDescent="0.2">
      <c r="A41" s="171" t="s">
        <v>404</v>
      </c>
      <c r="C41" s="175">
        <f t="shared" ref="C41:M41" si="33">TaxRate</f>
        <v>0.40268399999999999</v>
      </c>
      <c r="D41" s="175">
        <f t="shared" si="33"/>
        <v>0.40268399999999999</v>
      </c>
      <c r="E41" s="175">
        <f t="shared" si="33"/>
        <v>0.40268399999999999</v>
      </c>
      <c r="F41" s="175">
        <f t="shared" si="33"/>
        <v>0.40268399999999999</v>
      </c>
      <c r="G41" s="176">
        <f t="shared" si="33"/>
        <v>0.40268399999999999</v>
      </c>
      <c r="H41" s="175">
        <f t="shared" si="33"/>
        <v>0.40268399999999999</v>
      </c>
      <c r="I41" s="175">
        <f t="shared" si="33"/>
        <v>0.40268399999999999</v>
      </c>
      <c r="J41" s="175">
        <f t="shared" si="33"/>
        <v>0.40268399999999999</v>
      </c>
      <c r="K41" s="175">
        <f t="shared" si="33"/>
        <v>0.40268399999999999</v>
      </c>
      <c r="L41" s="175">
        <f t="shared" si="33"/>
        <v>0.40268399999999999</v>
      </c>
      <c r="M41" s="176">
        <f t="shared" si="33"/>
        <v>0.40268399999999999</v>
      </c>
      <c r="O41" s="171"/>
      <c r="P41" s="229"/>
      <c r="Q41" s="229"/>
      <c r="R41" s="229"/>
      <c r="S41" s="229"/>
      <c r="T41" s="229"/>
      <c r="U41" s="176"/>
    </row>
    <row r="42" spans="1:22" ht="13.5" thickBot="1" x14ac:dyDescent="0.25">
      <c r="A42" s="197" t="s">
        <v>46</v>
      </c>
      <c r="B42" s="183"/>
      <c r="C42" s="184">
        <f t="shared" ref="C42:M42" si="34">(C37-C40)*C41</f>
        <v>-1278.1190159999999</v>
      </c>
      <c r="D42" s="184">
        <f t="shared" si="34"/>
        <v>143.355504</v>
      </c>
      <c r="E42" s="184">
        <f t="shared" si="34"/>
        <v>126.44277599999999</v>
      </c>
      <c r="F42" s="184">
        <f t="shared" si="34"/>
        <v>-292.75126799999998</v>
      </c>
      <c r="G42" s="189">
        <f t="shared" si="34"/>
        <v>646.71050400000001</v>
      </c>
      <c r="H42" s="184">
        <f t="shared" si="34"/>
        <v>62.011395597626311</v>
      </c>
      <c r="I42" s="184">
        <f t="shared" si="34"/>
        <v>104.48096117169212</v>
      </c>
      <c r="J42" s="184">
        <f t="shared" si="34"/>
        <v>133.86169391934428</v>
      </c>
      <c r="K42" s="184">
        <f t="shared" si="34"/>
        <v>386.27215773657787</v>
      </c>
      <c r="L42" s="184">
        <f t="shared" si="34"/>
        <v>452.86584513898873</v>
      </c>
      <c r="M42" s="189">
        <f t="shared" si="34"/>
        <v>435.99974540958289</v>
      </c>
      <c r="O42" s="171"/>
      <c r="P42" s="201"/>
      <c r="Q42" s="201"/>
      <c r="R42" s="201"/>
      <c r="S42" s="201"/>
      <c r="T42" s="201"/>
      <c r="U42" s="170"/>
    </row>
    <row r="43" spans="1:22" ht="13.5" thickTop="1" x14ac:dyDescent="0.2">
      <c r="A43" s="244" t="s">
        <v>44</v>
      </c>
      <c r="B43" s="245"/>
      <c r="C43" s="246">
        <f t="shared" ref="C43:M43" si="35">C37-SUM(C40,C42)</f>
        <v>-1895.8809840000001</v>
      </c>
      <c r="D43" s="246">
        <f t="shared" si="35"/>
        <v>212.644496</v>
      </c>
      <c r="E43" s="246">
        <f t="shared" si="35"/>
        <v>187.55722400000002</v>
      </c>
      <c r="F43" s="246">
        <f t="shared" si="35"/>
        <v>-434.24873200000002</v>
      </c>
      <c r="G43" s="247">
        <f t="shared" si="35"/>
        <v>959.28949599999987</v>
      </c>
      <c r="H43" s="246">
        <f t="shared" si="35"/>
        <v>91.983785729732858</v>
      </c>
      <c r="I43" s="246">
        <f t="shared" si="35"/>
        <v>154.98045565066013</v>
      </c>
      <c r="J43" s="246">
        <f t="shared" si="35"/>
        <v>198.56197804016813</v>
      </c>
      <c r="K43" s="246">
        <f t="shared" si="35"/>
        <v>572.97171025067246</v>
      </c>
      <c r="L43" s="246">
        <f t="shared" si="35"/>
        <v>671.7525780886258</v>
      </c>
      <c r="M43" s="247">
        <f t="shared" si="35"/>
        <v>646.73447151878486</v>
      </c>
      <c r="O43" s="171"/>
      <c r="P43" s="229"/>
      <c r="Q43" s="229"/>
      <c r="R43" s="229"/>
      <c r="S43" s="229"/>
      <c r="T43" s="229"/>
      <c r="U43" s="176"/>
    </row>
    <row r="44" spans="1:22" x14ac:dyDescent="0.2">
      <c r="A44" s="171"/>
      <c r="G44" s="170"/>
      <c r="H44" s="191"/>
      <c r="I44" s="191"/>
      <c r="J44" s="191"/>
      <c r="K44" s="191"/>
      <c r="L44" s="278" t="s">
        <v>100</v>
      </c>
      <c r="M44" s="181">
        <f>M43/SharesOutstanding</f>
        <v>2.0989045944772546</v>
      </c>
      <c r="O44" s="171"/>
      <c r="P44" s="201"/>
      <c r="Q44" s="201"/>
      <c r="R44" s="201"/>
      <c r="S44" s="201"/>
      <c r="T44" s="201"/>
      <c r="U44" s="170"/>
    </row>
    <row r="45" spans="1:22" x14ac:dyDescent="0.2">
      <c r="A45" s="172" t="s">
        <v>405</v>
      </c>
      <c r="G45" s="170"/>
      <c r="L45" s="279" t="s">
        <v>452</v>
      </c>
      <c r="M45" s="277">
        <f>CurrentPrice/M44</f>
        <v>51.279129257805032</v>
      </c>
      <c r="O45" s="171"/>
      <c r="P45" s="201"/>
      <c r="Q45" s="201"/>
      <c r="R45" s="201"/>
      <c r="S45" s="201"/>
      <c r="T45" s="201"/>
      <c r="U45" s="170"/>
    </row>
    <row r="46" spans="1:22" x14ac:dyDescent="0.2">
      <c r="A46" s="171" t="s">
        <v>406</v>
      </c>
      <c r="C46" s="192">
        <f>'Balance Sheet'!B11</f>
        <v>677</v>
      </c>
      <c r="D46" s="192">
        <f>'Balance Sheet'!C11</f>
        <v>771</v>
      </c>
      <c r="E46" s="192">
        <f>'Balance Sheet'!D11</f>
        <v>940</v>
      </c>
      <c r="F46" s="192">
        <f>'Balance Sheet'!E11</f>
        <v>710</v>
      </c>
      <c r="G46" s="167">
        <f>'Balance Sheet'!F11</f>
        <v>1062</v>
      </c>
      <c r="H46" s="174"/>
      <c r="I46" s="174"/>
      <c r="J46" s="174"/>
      <c r="K46" s="174"/>
      <c r="L46" s="174"/>
      <c r="M46" s="181"/>
      <c r="O46" s="171"/>
      <c r="P46" s="201"/>
      <c r="Q46" s="201"/>
      <c r="R46" s="201"/>
      <c r="S46" s="201"/>
      <c r="T46" s="201"/>
      <c r="U46" s="170"/>
    </row>
    <row r="47" spans="1:22" x14ac:dyDescent="0.2">
      <c r="A47" s="171" t="s">
        <v>407</v>
      </c>
      <c r="C47" s="192">
        <f>'Balance Sheet'!B15</f>
        <v>232</v>
      </c>
      <c r="D47" s="192">
        <f>'Balance Sheet'!C15</f>
        <v>245</v>
      </c>
      <c r="E47" s="192">
        <f>'Balance Sheet'!D15</f>
        <v>261</v>
      </c>
      <c r="F47" s="192">
        <f>'Balance Sheet'!E15</f>
        <v>378</v>
      </c>
      <c r="G47" s="167">
        <f>'Balance Sheet'!F15</f>
        <v>223</v>
      </c>
      <c r="H47" s="174"/>
      <c r="I47" s="174"/>
      <c r="J47" s="174"/>
      <c r="K47" s="174"/>
      <c r="L47" s="174"/>
      <c r="M47" s="181"/>
      <c r="O47" s="171"/>
      <c r="P47" s="201"/>
      <c r="Q47" s="201"/>
      <c r="R47" s="201"/>
      <c r="S47" s="201"/>
      <c r="T47" s="201"/>
      <c r="U47" s="170"/>
    </row>
    <row r="48" spans="1:22" x14ac:dyDescent="0.2">
      <c r="A48" s="171" t="s">
        <v>408</v>
      </c>
      <c r="C48" s="192">
        <f>'Cash Flow'!B22</f>
        <v>945</v>
      </c>
      <c r="D48" s="192">
        <f>'Cash Flow'!C22</f>
        <v>1939</v>
      </c>
      <c r="E48" s="192">
        <f>'Cash Flow'!D22</f>
        <v>1642</v>
      </c>
      <c r="F48" s="192">
        <f>'Cash Flow'!E22</f>
        <v>1333</v>
      </c>
      <c r="G48" s="167">
        <f>'Cash Flow'!F22</f>
        <v>2890</v>
      </c>
      <c r="H48" s="174"/>
      <c r="I48" s="174"/>
      <c r="J48" s="174"/>
      <c r="K48" s="174"/>
      <c r="L48" s="174"/>
      <c r="M48" s="181"/>
      <c r="O48" s="171"/>
      <c r="P48" s="201"/>
      <c r="Q48" s="201"/>
      <c r="R48" s="201"/>
      <c r="S48" s="201"/>
      <c r="T48" s="201"/>
      <c r="U48" s="170"/>
    </row>
    <row r="49" spans="1:22" x14ac:dyDescent="0.2">
      <c r="A49" s="171" t="s">
        <v>409</v>
      </c>
      <c r="C49" s="192">
        <f>'Balance Sheet'!B30</f>
        <v>435</v>
      </c>
      <c r="D49" s="192">
        <f>'Balance Sheet'!C30</f>
        <v>495</v>
      </c>
      <c r="E49" s="192">
        <f>'Balance Sheet'!D30</f>
        <v>411</v>
      </c>
      <c r="F49" s="192">
        <f>'Balance Sheet'!E30</f>
        <v>200</v>
      </c>
      <c r="G49" s="167">
        <f>'Balance Sheet'!F30</f>
        <v>220</v>
      </c>
      <c r="H49" s="174"/>
      <c r="I49" s="174"/>
      <c r="J49" s="174"/>
      <c r="K49" s="174"/>
      <c r="L49" s="174"/>
      <c r="M49" s="181"/>
      <c r="O49" s="171"/>
      <c r="P49" s="201"/>
      <c r="Q49" s="201"/>
      <c r="R49" s="201"/>
      <c r="S49" s="201"/>
      <c r="T49" s="201"/>
      <c r="U49" s="170"/>
    </row>
    <row r="50" spans="1:22" x14ac:dyDescent="0.2">
      <c r="A50" s="171" t="s">
        <v>410</v>
      </c>
      <c r="C50" s="192">
        <v>0</v>
      </c>
      <c r="D50" s="192">
        <v>0</v>
      </c>
      <c r="E50" s="192">
        <v>0</v>
      </c>
      <c r="F50" s="192">
        <v>0</v>
      </c>
      <c r="G50" s="167">
        <v>0</v>
      </c>
      <c r="H50" s="174"/>
      <c r="I50" s="174"/>
      <c r="J50" s="174"/>
      <c r="K50" s="174"/>
      <c r="L50" s="174"/>
      <c r="M50" s="181"/>
      <c r="O50" s="171"/>
      <c r="P50" s="201"/>
      <c r="Q50" s="201"/>
      <c r="R50" s="201"/>
      <c r="S50" s="201"/>
      <c r="T50" s="201"/>
      <c r="U50" s="170"/>
    </row>
    <row r="51" spans="1:22" x14ac:dyDescent="0.2">
      <c r="A51" s="172" t="s">
        <v>411</v>
      </c>
      <c r="C51" s="192">
        <f>C46+C47+C48-C49-C50</f>
        <v>1419</v>
      </c>
      <c r="D51" s="192">
        <f>D46+D47+D48-D49-D50</f>
        <v>2460</v>
      </c>
      <c r="E51" s="192">
        <f>E46+E47+E48-E49-E50</f>
        <v>2432</v>
      </c>
      <c r="F51" s="192">
        <f>F46+F47+F48-F49-F50</f>
        <v>2221</v>
      </c>
      <c r="G51" s="167">
        <f>G46+G47+G48-G49-G50</f>
        <v>3955</v>
      </c>
      <c r="H51" s="192">
        <f t="shared" ref="H51:M51" si="36">H52*H17</f>
        <v>4196.3118497539917</v>
      </c>
      <c r="I51" s="192">
        <f t="shared" si="36"/>
        <v>4658.9971624530153</v>
      </c>
      <c r="J51" s="192">
        <f t="shared" si="36"/>
        <v>4939.8230461084777</v>
      </c>
      <c r="K51" s="192">
        <f t="shared" si="36"/>
        <v>5261.8892942419525</v>
      </c>
      <c r="L51" s="192">
        <f t="shared" si="36"/>
        <v>5862.5303466785872</v>
      </c>
      <c r="M51" s="167">
        <f t="shared" si="36"/>
        <v>6585.6696842173069</v>
      </c>
      <c r="O51" s="171"/>
      <c r="P51" s="201"/>
      <c r="Q51" s="201"/>
      <c r="R51" s="201"/>
      <c r="S51" s="201"/>
      <c r="T51" s="201"/>
      <c r="U51" s="170"/>
    </row>
    <row r="52" spans="1:22" x14ac:dyDescent="0.2">
      <c r="A52" s="171" t="s">
        <v>428</v>
      </c>
      <c r="C52" s="182">
        <f>C51/C17</f>
        <v>0.26538245745277728</v>
      </c>
      <c r="D52" s="182">
        <f>D51/D17</f>
        <v>0.39986996098829647</v>
      </c>
      <c r="E52" s="182">
        <f>E51/E17</f>
        <v>0.38535889716368243</v>
      </c>
      <c r="F52" s="182">
        <f>F51/F17</f>
        <v>0.48888399735857363</v>
      </c>
      <c r="G52" s="178">
        <f>G51/G17</f>
        <v>0.54170661553211885</v>
      </c>
      <c r="H52" s="212">
        <f t="shared" ref="H52:M52" si="37">P52</f>
        <v>0.51529530644534627</v>
      </c>
      <c r="I52" s="212">
        <f t="shared" si="37"/>
        <v>0.52029530644534627</v>
      </c>
      <c r="J52" s="212">
        <f t="shared" si="37"/>
        <v>0.5307657428076038</v>
      </c>
      <c r="K52" s="212">
        <f t="shared" si="37"/>
        <v>0.52711878523276545</v>
      </c>
      <c r="L52" s="212">
        <f t="shared" si="37"/>
        <v>0.53105994482857177</v>
      </c>
      <c r="M52" s="224">
        <f t="shared" si="37"/>
        <v>0.53464815762298035</v>
      </c>
      <c r="O52" s="186" t="s">
        <v>442</v>
      </c>
      <c r="P52" s="230">
        <f>AVERAGE(F52:G52)</f>
        <v>0.51529530644534627</v>
      </c>
      <c r="Q52" s="230">
        <f>AVERAGE(F52:H52)+$V$52</f>
        <v>0.52029530644534627</v>
      </c>
      <c r="R52" s="230">
        <f t="shared" ref="R52:U52" si="38">AVERAGE(G52:I52)+$V$52</f>
        <v>0.5307657428076038</v>
      </c>
      <c r="S52" s="230">
        <f t="shared" si="38"/>
        <v>0.52711878523276545</v>
      </c>
      <c r="T52" s="230">
        <f t="shared" si="38"/>
        <v>0.53105994482857177</v>
      </c>
      <c r="U52" s="231">
        <f t="shared" si="38"/>
        <v>0.53464815762298035</v>
      </c>
      <c r="V52" s="179">
        <v>5.0000000000000001E-3</v>
      </c>
    </row>
    <row r="53" spans="1:22" x14ac:dyDescent="0.2">
      <c r="A53" s="172" t="s">
        <v>412</v>
      </c>
      <c r="C53" s="192"/>
      <c r="D53" s="192">
        <f>D51-C51</f>
        <v>1041</v>
      </c>
      <c r="E53" s="192">
        <f>E51-D51</f>
        <v>-28</v>
      </c>
      <c r="F53" s="192">
        <f t="shared" ref="F53:M53" si="39">F51-E51</f>
        <v>-211</v>
      </c>
      <c r="G53" s="167">
        <f t="shared" si="39"/>
        <v>1734</v>
      </c>
      <c r="H53" s="192">
        <f>H51-G51</f>
        <v>241.31184975399174</v>
      </c>
      <c r="I53" s="192">
        <f t="shared" si="39"/>
        <v>462.6853126990236</v>
      </c>
      <c r="J53" s="192">
        <f t="shared" si="39"/>
        <v>280.82588365546235</v>
      </c>
      <c r="K53" s="192">
        <f t="shared" si="39"/>
        <v>322.0662481334748</v>
      </c>
      <c r="L53" s="192">
        <f t="shared" si="39"/>
        <v>600.64105243663471</v>
      </c>
      <c r="M53" s="167">
        <f t="shared" si="39"/>
        <v>723.1393375387197</v>
      </c>
    </row>
    <row r="54" spans="1:22" x14ac:dyDescent="0.2">
      <c r="A54" s="171"/>
      <c r="C54" s="191"/>
      <c r="D54" s="191"/>
      <c r="E54" s="191"/>
      <c r="F54" s="191"/>
      <c r="G54" s="188"/>
      <c r="H54" s="191"/>
      <c r="I54" s="191"/>
      <c r="J54" s="191"/>
      <c r="K54" s="191"/>
      <c r="L54" s="191"/>
      <c r="M54" s="188"/>
    </row>
    <row r="55" spans="1:22" x14ac:dyDescent="0.2">
      <c r="A55" s="172" t="s">
        <v>446</v>
      </c>
      <c r="G55" s="170"/>
      <c r="M55" s="170"/>
    </row>
    <row r="56" spans="1:22" x14ac:dyDescent="0.2">
      <c r="A56" s="171" t="s">
        <v>449</v>
      </c>
      <c r="C56" s="174">
        <f t="shared" ref="C56:M56" si="40">(C43+C42+C40)*(1-C41)</f>
        <v>-1701.7532839999999</v>
      </c>
      <c r="D56" s="174">
        <f t="shared" si="40"/>
        <v>450.97357999999997</v>
      </c>
      <c r="E56" s="174">
        <f t="shared" si="40"/>
        <v>414.53730399999995</v>
      </c>
      <c r="F56" s="174">
        <f t="shared" si="40"/>
        <v>-154.70484399999998</v>
      </c>
      <c r="G56" s="181">
        <f t="shared" si="40"/>
        <v>1246.5984919999999</v>
      </c>
      <c r="H56" s="174">
        <f t="shared" si="40"/>
        <v>402.88402762199661</v>
      </c>
      <c r="I56" s="174">
        <f t="shared" si="40"/>
        <v>458.10819149561729</v>
      </c>
      <c r="J56" s="174">
        <f t="shared" si="40"/>
        <v>494.11152048900129</v>
      </c>
      <c r="K56" s="174">
        <f t="shared" si="40"/>
        <v>861.13251413828471</v>
      </c>
      <c r="L56" s="174">
        <f t="shared" si="40"/>
        <v>952.70936187904772</v>
      </c>
      <c r="M56" s="181">
        <f t="shared" si="40"/>
        <v>920.66733571444638</v>
      </c>
    </row>
    <row r="57" spans="1:22" x14ac:dyDescent="0.2">
      <c r="A57" s="171" t="s">
        <v>448</v>
      </c>
      <c r="C57" s="174">
        <f t="shared" ref="C57:M57" si="41">C35</f>
        <v>2864</v>
      </c>
      <c r="D57" s="174">
        <f t="shared" si="41"/>
        <v>1867</v>
      </c>
      <c r="E57" s="174">
        <f t="shared" si="41"/>
        <v>2122</v>
      </c>
      <c r="F57" s="174">
        <f t="shared" si="41"/>
        <v>2074</v>
      </c>
      <c r="G57" s="181">
        <f t="shared" si="41"/>
        <v>1528</v>
      </c>
      <c r="H57" s="174">
        <f t="shared" si="41"/>
        <v>2957.9784771599238</v>
      </c>
      <c r="I57" s="174">
        <f t="shared" si="41"/>
        <v>3207.7923345885602</v>
      </c>
      <c r="J57" s="174">
        <f t="shared" si="41"/>
        <v>3287.5159462518</v>
      </c>
      <c r="K57" s="174">
        <f t="shared" si="41"/>
        <v>3154.3775867777258</v>
      </c>
      <c r="L57" s="174">
        <f t="shared" si="41"/>
        <v>3477.3265238882773</v>
      </c>
      <c r="M57" s="181">
        <f t="shared" si="41"/>
        <v>4140.4554366354951</v>
      </c>
    </row>
    <row r="58" spans="1:22" x14ac:dyDescent="0.2">
      <c r="A58" s="171" t="s">
        <v>413</v>
      </c>
      <c r="C58" s="174">
        <f>C53</f>
        <v>0</v>
      </c>
      <c r="D58" s="174">
        <f>-D53</f>
        <v>-1041</v>
      </c>
      <c r="E58" s="174">
        <f>-E53</f>
        <v>28</v>
      </c>
      <c r="F58" s="174">
        <f>-F53</f>
        <v>211</v>
      </c>
      <c r="G58" s="181">
        <f>-G53</f>
        <v>-1734</v>
      </c>
      <c r="H58" s="174">
        <f t="shared" ref="H58:M58" si="42">H53</f>
        <v>241.31184975399174</v>
      </c>
      <c r="I58" s="174">
        <f t="shared" si="42"/>
        <v>462.6853126990236</v>
      </c>
      <c r="J58" s="174">
        <f t="shared" si="42"/>
        <v>280.82588365546235</v>
      </c>
      <c r="K58" s="174">
        <f t="shared" si="42"/>
        <v>322.0662481334748</v>
      </c>
      <c r="L58" s="174">
        <f t="shared" si="42"/>
        <v>600.64105243663471</v>
      </c>
      <c r="M58" s="181">
        <f t="shared" si="42"/>
        <v>723.1393375387197</v>
      </c>
    </row>
    <row r="59" spans="1:22" x14ac:dyDescent="0.2">
      <c r="A59" s="171" t="s">
        <v>414</v>
      </c>
      <c r="C59" s="192">
        <f>'Cash Flow'!B24</f>
        <v>-1937</v>
      </c>
      <c r="D59" s="192">
        <f>'Cash Flow'!C24</f>
        <v>-2097</v>
      </c>
      <c r="E59" s="192">
        <f>'Cash Flow'!D24</f>
        <v>-2829</v>
      </c>
      <c r="F59" s="192">
        <f>'Cash Flow'!E24</f>
        <v>-2197</v>
      </c>
      <c r="G59" s="167">
        <f>'Cash Flow'!F24</f>
        <v>-1747</v>
      </c>
      <c r="H59" s="192">
        <f>AVERAGE(C59:G59)</f>
        <v>-2161.4</v>
      </c>
      <c r="I59" s="192">
        <f t="shared" ref="I59:M59" si="43">AVERAGE(D59:H59)</f>
        <v>-2206.2799999999997</v>
      </c>
      <c r="J59" s="192">
        <f t="shared" si="43"/>
        <v>-2228.136</v>
      </c>
      <c r="K59" s="192">
        <f t="shared" si="43"/>
        <v>-2107.9632000000001</v>
      </c>
      <c r="L59" s="192">
        <f t="shared" si="43"/>
        <v>-2090.1558400000004</v>
      </c>
      <c r="M59" s="167">
        <f t="shared" si="43"/>
        <v>-2158.7870080000002</v>
      </c>
    </row>
    <row r="60" spans="1:22" x14ac:dyDescent="0.2">
      <c r="A60" s="168" t="s">
        <v>447</v>
      </c>
      <c r="B60" s="187"/>
      <c r="C60" s="219"/>
      <c r="D60" s="219">
        <f t="shared" ref="D60:M60" si="44">SUM(D56:D59)</f>
        <v>-820.02642000000014</v>
      </c>
      <c r="E60" s="219">
        <f t="shared" si="44"/>
        <v>-264.46269600000005</v>
      </c>
      <c r="F60" s="219">
        <f t="shared" si="44"/>
        <v>-66.704843999999866</v>
      </c>
      <c r="G60" s="220">
        <f t="shared" si="44"/>
        <v>-706.40150799999992</v>
      </c>
      <c r="H60" s="219">
        <f t="shared" si="44"/>
        <v>1440.7743545359122</v>
      </c>
      <c r="I60" s="219">
        <f t="shared" si="44"/>
        <v>1922.3058387832016</v>
      </c>
      <c r="J60" s="219">
        <f t="shared" si="44"/>
        <v>1834.3173503962635</v>
      </c>
      <c r="K60" s="219">
        <f t="shared" si="44"/>
        <v>2229.6131490494854</v>
      </c>
      <c r="L60" s="219">
        <f t="shared" si="44"/>
        <v>2940.5210982039598</v>
      </c>
      <c r="M60" s="220">
        <f t="shared" si="44"/>
        <v>3625.4751018886609</v>
      </c>
    </row>
    <row r="62" spans="1:22" x14ac:dyDescent="0.2">
      <c r="H62" s="191"/>
      <c r="I62" s="191"/>
      <c r="J62" s="191"/>
      <c r="K62" s="191"/>
      <c r="L62" s="191"/>
      <c r="M62" s="191"/>
    </row>
    <row r="63" spans="1:22" x14ac:dyDescent="0.2">
      <c r="B63" s="302" t="s">
        <v>445</v>
      </c>
      <c r="C63" s="303"/>
      <c r="G63" s="193" t="s">
        <v>416</v>
      </c>
      <c r="H63" s="194">
        <v>1</v>
      </c>
      <c r="I63" s="194">
        <v>2</v>
      </c>
      <c r="J63" s="194">
        <v>3</v>
      </c>
      <c r="K63" s="194">
        <v>4</v>
      </c>
      <c r="L63" s="194">
        <v>5</v>
      </c>
      <c r="M63" s="195">
        <v>6</v>
      </c>
      <c r="O63" s="169" t="s">
        <v>36</v>
      </c>
    </row>
    <row r="64" spans="1:22" x14ac:dyDescent="0.2">
      <c r="B64" s="172" t="s">
        <v>417</v>
      </c>
      <c r="C64" s="181">
        <f>M66/(1+M64)^M63</f>
        <v>20958.072635073091</v>
      </c>
      <c r="G64" s="171" t="s">
        <v>418</v>
      </c>
      <c r="H64" s="185">
        <f t="shared" ref="H64:M64" si="45">WACC</f>
        <v>8.4995069288908556E-2</v>
      </c>
      <c r="I64" s="185">
        <f t="shared" si="45"/>
        <v>8.4995069288908556E-2</v>
      </c>
      <c r="J64" s="185">
        <f t="shared" si="45"/>
        <v>8.4995069288908556E-2</v>
      </c>
      <c r="K64" s="185">
        <f t="shared" si="45"/>
        <v>8.4995069288908556E-2</v>
      </c>
      <c r="L64" s="185">
        <f t="shared" si="45"/>
        <v>8.4995069288908556E-2</v>
      </c>
      <c r="M64" s="188">
        <f t="shared" si="45"/>
        <v>8.4995069288908556E-2</v>
      </c>
      <c r="O64" s="261">
        <v>0.02</v>
      </c>
    </row>
    <row r="65" spans="2:15" x14ac:dyDescent="0.2">
      <c r="B65" s="172" t="s">
        <v>419</v>
      </c>
      <c r="C65" s="165">
        <f>SUM(H65:M65)</f>
        <v>10183.720901813522</v>
      </c>
      <c r="G65" s="233" t="s">
        <v>420</v>
      </c>
      <c r="H65" s="173">
        <f t="shared" ref="H65:M65" si="46">H60/(1+H64)^H63</f>
        <v>1327.9086655022097</v>
      </c>
      <c r="I65" s="173">
        <f t="shared" si="46"/>
        <v>1632.9276990269814</v>
      </c>
      <c r="J65" s="173">
        <f t="shared" si="46"/>
        <v>1436.1214877070072</v>
      </c>
      <c r="K65" s="173">
        <f t="shared" si="46"/>
        <v>1608.8607574677494</v>
      </c>
      <c r="L65" s="173">
        <f t="shared" si="46"/>
        <v>1955.6245340746932</v>
      </c>
      <c r="M65" s="167">
        <f t="shared" si="46"/>
        <v>2222.2777580348811</v>
      </c>
    </row>
    <row r="66" spans="2:15" x14ac:dyDescent="0.2">
      <c r="B66" s="172" t="s">
        <v>31</v>
      </c>
      <c r="C66" s="181">
        <f>C65+C64</f>
        <v>31141.793536886613</v>
      </c>
      <c r="G66" s="186"/>
      <c r="H66" s="187"/>
      <c r="I66" s="187"/>
      <c r="J66" s="187"/>
      <c r="K66" s="187"/>
      <c r="L66" s="187"/>
      <c r="M66" s="196">
        <f>(M65)/(M64-O64)</f>
        <v>34191.482251625421</v>
      </c>
      <c r="O66" s="169" t="s">
        <v>421</v>
      </c>
    </row>
    <row r="67" spans="2:15" x14ac:dyDescent="0.2">
      <c r="B67" s="172" t="s">
        <v>39</v>
      </c>
      <c r="C67" s="166">
        <f>-Debt</f>
        <v>-9141</v>
      </c>
    </row>
    <row r="68" spans="2:15" x14ac:dyDescent="0.2">
      <c r="B68" s="172" t="s">
        <v>422</v>
      </c>
      <c r="C68" s="166">
        <f>'Balance Sheet'!F9</f>
        <v>2713</v>
      </c>
    </row>
    <row r="69" spans="2:15" x14ac:dyDescent="0.2">
      <c r="B69" s="172" t="s">
        <v>25</v>
      </c>
      <c r="C69" s="181">
        <f>C66+C67+C68</f>
        <v>24713.793536886613</v>
      </c>
    </row>
    <row r="70" spans="2:15" x14ac:dyDescent="0.2">
      <c r="B70" s="172" t="s">
        <v>3</v>
      </c>
      <c r="C70" s="170">
        <f>SharesOutstanding</f>
        <v>308.12952300000001</v>
      </c>
    </row>
    <row r="71" spans="2:15" ht="13.5" thickBot="1" x14ac:dyDescent="0.25">
      <c r="B71" s="241" t="s">
        <v>423</v>
      </c>
      <c r="C71" s="198">
        <f>CurrentPrice</f>
        <v>107.63</v>
      </c>
    </row>
    <row r="72" spans="2:15" ht="13.5" thickTop="1" x14ac:dyDescent="0.2">
      <c r="B72" s="172" t="s">
        <v>424</v>
      </c>
      <c r="C72" s="181">
        <f>C69/C70</f>
        <v>80.205860497459085</v>
      </c>
    </row>
    <row r="73" spans="2:15" x14ac:dyDescent="0.2">
      <c r="B73" s="242" t="s">
        <v>43</v>
      </c>
      <c r="C73" s="243">
        <f>(C72-C71)/C71</f>
        <v>-0.25480014403550044</v>
      </c>
    </row>
  </sheetData>
  <mergeCells count="8">
    <mergeCell ref="B63:C63"/>
    <mergeCell ref="A1:V3"/>
    <mergeCell ref="A4:V4"/>
    <mergeCell ref="A5:B5"/>
    <mergeCell ref="C5:G5"/>
    <mergeCell ref="H5:M5"/>
    <mergeCell ref="O5:U6"/>
    <mergeCell ref="A6:B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78DB-39B0-4846-8932-BCAA847917D7}">
  <dimension ref="A1:V73"/>
  <sheetViews>
    <sheetView showGridLines="0" zoomScaleNormal="100" workbookViewId="0">
      <pane ySplit="7" topLeftCell="A23" activePane="bottomLeft" state="frozen"/>
      <selection pane="bottomLeft" activeCell="H13" sqref="H13:M13"/>
    </sheetView>
  </sheetViews>
  <sheetFormatPr defaultColWidth="10.125" defaultRowHeight="12.75" x14ac:dyDescent="0.2"/>
  <cols>
    <col min="1" max="1" width="10.125" style="169" customWidth="1"/>
    <col min="2" max="2" width="16.375" style="169" bestFit="1" customWidth="1"/>
    <col min="3" max="3" width="11.625" style="169" bestFit="1" customWidth="1"/>
    <col min="4" max="4" width="16.375" style="169" bestFit="1" customWidth="1"/>
    <col min="5" max="5" width="14.5" style="169" bestFit="1" customWidth="1"/>
    <col min="6" max="14" width="11.625" style="169" bestFit="1" customWidth="1"/>
    <col min="15" max="15" width="33.375" style="169" bestFit="1" customWidth="1"/>
    <col min="16" max="21" width="6.625" style="169" bestFit="1" customWidth="1"/>
    <col min="22" max="22" width="11.875" style="169" bestFit="1" customWidth="1"/>
    <col min="23" max="23" width="10.375" style="169" bestFit="1" customWidth="1"/>
    <col min="24" max="16384" width="10.125" style="169"/>
  </cols>
  <sheetData>
    <row r="1" spans="1:22" ht="15.75" customHeight="1" x14ac:dyDescent="0.2">
      <c r="A1" s="299" t="s">
        <v>85</v>
      </c>
      <c r="B1" s="299"/>
      <c r="C1" s="299"/>
      <c r="D1" s="299"/>
      <c r="E1" s="299"/>
      <c r="F1" s="299"/>
      <c r="G1" s="299"/>
      <c r="H1" s="299"/>
      <c r="I1" s="299"/>
      <c r="J1" s="299"/>
      <c r="K1" s="299"/>
      <c r="L1" s="299"/>
      <c r="M1" s="299"/>
      <c r="N1" s="299"/>
      <c r="O1" s="299"/>
      <c r="P1" s="299"/>
      <c r="Q1" s="299"/>
      <c r="R1" s="299"/>
      <c r="S1" s="299"/>
      <c r="T1" s="299"/>
      <c r="U1" s="299"/>
      <c r="V1" s="299"/>
    </row>
    <row r="2" spans="1:22" ht="15.75" customHeight="1" x14ac:dyDescent="0.2">
      <c r="A2" s="299"/>
      <c r="B2" s="299"/>
      <c r="C2" s="299"/>
      <c r="D2" s="299"/>
      <c r="E2" s="299"/>
      <c r="F2" s="299"/>
      <c r="G2" s="299"/>
      <c r="H2" s="299"/>
      <c r="I2" s="299"/>
      <c r="J2" s="299"/>
      <c r="K2" s="299"/>
      <c r="L2" s="299"/>
      <c r="M2" s="299"/>
      <c r="N2" s="299"/>
      <c r="O2" s="299"/>
      <c r="P2" s="299"/>
      <c r="Q2" s="299"/>
      <c r="R2" s="299"/>
      <c r="S2" s="299"/>
      <c r="T2" s="299"/>
      <c r="U2" s="299"/>
      <c r="V2" s="299"/>
    </row>
    <row r="3" spans="1:22" ht="16.5" customHeight="1" thickBot="1" x14ac:dyDescent="0.25">
      <c r="A3" s="300"/>
      <c r="B3" s="300"/>
      <c r="C3" s="300"/>
      <c r="D3" s="300"/>
      <c r="E3" s="300"/>
      <c r="F3" s="300"/>
      <c r="G3" s="300"/>
      <c r="H3" s="300"/>
      <c r="I3" s="300"/>
      <c r="J3" s="300"/>
      <c r="K3" s="300"/>
      <c r="L3" s="300"/>
      <c r="M3" s="300"/>
      <c r="N3" s="300"/>
      <c r="O3" s="300"/>
      <c r="P3" s="300"/>
      <c r="Q3" s="300"/>
      <c r="R3" s="300"/>
      <c r="S3" s="300"/>
      <c r="T3" s="300"/>
      <c r="U3" s="300"/>
      <c r="V3" s="300"/>
    </row>
    <row r="4" spans="1:22" ht="30.75" customHeight="1" x14ac:dyDescent="0.2">
      <c r="A4" s="301" t="s">
        <v>444</v>
      </c>
      <c r="B4" s="301"/>
      <c r="C4" s="301"/>
      <c r="D4" s="301"/>
      <c r="E4" s="301"/>
      <c r="F4" s="301"/>
      <c r="G4" s="301"/>
      <c r="H4" s="301"/>
      <c r="I4" s="301"/>
      <c r="J4" s="301"/>
      <c r="K4" s="301"/>
      <c r="L4" s="301"/>
      <c r="M4" s="301"/>
      <c r="N4" s="301"/>
      <c r="O4" s="301"/>
      <c r="P4" s="301"/>
      <c r="Q4" s="301"/>
      <c r="R4" s="301"/>
      <c r="S4" s="301"/>
      <c r="T4" s="301"/>
      <c r="U4" s="301"/>
      <c r="V4" s="301"/>
    </row>
    <row r="5" spans="1:22" ht="18" customHeight="1" x14ac:dyDescent="0.2">
      <c r="A5" s="304" t="s">
        <v>439</v>
      </c>
      <c r="B5" s="304"/>
      <c r="C5" s="304" t="s">
        <v>382</v>
      </c>
      <c r="D5" s="304"/>
      <c r="E5" s="304"/>
      <c r="F5" s="304"/>
      <c r="G5" s="303"/>
      <c r="H5" s="306" t="s">
        <v>35</v>
      </c>
      <c r="I5" s="307"/>
      <c r="J5" s="307"/>
      <c r="K5" s="307"/>
      <c r="L5" s="307"/>
      <c r="M5" s="308"/>
      <c r="O5" s="309" t="s">
        <v>383</v>
      </c>
      <c r="P5" s="310"/>
      <c r="Q5" s="310"/>
      <c r="R5" s="310"/>
      <c r="S5" s="310"/>
      <c r="T5" s="310"/>
      <c r="U5" s="311"/>
    </row>
    <row r="6" spans="1:22" ht="20.25" customHeight="1" x14ac:dyDescent="0.2">
      <c r="A6" s="305" t="s">
        <v>438</v>
      </c>
      <c r="B6" s="305"/>
      <c r="C6" s="225" t="s">
        <v>384</v>
      </c>
      <c r="D6" s="225" t="s">
        <v>385</v>
      </c>
      <c r="E6" s="225" t="s">
        <v>386</v>
      </c>
      <c r="F6" s="225" t="s">
        <v>387</v>
      </c>
      <c r="G6" s="226" t="s">
        <v>388</v>
      </c>
      <c r="H6" s="234" t="s">
        <v>389</v>
      </c>
      <c r="I6" s="234" t="s">
        <v>390</v>
      </c>
      <c r="J6" s="234" t="s">
        <v>391</v>
      </c>
      <c r="K6" s="234" t="s">
        <v>392</v>
      </c>
      <c r="L6" s="234" t="s">
        <v>393</v>
      </c>
      <c r="M6" s="235" t="s">
        <v>394</v>
      </c>
      <c r="O6" s="312"/>
      <c r="P6" s="313"/>
      <c r="Q6" s="313"/>
      <c r="R6" s="313"/>
      <c r="S6" s="313"/>
      <c r="T6" s="313"/>
      <c r="U6" s="314"/>
    </row>
    <row r="7" spans="1:22" x14ac:dyDescent="0.2">
      <c r="A7" s="171"/>
      <c r="G7" s="170"/>
      <c r="M7" s="170"/>
      <c r="O7" s="193"/>
      <c r="P7" s="228" t="s">
        <v>389</v>
      </c>
      <c r="Q7" s="228" t="s">
        <v>390</v>
      </c>
      <c r="R7" s="228" t="s">
        <v>391</v>
      </c>
      <c r="S7" s="228" t="s">
        <v>392</v>
      </c>
      <c r="T7" s="228" t="s">
        <v>393</v>
      </c>
      <c r="U7" s="227" t="s">
        <v>394</v>
      </c>
    </row>
    <row r="8" spans="1:22" x14ac:dyDescent="0.2">
      <c r="A8" s="171" t="s">
        <v>6</v>
      </c>
      <c r="G8" s="170"/>
      <c r="M8" s="170"/>
      <c r="O8" s="172"/>
      <c r="P8" s="201"/>
      <c r="Q8" s="201"/>
      <c r="R8" s="201"/>
      <c r="S8" s="201"/>
      <c r="T8" s="201"/>
      <c r="U8" s="170"/>
      <c r="V8" s="169" t="s">
        <v>432</v>
      </c>
    </row>
    <row r="9" spans="1:22" x14ac:dyDescent="0.2">
      <c r="A9" s="281" t="s">
        <v>395</v>
      </c>
      <c r="B9" s="282"/>
      <c r="C9" s="283">
        <f>'Income Statement'!B8</f>
        <v>5347</v>
      </c>
      <c r="D9" s="283">
        <f>'Income Statement'!C8</f>
        <v>6152</v>
      </c>
      <c r="E9" s="283">
        <f>'Income Statement'!D8</f>
        <v>6311</v>
      </c>
      <c r="F9" s="283">
        <f>'Income Statement'!E8</f>
        <v>4543</v>
      </c>
      <c r="G9" s="284">
        <f>'Income Statement'!F8</f>
        <v>7301</v>
      </c>
      <c r="H9" s="285">
        <f t="shared" ref="H9:M9" si="0">G9*(1+H10)</f>
        <v>9345.2800000000007</v>
      </c>
      <c r="I9" s="285">
        <f t="shared" si="0"/>
        <v>9999.4496000000017</v>
      </c>
      <c r="J9" s="285">
        <f t="shared" si="0"/>
        <v>10799.405568000002</v>
      </c>
      <c r="K9" s="285">
        <f t="shared" si="0"/>
        <v>12407.311892423477</v>
      </c>
      <c r="L9" s="285">
        <f t="shared" si="0"/>
        <v>14223.598553256561</v>
      </c>
      <c r="M9" s="286">
        <f t="shared" si="0"/>
        <v>16270.209534167228</v>
      </c>
      <c r="O9" s="171"/>
      <c r="P9" s="201"/>
      <c r="Q9" s="201"/>
      <c r="R9" s="201"/>
      <c r="S9" s="201"/>
      <c r="T9" s="201"/>
      <c r="U9" s="170"/>
    </row>
    <row r="10" spans="1:22" x14ac:dyDescent="0.2">
      <c r="A10" s="287" t="s">
        <v>396</v>
      </c>
      <c r="B10" s="282"/>
      <c r="C10" s="282"/>
      <c r="D10" s="288">
        <f>(D9-C9)/C9</f>
        <v>0.15055171123994762</v>
      </c>
      <c r="E10" s="288">
        <f>(E9-D9)/D9</f>
        <v>2.5845253576072823E-2</v>
      </c>
      <c r="F10" s="288">
        <f>(F9-E9)/E9</f>
        <v>-0.2801457772143876</v>
      </c>
      <c r="G10" s="289">
        <f>(G9-F9)/F9</f>
        <v>0.60708782742681044</v>
      </c>
      <c r="H10" s="290">
        <f t="shared" ref="H10:M10" si="1">P10</f>
        <v>0.28000000000000003</v>
      </c>
      <c r="I10" s="290">
        <f t="shared" si="1"/>
        <v>7.0000000000000007E-2</v>
      </c>
      <c r="J10" s="290">
        <f t="shared" si="1"/>
        <v>0.08</v>
      </c>
      <c r="K10" s="290">
        <f t="shared" si="1"/>
        <v>0.14888841004248454</v>
      </c>
      <c r="L10" s="290">
        <f t="shared" si="1"/>
        <v>0.14638841004248454</v>
      </c>
      <c r="M10" s="291">
        <f t="shared" si="1"/>
        <v>0.14388841004248454</v>
      </c>
      <c r="N10" s="175"/>
      <c r="O10" s="281" t="s">
        <v>431</v>
      </c>
      <c r="P10" s="292">
        <v>0.28000000000000003</v>
      </c>
      <c r="Q10" s="292">
        <v>7.0000000000000007E-2</v>
      </c>
      <c r="R10" s="292">
        <v>0.08</v>
      </c>
      <c r="S10" s="292">
        <f>AVERAGE(F10:J10)+$V$10</f>
        <v>0.14888841004248454</v>
      </c>
      <c r="T10" s="292">
        <f>S10+$V$10</f>
        <v>0.14638841004248454</v>
      </c>
      <c r="U10" s="293">
        <f>T10+$V$10</f>
        <v>0.14388841004248454</v>
      </c>
      <c r="V10" s="290">
        <v>-2.5000000000000001E-3</v>
      </c>
    </row>
    <row r="11" spans="1:22" x14ac:dyDescent="0.2">
      <c r="A11" s="171" t="s">
        <v>453</v>
      </c>
      <c r="C11" s="174">
        <f t="shared" ref="C11:M11" si="2">C14*C13</f>
        <v>5513.7599999999993</v>
      </c>
      <c r="D11" s="174">
        <f t="shared" si="2"/>
        <v>6137.77</v>
      </c>
      <c r="E11" s="174">
        <f t="shared" si="2"/>
        <v>6443.3950000000004</v>
      </c>
      <c r="F11" s="174">
        <f t="shared" si="2"/>
        <v>5371.1639999999998</v>
      </c>
      <c r="G11" s="181">
        <f t="shared" si="2"/>
        <v>6903.192</v>
      </c>
      <c r="H11" s="174">
        <f t="shared" si="2"/>
        <v>9365.0350912499998</v>
      </c>
      <c r="I11" s="174">
        <f t="shared" si="2"/>
        <v>9849.9771480000018</v>
      </c>
      <c r="J11" s="174">
        <f t="shared" si="2"/>
        <v>10723.365746733751</v>
      </c>
      <c r="K11" s="174">
        <f t="shared" si="2"/>
        <v>12285.731106412706</v>
      </c>
      <c r="L11" s="174">
        <f t="shared" si="2"/>
        <v>14190.401871160031</v>
      </c>
      <c r="M11" s="181">
        <f t="shared" si="2"/>
        <v>16266.36569402532</v>
      </c>
      <c r="N11" s="175"/>
      <c r="O11" s="171"/>
      <c r="P11" s="229"/>
      <c r="Q11" s="229"/>
      <c r="R11" s="229"/>
      <c r="S11" s="229"/>
      <c r="T11" s="229"/>
      <c r="U11" s="176"/>
      <c r="V11" s="179"/>
    </row>
    <row r="12" spans="1:22" x14ac:dyDescent="0.2">
      <c r="A12" s="214" t="s">
        <v>396</v>
      </c>
      <c r="C12" s="174"/>
      <c r="D12" s="177">
        <f>(D11-C11)/C11</f>
        <v>0.11317322480485208</v>
      </c>
      <c r="E12" s="177">
        <f>(E11-D11)/D11</f>
        <v>4.9794143475561971E-2</v>
      </c>
      <c r="F12" s="177">
        <f>(F11-E11)/E11</f>
        <v>-0.16640777105858023</v>
      </c>
      <c r="G12" s="178">
        <f>(G11-F11)/F11</f>
        <v>0.28523202791797092</v>
      </c>
      <c r="H12" s="269">
        <f t="shared" ref="H12:M12" si="3">H11/G11-1</f>
        <v>0.35662387649800253</v>
      </c>
      <c r="I12" s="269">
        <f t="shared" si="3"/>
        <v>5.1782193235249796E-2</v>
      </c>
      <c r="J12" s="269">
        <f t="shared" si="3"/>
        <v>8.8669098984771377E-2</v>
      </c>
      <c r="K12" s="269">
        <f t="shared" si="3"/>
        <v>0.14569729286300248</v>
      </c>
      <c r="L12" s="269">
        <f t="shared" si="3"/>
        <v>0.15503112905939775</v>
      </c>
      <c r="M12" s="263">
        <f t="shared" si="3"/>
        <v>0.14629351879627817</v>
      </c>
      <c r="N12" s="175"/>
      <c r="O12" s="171"/>
      <c r="P12" s="229"/>
      <c r="Q12" s="229"/>
      <c r="R12" s="229"/>
      <c r="S12" s="229"/>
      <c r="T12" s="229"/>
      <c r="U12" s="176"/>
      <c r="V12" s="179"/>
    </row>
    <row r="13" spans="1:22" x14ac:dyDescent="0.2">
      <c r="A13" s="214" t="s">
        <v>450</v>
      </c>
      <c r="C13" s="270">
        <v>49.23</v>
      </c>
      <c r="D13" s="206">
        <v>60.77</v>
      </c>
      <c r="E13" s="206">
        <v>56.77</v>
      </c>
      <c r="F13" s="206">
        <v>44.28</v>
      </c>
      <c r="G13" s="213">
        <v>60.08</v>
      </c>
      <c r="H13" s="270">
        <f>65.93*1.15</f>
        <v>75.819500000000005</v>
      </c>
      <c r="I13" s="270">
        <f>63.04*1.15</f>
        <v>72.495999999999995</v>
      </c>
      <c r="J13" s="270">
        <f>60.95*1.15</f>
        <v>70.092500000000001</v>
      </c>
      <c r="K13" s="270">
        <f>59.43*1.175</f>
        <v>69.830250000000007</v>
      </c>
      <c r="L13" s="270">
        <f>58.42*1.175</f>
        <v>68.643500000000003</v>
      </c>
      <c r="M13" s="213">
        <f>L13*AVERAGE(I13/H13, J13/I13, K13/J13, L13/K13)</f>
        <v>66.966467368078568</v>
      </c>
      <c r="N13" s="175"/>
      <c r="O13" s="171"/>
      <c r="P13" s="229"/>
      <c r="Q13" s="229"/>
      <c r="R13" s="229"/>
      <c r="S13" s="229"/>
      <c r="T13" s="229"/>
      <c r="U13" s="176"/>
      <c r="V13" s="179"/>
    </row>
    <row r="14" spans="1:22" x14ac:dyDescent="0.2">
      <c r="A14" s="171" t="s">
        <v>451</v>
      </c>
      <c r="C14" s="169">
        <v>112</v>
      </c>
      <c r="D14" s="275">
        <v>101</v>
      </c>
      <c r="E14" s="273">
        <v>113.5</v>
      </c>
      <c r="F14" s="273">
        <v>121.3</v>
      </c>
      <c r="G14" s="274">
        <v>114.9</v>
      </c>
      <c r="H14" s="271">
        <f>G14*1.075</f>
        <v>123.5175</v>
      </c>
      <c r="I14" s="271">
        <f>H14*1.1</f>
        <v>135.86925000000002</v>
      </c>
      <c r="J14" s="271">
        <f>I14*1.126</f>
        <v>152.9887755</v>
      </c>
      <c r="K14" s="271">
        <f>J14*1.15</f>
        <v>175.93709182499998</v>
      </c>
      <c r="L14" s="271">
        <f>K14*1.175</f>
        <v>206.726082894375</v>
      </c>
      <c r="M14" s="272">
        <f>L14*1.175</f>
        <v>242.90314740089062</v>
      </c>
      <c r="N14" s="269">
        <f>_xlfn.RRI(5,H14,L14)</f>
        <v>0.10849402500644145</v>
      </c>
      <c r="O14" s="171"/>
      <c r="P14" s="229"/>
      <c r="Q14" s="229"/>
      <c r="R14" s="229"/>
      <c r="S14" s="229"/>
      <c r="T14" s="229"/>
      <c r="U14" s="176"/>
      <c r="V14" s="179"/>
    </row>
    <row r="15" spans="1:22" x14ac:dyDescent="0.2">
      <c r="A15" s="171" t="s">
        <v>397</v>
      </c>
      <c r="C15" s="173">
        <f>'Income Statement'!B9</f>
        <v>0</v>
      </c>
      <c r="D15" s="173">
        <f>'Income Statement'!C9</f>
        <v>0</v>
      </c>
      <c r="E15" s="173">
        <f>'Income Statement'!D9</f>
        <v>0</v>
      </c>
      <c r="F15" s="173">
        <f>'Income Statement'!E9</f>
        <v>0</v>
      </c>
      <c r="G15" s="167">
        <f>'Income Statement'!F9</f>
        <v>0</v>
      </c>
      <c r="H15" s="174">
        <f t="shared" ref="H15:M15" si="4">G15*(1+H16)</f>
        <v>0</v>
      </c>
      <c r="I15" s="174">
        <f t="shared" si="4"/>
        <v>0</v>
      </c>
      <c r="J15" s="174">
        <f t="shared" si="4"/>
        <v>0</v>
      </c>
      <c r="K15" s="174">
        <f t="shared" si="4"/>
        <v>0</v>
      </c>
      <c r="L15" s="174">
        <f t="shared" si="4"/>
        <v>0</v>
      </c>
      <c r="M15" s="181">
        <f t="shared" si="4"/>
        <v>0</v>
      </c>
      <c r="O15" s="171"/>
      <c r="P15" s="201"/>
      <c r="Q15" s="201"/>
      <c r="R15" s="201"/>
      <c r="S15" s="201"/>
      <c r="T15" s="201"/>
      <c r="U15" s="170"/>
    </row>
    <row r="16" spans="1:22" x14ac:dyDescent="0.2">
      <c r="A16" s="214" t="s">
        <v>398</v>
      </c>
      <c r="D16" s="177">
        <v>0</v>
      </c>
      <c r="E16" s="177">
        <v>0</v>
      </c>
      <c r="F16" s="177">
        <v>0</v>
      </c>
      <c r="G16" s="178">
        <v>0</v>
      </c>
      <c r="H16" s="177">
        <f t="shared" ref="H16:M16" si="5">P16</f>
        <v>0</v>
      </c>
      <c r="I16" s="177">
        <f t="shared" si="5"/>
        <v>0</v>
      </c>
      <c r="J16" s="177">
        <f t="shared" si="5"/>
        <v>0</v>
      </c>
      <c r="K16" s="177">
        <f t="shared" si="5"/>
        <v>0</v>
      </c>
      <c r="L16" s="177">
        <f t="shared" si="5"/>
        <v>0</v>
      </c>
      <c r="M16" s="178">
        <f t="shared" si="5"/>
        <v>0</v>
      </c>
      <c r="N16" s="180"/>
      <c r="O16" s="171" t="s">
        <v>397</v>
      </c>
      <c r="P16" s="229">
        <v>0</v>
      </c>
      <c r="Q16" s="229">
        <v>0</v>
      </c>
      <c r="R16" s="229">
        <v>0</v>
      </c>
      <c r="S16" s="229">
        <v>0</v>
      </c>
      <c r="T16" s="229">
        <v>0</v>
      </c>
      <c r="U16" s="176">
        <v>0</v>
      </c>
      <c r="V16" s="179">
        <v>0</v>
      </c>
    </row>
    <row r="17" spans="1:22" x14ac:dyDescent="0.2">
      <c r="A17" s="172" t="s">
        <v>96</v>
      </c>
      <c r="C17" s="174">
        <f>C9+C15</f>
        <v>5347</v>
      </c>
      <c r="D17" s="174">
        <f t="shared" ref="D17:M17" si="6">D9+D15</f>
        <v>6152</v>
      </c>
      <c r="E17" s="174">
        <f t="shared" si="6"/>
        <v>6311</v>
      </c>
      <c r="F17" s="174">
        <f t="shared" si="6"/>
        <v>4543</v>
      </c>
      <c r="G17" s="181">
        <f t="shared" si="6"/>
        <v>7301</v>
      </c>
      <c r="H17" s="174">
        <f>H11+H15</f>
        <v>9365.0350912499998</v>
      </c>
      <c r="I17" s="174">
        <f t="shared" ref="I17:M17" si="7">I11+I15</f>
        <v>9849.9771480000018</v>
      </c>
      <c r="J17" s="174">
        <f t="shared" si="7"/>
        <v>10723.365746733751</v>
      </c>
      <c r="K17" s="174">
        <f t="shared" si="7"/>
        <v>12285.731106412706</v>
      </c>
      <c r="L17" s="174">
        <f t="shared" si="7"/>
        <v>14190.401871160031</v>
      </c>
      <c r="M17" s="181">
        <f t="shared" si="7"/>
        <v>16266.36569402532</v>
      </c>
      <c r="O17" s="171"/>
      <c r="P17" s="201"/>
      <c r="Q17" s="201"/>
      <c r="R17" s="201"/>
      <c r="S17" s="201"/>
      <c r="T17" s="201"/>
      <c r="U17" s="170"/>
    </row>
    <row r="18" spans="1:22" x14ac:dyDescent="0.2">
      <c r="A18" s="171" t="s">
        <v>425</v>
      </c>
      <c r="C18" s="174"/>
      <c r="D18" s="177">
        <f t="shared" ref="D18:M18" si="8">(D17-C17)/C17</f>
        <v>0.15055171123994762</v>
      </c>
      <c r="E18" s="177">
        <f t="shared" si="8"/>
        <v>2.5845253576072823E-2</v>
      </c>
      <c r="F18" s="177">
        <f t="shared" si="8"/>
        <v>-0.2801457772143876</v>
      </c>
      <c r="G18" s="178">
        <f t="shared" si="8"/>
        <v>0.60708782742681044</v>
      </c>
      <c r="H18" s="182">
        <f t="shared" si="8"/>
        <v>0.28270580622517461</v>
      </c>
      <c r="I18" s="182">
        <f t="shared" si="8"/>
        <v>5.1782193235249713E-2</v>
      </c>
      <c r="J18" s="182">
        <f t="shared" si="8"/>
        <v>8.8669098984771447E-2</v>
      </c>
      <c r="K18" s="182">
        <f t="shared" si="8"/>
        <v>0.14569729286300237</v>
      </c>
      <c r="L18" s="182">
        <f t="shared" si="8"/>
        <v>0.15503112905939767</v>
      </c>
      <c r="M18" s="178">
        <f t="shared" si="8"/>
        <v>0.14629351879627805</v>
      </c>
      <c r="O18" s="171"/>
      <c r="P18" s="201"/>
      <c r="Q18" s="201"/>
      <c r="R18" s="201"/>
      <c r="S18" s="201"/>
      <c r="T18" s="201"/>
      <c r="U18" s="170"/>
    </row>
    <row r="19" spans="1:22" x14ac:dyDescent="0.2">
      <c r="A19" s="171" t="s">
        <v>399</v>
      </c>
      <c r="B19" s="201"/>
      <c r="C19" s="173">
        <f>'Income Statement'!B12</f>
        <v>1267</v>
      </c>
      <c r="D19" s="173">
        <f>'Income Statement'!C12</f>
        <v>1771</v>
      </c>
      <c r="E19" s="173">
        <f>'Income Statement'!D12</f>
        <v>1736</v>
      </c>
      <c r="F19" s="173">
        <f>'Income Statement'!E12</f>
        <v>883</v>
      </c>
      <c r="G19" s="167">
        <f>'Income Statement'!F12</f>
        <v>2034</v>
      </c>
      <c r="H19" s="202">
        <f t="shared" ref="H19:M19" si="9">H17-H21</f>
        <v>2384.5636393251962</v>
      </c>
      <c r="I19" s="202">
        <f t="shared" si="9"/>
        <v>2551.5508905538736</v>
      </c>
      <c r="J19" s="202">
        <f t="shared" si="9"/>
        <v>2616.9441228320702</v>
      </c>
      <c r="K19" s="202">
        <f t="shared" si="9"/>
        <v>2998.6357519256217</v>
      </c>
      <c r="L19" s="202">
        <f t="shared" si="9"/>
        <v>3420.9464325710451</v>
      </c>
      <c r="M19" s="181">
        <f t="shared" si="9"/>
        <v>3799.3546838343664</v>
      </c>
      <c r="O19" s="171"/>
      <c r="P19" s="201"/>
      <c r="Q19" s="201"/>
      <c r="R19" s="201"/>
      <c r="S19" s="201"/>
      <c r="T19" s="201"/>
      <c r="U19" s="170"/>
    </row>
    <row r="20" spans="1:22" ht="13.5" thickBot="1" x14ac:dyDescent="0.25">
      <c r="A20" s="171" t="s">
        <v>428</v>
      </c>
      <c r="B20" s="201"/>
      <c r="C20" s="177">
        <f t="shared" ref="C20:M20" si="10">C19/C17</f>
        <v>0.23695530203852627</v>
      </c>
      <c r="D20" s="177">
        <f t="shared" si="10"/>
        <v>0.28787386215864758</v>
      </c>
      <c r="E20" s="177">
        <f t="shared" si="10"/>
        <v>0.27507526540960225</v>
      </c>
      <c r="F20" s="177">
        <f t="shared" si="10"/>
        <v>0.19436495707682147</v>
      </c>
      <c r="G20" s="178">
        <f t="shared" si="10"/>
        <v>0.2785919737022326</v>
      </c>
      <c r="H20" s="177">
        <f t="shared" si="10"/>
        <v>0.25462410082725234</v>
      </c>
      <c r="I20" s="177">
        <f t="shared" si="10"/>
        <v>0.2590413005244338</v>
      </c>
      <c r="J20" s="177">
        <f t="shared" si="10"/>
        <v>0.24404130052443376</v>
      </c>
      <c r="K20" s="177">
        <f t="shared" si="10"/>
        <v>0.24407466889458801</v>
      </c>
      <c r="L20" s="177">
        <f t="shared" si="10"/>
        <v>0.2410746688945879</v>
      </c>
      <c r="M20" s="178">
        <f t="shared" si="10"/>
        <v>0.23357120793305905</v>
      </c>
      <c r="O20" s="171"/>
      <c r="P20" s="201"/>
      <c r="Q20" s="201"/>
      <c r="R20" s="201"/>
      <c r="S20" s="201"/>
      <c r="T20" s="201"/>
      <c r="U20" s="170"/>
    </row>
    <row r="21" spans="1:22" ht="13.5" thickTop="1" x14ac:dyDescent="0.2">
      <c r="A21" s="215" t="s">
        <v>400</v>
      </c>
      <c r="B21" s="204"/>
      <c r="C21" s="205">
        <f>C17-C19</f>
        <v>4080</v>
      </c>
      <c r="D21" s="205">
        <f>D17-D19</f>
        <v>4381</v>
      </c>
      <c r="E21" s="205">
        <f>E17-E19</f>
        <v>4575</v>
      </c>
      <c r="F21" s="205">
        <f>F17-F19</f>
        <v>3660</v>
      </c>
      <c r="G21" s="190">
        <f>G17-G19</f>
        <v>5267</v>
      </c>
      <c r="H21" s="205">
        <f t="shared" ref="H21:M21" si="11">H22*H17</f>
        <v>6980.4714519248037</v>
      </c>
      <c r="I21" s="205">
        <f t="shared" si="11"/>
        <v>7298.4262574461281</v>
      </c>
      <c r="J21" s="205">
        <f t="shared" si="11"/>
        <v>8106.4216239016805</v>
      </c>
      <c r="K21" s="205">
        <f t="shared" si="11"/>
        <v>9287.0953544870845</v>
      </c>
      <c r="L21" s="205">
        <f t="shared" si="11"/>
        <v>10769.455438588986</v>
      </c>
      <c r="M21" s="190">
        <f t="shared" si="11"/>
        <v>12467.011010190954</v>
      </c>
      <c r="N21" s="179"/>
      <c r="O21" s="171"/>
      <c r="P21" s="201"/>
      <c r="Q21" s="201"/>
      <c r="R21" s="201"/>
      <c r="S21" s="201"/>
      <c r="T21" s="201"/>
      <c r="U21" s="170"/>
    </row>
    <row r="22" spans="1:22" x14ac:dyDescent="0.2">
      <c r="A22" s="214" t="s">
        <v>429</v>
      </c>
      <c r="C22" s="177">
        <f>C21/C17</f>
        <v>0.76304469796147367</v>
      </c>
      <c r="D22" s="177">
        <f>D21/D17</f>
        <v>0.71212613784135237</v>
      </c>
      <c r="E22" s="177">
        <f>E21/E17</f>
        <v>0.72492473459039775</v>
      </c>
      <c r="F22" s="177">
        <f>F21/F17</f>
        <v>0.80563504292317856</v>
      </c>
      <c r="G22" s="178">
        <f>G21/G17</f>
        <v>0.72140802629776746</v>
      </c>
      <c r="H22" s="208">
        <f t="shared" ref="H22:M22" si="12">P22</f>
        <v>0.74537589917274771</v>
      </c>
      <c r="I22" s="208">
        <f t="shared" si="12"/>
        <v>0.74095869947556625</v>
      </c>
      <c r="J22" s="208">
        <f t="shared" si="12"/>
        <v>0.75595869947556626</v>
      </c>
      <c r="K22" s="208">
        <f t="shared" si="12"/>
        <v>0.75592533110541205</v>
      </c>
      <c r="L22" s="208">
        <f t="shared" si="12"/>
        <v>0.75892533110541205</v>
      </c>
      <c r="M22" s="222">
        <f t="shared" si="12"/>
        <v>0.76642879206694092</v>
      </c>
      <c r="O22" s="171" t="s">
        <v>429</v>
      </c>
      <c r="P22" s="203">
        <f>AVERAGE(C22:E22,G22)+V22</f>
        <v>0.74537589917274771</v>
      </c>
      <c r="Q22" s="203">
        <f>AVERAGE(D22:E22,G22:H22)+$V$22</f>
        <v>0.74095869947556625</v>
      </c>
      <c r="R22" s="203">
        <f>Q22+V22</f>
        <v>0.75595869947556626</v>
      </c>
      <c r="S22" s="203">
        <f>AVERAGE(G22:J22)+$V$22</f>
        <v>0.75592533110541205</v>
      </c>
      <c r="T22" s="203">
        <f>AVERAGE(G22:K22)+$V$22</f>
        <v>0.75892533110541205</v>
      </c>
      <c r="U22" s="221">
        <f>AVERAGE(H22:L22)+$V$22</f>
        <v>0.76642879206694092</v>
      </c>
      <c r="V22" s="179">
        <v>1.4999999999999999E-2</v>
      </c>
    </row>
    <row r="23" spans="1:22" x14ac:dyDescent="0.2">
      <c r="A23" s="172"/>
      <c r="C23" s="174"/>
      <c r="D23" s="177"/>
      <c r="E23" s="177"/>
      <c r="F23" s="177"/>
      <c r="G23" s="178"/>
      <c r="M23" s="170"/>
      <c r="O23" s="171"/>
      <c r="P23" s="201"/>
      <c r="Q23" s="201"/>
      <c r="R23" s="201"/>
      <c r="S23" s="201"/>
      <c r="T23" s="201"/>
      <c r="U23" s="170"/>
    </row>
    <row r="24" spans="1:22" x14ac:dyDescent="0.2">
      <c r="A24" s="171" t="s">
        <v>401</v>
      </c>
      <c r="B24" s="201"/>
      <c r="C24" s="173">
        <f>'Income Statement'!B15</f>
        <v>1854</v>
      </c>
      <c r="D24" s="173">
        <f>'Income Statement'!C15</f>
        <v>1516</v>
      </c>
      <c r="E24" s="173">
        <f>'Income Statement'!D15</f>
        <v>1604</v>
      </c>
      <c r="F24" s="173">
        <f>'Income Statement'!E15</f>
        <v>1550</v>
      </c>
      <c r="G24" s="167">
        <f>'Income Statement'!F15</f>
        <v>1569</v>
      </c>
      <c r="H24" s="202">
        <f t="shared" ref="H24:M24" si="13">H25*H17</f>
        <v>2153.0409363360491</v>
      </c>
      <c r="I24" s="202">
        <f t="shared" si="13"/>
        <v>2215.2802324048052</v>
      </c>
      <c r="J24" s="202">
        <f t="shared" si="13"/>
        <v>2358.0903058772456</v>
      </c>
      <c r="K24" s="202">
        <f t="shared" si="13"/>
        <v>2640.2290242379859</v>
      </c>
      <c r="L24" s="202">
        <f t="shared" si="13"/>
        <v>2978.5947014851927</v>
      </c>
      <c r="M24" s="181">
        <f t="shared" si="13"/>
        <v>3333.0119729632843</v>
      </c>
      <c r="O24" s="171"/>
      <c r="P24" s="201"/>
      <c r="Q24" s="201"/>
      <c r="R24" s="201"/>
      <c r="S24" s="201"/>
      <c r="T24" s="201"/>
      <c r="U24" s="170"/>
    </row>
    <row r="25" spans="1:22" x14ac:dyDescent="0.2">
      <c r="A25" s="171" t="s">
        <v>428</v>
      </c>
      <c r="B25" s="201"/>
      <c r="C25" s="177">
        <f>C24/C17</f>
        <v>0.34673648775014027</v>
      </c>
      <c r="D25" s="177">
        <f>D24/D17</f>
        <v>0.24642392717815345</v>
      </c>
      <c r="E25" s="177">
        <f>E24/E17</f>
        <v>0.25415940421486294</v>
      </c>
      <c r="F25" s="177">
        <f>F24/F17</f>
        <v>0.34118423948932425</v>
      </c>
      <c r="G25" s="178">
        <f>G24/G17</f>
        <v>0.21490206820983426</v>
      </c>
      <c r="H25" s="208">
        <f t="shared" ref="H25:M25" si="14">P25</f>
        <v>0.22990206820983428</v>
      </c>
      <c r="I25" s="208">
        <f t="shared" si="14"/>
        <v>0.22490206820983427</v>
      </c>
      <c r="J25" s="208">
        <f t="shared" si="14"/>
        <v>0.21990206820983427</v>
      </c>
      <c r="K25" s="208">
        <f t="shared" si="14"/>
        <v>0.21490206820983426</v>
      </c>
      <c r="L25" s="208">
        <f t="shared" si="14"/>
        <v>0.20990206820983426</v>
      </c>
      <c r="M25" s="222">
        <f t="shared" si="14"/>
        <v>0.20490206820983425</v>
      </c>
      <c r="O25" s="171" t="s">
        <v>433</v>
      </c>
      <c r="P25" s="262">
        <f>G25+1.5%</f>
        <v>0.22990206820983428</v>
      </c>
      <c r="Q25" s="262">
        <f>P25+$V$25</f>
        <v>0.22490206820983427</v>
      </c>
      <c r="R25" s="262">
        <f t="shared" ref="R25:U25" si="15">Q25+$V$25</f>
        <v>0.21990206820983427</v>
      </c>
      <c r="S25" s="262">
        <f t="shared" si="15"/>
        <v>0.21490206820983426</v>
      </c>
      <c r="T25" s="262">
        <f t="shared" si="15"/>
        <v>0.20990206820983426</v>
      </c>
      <c r="U25" s="263">
        <f t="shared" si="15"/>
        <v>0.20490206820983425</v>
      </c>
      <c r="V25" s="179">
        <v>-5.0000000000000001E-3</v>
      </c>
    </row>
    <row r="26" spans="1:22" x14ac:dyDescent="0.2">
      <c r="A26" s="171" t="s">
        <v>129</v>
      </c>
      <c r="B26" s="201"/>
      <c r="C26" s="206">
        <f>'Income Statement'!B16</f>
        <v>195</v>
      </c>
      <c r="D26" s="206">
        <f>'Income Statement'!C16</f>
        <v>308</v>
      </c>
      <c r="E26" s="206">
        <f>'Income Statement'!D16</f>
        <v>216</v>
      </c>
      <c r="F26" s="206">
        <f>'Income Statement'!E16</f>
        <v>175</v>
      </c>
      <c r="G26" s="213">
        <f>'Income Statement'!F16</f>
        <v>142</v>
      </c>
      <c r="H26" s="202">
        <f t="shared" ref="H26:M26" si="16">H27*H17</f>
        <v>295.61006236466278</v>
      </c>
      <c r="I26" s="202">
        <f t="shared" si="16"/>
        <v>265.36192515868885</v>
      </c>
      <c r="J26" s="202">
        <f t="shared" si="16"/>
        <v>269.35980243685634</v>
      </c>
      <c r="K26" s="202">
        <f t="shared" si="16"/>
        <v>267.44194408549907</v>
      </c>
      <c r="L26" s="202">
        <f t="shared" si="16"/>
        <v>317.13104647729148</v>
      </c>
      <c r="M26" s="181">
        <f t="shared" si="16"/>
        <v>326.04343537426286</v>
      </c>
      <c r="O26" s="171"/>
      <c r="P26" s="201"/>
      <c r="Q26" s="201"/>
      <c r="R26" s="201"/>
      <c r="S26" s="201"/>
      <c r="T26" s="201"/>
      <c r="U26" s="170"/>
    </row>
    <row r="27" spans="1:22" x14ac:dyDescent="0.2">
      <c r="A27" s="171" t="s">
        <v>428</v>
      </c>
      <c r="B27" s="201"/>
      <c r="C27" s="177">
        <f>C26/C17</f>
        <v>3.6469048064335138E-2</v>
      </c>
      <c r="D27" s="177">
        <f>D26/D17</f>
        <v>5.0065019505851759E-2</v>
      </c>
      <c r="E27" s="177">
        <f>E26/E17</f>
        <v>3.4225954682300747E-2</v>
      </c>
      <c r="F27" s="177">
        <f>F26/F17</f>
        <v>3.8520801232665637E-2</v>
      </c>
      <c r="G27" s="178">
        <f>G26/G17</f>
        <v>1.9449390494452816E-2</v>
      </c>
      <c r="H27" s="203">
        <f t="shared" ref="H27:M27" si="17">P27</f>
        <v>3.1565291478817745E-2</v>
      </c>
      <c r="I27" s="203">
        <f t="shared" si="17"/>
        <v>2.6940359472059236E-2</v>
      </c>
      <c r="J27" s="203">
        <f t="shared" si="17"/>
        <v>2.5118960669498858E-2</v>
      </c>
      <c r="K27" s="203">
        <f t="shared" si="17"/>
        <v>2.1768500528707165E-2</v>
      </c>
      <c r="L27" s="203">
        <f t="shared" si="17"/>
        <v>2.2348278037270752E-2</v>
      </c>
      <c r="M27" s="221">
        <f t="shared" si="17"/>
        <v>2.0044024676884001E-2</v>
      </c>
      <c r="O27" s="171" t="s">
        <v>434</v>
      </c>
      <c r="P27" s="203">
        <f>AVERAGE(D27:G27)+$V$27</f>
        <v>3.1565291478817745E-2</v>
      </c>
      <c r="Q27" s="203">
        <f t="shared" ref="Q27:U27" si="18">AVERAGE(E27:H27)+$V$27</f>
        <v>2.6940359472059236E-2</v>
      </c>
      <c r="R27" s="203">
        <f t="shared" si="18"/>
        <v>2.5118960669498858E-2</v>
      </c>
      <c r="S27" s="203">
        <f t="shared" si="18"/>
        <v>2.1768500528707165E-2</v>
      </c>
      <c r="T27" s="203">
        <f t="shared" si="18"/>
        <v>2.2348278037270752E-2</v>
      </c>
      <c r="U27" s="221">
        <f t="shared" si="18"/>
        <v>2.0044024676884001E-2</v>
      </c>
      <c r="V27" s="179">
        <v>-4.0000000000000001E-3</v>
      </c>
    </row>
    <row r="28" spans="1:22" x14ac:dyDescent="0.2">
      <c r="A28" s="216" t="s">
        <v>130</v>
      </c>
      <c r="B28" s="201"/>
      <c r="C28" s="206">
        <f>'Income Statement'!B19</f>
        <v>2012</v>
      </c>
      <c r="D28" s="206">
        <f>'Income Statement'!C19</f>
        <v>51</v>
      </c>
      <c r="E28" s="206">
        <f>'Income Statement'!D19</f>
        <v>17</v>
      </c>
      <c r="F28" s="206">
        <f>'Income Statement'!E19</f>
        <v>176</v>
      </c>
      <c r="G28" s="213">
        <f>'Income Statement'!F19</f>
        <v>20</v>
      </c>
      <c r="H28" s="202">
        <f t="shared" ref="H28:M28" si="19">H29*H17</f>
        <v>38.156421878002135</v>
      </c>
      <c r="I28" s="202">
        <f t="shared" si="19"/>
        <v>26.290932628875847</v>
      </c>
      <c r="J28" s="202">
        <f t="shared" si="19"/>
        <v>123.91856134112602</v>
      </c>
      <c r="K28" s="202">
        <f t="shared" si="19"/>
        <v>58.476318548770628</v>
      </c>
      <c r="L28" s="202">
        <f t="shared" si="19"/>
        <v>74.709338208969399</v>
      </c>
      <c r="M28" s="181">
        <f t="shared" si="19"/>
        <v>90.479824802987082</v>
      </c>
      <c r="O28" s="171"/>
      <c r="P28" s="201"/>
      <c r="Q28" s="201"/>
      <c r="R28" s="201"/>
      <c r="S28" s="201"/>
      <c r="T28" s="201"/>
      <c r="U28" s="170"/>
    </row>
    <row r="29" spans="1:22" x14ac:dyDescent="0.2">
      <c r="A29" s="171" t="s">
        <v>428</v>
      </c>
      <c r="B29" s="201"/>
      <c r="C29" s="177">
        <f>C28/C17</f>
        <v>0.37628576772021693</v>
      </c>
      <c r="D29" s="177">
        <f>D28/D17</f>
        <v>8.2899869960988293E-3</v>
      </c>
      <c r="E29" s="177">
        <f>E28/E17</f>
        <v>2.6937093962921882E-3</v>
      </c>
      <c r="F29" s="177">
        <f>F28/F17</f>
        <v>3.8740920096852302E-2</v>
      </c>
      <c r="G29" s="178">
        <f>G28/G17</f>
        <v>2.7393507738665934E-3</v>
      </c>
      <c r="H29" s="203">
        <f t="shared" ref="H29:M29" si="20">P29</f>
        <v>4.0743490554192036E-3</v>
      </c>
      <c r="I29" s="203">
        <f t="shared" si="20"/>
        <v>2.6691364085259951E-3</v>
      </c>
      <c r="J29" s="203">
        <f t="shared" si="20"/>
        <v>1.1555939083666021E-2</v>
      </c>
      <c r="K29" s="203">
        <f t="shared" si="20"/>
        <v>4.7596938303694526E-3</v>
      </c>
      <c r="L29" s="203">
        <f t="shared" si="20"/>
        <v>5.2647795944951691E-3</v>
      </c>
      <c r="M29" s="221">
        <f t="shared" si="20"/>
        <v>5.56238722926416E-3</v>
      </c>
      <c r="O29" s="171" t="s">
        <v>435</v>
      </c>
      <c r="P29" s="203">
        <f>AVERAGE(D29:E29,G29)+V29</f>
        <v>4.0743490554192036E-3</v>
      </c>
      <c r="Q29" s="203">
        <f>AVERAGE(E29,G29:H29)+V29</f>
        <v>2.6691364085259951E-3</v>
      </c>
      <c r="R29" s="203">
        <f>AVERAGE(F29:I29)+$V$29</f>
        <v>1.1555939083666021E-2</v>
      </c>
      <c r="S29" s="203">
        <f t="shared" ref="S29:U29" si="21">AVERAGE(G29:J29)+$V$29</f>
        <v>4.7596938303694526E-3</v>
      </c>
      <c r="T29" s="203">
        <f t="shared" si="21"/>
        <v>5.2647795944951691E-3</v>
      </c>
      <c r="U29" s="221">
        <f t="shared" si="21"/>
        <v>5.56238722926416E-3</v>
      </c>
      <c r="V29" s="179">
        <v>-5.0000000000000001E-4</v>
      </c>
    </row>
    <row r="30" spans="1:22" x14ac:dyDescent="0.2">
      <c r="A30" s="217" t="s">
        <v>197</v>
      </c>
      <c r="B30" s="201"/>
      <c r="C30" s="206">
        <f>'Income Statement'!B20</f>
        <v>4</v>
      </c>
      <c r="D30" s="206">
        <f>'Income Statement'!C20</f>
        <v>-116</v>
      </c>
      <c r="E30" s="206">
        <f>'Income Statement'!D20</f>
        <v>-78</v>
      </c>
      <c r="F30" s="206">
        <f>'Income Statement'!E20</f>
        <v>-56</v>
      </c>
      <c r="G30" s="213">
        <f>'Income Statement'!F20</f>
        <v>-79</v>
      </c>
      <c r="H30" s="202">
        <f t="shared" ref="H30:M30" si="22">H31*H17</f>
        <v>-100.41946970391935</v>
      </c>
      <c r="I30" s="202">
        <f t="shared" si="22"/>
        <v>-128.21701227072984</v>
      </c>
      <c r="J30" s="202">
        <f t="shared" si="22"/>
        <v>-127.06385843657817</v>
      </c>
      <c r="K30" s="202">
        <f t="shared" si="22"/>
        <v>-144.32327686264523</v>
      </c>
      <c r="L30" s="202">
        <f t="shared" si="22"/>
        <v>-165.05341131605724</v>
      </c>
      <c r="M30" s="181">
        <f t="shared" si="22"/>
        <v>-191.83775442915424</v>
      </c>
      <c r="O30" s="171"/>
      <c r="P30" s="201"/>
      <c r="Q30" s="201"/>
      <c r="R30" s="201"/>
      <c r="S30" s="201"/>
      <c r="T30" s="201"/>
      <c r="U30" s="170"/>
    </row>
    <row r="31" spans="1:22" ht="13.5" thickBot="1" x14ac:dyDescent="0.25">
      <c r="A31" s="171" t="s">
        <v>428</v>
      </c>
      <c r="B31" s="201"/>
      <c r="C31" s="177">
        <f>C30/C17</f>
        <v>7.4808303721713115E-4</v>
      </c>
      <c r="D31" s="177">
        <f>D30/D17</f>
        <v>-1.8855656697009102E-2</v>
      </c>
      <c r="E31" s="177">
        <f>E30/E17</f>
        <v>-1.2359372524164159E-2</v>
      </c>
      <c r="F31" s="177">
        <f>F30/F17</f>
        <v>-1.2326656394453005E-2</v>
      </c>
      <c r="G31" s="178">
        <f>G30/G17</f>
        <v>-1.0820435556773044E-2</v>
      </c>
      <c r="H31" s="203">
        <f t="shared" ref="H31:M31" si="23">P31</f>
        <v>-1.0722807627036434E-2</v>
      </c>
      <c r="I31" s="203">
        <f t="shared" si="23"/>
        <v>-1.3016985759887148E-2</v>
      </c>
      <c r="J31" s="203">
        <f t="shared" si="23"/>
        <v>-1.1849251572462758E-2</v>
      </c>
      <c r="K31" s="203">
        <f t="shared" si="23"/>
        <v>-1.1747227382122478E-2</v>
      </c>
      <c r="L31" s="203">
        <f t="shared" si="23"/>
        <v>-1.1631341579656371E-2</v>
      </c>
      <c r="M31" s="232">
        <f t="shared" si="23"/>
        <v>-1.1793522784233037E-2</v>
      </c>
      <c r="O31" s="171" t="s">
        <v>437</v>
      </c>
      <c r="P31" s="203">
        <f>AVERAGE(C31:G31)</f>
        <v>-1.0722807627036434E-2</v>
      </c>
      <c r="Q31" s="203">
        <f>AVERAGE(D31:H31)+$V$31</f>
        <v>-1.3016985759887148E-2</v>
      </c>
      <c r="R31" s="203">
        <f t="shared" ref="R31:U31" si="24">AVERAGE(E31:I31)+$V$31</f>
        <v>-1.1849251572462758E-2</v>
      </c>
      <c r="S31" s="203">
        <f t="shared" si="24"/>
        <v>-1.1747227382122478E-2</v>
      </c>
      <c r="T31" s="203">
        <f t="shared" si="24"/>
        <v>-1.1631341579656371E-2</v>
      </c>
      <c r="U31" s="221">
        <f t="shared" si="24"/>
        <v>-1.1793522784233037E-2</v>
      </c>
      <c r="V31" s="179">
        <v>0</v>
      </c>
    </row>
    <row r="32" spans="1:22" ht="13.5" thickTop="1" x14ac:dyDescent="0.2">
      <c r="A32" s="215" t="s">
        <v>34</v>
      </c>
      <c r="B32" s="204"/>
      <c r="C32" s="205">
        <f>C21-SUM(C24,C26,C28,C30)</f>
        <v>15</v>
      </c>
      <c r="D32" s="205">
        <f t="shared" ref="D32:M32" si="25">D21-SUM(D24,D26,D28,D30)</f>
        <v>2622</v>
      </c>
      <c r="E32" s="205">
        <f t="shared" si="25"/>
        <v>2816</v>
      </c>
      <c r="F32" s="205">
        <f t="shared" si="25"/>
        <v>1815</v>
      </c>
      <c r="G32" s="190">
        <f t="shared" si="25"/>
        <v>3615</v>
      </c>
      <c r="H32" s="205">
        <f t="shared" si="25"/>
        <v>4594.0835010500086</v>
      </c>
      <c r="I32" s="205">
        <f t="shared" si="25"/>
        <v>4919.710179524488</v>
      </c>
      <c r="J32" s="205">
        <f t="shared" si="25"/>
        <v>5482.1168126830307</v>
      </c>
      <c r="K32" s="205">
        <f t="shared" si="25"/>
        <v>6465.2713444774745</v>
      </c>
      <c r="L32" s="205">
        <f t="shared" si="25"/>
        <v>7564.0737637335897</v>
      </c>
      <c r="M32" s="190">
        <f t="shared" si="25"/>
        <v>8909.3135314795745</v>
      </c>
      <c r="O32" s="171"/>
      <c r="P32" s="201"/>
      <c r="Q32" s="201"/>
      <c r="R32" s="201"/>
      <c r="S32" s="201"/>
      <c r="T32" s="201"/>
      <c r="U32" s="170"/>
    </row>
    <row r="33" spans="1:22" x14ac:dyDescent="0.2">
      <c r="A33" s="172" t="s">
        <v>426</v>
      </c>
      <c r="C33" s="177">
        <f t="shared" ref="C33:M33" si="26">C32/C17</f>
        <v>2.8053113895642415E-3</v>
      </c>
      <c r="D33" s="177">
        <f t="shared" si="26"/>
        <v>0.42620286085825748</v>
      </c>
      <c r="E33" s="177">
        <f t="shared" si="26"/>
        <v>0.44620503882110601</v>
      </c>
      <c r="F33" s="177">
        <f t="shared" si="26"/>
        <v>0.39951573849878935</v>
      </c>
      <c r="G33" s="178">
        <f t="shared" si="26"/>
        <v>0.49513765237638679</v>
      </c>
      <c r="H33" s="177">
        <f t="shared" si="26"/>
        <v>0.49055699805571285</v>
      </c>
      <c r="I33" s="177">
        <f t="shared" si="26"/>
        <v>0.49946412114503386</v>
      </c>
      <c r="J33" s="177">
        <f t="shared" si="26"/>
        <v>0.5112309830850299</v>
      </c>
      <c r="K33" s="177">
        <f t="shared" si="26"/>
        <v>0.52624229591862359</v>
      </c>
      <c r="L33" s="177">
        <f t="shared" si="26"/>
        <v>0.53304154684346827</v>
      </c>
      <c r="M33" s="178">
        <f t="shared" si="26"/>
        <v>0.54771383473519164</v>
      </c>
      <c r="O33" s="171"/>
      <c r="P33" s="201"/>
      <c r="Q33" s="201"/>
      <c r="R33" s="201"/>
      <c r="S33" s="201"/>
      <c r="T33" s="201"/>
      <c r="U33" s="170"/>
    </row>
    <row r="34" spans="1:22" x14ac:dyDescent="0.2">
      <c r="A34" s="172"/>
      <c r="C34" s="174"/>
      <c r="D34" s="174"/>
      <c r="E34" s="174"/>
      <c r="F34" s="174"/>
      <c r="G34" s="181"/>
      <c r="M34" s="170"/>
      <c r="O34" s="171"/>
      <c r="P34" s="201"/>
      <c r="Q34" s="201"/>
      <c r="R34" s="201"/>
      <c r="S34" s="201"/>
      <c r="T34" s="201"/>
      <c r="U34" s="170"/>
    </row>
    <row r="35" spans="1:22" x14ac:dyDescent="0.2">
      <c r="A35" s="171" t="s">
        <v>402</v>
      </c>
      <c r="B35" s="201"/>
      <c r="C35" s="173">
        <f>'Income Statement'!B18</f>
        <v>2864</v>
      </c>
      <c r="D35" s="173">
        <f>'Income Statement'!C18</f>
        <v>1867</v>
      </c>
      <c r="E35" s="173">
        <f>'Income Statement'!D18</f>
        <v>2122</v>
      </c>
      <c r="F35" s="173">
        <f>'Income Statement'!E18</f>
        <v>2074</v>
      </c>
      <c r="G35" s="167">
        <f>'Income Statement'!F18</f>
        <v>1528</v>
      </c>
      <c r="H35" s="202">
        <f t="shared" ref="H35:M35" si="27">H36*H17</f>
        <v>3308.0248978214117</v>
      </c>
      <c r="I35" s="202">
        <f t="shared" si="27"/>
        <v>3331.5720250874169</v>
      </c>
      <c r="J35" s="202">
        <f t="shared" si="27"/>
        <v>3466.1290285537821</v>
      </c>
      <c r="K35" s="202">
        <f t="shared" si="27"/>
        <v>3575.0885978617935</v>
      </c>
      <c r="L35" s="202">
        <f t="shared" si="27"/>
        <v>4086.7674140622062</v>
      </c>
      <c r="M35" s="181">
        <f t="shared" si="27"/>
        <v>4940.6961788953804</v>
      </c>
      <c r="O35" s="171"/>
      <c r="P35" s="201"/>
      <c r="Q35" s="201"/>
      <c r="R35" s="201"/>
      <c r="S35" s="201"/>
      <c r="T35" s="201"/>
      <c r="U35" s="170"/>
    </row>
    <row r="36" spans="1:22" ht="13.5" thickBot="1" x14ac:dyDescent="0.25">
      <c r="A36" s="218" t="s">
        <v>430</v>
      </c>
      <c r="B36" s="183"/>
      <c r="C36" s="209">
        <f>C35/C17</f>
        <v>0.53562745464746586</v>
      </c>
      <c r="D36" s="209">
        <f>D35/D17</f>
        <v>0.30347854356306891</v>
      </c>
      <c r="E36" s="209">
        <f>E35/E17</f>
        <v>0.3362383140548249</v>
      </c>
      <c r="F36" s="209">
        <f>F35/F17</f>
        <v>0.45652652432313451</v>
      </c>
      <c r="G36" s="210">
        <f>G35/G17</f>
        <v>0.20928639912340774</v>
      </c>
      <c r="H36" s="211">
        <f t="shared" ref="H36:M36" si="28">P36</f>
        <v>0.35323144714238036</v>
      </c>
      <c r="I36" s="211">
        <f t="shared" si="28"/>
        <v>0.33823144714238035</v>
      </c>
      <c r="J36" s="211">
        <f t="shared" si="28"/>
        <v>0.32323144714238033</v>
      </c>
      <c r="K36" s="211">
        <f t="shared" si="28"/>
        <v>0.29099518513763717</v>
      </c>
      <c r="L36" s="211">
        <f t="shared" si="28"/>
        <v>0.28799518513763717</v>
      </c>
      <c r="M36" s="223">
        <f t="shared" si="28"/>
        <v>0.30373694234048304</v>
      </c>
      <c r="O36" s="171" t="s">
        <v>436</v>
      </c>
      <c r="P36" s="229">
        <f>AVERAGE(C36:G36)+V36</f>
        <v>0.35323144714238036</v>
      </c>
      <c r="Q36" s="229">
        <f>P36+$V$36</f>
        <v>0.33823144714238035</v>
      </c>
      <c r="R36" s="229">
        <f>Q36+$V$36</f>
        <v>0.32323144714238033</v>
      </c>
      <c r="S36" s="229">
        <f>AVERAGE(G36:J36)+$V$36</f>
        <v>0.29099518513763717</v>
      </c>
      <c r="T36" s="229">
        <f>AVERAGE(G36:K36)+$V$36</f>
        <v>0.28799518513763717</v>
      </c>
      <c r="U36" s="176">
        <f>AVERAGE(H36:L36)+$V$36</f>
        <v>0.30373694234048304</v>
      </c>
      <c r="V36" s="179">
        <v>-1.4999999999999999E-2</v>
      </c>
    </row>
    <row r="37" spans="1:22" ht="13.5" thickTop="1" x14ac:dyDescent="0.2">
      <c r="A37" s="172" t="s">
        <v>8</v>
      </c>
      <c r="C37" s="174">
        <f t="shared" ref="C37:M37" si="29">C32-C35</f>
        <v>-2849</v>
      </c>
      <c r="D37" s="174">
        <f t="shared" si="29"/>
        <v>755</v>
      </c>
      <c r="E37" s="174">
        <f t="shared" si="29"/>
        <v>694</v>
      </c>
      <c r="F37" s="174">
        <f t="shared" si="29"/>
        <v>-259</v>
      </c>
      <c r="G37" s="181">
        <f t="shared" si="29"/>
        <v>2087</v>
      </c>
      <c r="H37" s="174">
        <f t="shared" si="29"/>
        <v>1286.0586032285969</v>
      </c>
      <c r="I37" s="174">
        <f t="shared" si="29"/>
        <v>1588.1381544370711</v>
      </c>
      <c r="J37" s="174">
        <f t="shared" si="29"/>
        <v>2015.9877841292487</v>
      </c>
      <c r="K37" s="174">
        <f t="shared" si="29"/>
        <v>2890.182746615681</v>
      </c>
      <c r="L37" s="174">
        <f t="shared" si="29"/>
        <v>3477.3063496713835</v>
      </c>
      <c r="M37" s="181">
        <f t="shared" si="29"/>
        <v>3968.6173525841941</v>
      </c>
      <c r="O37" s="172"/>
      <c r="P37" s="229"/>
      <c r="Q37" s="229"/>
      <c r="R37" s="229"/>
      <c r="S37" s="229"/>
      <c r="T37" s="229"/>
      <c r="U37" s="176"/>
    </row>
    <row r="38" spans="1:22" x14ac:dyDescent="0.2">
      <c r="A38" s="172" t="s">
        <v>426</v>
      </c>
      <c r="C38" s="177">
        <f t="shared" ref="C38:M38" si="30">C37/C17</f>
        <v>-0.53282214325790167</v>
      </c>
      <c r="D38" s="177">
        <f t="shared" si="30"/>
        <v>0.12272431729518855</v>
      </c>
      <c r="E38" s="177">
        <f t="shared" si="30"/>
        <v>0.1099667247662811</v>
      </c>
      <c r="F38" s="177">
        <f t="shared" si="30"/>
        <v>-5.7010785824345149E-2</v>
      </c>
      <c r="G38" s="178">
        <f t="shared" si="30"/>
        <v>0.28585125325297905</v>
      </c>
      <c r="H38" s="177">
        <f t="shared" si="30"/>
        <v>0.13732555091333246</v>
      </c>
      <c r="I38" s="177">
        <f t="shared" si="30"/>
        <v>0.16123267400265351</v>
      </c>
      <c r="J38" s="177">
        <f t="shared" si="30"/>
        <v>0.18799953594264954</v>
      </c>
      <c r="K38" s="177">
        <f t="shared" si="30"/>
        <v>0.23524711078098645</v>
      </c>
      <c r="L38" s="177">
        <f t="shared" si="30"/>
        <v>0.24504636170583111</v>
      </c>
      <c r="M38" s="178">
        <f t="shared" si="30"/>
        <v>0.24397689239470854</v>
      </c>
      <c r="O38" s="171"/>
      <c r="P38" s="229"/>
      <c r="Q38" s="229"/>
      <c r="R38" s="229"/>
      <c r="S38" s="229"/>
      <c r="T38" s="229"/>
      <c r="U38" s="176"/>
    </row>
    <row r="39" spans="1:22" x14ac:dyDescent="0.2">
      <c r="A39" s="172"/>
      <c r="C39" s="174"/>
      <c r="D39" s="174"/>
      <c r="E39" s="174"/>
      <c r="F39" s="174"/>
      <c r="G39" s="181"/>
      <c r="M39" s="170"/>
      <c r="O39" s="171"/>
      <c r="P39" s="229"/>
      <c r="Q39" s="229"/>
      <c r="R39" s="229"/>
      <c r="S39" s="229"/>
      <c r="T39" s="229"/>
      <c r="U39" s="176"/>
    </row>
    <row r="40" spans="1:22" x14ac:dyDescent="0.2">
      <c r="A40" s="171" t="s">
        <v>403</v>
      </c>
      <c r="C40" s="173">
        <f>-'Income Statement'!B27</f>
        <v>325</v>
      </c>
      <c r="D40" s="173">
        <f>-'Income Statement'!C27</f>
        <v>399</v>
      </c>
      <c r="E40" s="173">
        <f>-'Income Statement'!D27</f>
        <v>380</v>
      </c>
      <c r="F40" s="173">
        <f>-'Income Statement'!E27</f>
        <v>468</v>
      </c>
      <c r="G40" s="167">
        <f>-'Income Statement'!F27</f>
        <v>481</v>
      </c>
      <c r="H40" s="294">
        <f>G40*AVERAGE(D40/C40, E40/D40, F40/E40, G40/F40)*0.925</f>
        <v>493.80334654344193</v>
      </c>
      <c r="I40" s="174">
        <f>H40*0.925</f>
        <v>456.7680955526838</v>
      </c>
      <c r="J40" s="174">
        <f>I40*0.925</f>
        <v>422.51048838623257</v>
      </c>
      <c r="K40" s="174">
        <f>J40*0.925</f>
        <v>390.82220175726513</v>
      </c>
      <c r="L40" s="174">
        <f>K40*0.925</f>
        <v>361.51053662547025</v>
      </c>
      <c r="M40" s="181">
        <f>L40*0.925</f>
        <v>334.39724637856</v>
      </c>
      <c r="O40" s="171"/>
      <c r="P40" s="229"/>
      <c r="Q40" s="229"/>
      <c r="R40" s="229"/>
      <c r="S40" s="229"/>
      <c r="T40" s="229"/>
      <c r="U40" s="176"/>
    </row>
    <row r="41" spans="1:22" x14ac:dyDescent="0.2">
      <c r="A41" s="171" t="s">
        <v>404</v>
      </c>
      <c r="C41" s="175">
        <f t="shared" ref="C41:M41" si="31">TaxRate</f>
        <v>0.40268399999999999</v>
      </c>
      <c r="D41" s="175">
        <f t="shared" si="31"/>
        <v>0.40268399999999999</v>
      </c>
      <c r="E41" s="175">
        <f t="shared" si="31"/>
        <v>0.40268399999999999</v>
      </c>
      <c r="F41" s="175">
        <f t="shared" si="31"/>
        <v>0.40268399999999999</v>
      </c>
      <c r="G41" s="176">
        <f t="shared" si="31"/>
        <v>0.40268399999999999</v>
      </c>
      <c r="H41" s="175">
        <f t="shared" si="31"/>
        <v>0.40268399999999999</v>
      </c>
      <c r="I41" s="175">
        <f t="shared" si="31"/>
        <v>0.40268399999999999</v>
      </c>
      <c r="J41" s="175">
        <f t="shared" si="31"/>
        <v>0.40268399999999999</v>
      </c>
      <c r="K41" s="175">
        <f t="shared" si="31"/>
        <v>0.40268399999999999</v>
      </c>
      <c r="L41" s="175">
        <f t="shared" si="31"/>
        <v>0.40268399999999999</v>
      </c>
      <c r="M41" s="176">
        <f t="shared" si="31"/>
        <v>0.40268399999999999</v>
      </c>
      <c r="O41" s="171"/>
      <c r="P41" s="229"/>
      <c r="Q41" s="229"/>
      <c r="R41" s="229"/>
      <c r="S41" s="229"/>
      <c r="T41" s="229"/>
      <c r="U41" s="176"/>
    </row>
    <row r="42" spans="1:22" ht="13.5" thickBot="1" x14ac:dyDescent="0.25">
      <c r="A42" s="197" t="s">
        <v>46</v>
      </c>
      <c r="B42" s="183"/>
      <c r="C42" s="184">
        <f t="shared" ref="C42:M42" si="32">(C37-C40)*C41</f>
        <v>-1278.1190159999999</v>
      </c>
      <c r="D42" s="184">
        <f t="shared" si="32"/>
        <v>143.355504</v>
      </c>
      <c r="E42" s="184">
        <f t="shared" si="32"/>
        <v>126.44277599999999</v>
      </c>
      <c r="F42" s="184">
        <f t="shared" si="32"/>
        <v>-292.75126799999998</v>
      </c>
      <c r="G42" s="189">
        <f t="shared" si="32"/>
        <v>646.71050400000001</v>
      </c>
      <c r="H42" s="184">
        <f t="shared" si="32"/>
        <v>319.02851578300493</v>
      </c>
      <c r="I42" s="184">
        <f t="shared" si="32"/>
        <v>455.58462079180055</v>
      </c>
      <c r="J42" s="184">
        <f t="shared" si="32"/>
        <v>641.66781135898066</v>
      </c>
      <c r="K42" s="184">
        <f t="shared" si="32"/>
        <v>1006.4525016457662</v>
      </c>
      <c r="L42" s="184">
        <f t="shared" si="32"/>
        <v>1254.6811211805805</v>
      </c>
      <c r="M42" s="189">
        <f t="shared" si="32"/>
        <v>1463.4422892473096</v>
      </c>
      <c r="O42" s="171"/>
      <c r="P42" s="201"/>
      <c r="Q42" s="201"/>
      <c r="R42" s="201"/>
      <c r="S42" s="201"/>
      <c r="T42" s="201"/>
      <c r="U42" s="170"/>
    </row>
    <row r="43" spans="1:22" ht="13.5" thickTop="1" x14ac:dyDescent="0.2">
      <c r="A43" s="244" t="s">
        <v>44</v>
      </c>
      <c r="B43" s="245"/>
      <c r="C43" s="246">
        <f t="shared" ref="C43:M43" si="33">C37-SUM(C40,C42)</f>
        <v>-1895.8809840000001</v>
      </c>
      <c r="D43" s="246">
        <f t="shared" si="33"/>
        <v>212.644496</v>
      </c>
      <c r="E43" s="246">
        <f t="shared" si="33"/>
        <v>187.55722400000002</v>
      </c>
      <c r="F43" s="246">
        <f t="shared" si="33"/>
        <v>-434.24873200000002</v>
      </c>
      <c r="G43" s="247">
        <f t="shared" si="33"/>
        <v>959.28949599999987</v>
      </c>
      <c r="H43" s="246">
        <f t="shared" si="33"/>
        <v>473.22674090215003</v>
      </c>
      <c r="I43" s="246">
        <f t="shared" si="33"/>
        <v>675.78543809258667</v>
      </c>
      <c r="J43" s="246">
        <f t="shared" si="33"/>
        <v>951.80948438403539</v>
      </c>
      <c r="K43" s="246">
        <f t="shared" si="33"/>
        <v>1492.9080432126498</v>
      </c>
      <c r="L43" s="246">
        <f t="shared" si="33"/>
        <v>1861.1146918653328</v>
      </c>
      <c r="M43" s="247">
        <f t="shared" si="33"/>
        <v>2170.7778169583244</v>
      </c>
      <c r="O43" s="171"/>
      <c r="P43" s="229"/>
      <c r="Q43" s="229"/>
      <c r="R43" s="229"/>
      <c r="S43" s="229"/>
      <c r="T43" s="229"/>
      <c r="U43" s="176"/>
    </row>
    <row r="44" spans="1:22" x14ac:dyDescent="0.2">
      <c r="A44" s="171"/>
      <c r="G44" s="170"/>
      <c r="H44" s="191"/>
      <c r="I44" s="191"/>
      <c r="J44" s="191"/>
      <c r="K44" s="191"/>
      <c r="L44" s="278" t="s">
        <v>100</v>
      </c>
      <c r="M44" s="181">
        <f>M43/SharesOutstanding</f>
        <v>7.0450172895582108</v>
      </c>
      <c r="O44" s="171"/>
      <c r="P44" s="201"/>
      <c r="Q44" s="201"/>
      <c r="R44" s="201"/>
      <c r="S44" s="201"/>
      <c r="T44" s="201"/>
      <c r="U44" s="170"/>
    </row>
    <row r="45" spans="1:22" x14ac:dyDescent="0.2">
      <c r="A45" s="172" t="s">
        <v>405</v>
      </c>
      <c r="G45" s="170"/>
      <c r="L45" s="279" t="s">
        <v>452</v>
      </c>
      <c r="M45" s="277">
        <f>CurrentPrice/M44</f>
        <v>15.277464280964088</v>
      </c>
      <c r="O45" s="171"/>
      <c r="P45" s="201"/>
      <c r="Q45" s="201"/>
      <c r="R45" s="201"/>
      <c r="S45" s="201"/>
      <c r="T45" s="201"/>
      <c r="U45" s="170"/>
    </row>
    <row r="46" spans="1:22" x14ac:dyDescent="0.2">
      <c r="A46" s="171" t="s">
        <v>406</v>
      </c>
      <c r="C46" s="192">
        <f>'Balance Sheet'!B11</f>
        <v>677</v>
      </c>
      <c r="D46" s="192">
        <f>'Balance Sheet'!C11</f>
        <v>771</v>
      </c>
      <c r="E46" s="192">
        <f>'Balance Sheet'!D11</f>
        <v>940</v>
      </c>
      <c r="F46" s="192">
        <f>'Balance Sheet'!E11</f>
        <v>710</v>
      </c>
      <c r="G46" s="167">
        <f>'Balance Sheet'!F11</f>
        <v>1062</v>
      </c>
      <c r="H46" s="174"/>
      <c r="I46" s="174"/>
      <c r="J46" s="174"/>
      <c r="K46" s="174"/>
      <c r="L46" s="174"/>
      <c r="M46" s="181"/>
      <c r="O46" s="171"/>
      <c r="P46" s="201"/>
      <c r="Q46" s="201"/>
      <c r="R46" s="201"/>
      <c r="S46" s="201"/>
      <c r="T46" s="201"/>
      <c r="U46" s="170"/>
    </row>
    <row r="47" spans="1:22" x14ac:dyDescent="0.2">
      <c r="A47" s="171" t="s">
        <v>407</v>
      </c>
      <c r="C47" s="192">
        <f>'Balance Sheet'!B15</f>
        <v>232</v>
      </c>
      <c r="D47" s="192">
        <f>'Balance Sheet'!C15</f>
        <v>245</v>
      </c>
      <c r="E47" s="192">
        <f>'Balance Sheet'!D15</f>
        <v>261</v>
      </c>
      <c r="F47" s="192">
        <f>'Balance Sheet'!E15</f>
        <v>378</v>
      </c>
      <c r="G47" s="167">
        <f>'Balance Sheet'!F15</f>
        <v>223</v>
      </c>
      <c r="H47" s="174"/>
      <c r="I47" s="174"/>
      <c r="J47" s="174"/>
      <c r="K47" s="174"/>
      <c r="L47" s="174"/>
      <c r="M47" s="181"/>
      <c r="O47" s="171"/>
      <c r="P47" s="201"/>
      <c r="Q47" s="201"/>
      <c r="R47" s="201"/>
      <c r="S47" s="201"/>
      <c r="T47" s="201"/>
      <c r="U47" s="170"/>
    </row>
    <row r="48" spans="1:22" x14ac:dyDescent="0.2">
      <c r="A48" s="171" t="s">
        <v>408</v>
      </c>
      <c r="C48" s="192">
        <f>'Cash Flow'!B22</f>
        <v>945</v>
      </c>
      <c r="D48" s="192">
        <f>'Cash Flow'!C22</f>
        <v>1939</v>
      </c>
      <c r="E48" s="192">
        <f>'Cash Flow'!D22</f>
        <v>1642</v>
      </c>
      <c r="F48" s="192">
        <f>'Cash Flow'!E22</f>
        <v>1333</v>
      </c>
      <c r="G48" s="167">
        <f>'Cash Flow'!F22</f>
        <v>2890</v>
      </c>
      <c r="H48" s="174"/>
      <c r="I48" s="174"/>
      <c r="J48" s="174"/>
      <c r="K48" s="174"/>
      <c r="L48" s="174"/>
      <c r="M48" s="181"/>
      <c r="O48" s="171"/>
      <c r="P48" s="201"/>
      <c r="Q48" s="201"/>
      <c r="R48" s="201"/>
      <c r="S48" s="201"/>
      <c r="T48" s="201"/>
      <c r="U48" s="170"/>
    </row>
    <row r="49" spans="1:22" x14ac:dyDescent="0.2">
      <c r="A49" s="171" t="s">
        <v>409</v>
      </c>
      <c r="C49" s="192">
        <f>'Balance Sheet'!B30</f>
        <v>435</v>
      </c>
      <c r="D49" s="192">
        <f>'Balance Sheet'!C30</f>
        <v>495</v>
      </c>
      <c r="E49" s="192">
        <f>'Balance Sheet'!D30</f>
        <v>411</v>
      </c>
      <c r="F49" s="192">
        <f>'Balance Sheet'!E30</f>
        <v>200</v>
      </c>
      <c r="G49" s="167">
        <f>'Balance Sheet'!F30</f>
        <v>220</v>
      </c>
      <c r="H49" s="174"/>
      <c r="I49" s="174"/>
      <c r="J49" s="174"/>
      <c r="K49" s="174"/>
      <c r="L49" s="174"/>
      <c r="M49" s="181"/>
      <c r="O49" s="171"/>
      <c r="P49" s="201"/>
      <c r="Q49" s="201"/>
      <c r="R49" s="201"/>
      <c r="S49" s="201"/>
      <c r="T49" s="201"/>
      <c r="U49" s="170"/>
    </row>
    <row r="50" spans="1:22" x14ac:dyDescent="0.2">
      <c r="A50" s="171" t="s">
        <v>410</v>
      </c>
      <c r="C50" s="192">
        <v>0</v>
      </c>
      <c r="D50" s="192">
        <v>0</v>
      </c>
      <c r="E50" s="192">
        <v>0</v>
      </c>
      <c r="F50" s="192">
        <v>0</v>
      </c>
      <c r="G50" s="167">
        <v>0</v>
      </c>
      <c r="H50" s="174"/>
      <c r="I50" s="174"/>
      <c r="J50" s="174"/>
      <c r="K50" s="174"/>
      <c r="L50" s="174"/>
      <c r="M50" s="181"/>
      <c r="O50" s="171"/>
      <c r="P50" s="201"/>
      <c r="Q50" s="201"/>
      <c r="R50" s="201"/>
      <c r="S50" s="201"/>
      <c r="T50" s="201"/>
      <c r="U50" s="170"/>
    </row>
    <row r="51" spans="1:22" x14ac:dyDescent="0.2">
      <c r="A51" s="172" t="s">
        <v>411</v>
      </c>
      <c r="C51" s="192">
        <f>C46+C47+C48-C49-C50</f>
        <v>1419</v>
      </c>
      <c r="D51" s="192">
        <f>D46+D47+D48-D49-D50</f>
        <v>2460</v>
      </c>
      <c r="E51" s="192">
        <f>E46+E47+E48-E49-E50</f>
        <v>2432</v>
      </c>
      <c r="F51" s="192">
        <f>F46+F47+F48-F49-F50</f>
        <v>2221</v>
      </c>
      <c r="G51" s="167">
        <f>G46+G47+G48-G49-G50</f>
        <v>3955</v>
      </c>
      <c r="H51" s="192">
        <f t="shared" ref="H51:M51" si="34">H52*H17</f>
        <v>4966.2341535858404</v>
      </c>
      <c r="I51" s="192">
        <f t="shared" si="34"/>
        <v>5272.6465359183194</v>
      </c>
      <c r="J51" s="192">
        <f t="shared" si="34"/>
        <v>5906.0625008974293</v>
      </c>
      <c r="K51" s="192">
        <f t="shared" si="34"/>
        <v>6803.659152679671</v>
      </c>
      <c r="L51" s="192">
        <f t="shared" si="34"/>
        <v>7969.5496475233995</v>
      </c>
      <c r="M51" s="167">
        <f t="shared" si="34"/>
        <v>9278.1544085965288</v>
      </c>
      <c r="O51" s="171"/>
      <c r="P51" s="201"/>
      <c r="Q51" s="201"/>
      <c r="R51" s="201"/>
      <c r="S51" s="201"/>
      <c r="T51" s="201"/>
      <c r="U51" s="170"/>
    </row>
    <row r="52" spans="1:22" x14ac:dyDescent="0.2">
      <c r="A52" s="171" t="s">
        <v>428</v>
      </c>
      <c r="C52" s="182">
        <f>C51/C17</f>
        <v>0.26538245745277728</v>
      </c>
      <c r="D52" s="182">
        <f>D51/D17</f>
        <v>0.39986996098829647</v>
      </c>
      <c r="E52" s="182">
        <f>E51/E17</f>
        <v>0.38535889716368243</v>
      </c>
      <c r="F52" s="182">
        <f>F51/F17</f>
        <v>0.48888399735857363</v>
      </c>
      <c r="G52" s="178">
        <f>G51/G17</f>
        <v>0.54170661553211885</v>
      </c>
      <c r="H52" s="212">
        <f t="shared" ref="H52:M52" si="35">P52</f>
        <v>0.53029530644534628</v>
      </c>
      <c r="I52" s="212">
        <f t="shared" si="35"/>
        <v>0.53529530644534629</v>
      </c>
      <c r="J52" s="212">
        <f t="shared" si="35"/>
        <v>0.55076574280760382</v>
      </c>
      <c r="K52" s="212">
        <f t="shared" si="35"/>
        <v>0.55378545189943218</v>
      </c>
      <c r="L52" s="212">
        <f t="shared" si="35"/>
        <v>0.56161550038412744</v>
      </c>
      <c r="M52" s="224">
        <f t="shared" si="35"/>
        <v>0.5703888983637212</v>
      </c>
      <c r="O52" s="186" t="s">
        <v>442</v>
      </c>
      <c r="P52" s="230">
        <f>AVERAGE(F52:G52)+$V$52</f>
        <v>0.53029530644534628</v>
      </c>
      <c r="Q52" s="230">
        <f>AVERAGE(F52:H52)+$V$52</f>
        <v>0.53529530644534629</v>
      </c>
      <c r="R52" s="230">
        <f t="shared" ref="R52:U52" si="36">AVERAGE(G52:I52)+$V$52</f>
        <v>0.55076574280760382</v>
      </c>
      <c r="S52" s="230">
        <f t="shared" si="36"/>
        <v>0.55378545189943218</v>
      </c>
      <c r="T52" s="230">
        <f t="shared" si="36"/>
        <v>0.56161550038412744</v>
      </c>
      <c r="U52" s="231">
        <f t="shared" si="36"/>
        <v>0.5703888983637212</v>
      </c>
      <c r="V52" s="179">
        <v>1.4999999999999999E-2</v>
      </c>
    </row>
    <row r="53" spans="1:22" x14ac:dyDescent="0.2">
      <c r="A53" s="172" t="s">
        <v>412</v>
      </c>
      <c r="C53" s="192"/>
      <c r="D53" s="192">
        <f>D51-C51</f>
        <v>1041</v>
      </c>
      <c r="E53" s="192">
        <f>E51-D51</f>
        <v>-28</v>
      </c>
      <c r="F53" s="192">
        <f t="shared" ref="F53:M53" si="37">F51-E51</f>
        <v>-211</v>
      </c>
      <c r="G53" s="167">
        <f t="shared" si="37"/>
        <v>1734</v>
      </c>
      <c r="H53" s="192">
        <f>H51-G51</f>
        <v>1011.2341535858404</v>
      </c>
      <c r="I53" s="192">
        <f t="shared" si="37"/>
        <v>306.41238233247896</v>
      </c>
      <c r="J53" s="192">
        <f t="shared" si="37"/>
        <v>633.41596497910996</v>
      </c>
      <c r="K53" s="192">
        <f t="shared" si="37"/>
        <v>897.59665178224168</v>
      </c>
      <c r="L53" s="192">
        <f t="shared" si="37"/>
        <v>1165.8904948437284</v>
      </c>
      <c r="M53" s="167">
        <f t="shared" si="37"/>
        <v>1308.6047610731293</v>
      </c>
    </row>
    <row r="54" spans="1:22" x14ac:dyDescent="0.2">
      <c r="A54" s="171"/>
      <c r="C54" s="191"/>
      <c r="D54" s="191"/>
      <c r="E54" s="191"/>
      <c r="F54" s="191"/>
      <c r="G54" s="188"/>
      <c r="H54" s="191"/>
      <c r="I54" s="191"/>
      <c r="J54" s="191"/>
      <c r="K54" s="191"/>
      <c r="L54" s="191"/>
      <c r="M54" s="188"/>
    </row>
    <row r="55" spans="1:22" x14ac:dyDescent="0.2">
      <c r="A55" s="172" t="s">
        <v>446</v>
      </c>
      <c r="G55" s="170"/>
      <c r="M55" s="170"/>
    </row>
    <row r="56" spans="1:22" x14ac:dyDescent="0.2">
      <c r="A56" s="171" t="s">
        <v>449</v>
      </c>
      <c r="C56" s="174">
        <f t="shared" ref="C56:M56" si="38">(C43+C42+C40)*(1-C41)</f>
        <v>-1701.7532839999999</v>
      </c>
      <c r="D56" s="174">
        <f t="shared" si="38"/>
        <v>450.97357999999997</v>
      </c>
      <c r="E56" s="174">
        <f t="shared" si="38"/>
        <v>414.53730399999995</v>
      </c>
      <c r="F56" s="174">
        <f t="shared" si="38"/>
        <v>-154.70484399999998</v>
      </c>
      <c r="G56" s="181">
        <f t="shared" si="38"/>
        <v>1246.5984919999999</v>
      </c>
      <c r="H56" s="174">
        <f t="shared" si="38"/>
        <v>768.18338064609247</v>
      </c>
      <c r="I56" s="174">
        <f t="shared" si="38"/>
        <v>948.62032985573353</v>
      </c>
      <c r="J56" s="174">
        <f t="shared" si="38"/>
        <v>1204.1817592649461</v>
      </c>
      <c r="K56" s="174">
        <f t="shared" si="38"/>
        <v>1726.3523974774921</v>
      </c>
      <c r="L56" s="174">
        <f t="shared" si="38"/>
        <v>2077.0507195603118</v>
      </c>
      <c r="M56" s="181">
        <f t="shared" si="38"/>
        <v>2370.5186425761799</v>
      </c>
    </row>
    <row r="57" spans="1:22" x14ac:dyDescent="0.2">
      <c r="A57" s="171" t="s">
        <v>448</v>
      </c>
      <c r="C57" s="174">
        <f t="shared" ref="C57:M57" si="39">C35</f>
        <v>2864</v>
      </c>
      <c r="D57" s="174">
        <f t="shared" si="39"/>
        <v>1867</v>
      </c>
      <c r="E57" s="174">
        <f t="shared" si="39"/>
        <v>2122</v>
      </c>
      <c r="F57" s="174">
        <f t="shared" si="39"/>
        <v>2074</v>
      </c>
      <c r="G57" s="181">
        <f t="shared" si="39"/>
        <v>1528</v>
      </c>
      <c r="H57" s="174">
        <f t="shared" si="39"/>
        <v>3308.0248978214117</v>
      </c>
      <c r="I57" s="174">
        <f t="shared" si="39"/>
        <v>3331.5720250874169</v>
      </c>
      <c r="J57" s="174">
        <f t="shared" si="39"/>
        <v>3466.1290285537821</v>
      </c>
      <c r="K57" s="174">
        <f t="shared" si="39"/>
        <v>3575.0885978617935</v>
      </c>
      <c r="L57" s="174">
        <f t="shared" si="39"/>
        <v>4086.7674140622062</v>
      </c>
      <c r="M57" s="181">
        <f t="shared" si="39"/>
        <v>4940.6961788953804</v>
      </c>
    </row>
    <row r="58" spans="1:22" x14ac:dyDescent="0.2">
      <c r="A58" s="171" t="s">
        <v>413</v>
      </c>
      <c r="C58" s="174">
        <f>C53</f>
        <v>0</v>
      </c>
      <c r="D58" s="174">
        <f>-D53</f>
        <v>-1041</v>
      </c>
      <c r="E58" s="174">
        <f>-E53</f>
        <v>28</v>
      </c>
      <c r="F58" s="174">
        <f>-F53</f>
        <v>211</v>
      </c>
      <c r="G58" s="181">
        <f>-G53</f>
        <v>-1734</v>
      </c>
      <c r="H58" s="174">
        <f t="shared" ref="H58:M58" si="40">H53</f>
        <v>1011.2341535858404</v>
      </c>
      <c r="I58" s="174">
        <f t="shared" si="40"/>
        <v>306.41238233247896</v>
      </c>
      <c r="J58" s="174">
        <f t="shared" si="40"/>
        <v>633.41596497910996</v>
      </c>
      <c r="K58" s="174">
        <f t="shared" si="40"/>
        <v>897.59665178224168</v>
      </c>
      <c r="L58" s="174">
        <f t="shared" si="40"/>
        <v>1165.8904948437284</v>
      </c>
      <c r="M58" s="181">
        <f t="shared" si="40"/>
        <v>1308.6047610731293</v>
      </c>
    </row>
    <row r="59" spans="1:22" x14ac:dyDescent="0.2">
      <c r="A59" s="171" t="s">
        <v>414</v>
      </c>
      <c r="C59" s="192">
        <f>'Cash Flow'!B24</f>
        <v>-1937</v>
      </c>
      <c r="D59" s="192">
        <f>'Cash Flow'!C24</f>
        <v>-2097</v>
      </c>
      <c r="E59" s="192">
        <f>'Cash Flow'!D24</f>
        <v>-2829</v>
      </c>
      <c r="F59" s="192">
        <f>'Cash Flow'!E24</f>
        <v>-2197</v>
      </c>
      <c r="G59" s="167">
        <f>'Cash Flow'!F24</f>
        <v>-1747</v>
      </c>
      <c r="H59" s="192">
        <f>AVERAGE(C59:G59)</f>
        <v>-2161.4</v>
      </c>
      <c r="I59" s="192">
        <f t="shared" ref="I59:M59" si="41">AVERAGE(D59:H59)</f>
        <v>-2206.2799999999997</v>
      </c>
      <c r="J59" s="192">
        <f t="shared" si="41"/>
        <v>-2228.136</v>
      </c>
      <c r="K59" s="192">
        <f t="shared" si="41"/>
        <v>-2107.9632000000001</v>
      </c>
      <c r="L59" s="192">
        <f t="shared" si="41"/>
        <v>-2090.1558400000004</v>
      </c>
      <c r="M59" s="167">
        <f t="shared" si="41"/>
        <v>-2158.7870080000002</v>
      </c>
    </row>
    <row r="60" spans="1:22" x14ac:dyDescent="0.2">
      <c r="A60" s="168" t="s">
        <v>447</v>
      </c>
      <c r="B60" s="187"/>
      <c r="C60" s="219"/>
      <c r="D60" s="219">
        <f t="shared" ref="D60:M60" si="42">SUM(D56:D59)</f>
        <v>-820.02642000000014</v>
      </c>
      <c r="E60" s="219">
        <f t="shared" si="42"/>
        <v>-264.46269600000005</v>
      </c>
      <c r="F60" s="219">
        <f t="shared" si="42"/>
        <v>-66.704843999999866</v>
      </c>
      <c r="G60" s="220">
        <f t="shared" si="42"/>
        <v>-706.40150799999992</v>
      </c>
      <c r="H60" s="219">
        <f t="shared" si="42"/>
        <v>2926.0424320533443</v>
      </c>
      <c r="I60" s="219">
        <f t="shared" si="42"/>
        <v>2380.3247372756296</v>
      </c>
      <c r="J60" s="219">
        <f t="shared" si="42"/>
        <v>3075.5907527978384</v>
      </c>
      <c r="K60" s="219">
        <f t="shared" si="42"/>
        <v>4091.0744471215276</v>
      </c>
      <c r="L60" s="219">
        <f t="shared" si="42"/>
        <v>5239.5527884662461</v>
      </c>
      <c r="M60" s="220">
        <f t="shared" si="42"/>
        <v>6461.0325745446889</v>
      </c>
    </row>
    <row r="62" spans="1:22" x14ac:dyDescent="0.2">
      <c r="H62" s="191"/>
      <c r="I62" s="191"/>
      <c r="J62" s="191"/>
      <c r="K62" s="191"/>
      <c r="L62" s="191"/>
      <c r="M62" s="191"/>
    </row>
    <row r="63" spans="1:22" x14ac:dyDescent="0.2">
      <c r="B63" s="302" t="s">
        <v>415</v>
      </c>
      <c r="C63" s="303"/>
      <c r="G63" s="193" t="s">
        <v>416</v>
      </c>
      <c r="H63" s="194">
        <v>1</v>
      </c>
      <c r="I63" s="194">
        <v>2</v>
      </c>
      <c r="J63" s="194">
        <v>3</v>
      </c>
      <c r="K63" s="194">
        <v>4</v>
      </c>
      <c r="L63" s="194">
        <v>5</v>
      </c>
      <c r="M63" s="195">
        <v>6</v>
      </c>
      <c r="O63" s="169" t="s">
        <v>36</v>
      </c>
    </row>
    <row r="64" spans="1:22" x14ac:dyDescent="0.2">
      <c r="B64" s="172" t="s">
        <v>417</v>
      </c>
      <c r="C64" s="181">
        <f>M66/(1+M64)^M63</f>
        <v>40462.545120156021</v>
      </c>
      <c r="G64" s="171" t="s">
        <v>418</v>
      </c>
      <c r="H64" s="185">
        <f t="shared" ref="H64:M64" si="43">WACC</f>
        <v>8.4995069288908556E-2</v>
      </c>
      <c r="I64" s="185">
        <f t="shared" si="43"/>
        <v>8.4995069288908556E-2</v>
      </c>
      <c r="J64" s="185">
        <f t="shared" si="43"/>
        <v>8.4995069288908556E-2</v>
      </c>
      <c r="K64" s="185">
        <f t="shared" si="43"/>
        <v>8.4995069288908556E-2</v>
      </c>
      <c r="L64" s="185">
        <f t="shared" si="43"/>
        <v>8.4995069288908556E-2</v>
      </c>
      <c r="M64" s="188">
        <f t="shared" si="43"/>
        <v>8.4995069288908556E-2</v>
      </c>
      <c r="O64" s="261">
        <v>2.5000000000000001E-2</v>
      </c>
    </row>
    <row r="65" spans="2:15" x14ac:dyDescent="0.2">
      <c r="B65" s="172" t="s">
        <v>419</v>
      </c>
      <c r="C65" s="165">
        <f>SUM(H65:M65)</f>
        <v>17523.814841080934</v>
      </c>
      <c r="G65" s="233" t="s">
        <v>420</v>
      </c>
      <c r="H65" s="173">
        <f t="shared" ref="H65:M65" si="44">H60/(1+H64)^H63</f>
        <v>2696.8255569779076</v>
      </c>
      <c r="I65" s="173">
        <f t="shared" si="44"/>
        <v>2021.99781000346</v>
      </c>
      <c r="J65" s="173">
        <f t="shared" si="44"/>
        <v>2407.9377358185966</v>
      </c>
      <c r="K65" s="173">
        <f t="shared" si="44"/>
        <v>2952.0677776137436</v>
      </c>
      <c r="L65" s="173">
        <f t="shared" si="44"/>
        <v>3484.6197794542536</v>
      </c>
      <c r="M65" s="167">
        <f t="shared" si="44"/>
        <v>3960.3661812129722</v>
      </c>
    </row>
    <row r="66" spans="2:15" x14ac:dyDescent="0.2">
      <c r="B66" s="172" t="s">
        <v>31</v>
      </c>
      <c r="C66" s="181">
        <f>C65+C64</f>
        <v>57986.359961236958</v>
      </c>
      <c r="G66" s="186"/>
      <c r="H66" s="187"/>
      <c r="I66" s="187"/>
      <c r="J66" s="187"/>
      <c r="K66" s="187"/>
      <c r="L66" s="187"/>
      <c r="M66" s="196">
        <f>(M65)/(M64-O64)</f>
        <v>66011.527749750181</v>
      </c>
      <c r="O66" s="169" t="s">
        <v>421</v>
      </c>
    </row>
    <row r="67" spans="2:15" x14ac:dyDescent="0.2">
      <c r="B67" s="172" t="s">
        <v>39</v>
      </c>
      <c r="C67" s="166">
        <f>-Debt</f>
        <v>-9141</v>
      </c>
    </row>
    <row r="68" spans="2:15" x14ac:dyDescent="0.2">
      <c r="B68" s="172" t="s">
        <v>422</v>
      </c>
      <c r="C68" s="166">
        <f>'Balance Sheet'!F9</f>
        <v>2713</v>
      </c>
    </row>
    <row r="69" spans="2:15" x14ac:dyDescent="0.2">
      <c r="B69" s="172" t="s">
        <v>25</v>
      </c>
      <c r="C69" s="181">
        <f>C66+C67+C68</f>
        <v>51558.359961236958</v>
      </c>
    </row>
    <row r="70" spans="2:15" x14ac:dyDescent="0.2">
      <c r="B70" s="172" t="s">
        <v>3</v>
      </c>
      <c r="C70" s="170">
        <f>SharesOutstanding</f>
        <v>308.12952300000001</v>
      </c>
    </row>
    <row r="71" spans="2:15" ht="13.5" thickBot="1" x14ac:dyDescent="0.25">
      <c r="B71" s="241" t="s">
        <v>423</v>
      </c>
      <c r="C71" s="198">
        <f>CurrentPrice</f>
        <v>107.63</v>
      </c>
    </row>
    <row r="72" spans="2:15" ht="13.5" thickTop="1" x14ac:dyDescent="0.2">
      <c r="B72" s="172" t="s">
        <v>424</v>
      </c>
      <c r="C72" s="181">
        <f>C69/C70</f>
        <v>167.32690674770868</v>
      </c>
    </row>
    <row r="73" spans="2:15" x14ac:dyDescent="0.2">
      <c r="B73" s="242" t="s">
        <v>43</v>
      </c>
      <c r="C73" s="243">
        <f>(C72-C71)/C71</f>
        <v>0.55464932405192491</v>
      </c>
    </row>
  </sheetData>
  <mergeCells count="8">
    <mergeCell ref="B63:C63"/>
    <mergeCell ref="A1:V3"/>
    <mergeCell ref="A4:V4"/>
    <mergeCell ref="A5:B5"/>
    <mergeCell ref="C5:G5"/>
    <mergeCell ref="H5:M5"/>
    <mergeCell ref="O5:U6"/>
    <mergeCell ref="A6:B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A6633-3F64-404E-8EDD-B2D4AA60CFAD}">
  <dimension ref="A1:V37"/>
  <sheetViews>
    <sheetView showGridLines="0" zoomScale="85" zoomScaleNormal="85" workbookViewId="0">
      <selection activeCell="J7" sqref="J7"/>
    </sheetView>
  </sheetViews>
  <sheetFormatPr defaultColWidth="11" defaultRowHeight="15.75" x14ac:dyDescent="0.25"/>
  <cols>
    <col min="2" max="2" width="31" bestFit="1" customWidth="1"/>
    <col min="3" max="3" width="15.5" customWidth="1"/>
    <col min="4" max="4" width="12.625" customWidth="1"/>
    <col min="5" max="5" width="25" customWidth="1"/>
    <col min="6" max="6" width="17.5" customWidth="1"/>
    <col min="7" max="7" width="12.625" bestFit="1" customWidth="1"/>
    <col min="8" max="8" width="21.125" bestFit="1" customWidth="1"/>
    <col min="9" max="9" width="11.5" bestFit="1" customWidth="1"/>
    <col min="10" max="10" width="8.375" bestFit="1" customWidth="1"/>
    <col min="11" max="11" width="22.375" bestFit="1" customWidth="1"/>
    <col min="12" max="12" width="15.5" bestFit="1" customWidth="1"/>
    <col min="13" max="13" width="12.875" bestFit="1" customWidth="1"/>
    <col min="14" max="14" width="14.5" bestFit="1" customWidth="1"/>
  </cols>
  <sheetData>
    <row r="1" spans="1:22" x14ac:dyDescent="0.25">
      <c r="A1" s="299" t="s">
        <v>85</v>
      </c>
      <c r="B1" s="299"/>
      <c r="C1" s="299"/>
      <c r="D1" s="299"/>
      <c r="E1" s="299"/>
      <c r="F1" s="299"/>
      <c r="G1" s="299"/>
      <c r="H1" s="299"/>
      <c r="I1" s="299"/>
      <c r="J1" s="299"/>
      <c r="K1" s="299"/>
      <c r="L1" s="299"/>
      <c r="M1" s="299"/>
      <c r="N1" s="299"/>
      <c r="O1" s="299"/>
      <c r="P1" s="299"/>
      <c r="Q1" s="299"/>
      <c r="R1" s="299"/>
      <c r="S1" s="299"/>
      <c r="T1" s="299"/>
      <c r="U1" s="299"/>
      <c r="V1" s="299"/>
    </row>
    <row r="2" spans="1:22" x14ac:dyDescent="0.25">
      <c r="A2" s="299"/>
      <c r="B2" s="299"/>
      <c r="C2" s="299"/>
      <c r="D2" s="299"/>
      <c r="E2" s="299"/>
      <c r="F2" s="299"/>
      <c r="G2" s="299"/>
      <c r="H2" s="299"/>
      <c r="I2" s="299"/>
      <c r="J2" s="299"/>
      <c r="K2" s="299"/>
      <c r="L2" s="299"/>
      <c r="M2" s="299"/>
      <c r="N2" s="299"/>
      <c r="O2" s="299"/>
      <c r="P2" s="299"/>
      <c r="Q2" s="299"/>
      <c r="R2" s="299"/>
      <c r="S2" s="299"/>
      <c r="T2" s="299"/>
      <c r="U2" s="299"/>
      <c r="V2" s="299"/>
    </row>
    <row r="3" spans="1:22" ht="16.5" thickBot="1" x14ac:dyDescent="0.3">
      <c r="A3" s="300"/>
      <c r="B3" s="300"/>
      <c r="C3" s="300"/>
      <c r="D3" s="300"/>
      <c r="E3" s="300"/>
      <c r="F3" s="300"/>
      <c r="G3" s="300"/>
      <c r="H3" s="300"/>
      <c r="I3" s="300"/>
      <c r="J3" s="300"/>
      <c r="K3" s="300"/>
      <c r="L3" s="300"/>
      <c r="M3" s="300"/>
      <c r="N3" s="300"/>
      <c r="O3" s="300"/>
      <c r="P3" s="300"/>
      <c r="Q3" s="300"/>
      <c r="R3" s="300"/>
      <c r="S3" s="300"/>
      <c r="T3" s="300"/>
      <c r="U3" s="300"/>
      <c r="V3" s="300"/>
    </row>
    <row r="4" spans="1:22" ht="24.95" customHeight="1" x14ac:dyDescent="0.25">
      <c r="A4" s="301" t="s">
        <v>73</v>
      </c>
      <c r="B4" s="301"/>
      <c r="C4" s="301"/>
      <c r="D4" s="301"/>
      <c r="E4" s="301"/>
      <c r="F4" s="301"/>
      <c r="G4" s="301"/>
      <c r="H4" s="301"/>
      <c r="I4" s="301"/>
      <c r="J4" s="301"/>
      <c r="K4" s="301"/>
      <c r="L4" s="301"/>
      <c r="M4" s="301"/>
      <c r="N4" s="301"/>
      <c r="O4" s="301"/>
      <c r="P4" s="301"/>
      <c r="Q4" s="301"/>
      <c r="R4" s="301"/>
      <c r="S4" s="301"/>
      <c r="T4" s="301"/>
      <c r="U4" s="301"/>
      <c r="V4" s="301"/>
    </row>
    <row r="6" spans="1:22" x14ac:dyDescent="0.25">
      <c r="B6" s="142" t="s">
        <v>56</v>
      </c>
      <c r="C6" s="143" t="s">
        <v>57</v>
      </c>
      <c r="D6" s="142" t="s">
        <v>50</v>
      </c>
      <c r="E6" s="142" t="s">
        <v>55</v>
      </c>
      <c r="F6" s="142" t="s">
        <v>31</v>
      </c>
      <c r="G6" s="142" t="s">
        <v>58</v>
      </c>
      <c r="H6" s="142" t="s">
        <v>59</v>
      </c>
      <c r="I6" s="142" t="s">
        <v>60</v>
      </c>
      <c r="J6" s="142" t="s">
        <v>61</v>
      </c>
      <c r="K6" s="142" t="s">
        <v>62</v>
      </c>
      <c r="L6" s="142" t="s">
        <v>63</v>
      </c>
      <c r="M6" s="142" t="s">
        <v>64</v>
      </c>
      <c r="N6" s="142" t="s">
        <v>65</v>
      </c>
      <c r="O6" s="18"/>
    </row>
    <row r="7" spans="1:22" x14ac:dyDescent="0.25">
      <c r="B7" s="34" t="s">
        <v>74</v>
      </c>
      <c r="C7" s="149" t="s">
        <v>75</v>
      </c>
      <c r="D7" s="150">
        <v>23.08</v>
      </c>
      <c r="E7" s="150">
        <v>16866.099999999999</v>
      </c>
      <c r="F7" s="151">
        <v>20398.099999999999</v>
      </c>
      <c r="G7" s="150">
        <v>5616</v>
      </c>
      <c r="H7" s="150">
        <v>3309</v>
      </c>
      <c r="I7" s="150">
        <v>1151</v>
      </c>
      <c r="J7" s="151">
        <v>1.2</v>
      </c>
      <c r="K7" s="152">
        <f>F7/G7</f>
        <v>3.632140313390313</v>
      </c>
      <c r="L7" s="152">
        <f>F7/H7</f>
        <v>6.1644303414928974</v>
      </c>
      <c r="M7" s="152">
        <f>F7/I7</f>
        <v>17.72206776715899</v>
      </c>
      <c r="N7" s="152">
        <f>D7/J7</f>
        <v>19.233333333333334</v>
      </c>
      <c r="O7" s="18"/>
    </row>
    <row r="8" spans="1:22" x14ac:dyDescent="0.25">
      <c r="B8" s="35" t="s">
        <v>76</v>
      </c>
      <c r="C8" s="149" t="s">
        <v>77</v>
      </c>
      <c r="D8" s="150">
        <v>39.11</v>
      </c>
      <c r="E8" s="150">
        <v>13562.4</v>
      </c>
      <c r="F8" s="153">
        <v>22611.4</v>
      </c>
      <c r="G8" s="153">
        <v>8025</v>
      </c>
      <c r="H8" s="153">
        <v>4470</v>
      </c>
      <c r="I8" s="153">
        <v>2966</v>
      </c>
      <c r="J8" s="150">
        <v>2.59</v>
      </c>
      <c r="K8" s="152">
        <f t="shared" ref="K8:K12" si="0">F8/G8</f>
        <v>2.8176199376947042</v>
      </c>
      <c r="L8" s="152">
        <f t="shared" ref="L8:L12" si="1">F8/H8</f>
        <v>5.0584787472035799</v>
      </c>
      <c r="M8" s="152">
        <f t="shared" ref="M8:M12" si="2">F8/I8</f>
        <v>7.6235333782872559</v>
      </c>
      <c r="N8" s="152">
        <f t="shared" ref="N8:N12" si="3">D8/J8</f>
        <v>15.100386100386102</v>
      </c>
      <c r="O8" s="19"/>
    </row>
    <row r="9" spans="1:22" x14ac:dyDescent="0.25">
      <c r="B9" s="35" t="s">
        <v>78</v>
      </c>
      <c r="C9" s="149" t="s">
        <v>87</v>
      </c>
      <c r="D9" s="150">
        <v>59.85</v>
      </c>
      <c r="E9" s="150">
        <v>21517.1</v>
      </c>
      <c r="F9" s="153">
        <v>28721.5</v>
      </c>
      <c r="G9" s="153">
        <v>5443.8</v>
      </c>
      <c r="H9" s="153">
        <v>4407.1000000000004</v>
      </c>
      <c r="I9" s="153">
        <v>2475.6</v>
      </c>
      <c r="J9" s="150">
        <v>4.5599999999999996</v>
      </c>
      <c r="K9" s="152">
        <f t="shared" si="0"/>
        <v>5.2760020573863846</v>
      </c>
      <c r="L9" s="152">
        <f t="shared" si="1"/>
        <v>6.5170974109958921</v>
      </c>
      <c r="M9" s="152">
        <f t="shared" si="2"/>
        <v>11.601833898852803</v>
      </c>
      <c r="N9" s="152">
        <f t="shared" si="3"/>
        <v>13.125000000000002</v>
      </c>
      <c r="O9" s="19"/>
    </row>
    <row r="10" spans="1:22" x14ac:dyDescent="0.25">
      <c r="B10" s="35" t="s">
        <v>79</v>
      </c>
      <c r="C10" s="149" t="s">
        <v>80</v>
      </c>
      <c r="D10" s="150">
        <v>131.44999999999999</v>
      </c>
      <c r="E10" s="150">
        <v>23321.200000000001</v>
      </c>
      <c r="F10" s="153">
        <v>30529.200000000001</v>
      </c>
      <c r="G10" s="153">
        <v>6443</v>
      </c>
      <c r="H10" s="153">
        <v>4376</v>
      </c>
      <c r="I10" s="153">
        <v>3101</v>
      </c>
      <c r="J10" s="150">
        <v>12.3</v>
      </c>
      <c r="K10" s="152">
        <f t="shared" si="0"/>
        <v>4.7383516995188577</v>
      </c>
      <c r="L10" s="152">
        <f t="shared" si="1"/>
        <v>6.9765082266910419</v>
      </c>
      <c r="M10" s="152">
        <f t="shared" si="2"/>
        <v>9.8449532408900353</v>
      </c>
      <c r="N10" s="152">
        <f t="shared" si="3"/>
        <v>10.686991869918698</v>
      </c>
      <c r="O10" s="19"/>
    </row>
    <row r="11" spans="1:22" x14ac:dyDescent="0.25">
      <c r="B11" s="35" t="s">
        <v>81</v>
      </c>
      <c r="C11" s="149" t="s">
        <v>82</v>
      </c>
      <c r="D11" s="150">
        <v>24.85</v>
      </c>
      <c r="E11" s="150">
        <v>20221.900000000001</v>
      </c>
      <c r="F11" s="153">
        <v>22698.9</v>
      </c>
      <c r="G11" s="153">
        <v>3670</v>
      </c>
      <c r="H11" s="153">
        <v>2365</v>
      </c>
      <c r="I11" s="153">
        <v>1672</v>
      </c>
      <c r="J11" s="150">
        <v>2.29</v>
      </c>
      <c r="K11" s="152">
        <f t="shared" si="0"/>
        <v>6.1849863760217989</v>
      </c>
      <c r="L11" s="152">
        <f t="shared" si="1"/>
        <v>9.5978435517970411</v>
      </c>
      <c r="M11" s="152">
        <f t="shared" si="2"/>
        <v>13.575897129186604</v>
      </c>
      <c r="N11" s="152">
        <f t="shared" si="3"/>
        <v>10.851528384279476</v>
      </c>
      <c r="O11" s="19"/>
    </row>
    <row r="12" spans="1:22" x14ac:dyDescent="0.25">
      <c r="B12" s="35" t="s">
        <v>83</v>
      </c>
      <c r="C12" s="149" t="s">
        <v>84</v>
      </c>
      <c r="D12" s="150">
        <v>58.27</v>
      </c>
      <c r="E12" s="150">
        <v>38705.699999999997</v>
      </c>
      <c r="F12" s="153">
        <v>43503.7</v>
      </c>
      <c r="G12" s="153">
        <v>13117</v>
      </c>
      <c r="H12" s="153">
        <v>5507</v>
      </c>
      <c r="I12" s="153">
        <v>3317</v>
      </c>
      <c r="J12" s="150">
        <v>4.1900000000000004</v>
      </c>
      <c r="K12" s="152">
        <f t="shared" si="0"/>
        <v>3.3165891591065026</v>
      </c>
      <c r="L12" s="152">
        <f t="shared" si="1"/>
        <v>7.8997094606863989</v>
      </c>
      <c r="M12" s="152">
        <f t="shared" si="2"/>
        <v>13.115375339161892</v>
      </c>
      <c r="N12" s="152">
        <f t="shared" si="3"/>
        <v>13.906921241050119</v>
      </c>
      <c r="O12" s="19"/>
    </row>
    <row r="13" spans="1:22" x14ac:dyDescent="0.25">
      <c r="B13" s="35"/>
      <c r="C13" s="149"/>
      <c r="D13" s="150"/>
      <c r="E13" s="150"/>
      <c r="F13" s="150"/>
      <c r="G13" s="150"/>
      <c r="H13" s="150"/>
      <c r="I13" s="150"/>
      <c r="J13" s="153"/>
      <c r="K13" s="154"/>
      <c r="L13" s="154"/>
      <c r="M13" s="154"/>
      <c r="N13" s="154"/>
      <c r="O13" s="19"/>
    </row>
    <row r="14" spans="1:22" x14ac:dyDescent="0.25">
      <c r="B14" s="36" t="s">
        <v>85</v>
      </c>
      <c r="C14" s="155" t="s">
        <v>86</v>
      </c>
      <c r="D14" s="156">
        <v>97.41</v>
      </c>
      <c r="E14" s="156">
        <v>30014.9</v>
      </c>
      <c r="F14" s="156">
        <v>37168.9</v>
      </c>
      <c r="G14" s="156">
        <v>7301</v>
      </c>
      <c r="H14" s="156">
        <v>3635</v>
      </c>
      <c r="I14" s="156">
        <v>2087</v>
      </c>
      <c r="J14" s="156">
        <v>1.81</v>
      </c>
      <c r="K14" s="157">
        <f>F14/G14</f>
        <v>5.0909327489385019</v>
      </c>
      <c r="L14" s="157">
        <f>F14/H14</f>
        <v>10.225281980742778</v>
      </c>
      <c r="M14" s="157">
        <f>F14/I14</f>
        <v>17.809726880689986</v>
      </c>
      <c r="N14" s="157">
        <f>D14/J14</f>
        <v>53.817679558011044</v>
      </c>
      <c r="O14" s="19"/>
    </row>
    <row r="15" spans="1:22" ht="16.5" thickBot="1" x14ac:dyDescent="0.3">
      <c r="B15" s="18"/>
      <c r="C15" s="18"/>
      <c r="D15" s="19"/>
      <c r="E15" s="20"/>
      <c r="F15" s="20"/>
      <c r="G15" s="20"/>
      <c r="H15" s="20"/>
      <c r="I15" s="20"/>
      <c r="J15" s="19"/>
      <c r="K15" s="21"/>
      <c r="L15" s="21"/>
      <c r="M15" s="21"/>
      <c r="N15" s="21"/>
      <c r="O15" s="19"/>
    </row>
    <row r="16" spans="1:22" ht="16.5" thickBot="1" x14ac:dyDescent="0.3">
      <c r="E16" s="18"/>
      <c r="F16" s="317"/>
      <c r="G16" s="317"/>
      <c r="H16" s="18"/>
      <c r="I16" s="18"/>
      <c r="J16" s="158"/>
      <c r="K16" s="315" t="s">
        <v>376</v>
      </c>
      <c r="L16" s="315"/>
      <c r="M16" s="315"/>
      <c r="N16" s="316"/>
      <c r="O16" s="19"/>
    </row>
    <row r="17" spans="2:18" x14ac:dyDescent="0.25">
      <c r="E17" s="18"/>
      <c r="F17" s="318"/>
      <c r="G17" s="318"/>
      <c r="H17" s="18"/>
      <c r="I17" s="18"/>
      <c r="J17" s="37" t="s">
        <v>68</v>
      </c>
      <c r="K17" s="38">
        <f>MEDIAN(K7:K12)</f>
        <v>4.1852460064545856</v>
      </c>
      <c r="L17" s="38">
        <f>MEDIAN(L7:L12)</f>
        <v>6.7468028188434666</v>
      </c>
      <c r="M17" s="38">
        <f>MEDIAN(M7:M12)</f>
        <v>12.358604619007348</v>
      </c>
      <c r="N17" s="51">
        <f>MEDIAN(N7:N12)</f>
        <v>13.51596062052506</v>
      </c>
      <c r="O17" s="19"/>
    </row>
    <row r="18" spans="2:18" x14ac:dyDescent="0.25">
      <c r="E18" s="18"/>
      <c r="F18" s="318"/>
      <c r="G18" s="318"/>
      <c r="H18" s="18"/>
      <c r="I18" s="18"/>
      <c r="J18" s="39" t="s">
        <v>69</v>
      </c>
      <c r="K18" s="40">
        <f>AVERAGE(K7:K12)</f>
        <v>4.3276149238530932</v>
      </c>
      <c r="L18" s="40">
        <f>AVERAGE(L7:L12)</f>
        <v>7.0356779564778078</v>
      </c>
      <c r="M18" s="40">
        <f>AVERAGE(M7:M12)</f>
        <v>12.247276792256264</v>
      </c>
      <c r="N18" s="41">
        <f>AVERAGE(N7:N12)</f>
        <v>13.817360154827954</v>
      </c>
      <c r="O18" s="18"/>
      <c r="P18" s="18"/>
      <c r="Q18" s="18"/>
      <c r="R18" s="18"/>
    </row>
    <row r="19" spans="2:18" x14ac:dyDescent="0.25">
      <c r="E19" s="18"/>
      <c r="F19" s="318"/>
      <c r="G19" s="318"/>
      <c r="H19" s="18"/>
      <c r="I19" s="18"/>
      <c r="J19" s="29"/>
      <c r="K19" s="28"/>
      <c r="L19" s="28"/>
      <c r="M19" s="28"/>
      <c r="N19" s="28"/>
      <c r="O19" s="18"/>
      <c r="P19" s="18"/>
      <c r="Q19" s="18"/>
      <c r="R19" s="18"/>
    </row>
    <row r="20" spans="2:18" x14ac:dyDescent="0.25">
      <c r="E20" s="18"/>
      <c r="F20" s="318"/>
      <c r="G20" s="318"/>
      <c r="H20" s="18"/>
      <c r="I20" s="18"/>
      <c r="J20" s="29"/>
      <c r="K20" s="28"/>
      <c r="L20" s="28"/>
      <c r="M20" s="28"/>
      <c r="N20" s="28"/>
      <c r="O20" s="18"/>
      <c r="P20" s="18"/>
      <c r="Q20" s="18"/>
      <c r="R20" s="18"/>
    </row>
    <row r="21" spans="2:18" ht="16.5" thickBot="1" x14ac:dyDescent="0.3">
      <c r="E21" s="18"/>
      <c r="F21" s="18"/>
      <c r="G21" s="18"/>
      <c r="H21" s="18"/>
      <c r="I21" s="18"/>
      <c r="J21" s="29"/>
      <c r="K21" s="28"/>
      <c r="L21" s="28"/>
      <c r="M21" s="28"/>
      <c r="N21" s="28"/>
      <c r="O21" s="18"/>
      <c r="P21" s="18"/>
      <c r="Q21" s="18"/>
      <c r="R21" s="18"/>
    </row>
    <row r="22" spans="2:18" ht="16.5" thickBot="1" x14ac:dyDescent="0.3">
      <c r="B22" s="319" t="s">
        <v>62</v>
      </c>
      <c r="C22" s="320"/>
      <c r="D22" s="30"/>
      <c r="E22" s="319" t="s">
        <v>63</v>
      </c>
      <c r="F22" s="320"/>
      <c r="G22" s="18"/>
      <c r="H22" s="319" t="s">
        <v>64</v>
      </c>
      <c r="I22" s="320"/>
      <c r="J22" s="18"/>
      <c r="K22" s="319" t="s">
        <v>65</v>
      </c>
      <c r="L22" s="320"/>
      <c r="M22" s="18"/>
      <c r="N22" s="18"/>
      <c r="O22" s="18"/>
      <c r="P22" s="18"/>
      <c r="Q22" s="18"/>
      <c r="R22" s="18"/>
    </row>
    <row r="23" spans="2:18" x14ac:dyDescent="0.25">
      <c r="B23" s="159" t="s">
        <v>71</v>
      </c>
      <c r="C23" s="31">
        <f>K17*G14</f>
        <v>30556.48109312493</v>
      </c>
      <c r="D23" s="18"/>
      <c r="E23" s="159" t="s">
        <v>71</v>
      </c>
      <c r="F23" s="31">
        <f>H14*L17</f>
        <v>24524.628246496002</v>
      </c>
      <c r="G23" s="18"/>
      <c r="H23" s="159" t="s">
        <v>71</v>
      </c>
      <c r="I23" s="31">
        <f>M17*I14</f>
        <v>25792.407839868334</v>
      </c>
      <c r="J23" s="18"/>
      <c r="K23" s="159" t="s">
        <v>71</v>
      </c>
      <c r="L23" s="31">
        <f>L24+Debt</f>
        <v>16714.350240900483</v>
      </c>
      <c r="M23" s="18"/>
      <c r="N23" s="18"/>
      <c r="O23" s="18"/>
      <c r="P23" s="18"/>
      <c r="Q23" s="18"/>
      <c r="R23" s="18"/>
    </row>
    <row r="24" spans="2:18" x14ac:dyDescent="0.25">
      <c r="B24" s="160" t="s">
        <v>40</v>
      </c>
      <c r="C24" s="32">
        <f>C23-Debt</f>
        <v>21415.48109312493</v>
      </c>
      <c r="D24" s="18"/>
      <c r="E24" s="160" t="s">
        <v>40</v>
      </c>
      <c r="F24" s="32">
        <f>F23-Debt</f>
        <v>15383.628246496002</v>
      </c>
      <c r="G24" s="18"/>
      <c r="H24" s="160" t="s">
        <v>40</v>
      </c>
      <c r="I24" s="32">
        <f>I23-Debt</f>
        <v>16651.407839868334</v>
      </c>
      <c r="J24" s="18"/>
      <c r="K24" s="160" t="s">
        <v>40</v>
      </c>
      <c r="L24" s="32">
        <f>N17*EPS*SharesOutstanding</f>
        <v>7573.3502409004823</v>
      </c>
      <c r="M24" s="18"/>
      <c r="N24" s="18"/>
      <c r="O24" s="16"/>
      <c r="P24" s="16"/>
      <c r="Q24" s="16"/>
      <c r="R24" s="16"/>
    </row>
    <row r="25" spans="2:18" x14ac:dyDescent="0.25">
      <c r="B25" s="160" t="s">
        <v>72</v>
      </c>
      <c r="C25" s="32">
        <f>C24/SharesOutstanding</f>
        <v>69.501555334978178</v>
      </c>
      <c r="D25" s="18"/>
      <c r="E25" s="160" t="s">
        <v>72</v>
      </c>
      <c r="F25" s="32">
        <f>F24/SharesOutstanding</f>
        <v>49.925849677494234</v>
      </c>
      <c r="G25" s="18"/>
      <c r="H25" s="160" t="s">
        <v>72</v>
      </c>
      <c r="I25" s="32">
        <f>I24/SharesOutstanding</f>
        <v>54.040286947344327</v>
      </c>
      <c r="J25" s="18"/>
      <c r="K25" s="160" t="s">
        <v>72</v>
      </c>
      <c r="L25" s="32">
        <f>L24/SharesOutstanding</f>
        <v>24.578463521330548</v>
      </c>
      <c r="M25" s="18"/>
      <c r="N25" s="18"/>
      <c r="O25" s="16"/>
      <c r="P25" s="16"/>
      <c r="Q25" s="16"/>
      <c r="R25" s="16"/>
    </row>
    <row r="26" spans="2:18" ht="16.5" thickBot="1" x14ac:dyDescent="0.3">
      <c r="B26" s="161" t="s">
        <v>42</v>
      </c>
      <c r="C26" s="33">
        <f>CurrentPrice</f>
        <v>107.63</v>
      </c>
      <c r="D26" s="18"/>
      <c r="E26" s="161" t="s">
        <v>42</v>
      </c>
      <c r="F26" s="33">
        <f>CurrentPrice</f>
        <v>107.63</v>
      </c>
      <c r="G26" s="18"/>
      <c r="H26" s="161" t="s">
        <v>42</v>
      </c>
      <c r="I26" s="33">
        <f>CurrentPrice</f>
        <v>107.63</v>
      </c>
      <c r="J26" s="18"/>
      <c r="K26" s="161" t="s">
        <v>42</v>
      </c>
      <c r="L26" s="33">
        <f>CurrentPrice</f>
        <v>107.63</v>
      </c>
      <c r="M26" s="18"/>
      <c r="N26" s="18"/>
    </row>
    <row r="27" spans="2:18" ht="16.5" thickBot="1" x14ac:dyDescent="0.3">
      <c r="B27" s="260" t="s">
        <v>43</v>
      </c>
      <c r="C27" s="265">
        <f>(C25/C26)-1</f>
        <v>-0.35425480502668227</v>
      </c>
      <c r="D27" s="18"/>
      <c r="E27" s="260" t="s">
        <v>43</v>
      </c>
      <c r="F27" s="265">
        <f>(F25/F26)-1</f>
        <v>-0.53613444506648489</v>
      </c>
      <c r="G27" s="18"/>
      <c r="H27" s="260" t="s">
        <v>43</v>
      </c>
      <c r="I27" s="265">
        <f>(I25/I26)-1</f>
        <v>-0.49790683873135433</v>
      </c>
      <c r="J27" s="18"/>
      <c r="K27" s="260" t="s">
        <v>43</v>
      </c>
      <c r="L27" s="265">
        <f>(L25/L26)-1</f>
        <v>-0.7716392871752249</v>
      </c>
      <c r="M27" s="18"/>
      <c r="N27" s="18"/>
    </row>
    <row r="28" spans="2:18" x14ac:dyDescent="0.25">
      <c r="B28" s="17"/>
      <c r="C28" s="17"/>
      <c r="D28" s="17"/>
      <c r="E28" s="17"/>
      <c r="F28" s="17"/>
      <c r="G28" s="17"/>
      <c r="H28" s="17"/>
      <c r="I28" s="17"/>
      <c r="J28" s="17"/>
      <c r="K28" s="17"/>
      <c r="L28" s="17"/>
      <c r="M28" s="18"/>
      <c r="N28" s="18"/>
    </row>
    <row r="29" spans="2:18" x14ac:dyDescent="0.25">
      <c r="B29" s="17"/>
      <c r="C29" s="17"/>
      <c r="D29" s="17"/>
      <c r="E29" s="17"/>
      <c r="F29" s="17"/>
      <c r="G29" s="17"/>
      <c r="H29" s="17"/>
      <c r="I29" s="17"/>
      <c r="J29" s="17"/>
      <c r="K29" s="17"/>
      <c r="L29" s="17"/>
      <c r="M29" s="18"/>
      <c r="N29" s="18"/>
    </row>
    <row r="30" spans="2:18" ht="16.5" thickBot="1" x14ac:dyDescent="0.3">
      <c r="M30" s="17"/>
      <c r="N30" s="16"/>
    </row>
    <row r="31" spans="2:18" ht="16.5" thickBot="1" x14ac:dyDescent="0.3">
      <c r="B31" s="319" t="s">
        <v>66</v>
      </c>
      <c r="C31" s="321"/>
      <c r="D31" s="320"/>
    </row>
    <row r="32" spans="2:18" ht="16.5" thickBot="1" x14ac:dyDescent="0.3">
      <c r="B32" s="162" t="s">
        <v>67</v>
      </c>
      <c r="C32" s="163" t="s">
        <v>48</v>
      </c>
      <c r="D32" s="164" t="s">
        <v>49</v>
      </c>
    </row>
    <row r="33" spans="2:4" x14ac:dyDescent="0.25">
      <c r="B33" s="22" t="str">
        <f>B22</f>
        <v>EV / TTM Revenue</v>
      </c>
      <c r="C33" s="23">
        <v>0.25</v>
      </c>
      <c r="D33" s="266">
        <f>C27</f>
        <v>-0.35425480502668227</v>
      </c>
    </row>
    <row r="34" spans="2:4" x14ac:dyDescent="0.25">
      <c r="B34" s="24" t="str">
        <f>E22</f>
        <v>EV / TTM EBITDA</v>
      </c>
      <c r="C34" s="25">
        <v>0.2</v>
      </c>
      <c r="D34" s="267">
        <f>F27</f>
        <v>-0.53613444506648489</v>
      </c>
    </row>
    <row r="35" spans="2:4" x14ac:dyDescent="0.25">
      <c r="B35" s="24" t="str">
        <f>H22</f>
        <v>EV / TTM EBIT</v>
      </c>
      <c r="C35" s="25">
        <v>0.3</v>
      </c>
      <c r="D35" s="267">
        <f>I27</f>
        <v>-0.49790683873135433</v>
      </c>
    </row>
    <row r="36" spans="2:4" ht="16.5" thickBot="1" x14ac:dyDescent="0.3">
      <c r="B36" s="26" t="str">
        <f>K22</f>
        <v>Price / Earnings</v>
      </c>
      <c r="C36" s="27">
        <v>0.25</v>
      </c>
      <c r="D36" s="268">
        <f>L27</f>
        <v>-0.7716392871752249</v>
      </c>
    </row>
    <row r="37" spans="2:4" ht="16.5" thickBot="1" x14ac:dyDescent="0.3">
      <c r="B37" s="322" t="s">
        <v>70</v>
      </c>
      <c r="C37" s="323"/>
      <c r="D37" s="264">
        <f>(C33*D33)+(C34*D34)+(C35*D35)+(C36*D36)</f>
        <v>-0.53807246368318007</v>
      </c>
    </row>
  </sheetData>
  <mergeCells count="11">
    <mergeCell ref="K22:L22"/>
    <mergeCell ref="B31:D31"/>
    <mergeCell ref="B37:C37"/>
    <mergeCell ref="B22:C22"/>
    <mergeCell ref="E22:F22"/>
    <mergeCell ref="H22:I22"/>
    <mergeCell ref="A1:V3"/>
    <mergeCell ref="A4:V4"/>
    <mergeCell ref="K16:N16"/>
    <mergeCell ref="F16:G16"/>
    <mergeCell ref="F17:G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6B807-2AF6-BB45-B299-B8A5F6BB4B85}">
  <dimension ref="B17:P36"/>
  <sheetViews>
    <sheetView showGridLines="0" zoomScale="70" zoomScaleNormal="70" workbookViewId="0">
      <selection activeCell="H46" sqref="H46"/>
    </sheetView>
  </sheetViews>
  <sheetFormatPr defaultColWidth="11" defaultRowHeight="15.75" x14ac:dyDescent="0.25"/>
  <cols>
    <col min="13" max="15" width="4.875" customWidth="1"/>
    <col min="16" max="16" width="4.625" customWidth="1"/>
    <col min="17" max="19" width="4.875" customWidth="1"/>
  </cols>
  <sheetData>
    <row r="17" spans="2:16" x14ac:dyDescent="0.25">
      <c r="B17" s="199"/>
      <c r="C17" s="199"/>
      <c r="D17" s="199"/>
      <c r="E17" s="199"/>
      <c r="F17" s="199"/>
      <c r="G17" s="199"/>
      <c r="H17" s="199"/>
      <c r="I17" s="199"/>
      <c r="J17" s="199"/>
      <c r="K17" s="199"/>
      <c r="L17" s="199"/>
      <c r="M17" s="199"/>
      <c r="N17" s="199"/>
      <c r="O17" s="199"/>
      <c r="P17" s="199"/>
    </row>
    <row r="18" spans="2:16" x14ac:dyDescent="0.25">
      <c r="B18" s="199"/>
      <c r="C18" s="199"/>
      <c r="D18" s="199"/>
      <c r="E18" s="199"/>
      <c r="F18" s="199"/>
      <c r="G18" s="199"/>
      <c r="H18" s="199"/>
      <c r="I18" s="199"/>
      <c r="J18" s="199"/>
      <c r="K18" s="199"/>
      <c r="L18" s="199"/>
      <c r="M18" s="199"/>
      <c r="N18" s="199"/>
      <c r="O18" s="199"/>
      <c r="P18" s="199"/>
    </row>
    <row r="19" spans="2:16" x14ac:dyDescent="0.25">
      <c r="B19" s="199"/>
      <c r="C19" s="199"/>
      <c r="D19" s="199"/>
      <c r="E19" s="199"/>
      <c r="F19" s="199"/>
      <c r="G19" s="199"/>
      <c r="H19" s="199"/>
      <c r="I19" s="199"/>
      <c r="J19" s="199"/>
      <c r="K19" s="199"/>
      <c r="L19" s="199"/>
      <c r="M19" s="199"/>
      <c r="N19" s="199"/>
      <c r="O19" s="199"/>
      <c r="P19" s="199"/>
    </row>
    <row r="20" spans="2:16" x14ac:dyDescent="0.25">
      <c r="B20" s="199"/>
      <c r="C20" s="199"/>
      <c r="D20" s="199"/>
      <c r="E20" s="199"/>
      <c r="F20" s="199"/>
      <c r="G20" s="199"/>
      <c r="H20" s="199"/>
      <c r="I20" s="199"/>
      <c r="J20" s="199"/>
      <c r="K20" s="199"/>
      <c r="L20" s="199"/>
      <c r="M20" s="199"/>
      <c r="N20" s="199"/>
      <c r="O20" s="199"/>
      <c r="P20" s="199"/>
    </row>
    <row r="21" spans="2:16" x14ac:dyDescent="0.25">
      <c r="B21" s="199"/>
      <c r="C21" s="199"/>
      <c r="D21" s="199"/>
      <c r="E21" s="199"/>
      <c r="F21" s="199"/>
      <c r="G21" s="199"/>
      <c r="H21" s="199"/>
      <c r="I21" s="199"/>
      <c r="J21" s="199"/>
      <c r="K21" s="199"/>
      <c r="L21" s="199"/>
      <c r="M21" s="199"/>
      <c r="N21" s="199"/>
      <c r="O21" s="199"/>
      <c r="P21" s="199"/>
    </row>
    <row r="22" spans="2:16" x14ac:dyDescent="0.25">
      <c r="B22" s="199"/>
      <c r="C22" s="199"/>
      <c r="D22" s="199"/>
      <c r="E22" s="199"/>
      <c r="F22" s="199"/>
      <c r="G22" s="199"/>
      <c r="H22" s="199"/>
      <c r="I22" s="199"/>
      <c r="J22" s="199"/>
      <c r="K22" s="199"/>
      <c r="L22" s="199"/>
      <c r="M22" s="199"/>
      <c r="N22" s="199"/>
      <c r="O22" s="199"/>
      <c r="P22" s="199"/>
    </row>
    <row r="23" spans="2:16" x14ac:dyDescent="0.25">
      <c r="B23" s="199"/>
      <c r="C23" s="199"/>
      <c r="D23" s="199"/>
      <c r="E23" s="199"/>
      <c r="F23" s="199"/>
      <c r="G23" s="199"/>
      <c r="H23" s="199"/>
      <c r="I23" s="199"/>
      <c r="J23" s="199"/>
      <c r="K23" s="199"/>
      <c r="L23" s="199"/>
      <c r="M23" s="199"/>
      <c r="N23" s="199"/>
      <c r="O23" s="199"/>
      <c r="P23" s="199"/>
    </row>
    <row r="24" spans="2:16" x14ac:dyDescent="0.25">
      <c r="B24" s="199"/>
      <c r="C24" s="199"/>
      <c r="D24" s="199"/>
      <c r="E24" s="199"/>
      <c r="F24" s="199"/>
      <c r="G24" s="199"/>
      <c r="H24" s="199"/>
      <c r="I24" s="199"/>
      <c r="J24" s="199"/>
      <c r="K24" s="199"/>
      <c r="L24" s="199"/>
      <c r="M24" s="199"/>
      <c r="N24" s="199"/>
      <c r="O24" s="199"/>
      <c r="P24" s="199"/>
    </row>
    <row r="25" spans="2:16" x14ac:dyDescent="0.25">
      <c r="B25" s="199"/>
      <c r="C25" s="199"/>
      <c r="D25" s="199"/>
      <c r="E25" s="199"/>
      <c r="F25" s="199"/>
      <c r="G25" s="199"/>
      <c r="H25" s="199"/>
      <c r="I25" s="199"/>
      <c r="J25" s="199"/>
      <c r="K25" s="199"/>
      <c r="L25" s="199"/>
      <c r="M25" s="199"/>
      <c r="N25" s="199"/>
      <c r="O25" s="199"/>
      <c r="P25" s="199"/>
    </row>
    <row r="26" spans="2:16" x14ac:dyDescent="0.25">
      <c r="B26" s="199"/>
      <c r="C26" s="199"/>
      <c r="D26" s="199"/>
      <c r="E26" s="199"/>
      <c r="F26" s="199"/>
      <c r="G26" s="199"/>
      <c r="H26" s="199"/>
      <c r="I26" s="199"/>
      <c r="J26" s="199"/>
      <c r="K26" s="199"/>
      <c r="L26" s="199"/>
      <c r="M26" s="199"/>
      <c r="N26" s="199"/>
      <c r="O26" s="199"/>
      <c r="P26" s="199"/>
    </row>
    <row r="27" spans="2:16" x14ac:dyDescent="0.25">
      <c r="B27" s="199"/>
      <c r="C27" s="199"/>
      <c r="D27" s="199"/>
      <c r="E27" s="199"/>
      <c r="F27" s="199"/>
      <c r="G27" s="199"/>
      <c r="H27" s="199"/>
      <c r="I27" s="199"/>
      <c r="J27" s="199"/>
      <c r="K27" s="199"/>
      <c r="L27" s="199"/>
      <c r="M27" s="199"/>
      <c r="N27" s="199"/>
      <c r="O27" s="199"/>
      <c r="P27" s="199"/>
    </row>
    <row r="28" spans="2:16" x14ac:dyDescent="0.25">
      <c r="B28" s="199"/>
      <c r="C28" s="199"/>
      <c r="D28" s="199"/>
      <c r="E28" s="199"/>
      <c r="F28" s="199"/>
      <c r="G28" s="199"/>
      <c r="H28" s="199"/>
      <c r="I28" s="199"/>
      <c r="J28" s="199"/>
      <c r="K28" s="199"/>
      <c r="L28" s="199"/>
      <c r="M28" s="199"/>
      <c r="N28" s="199"/>
      <c r="O28" s="199"/>
      <c r="P28" s="199"/>
    </row>
    <row r="29" spans="2:16" x14ac:dyDescent="0.25">
      <c r="B29" s="199"/>
      <c r="C29" s="199"/>
      <c r="D29" s="199"/>
      <c r="E29" s="199"/>
      <c r="F29" s="199"/>
      <c r="G29" s="199"/>
      <c r="H29" s="199"/>
      <c r="I29" s="199"/>
      <c r="J29" s="199"/>
      <c r="K29" s="199"/>
      <c r="L29" s="199"/>
      <c r="M29" s="199"/>
      <c r="N29" s="199"/>
      <c r="O29" s="199"/>
      <c r="P29" s="199"/>
    </row>
    <row r="30" spans="2:16" x14ac:dyDescent="0.25">
      <c r="B30" s="199"/>
      <c r="C30" s="199"/>
      <c r="D30" s="199"/>
      <c r="E30" s="199"/>
      <c r="F30" s="199"/>
      <c r="G30" s="199"/>
      <c r="H30" s="199"/>
      <c r="I30" s="199"/>
      <c r="J30" s="199"/>
      <c r="K30" s="199"/>
      <c r="L30" s="199"/>
      <c r="M30" s="199"/>
      <c r="N30" s="199"/>
      <c r="O30" s="199"/>
      <c r="P30" s="199"/>
    </row>
    <row r="31" spans="2:16" x14ac:dyDescent="0.25">
      <c r="B31" s="199"/>
      <c r="C31" s="199"/>
      <c r="D31" s="199"/>
      <c r="E31" s="199"/>
      <c r="F31" s="199"/>
      <c r="G31" s="199"/>
      <c r="H31" s="199"/>
      <c r="I31" s="199"/>
      <c r="J31" s="199"/>
      <c r="K31" s="199"/>
      <c r="L31" s="199"/>
      <c r="M31" s="199"/>
      <c r="N31" s="199"/>
      <c r="O31" s="199"/>
      <c r="P31" s="199"/>
    </row>
    <row r="32" spans="2:16" x14ac:dyDescent="0.25">
      <c r="B32" s="199"/>
      <c r="C32" s="199"/>
      <c r="D32" s="199"/>
      <c r="E32" s="199"/>
      <c r="F32" s="199"/>
      <c r="G32" s="199"/>
      <c r="H32" s="199"/>
      <c r="I32" s="199"/>
      <c r="J32" s="199"/>
      <c r="K32" s="199"/>
      <c r="L32" s="199"/>
      <c r="M32" s="199"/>
      <c r="N32" s="199"/>
      <c r="O32" s="199"/>
      <c r="P32" s="199"/>
    </row>
    <row r="33" spans="2:16" x14ac:dyDescent="0.25">
      <c r="B33" s="199"/>
      <c r="C33" s="199"/>
      <c r="D33" s="199"/>
      <c r="E33" s="199"/>
      <c r="F33" s="199"/>
      <c r="G33" s="199"/>
      <c r="H33" s="199"/>
      <c r="I33" s="199"/>
      <c r="J33" s="199"/>
      <c r="K33" s="199"/>
      <c r="L33" s="199"/>
      <c r="M33" s="199"/>
      <c r="N33" s="199"/>
      <c r="O33" s="199"/>
      <c r="P33" s="199"/>
    </row>
    <row r="34" spans="2:16" x14ac:dyDescent="0.25">
      <c r="B34" s="199"/>
      <c r="C34" s="199"/>
      <c r="D34" s="199"/>
      <c r="E34" s="199"/>
      <c r="F34" s="199"/>
      <c r="G34" s="199"/>
      <c r="H34" s="199"/>
      <c r="I34" s="199"/>
      <c r="J34" s="199"/>
      <c r="K34" s="199"/>
      <c r="L34" s="199"/>
      <c r="M34" s="199"/>
      <c r="N34" s="199"/>
      <c r="O34" s="199"/>
      <c r="P34" s="199"/>
    </row>
    <row r="35" spans="2:16" x14ac:dyDescent="0.25">
      <c r="B35" s="199"/>
      <c r="C35" s="199"/>
      <c r="D35" s="199"/>
      <c r="E35" s="199"/>
      <c r="F35" s="199"/>
      <c r="G35" s="199"/>
      <c r="H35" s="199"/>
      <c r="I35" s="199"/>
      <c r="J35" s="199"/>
      <c r="K35" s="199"/>
      <c r="L35" s="199"/>
      <c r="M35" s="199"/>
      <c r="N35" s="199"/>
      <c r="O35" s="199"/>
      <c r="P35" s="199"/>
    </row>
    <row r="36" spans="2:16" x14ac:dyDescent="0.25">
      <c r="B36" s="199"/>
      <c r="C36" s="199"/>
      <c r="D36" s="199"/>
      <c r="E36" s="199"/>
      <c r="F36" s="199"/>
      <c r="G36" s="199"/>
      <c r="H36" s="199"/>
      <c r="I36" s="199"/>
      <c r="J36" s="199"/>
      <c r="K36" s="199"/>
      <c r="L36" s="199"/>
      <c r="M36" s="199"/>
      <c r="N36" s="199"/>
      <c r="O36" s="199"/>
      <c r="P36" s="199"/>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8752-FE79-B945-9BAC-3FC1C1F38C99}">
  <dimension ref="A1:K73"/>
  <sheetViews>
    <sheetView showGridLines="0" workbookViewId="0">
      <pane ySplit="6" topLeftCell="A7" activePane="bottomLeft" state="frozen"/>
      <selection pane="bottomLeft" activeCell="F65" sqref="F65"/>
    </sheetView>
  </sheetViews>
  <sheetFormatPr defaultColWidth="8.875" defaultRowHeight="15" x14ac:dyDescent="0.25"/>
  <cols>
    <col min="1" max="1" width="37.375" style="1" customWidth="1"/>
    <col min="2" max="2" width="20.625" style="1" bestFit="1" customWidth="1"/>
    <col min="3" max="3" width="12.625" style="1" customWidth="1"/>
    <col min="4" max="12" width="11.875" style="1" customWidth="1"/>
    <col min="13" max="16384" width="8.875" style="1"/>
  </cols>
  <sheetData>
    <row r="1" spans="1:6" ht="15.75" customHeight="1" x14ac:dyDescent="0.25">
      <c r="A1" s="299" t="s">
        <v>85</v>
      </c>
      <c r="B1" s="299"/>
      <c r="C1" s="299"/>
      <c r="D1" s="299"/>
      <c r="E1" s="299"/>
      <c r="F1" s="299"/>
    </row>
    <row r="2" spans="1:6" ht="20.25" customHeight="1" x14ac:dyDescent="0.25">
      <c r="A2" s="299"/>
      <c r="B2" s="299"/>
      <c r="C2" s="299"/>
      <c r="D2" s="299"/>
      <c r="E2" s="299"/>
      <c r="F2" s="299"/>
    </row>
    <row r="3" spans="1:6" ht="15.75" customHeight="1" thickBot="1" x14ac:dyDescent="0.3">
      <c r="A3" s="300"/>
      <c r="B3" s="300"/>
      <c r="C3" s="300"/>
      <c r="D3" s="300"/>
      <c r="E3" s="300"/>
      <c r="F3" s="300"/>
    </row>
    <row r="4" spans="1:6" ht="24.75" customHeight="1" x14ac:dyDescent="0.25">
      <c r="A4" s="301" t="s">
        <v>372</v>
      </c>
      <c r="B4" s="301"/>
      <c r="C4" s="301"/>
      <c r="D4" s="301"/>
      <c r="E4" s="301"/>
      <c r="F4" s="301"/>
    </row>
    <row r="5" spans="1:6" ht="26.25" x14ac:dyDescent="0.25">
      <c r="A5" s="127" t="s">
        <v>89</v>
      </c>
      <c r="B5" s="128" t="s">
        <v>90</v>
      </c>
      <c r="C5" s="128" t="s">
        <v>91</v>
      </c>
      <c r="D5" s="128" t="s">
        <v>92</v>
      </c>
      <c r="E5" s="128" t="s">
        <v>93</v>
      </c>
      <c r="F5" s="128" t="s">
        <v>94</v>
      </c>
    </row>
    <row r="6" spans="1:6" x14ac:dyDescent="0.25">
      <c r="A6" s="75" t="s">
        <v>371</v>
      </c>
      <c r="B6" s="129" t="s">
        <v>95</v>
      </c>
      <c r="C6" s="129" t="s">
        <v>95</v>
      </c>
      <c r="D6" s="129" t="s">
        <v>95</v>
      </c>
      <c r="E6" s="129" t="s">
        <v>95</v>
      </c>
      <c r="F6" s="129" t="s">
        <v>95</v>
      </c>
    </row>
    <row r="7" spans="1:6" x14ac:dyDescent="0.25">
      <c r="A7" s="2"/>
      <c r="B7" s="56"/>
      <c r="C7" s="56"/>
      <c r="D7" s="56"/>
      <c r="E7" s="56"/>
      <c r="F7" s="56"/>
    </row>
    <row r="8" spans="1:6" x14ac:dyDescent="0.25">
      <c r="A8" s="2" t="s">
        <v>96</v>
      </c>
      <c r="B8" s="61">
        <v>5347</v>
      </c>
      <c r="C8" s="61">
        <v>6152</v>
      </c>
      <c r="D8" s="61">
        <v>6311</v>
      </c>
      <c r="E8" s="61">
        <v>4543</v>
      </c>
      <c r="F8" s="61">
        <v>7301</v>
      </c>
    </row>
    <row r="9" spans="1:6" x14ac:dyDescent="0.25">
      <c r="A9" s="3" t="s">
        <v>97</v>
      </c>
      <c r="B9" s="59">
        <v>0.147178</v>
      </c>
      <c r="C9" s="59">
        <v>0.15055099999999999</v>
      </c>
      <c r="D9" s="59">
        <v>2.5845E-2</v>
      </c>
      <c r="E9" s="59">
        <v>-0.28014600000000001</v>
      </c>
      <c r="F9" s="59">
        <v>0.60708700000000004</v>
      </c>
    </row>
    <row r="10" spans="1:6" x14ac:dyDescent="0.25">
      <c r="A10" s="3"/>
      <c r="B10" s="58"/>
      <c r="C10" s="58"/>
      <c r="D10" s="58"/>
      <c r="E10" s="58"/>
      <c r="F10" s="58"/>
    </row>
    <row r="11" spans="1:6" x14ac:dyDescent="0.25">
      <c r="A11" s="2" t="s">
        <v>32</v>
      </c>
      <c r="B11" s="57">
        <v>4080</v>
      </c>
      <c r="C11" s="57">
        <v>4381</v>
      </c>
      <c r="D11" s="57">
        <v>4575</v>
      </c>
      <c r="E11" s="57">
        <v>3660</v>
      </c>
      <c r="F11" s="57">
        <v>5267</v>
      </c>
    </row>
    <row r="12" spans="1:6" x14ac:dyDescent="0.25">
      <c r="A12" s="3" t="s">
        <v>33</v>
      </c>
      <c r="B12" s="207">
        <v>0.76304400000000006</v>
      </c>
      <c r="C12" s="207">
        <v>0.71212600000000004</v>
      </c>
      <c r="D12" s="207">
        <v>0.72492400000000001</v>
      </c>
      <c r="E12" s="207">
        <v>0.80563499999999999</v>
      </c>
      <c r="F12" s="207">
        <v>0.72140800000000005</v>
      </c>
    </row>
    <row r="13" spans="1:6" x14ac:dyDescent="0.25">
      <c r="A13" s="3"/>
      <c r="B13" s="58"/>
      <c r="C13" s="58"/>
      <c r="D13" s="58"/>
      <c r="E13" s="58"/>
      <c r="F13" s="58"/>
    </row>
    <row r="14" spans="1:6" x14ac:dyDescent="0.25">
      <c r="A14" s="2" t="s">
        <v>34</v>
      </c>
      <c r="B14" s="57">
        <v>2027</v>
      </c>
      <c r="C14" s="57">
        <v>2673</v>
      </c>
      <c r="D14" s="57">
        <v>2833</v>
      </c>
      <c r="E14" s="57">
        <v>1991</v>
      </c>
      <c r="F14" s="57">
        <v>3635</v>
      </c>
    </row>
    <row r="15" spans="1:6" x14ac:dyDescent="0.25">
      <c r="A15" s="3" t="s">
        <v>33</v>
      </c>
      <c r="B15" s="207">
        <v>0.37909100000000001</v>
      </c>
      <c r="C15" s="207">
        <v>0.43449199999999999</v>
      </c>
      <c r="D15" s="207">
        <v>0.44889800000000002</v>
      </c>
      <c r="E15" s="207">
        <v>0.43825599999999998</v>
      </c>
      <c r="F15" s="207">
        <v>0.49787700000000001</v>
      </c>
    </row>
    <row r="16" spans="1:6" x14ac:dyDescent="0.25">
      <c r="A16" s="3"/>
      <c r="B16" s="58"/>
      <c r="C16" s="58"/>
      <c r="D16" s="58"/>
      <c r="E16" s="58"/>
      <c r="F16" s="58"/>
    </row>
    <row r="17" spans="1:8" x14ac:dyDescent="0.25">
      <c r="A17" s="54" t="s">
        <v>8</v>
      </c>
      <c r="B17" s="60">
        <v>-2849</v>
      </c>
      <c r="C17" s="60">
        <v>755</v>
      </c>
      <c r="D17" s="60">
        <v>694</v>
      </c>
      <c r="E17" s="60">
        <v>-259</v>
      </c>
      <c r="F17" s="60">
        <v>2087</v>
      </c>
    </row>
    <row r="18" spans="1:8" x14ac:dyDescent="0.25">
      <c r="A18" s="55" t="s">
        <v>33</v>
      </c>
      <c r="B18" s="59">
        <v>-0.53282200000000002</v>
      </c>
      <c r="C18" s="59">
        <v>0.122724</v>
      </c>
      <c r="D18" s="59">
        <v>0.10996599999999999</v>
      </c>
      <c r="E18" s="59">
        <v>-5.7009999999999998E-2</v>
      </c>
      <c r="F18" s="59">
        <v>0.28585100000000002</v>
      </c>
    </row>
    <row r="19" spans="1:8" x14ac:dyDescent="0.25">
      <c r="A19" s="3"/>
      <c r="B19" s="58"/>
      <c r="C19" s="58"/>
      <c r="D19" s="58"/>
      <c r="E19" s="58"/>
      <c r="F19" s="58"/>
    </row>
    <row r="20" spans="1:8" x14ac:dyDescent="0.25">
      <c r="A20" s="62" t="s">
        <v>98</v>
      </c>
      <c r="B20" s="60">
        <v>-3941</v>
      </c>
      <c r="C20" s="60">
        <v>-115</v>
      </c>
      <c r="D20" s="60">
        <v>-240</v>
      </c>
      <c r="E20" s="60">
        <v>-2839</v>
      </c>
      <c r="F20" s="60">
        <v>890</v>
      </c>
    </row>
    <row r="21" spans="1:8" x14ac:dyDescent="0.25">
      <c r="A21" s="3" t="s">
        <v>33</v>
      </c>
      <c r="B21" s="59">
        <v>-0.73704800000000004</v>
      </c>
      <c r="C21" s="59">
        <v>-1.8693000000000001E-2</v>
      </c>
      <c r="D21" s="59">
        <v>-3.8027999999999999E-2</v>
      </c>
      <c r="E21" s="59">
        <v>-0.62491699999999994</v>
      </c>
      <c r="F21" s="59">
        <v>0.121901</v>
      </c>
    </row>
    <row r="22" spans="1:8" x14ac:dyDescent="0.25">
      <c r="A22" s="3"/>
      <c r="B22" s="58"/>
      <c r="C22" s="58"/>
      <c r="D22" s="58"/>
      <c r="E22" s="58"/>
      <c r="F22" s="58"/>
    </row>
    <row r="23" spans="1:8" x14ac:dyDescent="0.25">
      <c r="A23" s="2" t="s">
        <v>44</v>
      </c>
      <c r="B23" s="61">
        <v>-4074</v>
      </c>
      <c r="C23" s="61">
        <v>-282</v>
      </c>
      <c r="D23" s="61">
        <v>-408</v>
      </c>
      <c r="E23" s="61">
        <v>-3093</v>
      </c>
      <c r="F23" s="61">
        <v>559</v>
      </c>
    </row>
    <row r="24" spans="1:8" x14ac:dyDescent="0.25">
      <c r="A24" s="3" t="s">
        <v>33</v>
      </c>
      <c r="B24" s="59">
        <v>-0.76192199999999999</v>
      </c>
      <c r="C24" s="59">
        <v>-4.5837999999999997E-2</v>
      </c>
      <c r="D24" s="59">
        <v>-6.4648999999999998E-2</v>
      </c>
      <c r="E24" s="59">
        <v>-0.68082699999999996</v>
      </c>
      <c r="F24" s="59">
        <v>7.6563999999999993E-2</v>
      </c>
    </row>
    <row r="25" spans="1:8" x14ac:dyDescent="0.25">
      <c r="A25" s="3"/>
      <c r="B25" s="58"/>
      <c r="C25" s="58"/>
      <c r="D25" s="58"/>
      <c r="E25" s="58"/>
      <c r="F25" s="58"/>
    </row>
    <row r="26" spans="1:8" x14ac:dyDescent="0.25">
      <c r="A26" s="2" t="s">
        <v>100</v>
      </c>
      <c r="B26" s="63">
        <v>-13.12</v>
      </c>
      <c r="C26" s="63">
        <v>-1.1000000000000001</v>
      </c>
      <c r="D26" s="63">
        <v>-1.37</v>
      </c>
      <c r="E26" s="63">
        <v>-10.15</v>
      </c>
      <c r="F26" s="63">
        <v>1.81</v>
      </c>
    </row>
    <row r="27" spans="1:8" x14ac:dyDescent="0.25">
      <c r="A27" s="3" t="s">
        <v>97</v>
      </c>
      <c r="B27" s="59" t="s">
        <v>101</v>
      </c>
      <c r="C27" s="59" t="s">
        <v>101</v>
      </c>
      <c r="D27" s="59" t="s">
        <v>101</v>
      </c>
      <c r="E27" s="59" t="s">
        <v>101</v>
      </c>
      <c r="F27" s="59" t="s">
        <v>101</v>
      </c>
    </row>
    <row r="28" spans="1:8" x14ac:dyDescent="0.25">
      <c r="A28" s="2"/>
      <c r="B28" s="56"/>
      <c r="C28" s="56"/>
      <c r="D28" s="56"/>
      <c r="E28" s="56"/>
      <c r="F28" s="56"/>
    </row>
    <row r="29" spans="1:8" ht="15" customHeight="1" x14ac:dyDescent="0.25">
      <c r="A29" s="326" t="s">
        <v>307</v>
      </c>
      <c r="B29" s="326"/>
      <c r="C29" s="326"/>
      <c r="D29" s="326"/>
      <c r="E29" s="326"/>
      <c r="F29" s="326"/>
    </row>
    <row r="30" spans="1:8" x14ac:dyDescent="0.25">
      <c r="A30" s="327"/>
      <c r="B30" s="327"/>
      <c r="C30" s="327"/>
      <c r="D30" s="327"/>
      <c r="E30" s="327"/>
      <c r="F30" s="327"/>
      <c r="G30" s="90"/>
      <c r="H30" s="90"/>
    </row>
    <row r="33" spans="1:11" x14ac:dyDescent="0.25">
      <c r="A33" s="76" t="s">
        <v>102</v>
      </c>
      <c r="B33" s="76"/>
      <c r="C33" s="16"/>
      <c r="D33" s="16"/>
      <c r="E33" s="16"/>
    </row>
    <row r="34" spans="1:11" x14ac:dyDescent="0.25">
      <c r="A34" s="77" t="s">
        <v>103</v>
      </c>
      <c r="B34" s="77" t="s">
        <v>95</v>
      </c>
      <c r="C34" s="16"/>
      <c r="D34" s="16"/>
      <c r="E34" s="16"/>
    </row>
    <row r="35" spans="1:11" x14ac:dyDescent="0.25">
      <c r="A35" s="55" t="s">
        <v>50</v>
      </c>
      <c r="B35" s="68">
        <v>97.41</v>
      </c>
      <c r="C35" s="16"/>
      <c r="D35" s="16"/>
      <c r="E35" s="16"/>
      <c r="H35" s="92"/>
      <c r="I35" s="92"/>
      <c r="J35" s="92"/>
      <c r="K35" s="92"/>
    </row>
    <row r="36" spans="1:11" x14ac:dyDescent="0.25">
      <c r="A36" s="55" t="s">
        <v>104</v>
      </c>
      <c r="B36" s="69">
        <v>308.12952300000001</v>
      </c>
      <c r="C36" s="16"/>
      <c r="D36" s="16"/>
      <c r="E36" s="16"/>
      <c r="H36" s="92"/>
      <c r="I36" s="92"/>
      <c r="J36" s="92"/>
      <c r="K36" s="92"/>
    </row>
    <row r="37" spans="1:11" x14ac:dyDescent="0.25">
      <c r="A37" s="67"/>
      <c r="B37" s="67"/>
      <c r="C37" s="16"/>
      <c r="D37" s="16"/>
      <c r="E37" s="16"/>
      <c r="H37" s="92"/>
      <c r="I37" s="93"/>
      <c r="J37" s="93"/>
      <c r="K37" s="93"/>
    </row>
    <row r="38" spans="1:11" x14ac:dyDescent="0.25">
      <c r="A38" s="54" t="s">
        <v>29</v>
      </c>
      <c r="B38" s="70">
        <v>30014.896835</v>
      </c>
      <c r="C38" s="16"/>
      <c r="D38" s="16"/>
      <c r="E38" s="16"/>
      <c r="H38" s="92"/>
      <c r="I38" s="92"/>
      <c r="J38" s="92"/>
      <c r="K38" s="92"/>
    </row>
    <row r="39" spans="1:11" x14ac:dyDescent="0.25">
      <c r="A39" s="55" t="s">
        <v>105</v>
      </c>
      <c r="B39" s="69">
        <v>2713</v>
      </c>
      <c r="C39" s="16"/>
      <c r="D39" s="16"/>
      <c r="E39" s="16"/>
      <c r="H39" s="92"/>
      <c r="I39" s="92"/>
      <c r="J39" s="92"/>
      <c r="K39" s="92"/>
    </row>
    <row r="40" spans="1:11" x14ac:dyDescent="0.25">
      <c r="A40" s="55" t="s">
        <v>30</v>
      </c>
      <c r="B40" s="69">
        <v>9141</v>
      </c>
      <c r="C40" s="16"/>
      <c r="D40" s="16"/>
      <c r="E40" s="16"/>
    </row>
    <row r="41" spans="1:11" x14ac:dyDescent="0.25">
      <c r="A41" s="55" t="s">
        <v>106</v>
      </c>
      <c r="B41" s="69" t="s">
        <v>107</v>
      </c>
      <c r="C41" s="16"/>
      <c r="D41" s="16"/>
      <c r="E41" s="16"/>
    </row>
    <row r="42" spans="1:11" x14ac:dyDescent="0.25">
      <c r="A42" s="55" t="s">
        <v>108</v>
      </c>
      <c r="B42" s="69">
        <v>726</v>
      </c>
      <c r="C42" s="16"/>
      <c r="D42" s="16"/>
      <c r="E42" s="16"/>
    </row>
    <row r="43" spans="1:11" x14ac:dyDescent="0.25">
      <c r="A43" s="55" t="s">
        <v>109</v>
      </c>
      <c r="B43" s="69" t="s">
        <v>107</v>
      </c>
      <c r="C43" s="16"/>
      <c r="D43" s="16"/>
      <c r="E43" s="16"/>
    </row>
    <row r="44" spans="1:11" x14ac:dyDescent="0.25">
      <c r="A44" s="54" t="s">
        <v>110</v>
      </c>
      <c r="B44" s="70">
        <v>37168.896835</v>
      </c>
      <c r="C44" s="16"/>
      <c r="D44" s="16"/>
      <c r="E44" s="16"/>
    </row>
    <row r="45" spans="1:11" x14ac:dyDescent="0.25">
      <c r="A45" s="67"/>
      <c r="B45" s="67"/>
      <c r="C45" s="16"/>
      <c r="D45" s="16"/>
      <c r="E45" s="16"/>
    </row>
    <row r="46" spans="1:11" x14ac:dyDescent="0.25">
      <c r="A46" s="55" t="s">
        <v>111</v>
      </c>
      <c r="B46" s="69">
        <v>6300</v>
      </c>
      <c r="C46" s="16"/>
      <c r="D46" s="16"/>
      <c r="E46" s="16"/>
    </row>
    <row r="47" spans="1:11" x14ac:dyDescent="0.25">
      <c r="A47" s="55" t="s">
        <v>106</v>
      </c>
      <c r="B47" s="69" t="s">
        <v>107</v>
      </c>
      <c r="C47" s="16"/>
      <c r="D47" s="16"/>
      <c r="E47" s="16"/>
    </row>
    <row r="48" spans="1:11" x14ac:dyDescent="0.25">
      <c r="A48" s="55" t="s">
        <v>108</v>
      </c>
      <c r="B48" s="69">
        <v>726</v>
      </c>
      <c r="C48" s="16"/>
      <c r="D48" s="16"/>
      <c r="E48" s="16"/>
    </row>
    <row r="49" spans="1:8" x14ac:dyDescent="0.25">
      <c r="A49" s="55" t="s">
        <v>30</v>
      </c>
      <c r="B49" s="69">
        <v>9141</v>
      </c>
      <c r="C49" s="16"/>
      <c r="D49" s="16"/>
      <c r="E49" s="16"/>
    </row>
    <row r="50" spans="1:8" x14ac:dyDescent="0.25">
      <c r="A50" s="54" t="s">
        <v>112</v>
      </c>
      <c r="B50" s="70">
        <v>16167</v>
      </c>
      <c r="C50" s="16"/>
      <c r="D50" s="16"/>
      <c r="E50" s="16"/>
    </row>
    <row r="51" spans="1:8" x14ac:dyDescent="0.25">
      <c r="A51" s="64"/>
      <c r="B51" s="64"/>
      <c r="C51" s="16"/>
      <c r="D51" s="16"/>
      <c r="E51" s="16"/>
      <c r="F51" s="16"/>
    </row>
    <row r="52" spans="1:8" ht="71.25" customHeight="1" x14ac:dyDescent="0.25">
      <c r="A52" s="325" t="s">
        <v>374</v>
      </c>
      <c r="B52" s="325"/>
      <c r="C52" s="130"/>
      <c r="D52" s="130"/>
      <c r="E52" s="130"/>
      <c r="F52" s="130"/>
      <c r="G52" s="130"/>
      <c r="H52" s="130"/>
    </row>
    <row r="53" spans="1:8" x14ac:dyDescent="0.25">
      <c r="A53" s="130"/>
      <c r="B53" s="130"/>
      <c r="C53" s="130"/>
      <c r="D53" s="130"/>
      <c r="E53" s="130"/>
      <c r="F53" s="130"/>
      <c r="G53" s="130"/>
      <c r="H53" s="130"/>
    </row>
    <row r="54" spans="1:8" ht="195" customHeight="1" x14ac:dyDescent="0.25">
      <c r="A54" s="65"/>
      <c r="B54" s="16"/>
      <c r="C54" s="16"/>
      <c r="D54" s="16"/>
      <c r="E54" s="16"/>
      <c r="F54" s="16"/>
    </row>
    <row r="55" spans="1:8" x14ac:dyDescent="0.25">
      <c r="A55" s="16"/>
      <c r="B55" s="16"/>
      <c r="C55" s="16"/>
      <c r="D55" s="16"/>
      <c r="E55" s="16"/>
      <c r="F55" s="16"/>
    </row>
    <row r="56" spans="1:8" x14ac:dyDescent="0.25">
      <c r="A56" s="132" t="s">
        <v>113</v>
      </c>
      <c r="B56" s="131"/>
      <c r="C56" s="16"/>
      <c r="D56" s="16"/>
      <c r="E56" s="16"/>
      <c r="F56" s="16"/>
    </row>
    <row r="57" spans="1:8" x14ac:dyDescent="0.25">
      <c r="A57" s="132" t="s">
        <v>114</v>
      </c>
      <c r="B57" s="131"/>
      <c r="C57" s="16"/>
      <c r="D57" s="16"/>
      <c r="E57" s="16"/>
      <c r="F57" s="16"/>
    </row>
    <row r="58" spans="1:8" x14ac:dyDescent="0.25">
      <c r="A58" s="132" t="s">
        <v>115</v>
      </c>
      <c r="B58" s="131"/>
      <c r="C58" s="16"/>
      <c r="D58" s="16"/>
      <c r="E58" s="16"/>
      <c r="F58" s="16"/>
    </row>
    <row r="59" spans="1:8" x14ac:dyDescent="0.25">
      <c r="A59" s="132" t="s">
        <v>116</v>
      </c>
      <c r="B59" s="131"/>
      <c r="C59" s="16"/>
      <c r="D59" s="16"/>
      <c r="E59" s="16"/>
      <c r="F59" s="16"/>
    </row>
    <row r="60" spans="1:8" x14ac:dyDescent="0.25">
      <c r="A60" s="16"/>
      <c r="B60" s="16"/>
      <c r="C60" s="16"/>
      <c r="D60" s="16"/>
      <c r="E60" s="16"/>
      <c r="F60" s="16"/>
    </row>
    <row r="61" spans="1:8" ht="25.5" customHeight="1" x14ac:dyDescent="0.25">
      <c r="A61" s="324" t="s">
        <v>117</v>
      </c>
      <c r="B61" s="324"/>
      <c r="C61" s="324"/>
      <c r="D61" s="324"/>
      <c r="E61" s="324"/>
      <c r="F61" s="324"/>
    </row>
    <row r="62" spans="1:8" ht="50.1" customHeight="1" x14ac:dyDescent="0.25">
      <c r="A62" s="78" t="s">
        <v>118</v>
      </c>
      <c r="B62" s="79" t="s">
        <v>90</v>
      </c>
      <c r="C62" s="79" t="s">
        <v>91</v>
      </c>
      <c r="D62" s="79" t="s">
        <v>92</v>
      </c>
      <c r="E62" s="79" t="s">
        <v>93</v>
      </c>
      <c r="F62" s="79" t="s">
        <v>94</v>
      </c>
    </row>
    <row r="63" spans="1:8" x14ac:dyDescent="0.25">
      <c r="A63" s="54" t="s">
        <v>119</v>
      </c>
      <c r="B63" s="66" t="s">
        <v>107</v>
      </c>
      <c r="C63" s="71">
        <v>6.0417579999999997</v>
      </c>
      <c r="D63" s="71">
        <v>5.8895410000000004</v>
      </c>
      <c r="E63" s="71">
        <v>8.1815750000000005</v>
      </c>
      <c r="F63" s="71">
        <v>5.0909319999999996</v>
      </c>
    </row>
    <row r="64" spans="1:8" x14ac:dyDescent="0.25">
      <c r="A64" s="67"/>
      <c r="B64" s="64"/>
      <c r="C64" s="67"/>
      <c r="D64" s="67"/>
      <c r="E64" s="67"/>
      <c r="F64" s="67"/>
    </row>
    <row r="65" spans="1:6" x14ac:dyDescent="0.25">
      <c r="A65" s="54" t="s">
        <v>120</v>
      </c>
      <c r="B65" s="66" t="s">
        <v>107</v>
      </c>
      <c r="C65" s="71">
        <v>13.905310999999999</v>
      </c>
      <c r="D65" s="71">
        <v>10.656219999999999</v>
      </c>
      <c r="E65" s="71">
        <v>15.403604</v>
      </c>
      <c r="F65" s="71">
        <v>9.6192790000000006</v>
      </c>
    </row>
    <row r="66" spans="1:6" x14ac:dyDescent="0.25">
      <c r="A66" s="67"/>
      <c r="B66" s="64"/>
      <c r="C66" s="67"/>
      <c r="D66" s="67"/>
      <c r="E66" s="67"/>
      <c r="F66" s="67"/>
    </row>
    <row r="67" spans="1:6" x14ac:dyDescent="0.25">
      <c r="A67" s="54" t="s">
        <v>121</v>
      </c>
      <c r="B67" s="66" t="s">
        <v>107</v>
      </c>
      <c r="C67" s="71">
        <v>49.230325999999998</v>
      </c>
      <c r="D67" s="71">
        <v>53.557487999999999</v>
      </c>
      <c r="E67" s="72" t="s">
        <v>101</v>
      </c>
      <c r="F67" s="71">
        <v>17.809725</v>
      </c>
    </row>
    <row r="68" spans="1:6" x14ac:dyDescent="0.25">
      <c r="A68" s="67"/>
      <c r="B68" s="64"/>
      <c r="C68" s="67"/>
      <c r="D68" s="67"/>
      <c r="E68" s="67"/>
      <c r="F68" s="67"/>
    </row>
    <row r="69" spans="1:6" x14ac:dyDescent="0.25">
      <c r="A69" s="54" t="s">
        <v>122</v>
      </c>
      <c r="B69" s="66" t="s">
        <v>107</v>
      </c>
      <c r="C69" s="72" t="s">
        <v>101</v>
      </c>
      <c r="D69" s="72" t="s">
        <v>101</v>
      </c>
      <c r="E69" s="72" t="s">
        <v>101</v>
      </c>
      <c r="F69" s="71">
        <v>53.817678999999998</v>
      </c>
    </row>
    <row r="70" spans="1:6" x14ac:dyDescent="0.25">
      <c r="A70" s="67"/>
      <c r="B70" s="64"/>
      <c r="C70" s="67"/>
      <c r="D70" s="67"/>
      <c r="E70" s="67"/>
      <c r="F70" s="67"/>
    </row>
    <row r="71" spans="1:6" x14ac:dyDescent="0.25">
      <c r="A71" s="54" t="s">
        <v>123</v>
      </c>
      <c r="B71" s="66" t="s">
        <v>107</v>
      </c>
      <c r="C71" s="71">
        <v>2.9194010000000001</v>
      </c>
      <c r="D71" s="71">
        <v>3.3794689999999998</v>
      </c>
      <c r="E71" s="71">
        <v>5.5378670000000003</v>
      </c>
      <c r="F71" s="71">
        <v>4.7642600000000002</v>
      </c>
    </row>
    <row r="72" spans="1:6" x14ac:dyDescent="0.25">
      <c r="A72" s="67"/>
      <c r="B72" s="64"/>
      <c r="C72" s="67"/>
      <c r="D72" s="67"/>
      <c r="E72" s="67"/>
      <c r="F72" s="67"/>
    </row>
    <row r="73" spans="1:6" x14ac:dyDescent="0.25">
      <c r="A73" s="54" t="s">
        <v>124</v>
      </c>
      <c r="B73" s="66" t="s">
        <v>107</v>
      </c>
      <c r="C73" s="71">
        <v>3.0328010000000001</v>
      </c>
      <c r="D73" s="71">
        <v>3.524788</v>
      </c>
      <c r="E73" s="71">
        <v>5.936115</v>
      </c>
      <c r="F73" s="71">
        <v>5.0530030000000004</v>
      </c>
    </row>
  </sheetData>
  <mergeCells count="5">
    <mergeCell ref="A61:F61"/>
    <mergeCell ref="A52:B52"/>
    <mergeCell ref="A29:F30"/>
    <mergeCell ref="A4:F4"/>
    <mergeCell ref="A1:F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BC5A8-AF85-9E4B-A1D2-A4DF63099F17}">
  <dimension ref="A1:I106"/>
  <sheetViews>
    <sheetView showGridLines="0" zoomScaleNormal="100" workbookViewId="0">
      <pane ySplit="6" topLeftCell="A28" activePane="bottomLeft" state="frozen"/>
      <selection pane="bottomLeft" activeCell="C21" sqref="C21"/>
    </sheetView>
  </sheetViews>
  <sheetFormatPr defaultColWidth="8.875" defaultRowHeight="15" x14ac:dyDescent="0.25"/>
  <cols>
    <col min="1" max="1" width="35.125" style="1" customWidth="1"/>
    <col min="2" max="4" width="10.375" style="1" bestFit="1" customWidth="1"/>
    <col min="5" max="6" width="10.125" style="1" bestFit="1" customWidth="1"/>
    <col min="7" max="9" width="11.875" style="91" customWidth="1"/>
    <col min="10" max="10" width="11.875" style="1" customWidth="1"/>
    <col min="11" max="16384" width="8.875" style="1"/>
  </cols>
  <sheetData>
    <row r="1" spans="1:9" s="81" customFormat="1" ht="15.75" customHeight="1" x14ac:dyDescent="0.25">
      <c r="A1" s="299" t="s">
        <v>85</v>
      </c>
      <c r="B1" s="299"/>
      <c r="C1" s="299"/>
      <c r="D1" s="299"/>
      <c r="E1" s="299"/>
      <c r="F1" s="329"/>
    </row>
    <row r="2" spans="1:9" s="81" customFormat="1" ht="20.25" customHeight="1" x14ac:dyDescent="0.25">
      <c r="A2" s="299"/>
      <c r="B2" s="299"/>
      <c r="C2" s="299"/>
      <c r="D2" s="299"/>
      <c r="E2" s="299"/>
      <c r="F2" s="329"/>
    </row>
    <row r="3" spans="1:9" s="81" customFormat="1" ht="20.25" customHeight="1" thickBot="1" x14ac:dyDescent="0.3">
      <c r="A3" s="300"/>
      <c r="B3" s="300"/>
      <c r="C3" s="300"/>
      <c r="D3" s="300"/>
      <c r="E3" s="300"/>
      <c r="F3" s="330"/>
    </row>
    <row r="4" spans="1:9" s="81" customFormat="1" ht="22.5" customHeight="1" x14ac:dyDescent="0.25">
      <c r="A4" s="301" t="s">
        <v>199</v>
      </c>
      <c r="B4" s="301"/>
      <c r="C4" s="301"/>
      <c r="D4" s="301"/>
      <c r="E4" s="301"/>
      <c r="F4" s="331"/>
    </row>
    <row r="5" spans="1:9" ht="46.5" customHeight="1" x14ac:dyDescent="0.25">
      <c r="A5" s="133" t="s">
        <v>89</v>
      </c>
      <c r="B5" s="83" t="s">
        <v>200</v>
      </c>
      <c r="C5" s="83" t="s">
        <v>201</v>
      </c>
      <c r="D5" s="83" t="s">
        <v>202</v>
      </c>
      <c r="E5" s="83" t="s">
        <v>203</v>
      </c>
      <c r="F5" s="83" t="s">
        <v>204</v>
      </c>
      <c r="G5" s="1"/>
      <c r="H5" s="1"/>
      <c r="I5" s="1"/>
    </row>
    <row r="6" spans="1:9" x14ac:dyDescent="0.25">
      <c r="A6" s="75" t="s">
        <v>371</v>
      </c>
      <c r="B6" s="84" t="s">
        <v>95</v>
      </c>
      <c r="C6" s="84" t="s">
        <v>95</v>
      </c>
      <c r="D6" s="84" t="s">
        <v>95</v>
      </c>
      <c r="E6" s="84" t="s">
        <v>95</v>
      </c>
      <c r="F6" s="84" t="s">
        <v>95</v>
      </c>
      <c r="G6" s="1"/>
      <c r="H6" s="1"/>
      <c r="I6" s="1"/>
    </row>
    <row r="7" spans="1:9" x14ac:dyDescent="0.25">
      <c r="A7" s="94" t="s">
        <v>125</v>
      </c>
      <c r="B7" s="115"/>
      <c r="C7" s="115"/>
      <c r="D7" s="115"/>
      <c r="E7" s="115"/>
      <c r="F7" s="115"/>
      <c r="G7" s="1"/>
      <c r="H7" s="1"/>
      <c r="I7" s="1"/>
    </row>
    <row r="8" spans="1:9" x14ac:dyDescent="0.25">
      <c r="A8" s="95" t="s">
        <v>6</v>
      </c>
      <c r="B8" s="104">
        <v>5347</v>
      </c>
      <c r="C8" s="104">
        <v>6152</v>
      </c>
      <c r="D8" s="104">
        <v>6311</v>
      </c>
      <c r="E8" s="104">
        <v>4543</v>
      </c>
      <c r="F8" s="104">
        <v>7301</v>
      </c>
      <c r="G8" s="1"/>
      <c r="H8" s="1"/>
      <c r="I8" s="1"/>
    </row>
    <row r="9" spans="1:9" x14ac:dyDescent="0.25">
      <c r="A9" s="96" t="s">
        <v>126</v>
      </c>
      <c r="B9" s="200">
        <v>0</v>
      </c>
      <c r="C9" s="200">
        <v>0</v>
      </c>
      <c r="D9" s="200">
        <v>0</v>
      </c>
      <c r="E9" s="200">
        <v>0</v>
      </c>
      <c r="F9" s="200">
        <v>0</v>
      </c>
      <c r="G9" s="1"/>
      <c r="H9" s="1"/>
      <c r="I9" s="1"/>
    </row>
    <row r="10" spans="1:9" x14ac:dyDescent="0.25">
      <c r="A10" s="97" t="s">
        <v>127</v>
      </c>
      <c r="B10" s="106">
        <v>5347</v>
      </c>
      <c r="C10" s="106">
        <v>6152</v>
      </c>
      <c r="D10" s="106">
        <v>6311</v>
      </c>
      <c r="E10" s="106">
        <v>4543</v>
      </c>
      <c r="F10" s="106">
        <v>7301</v>
      </c>
      <c r="G10" s="1"/>
      <c r="H10" s="1"/>
      <c r="I10" s="1"/>
    </row>
    <row r="11" spans="1:9" x14ac:dyDescent="0.25">
      <c r="A11" s="98"/>
      <c r="B11" s="105"/>
      <c r="C11" s="105"/>
      <c r="D11" s="105"/>
      <c r="E11" s="105"/>
      <c r="F11" s="105"/>
      <c r="G11" s="1"/>
      <c r="H11" s="1"/>
      <c r="I11" s="1"/>
    </row>
    <row r="12" spans="1:9" x14ac:dyDescent="0.25">
      <c r="A12" s="96" t="s">
        <v>198</v>
      </c>
      <c r="B12" s="104">
        <v>1267</v>
      </c>
      <c r="C12" s="104">
        <v>1771</v>
      </c>
      <c r="D12" s="104">
        <v>1736</v>
      </c>
      <c r="E12" s="104">
        <v>883</v>
      </c>
      <c r="F12" s="104">
        <v>2034</v>
      </c>
      <c r="G12" s="1"/>
      <c r="H12" s="1"/>
      <c r="I12" s="1"/>
    </row>
    <row r="13" spans="1:9" x14ac:dyDescent="0.25">
      <c r="A13" s="97" t="s">
        <v>128</v>
      </c>
      <c r="B13" s="106">
        <v>4080</v>
      </c>
      <c r="C13" s="106">
        <v>4381</v>
      </c>
      <c r="D13" s="106">
        <v>4575</v>
      </c>
      <c r="E13" s="106">
        <v>3660</v>
      </c>
      <c r="F13" s="106">
        <v>5267</v>
      </c>
      <c r="G13" s="1"/>
      <c r="H13" s="1"/>
      <c r="I13" s="1"/>
    </row>
    <row r="14" spans="1:9" x14ac:dyDescent="0.25">
      <c r="A14" s="98"/>
      <c r="B14" s="105"/>
      <c r="C14" s="105"/>
      <c r="D14" s="105"/>
      <c r="E14" s="105"/>
      <c r="F14" s="105"/>
      <c r="G14" s="1"/>
      <c r="H14" s="1"/>
      <c r="I14" s="1"/>
    </row>
    <row r="15" spans="1:9" x14ac:dyDescent="0.25">
      <c r="A15" s="96" t="s">
        <v>41</v>
      </c>
      <c r="B15" s="104">
        <v>1854</v>
      </c>
      <c r="C15" s="104">
        <v>1516</v>
      </c>
      <c r="D15" s="104">
        <v>1604</v>
      </c>
      <c r="E15" s="104">
        <v>1550</v>
      </c>
      <c r="F15" s="104">
        <v>1569</v>
      </c>
      <c r="G15" s="1"/>
      <c r="H15" s="1"/>
      <c r="I15" s="1"/>
    </row>
    <row r="16" spans="1:9" x14ac:dyDescent="0.25">
      <c r="A16" s="99" t="s">
        <v>129</v>
      </c>
      <c r="B16" s="104">
        <v>195</v>
      </c>
      <c r="C16" s="104">
        <v>308</v>
      </c>
      <c r="D16" s="104">
        <v>216</v>
      </c>
      <c r="E16" s="104">
        <v>175</v>
      </c>
      <c r="F16" s="104">
        <v>142</v>
      </c>
      <c r="G16" s="1"/>
      <c r="H16" s="1"/>
      <c r="I16" s="1"/>
    </row>
    <row r="17" spans="1:9" x14ac:dyDescent="0.25">
      <c r="A17" s="96" t="s">
        <v>38</v>
      </c>
      <c r="B17" s="200">
        <v>0</v>
      </c>
      <c r="C17" s="200">
        <v>0</v>
      </c>
      <c r="D17" s="200">
        <v>0</v>
      </c>
      <c r="E17" s="200">
        <v>0</v>
      </c>
      <c r="F17" s="200">
        <v>0</v>
      </c>
      <c r="G17" s="1"/>
      <c r="H17" s="1"/>
      <c r="I17" s="1"/>
    </row>
    <row r="18" spans="1:9" x14ac:dyDescent="0.25">
      <c r="A18" s="96" t="s">
        <v>196</v>
      </c>
      <c r="B18" s="104">
        <v>2864</v>
      </c>
      <c r="C18" s="104">
        <v>1867</v>
      </c>
      <c r="D18" s="104">
        <v>2122</v>
      </c>
      <c r="E18" s="104">
        <v>2074</v>
      </c>
      <c r="F18" s="104">
        <v>1528</v>
      </c>
      <c r="G18" s="1"/>
      <c r="H18" s="1"/>
      <c r="I18" s="1"/>
    </row>
    <row r="19" spans="1:9" x14ac:dyDescent="0.25">
      <c r="A19" s="100" t="s">
        <v>130</v>
      </c>
      <c r="B19" s="104">
        <v>2012</v>
      </c>
      <c r="C19" s="104">
        <v>51</v>
      </c>
      <c r="D19" s="104">
        <v>17</v>
      </c>
      <c r="E19" s="104">
        <v>176</v>
      </c>
      <c r="F19" s="104">
        <v>20</v>
      </c>
      <c r="G19" s="1"/>
      <c r="H19" s="1"/>
      <c r="I19" s="1"/>
    </row>
    <row r="20" spans="1:9" x14ac:dyDescent="0.25">
      <c r="A20" s="96" t="s">
        <v>197</v>
      </c>
      <c r="B20" s="104">
        <v>4</v>
      </c>
      <c r="C20" s="104">
        <v>-116</v>
      </c>
      <c r="D20" s="104">
        <v>-78</v>
      </c>
      <c r="E20" s="104">
        <v>-56</v>
      </c>
      <c r="F20" s="104">
        <v>-79</v>
      </c>
      <c r="G20" s="1"/>
      <c r="H20" s="1"/>
      <c r="I20" s="1"/>
    </row>
    <row r="21" spans="1:9" x14ac:dyDescent="0.25">
      <c r="A21" s="97" t="s">
        <v>195</v>
      </c>
      <c r="B21" s="106">
        <f>SUM(B15:B20)</f>
        <v>6929</v>
      </c>
      <c r="C21" s="106">
        <f>SUM(C15:C20)</f>
        <v>3626</v>
      </c>
      <c r="D21" s="106">
        <f>SUM(D15:D20)</f>
        <v>3881</v>
      </c>
      <c r="E21" s="106">
        <f>SUM(E15:E20)</f>
        <v>3919</v>
      </c>
      <c r="F21" s="106">
        <f>SUM(F15:F20)</f>
        <v>3180</v>
      </c>
      <c r="G21" s="1"/>
      <c r="H21" s="1"/>
      <c r="I21" s="1"/>
    </row>
    <row r="22" spans="1:9" x14ac:dyDescent="0.25">
      <c r="A22" s="98"/>
      <c r="B22" s="105"/>
      <c r="C22" s="105"/>
      <c r="D22" s="105"/>
      <c r="E22" s="105"/>
      <c r="F22" s="105"/>
      <c r="G22" s="1"/>
      <c r="H22" s="1"/>
      <c r="I22" s="1"/>
    </row>
    <row r="23" spans="1:9" x14ac:dyDescent="0.25">
      <c r="A23" s="97" t="s">
        <v>131</v>
      </c>
      <c r="B23" s="106">
        <v>-2849</v>
      </c>
      <c r="C23" s="106">
        <v>755</v>
      </c>
      <c r="D23" s="106">
        <v>694</v>
      </c>
      <c r="E23" s="106">
        <v>-259</v>
      </c>
      <c r="F23" s="106">
        <v>2087</v>
      </c>
      <c r="G23" s="1"/>
      <c r="H23" s="1"/>
      <c r="I23" s="1"/>
    </row>
    <row r="24" spans="1:9" x14ac:dyDescent="0.25">
      <c r="A24" s="98"/>
      <c r="B24" s="105"/>
      <c r="C24" s="105"/>
      <c r="D24" s="105"/>
      <c r="E24" s="105"/>
      <c r="F24" s="105"/>
      <c r="G24" s="1"/>
      <c r="H24" s="1"/>
      <c r="I24" s="1"/>
    </row>
    <row r="25" spans="1:9" x14ac:dyDescent="0.25">
      <c r="A25" s="101" t="s">
        <v>132</v>
      </c>
      <c r="B25" s="104">
        <v>-325</v>
      </c>
      <c r="C25" s="104">
        <v>-399</v>
      </c>
      <c r="D25" s="104">
        <v>-380</v>
      </c>
      <c r="E25" s="104">
        <v>-468</v>
      </c>
      <c r="F25" s="104">
        <v>-481</v>
      </c>
      <c r="G25" s="1"/>
      <c r="H25" s="1"/>
      <c r="I25" s="1"/>
    </row>
    <row r="26" spans="1:9" x14ac:dyDescent="0.25">
      <c r="A26" s="102" t="s">
        <v>133</v>
      </c>
      <c r="B26" s="200">
        <v>0</v>
      </c>
      <c r="C26" s="200">
        <v>0</v>
      </c>
      <c r="D26" s="200">
        <v>0</v>
      </c>
      <c r="E26" s="200">
        <v>0</v>
      </c>
      <c r="F26" s="200">
        <v>0</v>
      </c>
      <c r="G26" s="1"/>
      <c r="H26" s="1"/>
      <c r="I26" s="1"/>
    </row>
    <row r="27" spans="1:9" x14ac:dyDescent="0.25">
      <c r="A27" s="97" t="s">
        <v>134</v>
      </c>
      <c r="B27" s="106">
        <v>-325</v>
      </c>
      <c r="C27" s="106">
        <v>-399</v>
      </c>
      <c r="D27" s="106">
        <v>-380</v>
      </c>
      <c r="E27" s="106">
        <v>-468</v>
      </c>
      <c r="F27" s="106">
        <v>-481</v>
      </c>
      <c r="G27" s="1"/>
      <c r="H27" s="1"/>
      <c r="I27" s="1"/>
    </row>
    <row r="28" spans="1:9" x14ac:dyDescent="0.25">
      <c r="A28" s="98"/>
      <c r="B28" s="105"/>
      <c r="C28" s="105"/>
      <c r="D28" s="105"/>
      <c r="E28" s="105"/>
      <c r="F28" s="105"/>
      <c r="G28" s="1"/>
      <c r="H28" s="1"/>
      <c r="I28" s="1"/>
    </row>
    <row r="29" spans="1:9" x14ac:dyDescent="0.25">
      <c r="A29" s="102" t="s">
        <v>135</v>
      </c>
      <c r="B29" s="104">
        <v>15</v>
      </c>
      <c r="C29" s="104">
        <v>-5</v>
      </c>
      <c r="D29" s="104">
        <v>3</v>
      </c>
      <c r="E29" s="104">
        <v>-6</v>
      </c>
      <c r="F29" s="104">
        <v>2</v>
      </c>
      <c r="G29" s="1"/>
      <c r="H29" s="1"/>
      <c r="I29" s="1"/>
    </row>
    <row r="30" spans="1:9" x14ac:dyDescent="0.25">
      <c r="A30" s="102" t="s">
        <v>136</v>
      </c>
      <c r="B30" s="200">
        <v>0</v>
      </c>
      <c r="C30" s="200">
        <v>0</v>
      </c>
      <c r="D30" s="200">
        <v>0</v>
      </c>
      <c r="E30" s="200">
        <v>0</v>
      </c>
      <c r="F30" s="200">
        <v>0</v>
      </c>
      <c r="G30" s="1"/>
      <c r="H30" s="1"/>
      <c r="I30" s="1"/>
    </row>
    <row r="31" spans="1:9" x14ac:dyDescent="0.25">
      <c r="A31" s="97" t="s">
        <v>137</v>
      </c>
      <c r="B31" s="106">
        <v>-3159</v>
      </c>
      <c r="C31" s="106">
        <v>351</v>
      </c>
      <c r="D31" s="106">
        <v>317</v>
      </c>
      <c r="E31" s="106">
        <v>-733</v>
      </c>
      <c r="F31" s="106">
        <v>1608</v>
      </c>
      <c r="G31" s="1"/>
      <c r="H31" s="1"/>
      <c r="I31" s="1"/>
    </row>
    <row r="32" spans="1:9" x14ac:dyDescent="0.25">
      <c r="A32" s="98"/>
      <c r="B32" s="105"/>
      <c r="C32" s="105"/>
      <c r="D32" s="105"/>
      <c r="E32" s="105"/>
      <c r="F32" s="105"/>
      <c r="G32" s="1"/>
      <c r="H32" s="1"/>
      <c r="I32" s="1"/>
    </row>
    <row r="33" spans="1:9" x14ac:dyDescent="0.25">
      <c r="A33" s="102" t="s">
        <v>138</v>
      </c>
      <c r="B33" s="104">
        <v>-30</v>
      </c>
      <c r="C33" s="104">
        <v>-110</v>
      </c>
      <c r="D33" s="200">
        <v>0</v>
      </c>
      <c r="E33" s="104">
        <v>-25</v>
      </c>
      <c r="F33" s="200">
        <v>0</v>
      </c>
      <c r="G33" s="1"/>
      <c r="H33" s="1"/>
      <c r="I33" s="1"/>
    </row>
    <row r="34" spans="1:9" x14ac:dyDescent="0.25">
      <c r="A34" s="102" t="s">
        <v>139</v>
      </c>
      <c r="B34" s="200">
        <v>0</v>
      </c>
      <c r="C34" s="200">
        <v>0</v>
      </c>
      <c r="D34" s="104">
        <v>-30</v>
      </c>
      <c r="E34" s="200">
        <v>0</v>
      </c>
      <c r="F34" s="200">
        <v>0</v>
      </c>
      <c r="G34" s="1"/>
      <c r="H34" s="1"/>
      <c r="I34" s="1"/>
    </row>
    <row r="35" spans="1:9" x14ac:dyDescent="0.25">
      <c r="A35" s="102" t="s">
        <v>140</v>
      </c>
      <c r="B35" s="200">
        <v>0</v>
      </c>
      <c r="C35" s="200">
        <v>0</v>
      </c>
      <c r="D35" s="200">
        <v>0</v>
      </c>
      <c r="E35" s="200">
        <v>0</v>
      </c>
      <c r="F35" s="200">
        <v>0</v>
      </c>
      <c r="G35" s="1"/>
      <c r="H35" s="1"/>
      <c r="I35" s="1"/>
    </row>
    <row r="36" spans="1:9" x14ac:dyDescent="0.25">
      <c r="A36" s="102" t="s">
        <v>141</v>
      </c>
      <c r="B36" s="104">
        <v>-2589</v>
      </c>
      <c r="C36" s="104">
        <v>32</v>
      </c>
      <c r="D36" s="104">
        <v>22</v>
      </c>
      <c r="E36" s="104">
        <v>87</v>
      </c>
      <c r="F36" s="104">
        <v>29</v>
      </c>
      <c r="G36" s="1"/>
      <c r="H36" s="1"/>
      <c r="I36" s="1"/>
    </row>
    <row r="37" spans="1:9" x14ac:dyDescent="0.25">
      <c r="A37" s="102" t="s">
        <v>142</v>
      </c>
      <c r="B37" s="104" t="s">
        <v>107</v>
      </c>
      <c r="C37" s="104" t="s">
        <v>107</v>
      </c>
      <c r="D37" s="104" t="s">
        <v>107</v>
      </c>
      <c r="E37" s="104">
        <v>-2179</v>
      </c>
      <c r="F37" s="104">
        <v>-147</v>
      </c>
      <c r="G37" s="1"/>
      <c r="H37" s="1"/>
      <c r="I37" s="1"/>
    </row>
    <row r="38" spans="1:9" x14ac:dyDescent="0.25">
      <c r="A38" s="102" t="s">
        <v>143</v>
      </c>
      <c r="B38" s="200">
        <v>0</v>
      </c>
      <c r="C38" s="104">
        <v>-53</v>
      </c>
      <c r="D38" s="104">
        <v>-88</v>
      </c>
      <c r="E38" s="200">
        <v>0</v>
      </c>
      <c r="F38" s="200">
        <v>0</v>
      </c>
      <c r="G38" s="1"/>
      <c r="H38" s="1"/>
      <c r="I38" s="1"/>
    </row>
    <row r="39" spans="1:9" x14ac:dyDescent="0.25">
      <c r="A39" s="97" t="s">
        <v>144</v>
      </c>
      <c r="B39" s="106">
        <v>-5778</v>
      </c>
      <c r="C39" s="106">
        <v>220</v>
      </c>
      <c r="D39" s="106">
        <v>221</v>
      </c>
      <c r="E39" s="106">
        <v>-2850</v>
      </c>
      <c r="F39" s="106">
        <v>1490</v>
      </c>
      <c r="G39" s="1"/>
      <c r="H39" s="1"/>
      <c r="I39" s="1"/>
    </row>
    <row r="40" spans="1:9" x14ac:dyDescent="0.25">
      <c r="A40" s="98"/>
      <c r="B40" s="105"/>
      <c r="C40" s="105"/>
      <c r="D40" s="105"/>
      <c r="E40" s="105"/>
      <c r="F40" s="105"/>
      <c r="G40" s="1"/>
      <c r="H40" s="1"/>
      <c r="I40" s="1"/>
    </row>
    <row r="41" spans="1:9" x14ac:dyDescent="0.25">
      <c r="A41" s="102" t="s">
        <v>46</v>
      </c>
      <c r="B41" s="104">
        <v>-1837</v>
      </c>
      <c r="C41" s="104">
        <v>335</v>
      </c>
      <c r="D41" s="104">
        <v>461</v>
      </c>
      <c r="E41" s="104">
        <v>-11</v>
      </c>
      <c r="F41" s="104">
        <v>600</v>
      </c>
      <c r="G41" s="1"/>
      <c r="H41" s="1"/>
      <c r="I41" s="1"/>
    </row>
    <row r="42" spans="1:9" x14ac:dyDescent="0.25">
      <c r="A42" s="97" t="s">
        <v>145</v>
      </c>
      <c r="B42" s="106">
        <v>-3941</v>
      </c>
      <c r="C42" s="106">
        <v>-115</v>
      </c>
      <c r="D42" s="106">
        <v>-240</v>
      </c>
      <c r="E42" s="106">
        <v>-2839</v>
      </c>
      <c r="F42" s="106">
        <v>890</v>
      </c>
      <c r="G42" s="1"/>
      <c r="H42" s="1"/>
      <c r="I42" s="1"/>
    </row>
    <row r="43" spans="1:9" x14ac:dyDescent="0.25">
      <c r="A43" s="98"/>
      <c r="B43" s="105"/>
      <c r="C43" s="105"/>
      <c r="D43" s="105"/>
      <c r="E43" s="105"/>
      <c r="F43" s="105"/>
      <c r="G43" s="1"/>
      <c r="H43" s="1"/>
      <c r="I43" s="1"/>
    </row>
    <row r="44" spans="1:9" x14ac:dyDescent="0.25">
      <c r="A44" s="102" t="s">
        <v>146</v>
      </c>
      <c r="B44" s="200">
        <v>0</v>
      </c>
      <c r="C44" s="200">
        <v>0</v>
      </c>
      <c r="D44" s="200">
        <v>0</v>
      </c>
      <c r="E44" s="200">
        <v>0</v>
      </c>
      <c r="F44" s="200">
        <v>0</v>
      </c>
      <c r="G44" s="1"/>
      <c r="H44" s="1"/>
      <c r="I44" s="1"/>
    </row>
    <row r="45" spans="1:9" x14ac:dyDescent="0.25">
      <c r="A45" s="102" t="s">
        <v>147</v>
      </c>
      <c r="B45" s="200">
        <v>0</v>
      </c>
      <c r="C45" s="200">
        <v>0</v>
      </c>
      <c r="D45" s="200">
        <v>0</v>
      </c>
      <c r="E45" s="200">
        <v>0</v>
      </c>
      <c r="F45" s="200">
        <v>0</v>
      </c>
      <c r="G45" s="1"/>
      <c r="H45" s="1"/>
      <c r="I45" s="1"/>
    </row>
    <row r="46" spans="1:9" x14ac:dyDescent="0.25">
      <c r="A46" s="97" t="s">
        <v>148</v>
      </c>
      <c r="B46" s="106">
        <v>-3941</v>
      </c>
      <c r="C46" s="106">
        <v>-115</v>
      </c>
      <c r="D46" s="106">
        <v>-240</v>
      </c>
      <c r="E46" s="106">
        <v>-2839</v>
      </c>
      <c r="F46" s="106">
        <v>890</v>
      </c>
      <c r="G46" s="1"/>
      <c r="H46" s="1"/>
      <c r="I46" s="1"/>
    </row>
    <row r="47" spans="1:9" x14ac:dyDescent="0.25">
      <c r="A47" s="98"/>
      <c r="B47" s="105"/>
      <c r="C47" s="105"/>
      <c r="D47" s="105"/>
      <c r="E47" s="105"/>
      <c r="F47" s="105"/>
      <c r="G47" s="1"/>
      <c r="H47" s="1"/>
      <c r="I47" s="1"/>
    </row>
    <row r="48" spans="1:9" x14ac:dyDescent="0.25">
      <c r="A48" s="102" t="s">
        <v>149</v>
      </c>
      <c r="B48" s="104">
        <v>-133</v>
      </c>
      <c r="C48" s="104">
        <v>-167</v>
      </c>
      <c r="D48" s="104">
        <v>-168</v>
      </c>
      <c r="E48" s="104">
        <v>-254</v>
      </c>
      <c r="F48" s="104">
        <v>-331</v>
      </c>
      <c r="G48" s="1"/>
      <c r="H48" s="1"/>
      <c r="I48" s="1"/>
    </row>
    <row r="49" spans="1:9" x14ac:dyDescent="0.25">
      <c r="A49" s="97" t="s">
        <v>150</v>
      </c>
      <c r="B49" s="114">
        <v>-4074</v>
      </c>
      <c r="C49" s="114">
        <v>-282</v>
      </c>
      <c r="D49" s="114">
        <v>-408</v>
      </c>
      <c r="E49" s="114">
        <v>-3093</v>
      </c>
      <c r="F49" s="114">
        <v>559</v>
      </c>
      <c r="G49" s="1"/>
      <c r="H49" s="1"/>
      <c r="I49" s="1"/>
    </row>
    <row r="50" spans="1:9" x14ac:dyDescent="0.25">
      <c r="A50" s="98"/>
      <c r="B50" s="105"/>
      <c r="C50" s="105"/>
      <c r="D50" s="105"/>
      <c r="E50" s="105"/>
      <c r="F50" s="105"/>
      <c r="G50" s="1"/>
      <c r="H50" s="1"/>
      <c r="I50" s="1"/>
    </row>
    <row r="51" spans="1:9" x14ac:dyDescent="0.25">
      <c r="A51" s="102" t="s">
        <v>151</v>
      </c>
      <c r="B51" s="104">
        <v>46</v>
      </c>
      <c r="C51" s="104">
        <v>46</v>
      </c>
      <c r="D51" s="104">
        <v>4</v>
      </c>
      <c r="E51" s="200">
        <v>0</v>
      </c>
      <c r="F51" s="200">
        <v>0</v>
      </c>
      <c r="G51" s="1"/>
      <c r="H51" s="1"/>
      <c r="I51" s="1"/>
    </row>
    <row r="52" spans="1:9" x14ac:dyDescent="0.25">
      <c r="A52" s="98"/>
      <c r="B52" s="105"/>
      <c r="C52" s="105"/>
      <c r="D52" s="105"/>
      <c r="E52" s="105"/>
      <c r="F52" s="105"/>
      <c r="G52" s="1"/>
      <c r="H52" s="1"/>
      <c r="I52" s="1"/>
    </row>
    <row r="53" spans="1:9" x14ac:dyDescent="0.25">
      <c r="A53" s="97" t="s">
        <v>152</v>
      </c>
      <c r="B53" s="106">
        <v>-4120</v>
      </c>
      <c r="C53" s="106">
        <v>-328</v>
      </c>
      <c r="D53" s="106">
        <v>-412</v>
      </c>
      <c r="E53" s="106">
        <v>-3093</v>
      </c>
      <c r="F53" s="106">
        <v>559</v>
      </c>
      <c r="G53" s="1"/>
      <c r="H53" s="1"/>
      <c r="I53" s="1"/>
    </row>
    <row r="54" spans="1:9" x14ac:dyDescent="0.25">
      <c r="A54" s="97" t="s">
        <v>153</v>
      </c>
      <c r="B54" s="106">
        <v>-4120</v>
      </c>
      <c r="C54" s="106">
        <v>-328</v>
      </c>
      <c r="D54" s="106">
        <v>-412</v>
      </c>
      <c r="E54" s="106">
        <v>-3093</v>
      </c>
      <c r="F54" s="106">
        <v>559</v>
      </c>
      <c r="G54" s="1"/>
      <c r="H54" s="1"/>
      <c r="I54" s="1"/>
    </row>
    <row r="55" spans="1:9" x14ac:dyDescent="0.25">
      <c r="A55" s="98"/>
      <c r="B55" s="105"/>
      <c r="C55" s="105"/>
      <c r="D55" s="105"/>
      <c r="E55" s="105"/>
      <c r="F55" s="105"/>
      <c r="G55" s="1"/>
      <c r="H55" s="1"/>
      <c r="I55" s="1"/>
    </row>
    <row r="56" spans="1:9" x14ac:dyDescent="0.25">
      <c r="A56" s="97" t="s">
        <v>154</v>
      </c>
      <c r="B56" s="105"/>
      <c r="C56" s="105"/>
      <c r="D56" s="105"/>
      <c r="E56" s="105"/>
      <c r="F56" s="105"/>
      <c r="G56" s="1"/>
      <c r="H56" s="1"/>
      <c r="I56" s="1"/>
    </row>
    <row r="57" spans="1:9" x14ac:dyDescent="0.25">
      <c r="A57" s="102" t="s">
        <v>155</v>
      </c>
      <c r="B57" s="107">
        <v>-13.12</v>
      </c>
      <c r="C57" s="107">
        <v>-1.1000000000000001</v>
      </c>
      <c r="D57" s="107">
        <v>-1.37</v>
      </c>
      <c r="E57" s="107">
        <v>-10.15</v>
      </c>
      <c r="F57" s="107">
        <v>1.82</v>
      </c>
      <c r="G57" s="1"/>
      <c r="H57" s="1"/>
      <c r="I57" s="1"/>
    </row>
    <row r="58" spans="1:9" x14ac:dyDescent="0.25">
      <c r="A58" s="102" t="s">
        <v>156</v>
      </c>
      <c r="B58" s="108">
        <v>-13.12</v>
      </c>
      <c r="C58" s="108">
        <v>-1.1000000000000001</v>
      </c>
      <c r="D58" s="108">
        <v>-1.37</v>
      </c>
      <c r="E58" s="108">
        <v>-10.15</v>
      </c>
      <c r="F58" s="108">
        <v>1.8184769999999999</v>
      </c>
      <c r="G58" s="1"/>
      <c r="H58" s="1"/>
      <c r="I58" s="1"/>
    </row>
    <row r="59" spans="1:9" x14ac:dyDescent="0.25">
      <c r="A59" s="102" t="s">
        <v>157</v>
      </c>
      <c r="B59" s="104">
        <v>314.10000000000002</v>
      </c>
      <c r="C59" s="104">
        <v>298.2</v>
      </c>
      <c r="D59" s="104">
        <v>301.2</v>
      </c>
      <c r="E59" s="104">
        <v>304.8</v>
      </c>
      <c r="F59" s="104">
        <v>307.39999999999998</v>
      </c>
      <c r="G59" s="1"/>
      <c r="H59" s="1"/>
      <c r="I59" s="1"/>
    </row>
    <row r="60" spans="1:9" x14ac:dyDescent="0.25">
      <c r="A60" s="102"/>
      <c r="B60" s="105"/>
      <c r="C60" s="105"/>
      <c r="D60" s="105"/>
      <c r="E60" s="105"/>
      <c r="F60" s="105"/>
      <c r="G60" s="1"/>
      <c r="H60" s="1"/>
      <c r="I60" s="1"/>
    </row>
    <row r="61" spans="1:9" x14ac:dyDescent="0.25">
      <c r="A61" s="102" t="s">
        <v>158</v>
      </c>
      <c r="B61" s="107">
        <v>-13.12</v>
      </c>
      <c r="C61" s="107">
        <v>-1.1000000000000001</v>
      </c>
      <c r="D61" s="107">
        <v>-1.37</v>
      </c>
      <c r="E61" s="107">
        <v>-10.15</v>
      </c>
      <c r="F61" s="107">
        <v>1.81</v>
      </c>
      <c r="G61" s="1"/>
      <c r="H61" s="1"/>
      <c r="I61" s="1"/>
    </row>
    <row r="62" spans="1:9" x14ac:dyDescent="0.25">
      <c r="A62" s="102" t="s">
        <v>99</v>
      </c>
      <c r="B62" s="108">
        <v>-13.12</v>
      </c>
      <c r="C62" s="108">
        <v>-1.1000000000000001</v>
      </c>
      <c r="D62" s="108">
        <v>-1.37</v>
      </c>
      <c r="E62" s="108">
        <v>-10.15</v>
      </c>
      <c r="F62" s="108">
        <v>1.81</v>
      </c>
      <c r="G62" s="1"/>
      <c r="H62" s="1"/>
      <c r="I62" s="1"/>
    </row>
    <row r="63" spans="1:9" x14ac:dyDescent="0.25">
      <c r="A63" s="102" t="s">
        <v>159</v>
      </c>
      <c r="B63" s="104">
        <v>314.10000000000002</v>
      </c>
      <c r="C63" s="104">
        <v>298.2</v>
      </c>
      <c r="D63" s="104">
        <v>301.2</v>
      </c>
      <c r="E63" s="104">
        <v>304.8</v>
      </c>
      <c r="F63" s="104">
        <v>309.3</v>
      </c>
      <c r="G63" s="1"/>
      <c r="H63" s="1"/>
      <c r="I63" s="1"/>
    </row>
    <row r="64" spans="1:9" x14ac:dyDescent="0.25">
      <c r="A64" s="102"/>
      <c r="B64" s="105"/>
      <c r="C64" s="105"/>
      <c r="D64" s="105"/>
      <c r="E64" s="105"/>
      <c r="F64" s="105"/>
      <c r="G64" s="1"/>
      <c r="H64" s="1"/>
      <c r="I64" s="1"/>
    </row>
    <row r="65" spans="1:9" x14ac:dyDescent="0.25">
      <c r="A65" s="102" t="s">
        <v>160</v>
      </c>
      <c r="B65" s="107">
        <v>-6.71</v>
      </c>
      <c r="C65" s="107">
        <v>0.18</v>
      </c>
      <c r="D65" s="107">
        <v>0.1</v>
      </c>
      <c r="E65" s="107">
        <v>-2.34</v>
      </c>
      <c r="F65" s="107">
        <v>2.19</v>
      </c>
      <c r="G65" s="1"/>
      <c r="H65" s="1"/>
      <c r="I65" s="1"/>
    </row>
    <row r="66" spans="1:9" x14ac:dyDescent="0.25">
      <c r="A66" s="102" t="s">
        <v>161</v>
      </c>
      <c r="B66" s="108">
        <v>-6.71</v>
      </c>
      <c r="C66" s="108">
        <v>0.17563699999999999</v>
      </c>
      <c r="D66" s="108">
        <v>0.10001599999999999</v>
      </c>
      <c r="E66" s="108">
        <v>-2.34</v>
      </c>
      <c r="F66" s="108">
        <v>2.1791140000000002</v>
      </c>
      <c r="G66" s="1"/>
      <c r="H66" s="1"/>
      <c r="I66" s="1"/>
    </row>
    <row r="67" spans="1:9" x14ac:dyDescent="0.25">
      <c r="A67" s="102"/>
      <c r="B67" s="105"/>
      <c r="C67" s="105"/>
      <c r="D67" s="105"/>
      <c r="E67" s="105"/>
      <c r="F67" s="105"/>
      <c r="G67" s="1"/>
      <c r="H67" s="1"/>
      <c r="I67" s="1"/>
    </row>
    <row r="68" spans="1:9" x14ac:dyDescent="0.25">
      <c r="A68" s="102" t="s">
        <v>9</v>
      </c>
      <c r="B68" s="107">
        <v>1</v>
      </c>
      <c r="C68" s="107">
        <v>1</v>
      </c>
      <c r="D68" s="107">
        <v>1</v>
      </c>
      <c r="E68" s="107">
        <v>1</v>
      </c>
      <c r="F68" s="107">
        <v>1</v>
      </c>
      <c r="G68" s="1"/>
      <c r="H68" s="1"/>
      <c r="I68" s="1"/>
    </row>
    <row r="69" spans="1:9" x14ac:dyDescent="0.25">
      <c r="A69" s="102" t="s">
        <v>162</v>
      </c>
      <c r="B69" s="109" t="s">
        <v>101</v>
      </c>
      <c r="C69" s="109" t="s">
        <v>101</v>
      </c>
      <c r="D69" s="109" t="s">
        <v>101</v>
      </c>
      <c r="E69" s="109" t="s">
        <v>101</v>
      </c>
      <c r="F69" s="109">
        <v>0.55635000000000001</v>
      </c>
      <c r="G69" s="1"/>
      <c r="H69" s="1"/>
      <c r="I69" s="1"/>
    </row>
    <row r="70" spans="1:9" x14ac:dyDescent="0.25">
      <c r="A70" s="98"/>
      <c r="B70" s="105"/>
      <c r="C70" s="105"/>
      <c r="D70" s="105"/>
      <c r="E70" s="105"/>
      <c r="F70" s="105"/>
      <c r="G70" s="1"/>
      <c r="H70" s="1"/>
      <c r="I70" s="1"/>
    </row>
    <row r="71" spans="1:9" x14ac:dyDescent="0.25">
      <c r="A71" s="97" t="s">
        <v>163</v>
      </c>
      <c r="B71" s="105"/>
      <c r="C71" s="105"/>
      <c r="D71" s="105"/>
      <c r="E71" s="105"/>
      <c r="F71" s="105"/>
      <c r="G71" s="1"/>
      <c r="H71" s="1"/>
      <c r="I71" s="1"/>
    </row>
    <row r="72" spans="1:9" x14ac:dyDescent="0.25">
      <c r="A72" s="102" t="s">
        <v>5</v>
      </c>
      <c r="B72" s="104">
        <v>2027</v>
      </c>
      <c r="C72" s="104">
        <v>2673</v>
      </c>
      <c r="D72" s="104">
        <v>2833</v>
      </c>
      <c r="E72" s="104">
        <v>1991</v>
      </c>
      <c r="F72" s="104">
        <v>3635</v>
      </c>
      <c r="G72" s="1"/>
      <c r="H72" s="1"/>
      <c r="I72" s="1"/>
    </row>
    <row r="73" spans="1:9" x14ac:dyDescent="0.25">
      <c r="A73" s="102" t="s">
        <v>7</v>
      </c>
      <c r="B73" s="104">
        <v>-2849</v>
      </c>
      <c r="C73" s="104">
        <v>755</v>
      </c>
      <c r="D73" s="104">
        <v>694</v>
      </c>
      <c r="E73" s="104">
        <v>-259</v>
      </c>
      <c r="F73" s="104">
        <v>2087</v>
      </c>
      <c r="G73" s="1"/>
      <c r="H73" s="1"/>
      <c r="I73" s="1"/>
    </row>
    <row r="74" spans="1:9" x14ac:dyDescent="0.25">
      <c r="A74" s="102" t="s">
        <v>8</v>
      </c>
      <c r="B74" s="104">
        <v>-2849</v>
      </c>
      <c r="C74" s="104">
        <v>755</v>
      </c>
      <c r="D74" s="104">
        <v>694</v>
      </c>
      <c r="E74" s="104">
        <v>-259</v>
      </c>
      <c r="F74" s="104">
        <v>2087</v>
      </c>
      <c r="G74" s="1"/>
      <c r="H74" s="1"/>
      <c r="I74" s="1"/>
    </row>
    <row r="75" spans="1:9" x14ac:dyDescent="0.25">
      <c r="A75" s="102" t="s">
        <v>164</v>
      </c>
      <c r="B75" s="104">
        <v>2140</v>
      </c>
      <c r="C75" s="104">
        <v>2819</v>
      </c>
      <c r="D75" s="104" t="s">
        <v>165</v>
      </c>
      <c r="E75" s="104">
        <v>2413</v>
      </c>
      <c r="F75" s="104">
        <v>3864</v>
      </c>
      <c r="G75" s="1"/>
      <c r="H75" s="1"/>
      <c r="I75" s="1"/>
    </row>
    <row r="76" spans="1:9" x14ac:dyDescent="0.25">
      <c r="A76" s="102" t="s">
        <v>166</v>
      </c>
      <c r="B76" s="104">
        <v>5391</v>
      </c>
      <c r="C76" s="104">
        <v>6466</v>
      </c>
      <c r="D76" s="104">
        <v>6510</v>
      </c>
      <c r="E76" s="104">
        <v>4804</v>
      </c>
      <c r="F76" s="104">
        <v>7583</v>
      </c>
      <c r="G76" s="1"/>
      <c r="H76" s="1"/>
      <c r="I76" s="1"/>
    </row>
    <row r="77" spans="1:9" x14ac:dyDescent="0.25">
      <c r="A77" s="102" t="s">
        <v>167</v>
      </c>
      <c r="B77" s="109" t="s">
        <v>101</v>
      </c>
      <c r="C77" s="109">
        <v>1.5227269999999999</v>
      </c>
      <c r="D77" s="109">
        <v>2.0859719999999999</v>
      </c>
      <c r="E77" s="109" t="s">
        <v>101</v>
      </c>
      <c r="F77" s="109">
        <v>0.40268399999999999</v>
      </c>
      <c r="G77" s="1"/>
      <c r="H77" s="1"/>
      <c r="I77" s="1"/>
    </row>
    <row r="78" spans="1:9" x14ac:dyDescent="0.25">
      <c r="A78" s="102" t="s">
        <v>168</v>
      </c>
      <c r="B78" s="104">
        <v>-23</v>
      </c>
      <c r="C78" s="104" t="s">
        <v>165</v>
      </c>
      <c r="D78" s="104">
        <v>15</v>
      </c>
      <c r="E78" s="104">
        <v>-5</v>
      </c>
      <c r="F78" s="104">
        <v>3</v>
      </c>
      <c r="G78" s="1"/>
      <c r="H78" s="1"/>
      <c r="I78" s="1"/>
    </row>
    <row r="79" spans="1:9" x14ac:dyDescent="0.25">
      <c r="A79" s="102" t="s">
        <v>169</v>
      </c>
      <c r="B79" s="104">
        <v>179</v>
      </c>
      <c r="C79" s="104" t="s">
        <v>165</v>
      </c>
      <c r="D79" s="104">
        <v>447</v>
      </c>
      <c r="E79" s="104">
        <v>48</v>
      </c>
      <c r="F79" s="104">
        <v>478</v>
      </c>
      <c r="G79" s="1"/>
      <c r="H79" s="1"/>
      <c r="I79" s="1"/>
    </row>
    <row r="80" spans="1:9" x14ac:dyDescent="0.25">
      <c r="A80" s="102" t="s">
        <v>170</v>
      </c>
      <c r="B80" s="104">
        <v>156</v>
      </c>
      <c r="C80" s="200">
        <v>0</v>
      </c>
      <c r="D80" s="104">
        <v>462</v>
      </c>
      <c r="E80" s="104">
        <v>43</v>
      </c>
      <c r="F80" s="104">
        <v>481</v>
      </c>
      <c r="G80" s="1"/>
      <c r="H80" s="1"/>
      <c r="I80" s="1"/>
    </row>
    <row r="81" spans="1:9" x14ac:dyDescent="0.25">
      <c r="A81" s="102" t="s">
        <v>171</v>
      </c>
      <c r="B81" s="104">
        <v>-6</v>
      </c>
      <c r="C81" s="104" t="s">
        <v>165</v>
      </c>
      <c r="D81" s="104">
        <v>72</v>
      </c>
      <c r="E81" s="104">
        <v>6</v>
      </c>
      <c r="F81" s="104">
        <v>12</v>
      </c>
      <c r="G81" s="1"/>
      <c r="H81" s="1"/>
      <c r="I81" s="1"/>
    </row>
    <row r="82" spans="1:9" x14ac:dyDescent="0.25">
      <c r="A82" s="102" t="s">
        <v>172</v>
      </c>
      <c r="B82" s="104">
        <v>-1987</v>
      </c>
      <c r="C82" s="104" t="s">
        <v>165</v>
      </c>
      <c r="D82" s="104">
        <v>-73</v>
      </c>
      <c r="E82" s="104">
        <v>-60</v>
      </c>
      <c r="F82" s="104">
        <v>107</v>
      </c>
      <c r="G82" s="1"/>
      <c r="H82" s="1"/>
      <c r="I82" s="1"/>
    </row>
    <row r="83" spans="1:9" x14ac:dyDescent="0.25">
      <c r="A83" s="102" t="s">
        <v>173</v>
      </c>
      <c r="B83" s="104">
        <v>-1993</v>
      </c>
      <c r="C83" s="200">
        <v>0</v>
      </c>
      <c r="D83" s="104">
        <v>-1</v>
      </c>
      <c r="E83" s="104">
        <v>-54</v>
      </c>
      <c r="F83" s="104">
        <v>119</v>
      </c>
      <c r="G83" s="1"/>
      <c r="H83" s="1"/>
      <c r="I83" s="1"/>
    </row>
    <row r="84" spans="1:9" x14ac:dyDescent="0.25">
      <c r="A84" s="98"/>
      <c r="B84" s="105"/>
      <c r="C84" s="105"/>
      <c r="D84" s="105"/>
      <c r="E84" s="105"/>
      <c r="F84" s="105"/>
      <c r="G84" s="1"/>
      <c r="H84" s="1"/>
      <c r="I84" s="1"/>
    </row>
    <row r="85" spans="1:9" x14ac:dyDescent="0.25">
      <c r="A85" s="102" t="s">
        <v>174</v>
      </c>
      <c r="B85" s="104">
        <v>-2107.4</v>
      </c>
      <c r="C85" s="104">
        <v>52.375</v>
      </c>
      <c r="D85" s="104">
        <v>30.125</v>
      </c>
      <c r="E85" s="104">
        <v>-712.1</v>
      </c>
      <c r="F85" s="104">
        <v>674</v>
      </c>
      <c r="G85" s="1"/>
      <c r="H85" s="1"/>
      <c r="I85" s="1"/>
    </row>
    <row r="86" spans="1:9" x14ac:dyDescent="0.25">
      <c r="A86" s="102" t="s">
        <v>175</v>
      </c>
      <c r="B86" s="104">
        <v>86</v>
      </c>
      <c r="C86" s="104">
        <v>20</v>
      </c>
      <c r="D86" s="104">
        <v>38</v>
      </c>
      <c r="E86" s="104" t="s">
        <v>165</v>
      </c>
      <c r="F86" s="104" t="s">
        <v>165</v>
      </c>
      <c r="G86" s="1"/>
      <c r="H86" s="1"/>
      <c r="I86" s="1"/>
    </row>
    <row r="87" spans="1:9" x14ac:dyDescent="0.25">
      <c r="A87" s="102" t="s">
        <v>176</v>
      </c>
      <c r="B87" s="104">
        <v>411</v>
      </c>
      <c r="C87" s="104">
        <v>419</v>
      </c>
      <c r="D87" s="104">
        <v>418</v>
      </c>
      <c r="E87" s="104">
        <v>468</v>
      </c>
      <c r="F87" s="104">
        <v>481</v>
      </c>
      <c r="G87" s="1"/>
      <c r="H87" s="1"/>
      <c r="I87" s="1"/>
    </row>
    <row r="88" spans="1:9" x14ac:dyDescent="0.25">
      <c r="A88" s="102" t="s">
        <v>177</v>
      </c>
      <c r="B88" s="104">
        <v>11</v>
      </c>
      <c r="C88" s="104">
        <v>-60</v>
      </c>
      <c r="D88" s="104">
        <v>54</v>
      </c>
      <c r="E88" s="104">
        <v>-59</v>
      </c>
      <c r="F88" s="104">
        <v>-75</v>
      </c>
      <c r="G88" s="1"/>
      <c r="H88" s="1"/>
      <c r="I88" s="1"/>
    </row>
    <row r="89" spans="1:9" x14ac:dyDescent="0.25">
      <c r="A89" s="102" t="s">
        <v>178</v>
      </c>
      <c r="B89" s="110">
        <v>43881</v>
      </c>
      <c r="C89" s="110">
        <v>44256</v>
      </c>
      <c r="D89" s="110">
        <v>44621</v>
      </c>
      <c r="E89" s="110">
        <v>44621</v>
      </c>
      <c r="F89" s="110">
        <v>44621</v>
      </c>
      <c r="G89" s="1"/>
      <c r="H89" s="1"/>
      <c r="I89" s="1"/>
    </row>
    <row r="90" spans="1:9" x14ac:dyDescent="0.25">
      <c r="A90" s="102" t="s">
        <v>179</v>
      </c>
      <c r="B90" s="111" t="s">
        <v>180</v>
      </c>
      <c r="C90" s="111" t="s">
        <v>180</v>
      </c>
      <c r="D90" s="111" t="s">
        <v>180</v>
      </c>
      <c r="E90" s="111" t="s">
        <v>181</v>
      </c>
      <c r="F90" s="111" t="s">
        <v>182</v>
      </c>
      <c r="G90" s="1"/>
      <c r="H90" s="1"/>
      <c r="I90" s="1"/>
    </row>
    <row r="91" spans="1:9" x14ac:dyDescent="0.25">
      <c r="A91" s="102" t="s">
        <v>183</v>
      </c>
      <c r="B91" s="111" t="s">
        <v>184</v>
      </c>
      <c r="C91" s="111" t="s">
        <v>184</v>
      </c>
      <c r="D91" s="111" t="s">
        <v>184</v>
      </c>
      <c r="E91" s="111" t="s">
        <v>184</v>
      </c>
      <c r="F91" s="111" t="s">
        <v>184</v>
      </c>
      <c r="G91" s="1"/>
      <c r="H91" s="1"/>
      <c r="I91" s="1"/>
    </row>
    <row r="92" spans="1:9" x14ac:dyDescent="0.25">
      <c r="A92" s="98"/>
      <c r="B92" s="105"/>
      <c r="C92" s="105"/>
      <c r="D92" s="105"/>
      <c r="E92" s="105"/>
      <c r="F92" s="105"/>
      <c r="G92" s="1"/>
      <c r="H92" s="1"/>
      <c r="I92" s="1"/>
    </row>
    <row r="93" spans="1:9" x14ac:dyDescent="0.25">
      <c r="A93" s="97" t="s">
        <v>185</v>
      </c>
      <c r="B93" s="105"/>
      <c r="C93" s="105"/>
      <c r="D93" s="105"/>
      <c r="E93" s="105"/>
      <c r="F93" s="105"/>
      <c r="G93" s="1"/>
      <c r="H93" s="1"/>
      <c r="I93" s="1"/>
    </row>
    <row r="94" spans="1:9" x14ac:dyDescent="0.25">
      <c r="A94" s="102" t="s">
        <v>186</v>
      </c>
      <c r="B94" s="104">
        <v>411</v>
      </c>
      <c r="C94" s="104">
        <v>401</v>
      </c>
      <c r="D94" s="104">
        <v>367</v>
      </c>
      <c r="E94" s="104">
        <v>352</v>
      </c>
      <c r="F94" s="104">
        <v>340</v>
      </c>
      <c r="G94" s="1"/>
      <c r="H94" s="1"/>
      <c r="I94" s="1"/>
    </row>
    <row r="95" spans="1:9" x14ac:dyDescent="0.25">
      <c r="A95" s="102" t="s">
        <v>187</v>
      </c>
      <c r="B95" s="104">
        <v>195</v>
      </c>
      <c r="C95" s="104">
        <v>157</v>
      </c>
      <c r="D95" s="104">
        <v>167</v>
      </c>
      <c r="E95" s="104">
        <v>108</v>
      </c>
      <c r="F95" s="104">
        <v>131</v>
      </c>
      <c r="G95" s="1"/>
      <c r="H95" s="1"/>
      <c r="I95" s="1"/>
    </row>
    <row r="96" spans="1:9" x14ac:dyDescent="0.25">
      <c r="A96" s="102" t="s">
        <v>188</v>
      </c>
      <c r="B96" s="104">
        <v>113</v>
      </c>
      <c r="C96" s="104">
        <v>146</v>
      </c>
      <c r="D96" s="104" t="s">
        <v>165</v>
      </c>
      <c r="E96" s="104">
        <v>422</v>
      </c>
      <c r="F96" s="104">
        <v>229</v>
      </c>
      <c r="G96" s="1"/>
      <c r="H96" s="1"/>
      <c r="I96" s="1"/>
    </row>
    <row r="97" spans="1:9" x14ac:dyDescent="0.25">
      <c r="A97" s="102" t="s">
        <v>189</v>
      </c>
      <c r="B97" s="104">
        <v>53.912751999999998</v>
      </c>
      <c r="C97" s="104">
        <v>71.700016000000005</v>
      </c>
      <c r="D97" s="200">
        <v>0</v>
      </c>
      <c r="E97" s="104">
        <v>185.801536</v>
      </c>
      <c r="F97" s="104">
        <v>96.747919999999993</v>
      </c>
      <c r="G97" s="1"/>
      <c r="H97" s="1"/>
      <c r="I97" s="1"/>
    </row>
    <row r="98" spans="1:9" x14ac:dyDescent="0.25">
      <c r="A98" s="102" t="s">
        <v>190</v>
      </c>
      <c r="B98" s="104">
        <v>59.087248000000002</v>
      </c>
      <c r="C98" s="104">
        <v>74.299983999999995</v>
      </c>
      <c r="D98" s="200">
        <v>0</v>
      </c>
      <c r="E98" s="104">
        <v>236.198464</v>
      </c>
      <c r="F98" s="104">
        <v>132.25208000000001</v>
      </c>
      <c r="G98" s="1"/>
      <c r="H98" s="1"/>
      <c r="I98" s="1"/>
    </row>
    <row r="99" spans="1:9" x14ac:dyDescent="0.25">
      <c r="A99" s="102"/>
      <c r="B99" s="105"/>
      <c r="C99" s="105"/>
      <c r="D99" s="105"/>
      <c r="E99" s="105"/>
      <c r="F99" s="105"/>
      <c r="G99" s="1"/>
      <c r="H99" s="1"/>
      <c r="I99" s="1"/>
    </row>
    <row r="100" spans="1:9" x14ac:dyDescent="0.25">
      <c r="A100" s="102" t="s">
        <v>191</v>
      </c>
      <c r="B100" s="104">
        <v>86</v>
      </c>
      <c r="C100" s="104">
        <v>72</v>
      </c>
      <c r="D100" s="104">
        <v>85</v>
      </c>
      <c r="E100" s="104">
        <v>79</v>
      </c>
      <c r="F100" s="104">
        <v>77</v>
      </c>
      <c r="G100" s="1"/>
      <c r="H100" s="1"/>
      <c r="I100" s="1"/>
    </row>
    <row r="101" spans="1:9" x14ac:dyDescent="0.25">
      <c r="A101" s="103" t="s">
        <v>192</v>
      </c>
      <c r="B101" s="112">
        <v>86</v>
      </c>
      <c r="C101" s="112">
        <v>72</v>
      </c>
      <c r="D101" s="112">
        <v>85</v>
      </c>
      <c r="E101" s="112">
        <v>79</v>
      </c>
      <c r="F101" s="112">
        <v>77</v>
      </c>
      <c r="G101" s="1"/>
      <c r="H101" s="1"/>
      <c r="I101" s="1"/>
    </row>
    <row r="102" spans="1:9" x14ac:dyDescent="0.25">
      <c r="A102" s="328" t="s">
        <v>193</v>
      </c>
      <c r="B102" s="328"/>
      <c r="C102" s="328"/>
      <c r="D102" s="328"/>
      <c r="E102" s="328"/>
      <c r="F102" s="328"/>
    </row>
    <row r="103" spans="1:9" x14ac:dyDescent="0.25">
      <c r="A103" s="325"/>
      <c r="B103" s="325"/>
      <c r="C103" s="325"/>
      <c r="D103" s="325"/>
      <c r="E103" s="325"/>
      <c r="F103" s="325"/>
    </row>
    <row r="104" spans="1:9" x14ac:dyDescent="0.25">
      <c r="A104" s="325"/>
      <c r="B104" s="325"/>
      <c r="C104" s="325"/>
      <c r="D104" s="325"/>
      <c r="E104" s="325"/>
      <c r="F104" s="325"/>
    </row>
    <row r="105" spans="1:9" x14ac:dyDescent="0.25">
      <c r="A105" s="325" t="s">
        <v>194</v>
      </c>
      <c r="B105" s="325"/>
      <c r="C105" s="325"/>
      <c r="D105" s="325"/>
      <c r="E105" s="325"/>
      <c r="F105" s="325"/>
    </row>
    <row r="106" spans="1:9" x14ac:dyDescent="0.25">
      <c r="A106" s="325"/>
      <c r="B106" s="325"/>
      <c r="C106" s="325"/>
      <c r="D106" s="325"/>
      <c r="E106" s="325"/>
      <c r="F106" s="325"/>
    </row>
  </sheetData>
  <mergeCells count="4">
    <mergeCell ref="A102:F104"/>
    <mergeCell ref="A105:F106"/>
    <mergeCell ref="A1:F3"/>
    <mergeCell ref="A4: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A C A g A C 2 l Y V P R k r 5 K m A A A A 9 w A A A B I A A A B D b 2 5 m a W c v U G F j a 2 F n Z S 5 4 b W y F j 0 E O g j A U R K 9 C u q e / F G M M + Z S F W 0 l M i M Z t U y s 0 Q j F Q L H d z 4 Z G 8 g i S K u n M 5 k z f J m 8 f t j t n Y 1 M F V d 7 1 p b U o i y k i g r W q P x p Y p G d w p X J F M 4 F a q s y x 1 M M G 2 T 8 b e p K R y 7 p I A e O + p j 2 n b l c A Z i + C Q b w p V 6 U a G x v Z O W q X J Z 3 X 8 v y I C 9 y 8 Z w W n E G F 0 u O K M x w t x i b u y X 4 J M w Z Q g / J a 6 H 2 g 2 d F t q G u w J h j g j v E + I J U E s D B B Q A A A g I A A t p W F R T N X A z N g E A A I A C A A A T A A A A R m 9 y b X V s Y X M v U 2 V j d G l v b j E u b X X Q 3 2 v C M B A H 8 P e C / 8 O R v S g U u 7 r f i C + r E 2 Q 4 x t q x B / E h r a c N p o k k 1 1 E R / / e l 6 p i D 9 i n k 8 0 1 y d 7 G Y k d A K 4 t M a D j t e x 7 M 5 N 7 i E d 6 N X g n g q p K A d j E A i e Q C x L k 2 G b v t S Z S j 7 X 9 p s U q 0 3 3 Y m Q 2 I + 0 I l R k u y z 4 t G h s s O V k R L b J S y M t a R W M d V Y W 9 Y k g R i W 0 C e L Z d B I k 8 S y C Z 6 l 1 k a J Z B x O h u M o E l / D B X V c W 6 r x f S V u x n g + q l N I H M i X 2 f N f P G / 8 W a 3 4 c Y n R u b j + f E h Z u y / 6 N w H x 4 F W p Z e 5 w j E l s c 5 m N O f F E / c 8 W i n K u 1 G z v T s i w U 0 G 6 L z J 1 N e O o G S w x X d q V N E R 3 T x I W 2 + 1 f a h / 2 e n a L Q l a n v A m F F B x e c f d D i N 7 / O 1 e 6 C b 5 v 5 r p n v m / m h m R + b + a m Z w + s W D 1 t 8 c O m H n i d U 6 / 8 O f w B Q S w M E F A A A C A g A C 2 l Y 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L a V h U 9 G S v k q Y A A A D 3 A A A A E g A A A A A A A A A A A A A A A A A A A A A A Q 2 9 u Z m l n L 1 B h Y 2 t h Z 2 U u e G 1 s U E s B A h Q D F A A A C A g A C 2 l Y V F M 1 c D M 2 A Q A A g A I A A B M A A A A A A A A A A A A A A A A A 1 g A A A E Z v c m 1 1 b G F z L 1 N l Y 3 R p b 2 4 x L m 1 Q S w E C F A M U A A A I C A A L a V h U D 8 r p q 6 Q A A A D p A A A A E w A A A A A A A A A A A A A A A A A 9 A g A A W 0 N v b n R l b n R f V H l w Z X N d L n h t b F 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g A A A A A A A N 0 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H J v Z m l 0 Y W J p b 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y L T A y L T I 0 V D E 4 O j A 4 O j A 5 L j Q 1 O T g w N D B a I i A v P j x F b n R y e S B U e X B l P S J G a W x s Q 2 9 s d W 1 u V H l w Z X M i I F Z h b H V l P S J z Q m d Z 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Q c m 9 m a X R h Y m l s a X R 5 L 0 F 1 d G 9 S Z W 1 v d m V k Q 2 9 s d W 1 u c z E u e 0 N v b H V t b j E s M H 0 m c X V v d D s s J n F 1 b 3 Q 7 U 2 V j d G l v b j E v U H J v Z m l 0 Y W J p b G l 0 e S 9 B d X R v U m V t b 3 Z l Z E N v b H V t b n M x L n t D b 2 x 1 b W 4 y L D F 9 J n F 1 b 3 Q 7 L C Z x d W 9 0 O 1 N l Y 3 R p b 2 4 x L 1 B y b 2 Z p d G F i a W x p d H k v Q X V 0 b 1 J l b W 9 2 Z W R D b 2 x 1 b W 5 z M S 5 7 Q 2 9 s d W 1 u M y w y f S Z x d W 9 0 O y w m c X V v d D t T Z W N 0 a W 9 u M S 9 Q c m 9 m a X R h Y m l s a X R 5 L 0 F 1 d G 9 S Z W 1 v d m V k Q 2 9 s d W 1 u c z E u e 0 N v b H V t b j Q s M 3 0 m c X V v d D s s J n F 1 b 3 Q 7 U 2 V j d G l v b j E v U H J v Z m l 0 Y W J p b G l 0 e S 9 B d X R v U m V t b 3 Z l Z E N v b H V t b n M x L n t D b 2 x 1 b W 4 1 L D R 9 J n F 1 b 3 Q 7 L C Z x d W 9 0 O 1 N l Y 3 R p b 2 4 x L 1 B y b 2 Z p d G F i a W x p d H k v Q X V 0 b 1 J l b W 9 2 Z W R D b 2 x 1 b W 5 z M S 5 7 Q 2 9 s d W 1 u N i w 1 f S Z x d W 9 0 O y w m c X V v d D t T Z W N 0 a W 9 u M S 9 Q c m 9 m a X R h Y m l s a X R 5 L 0 F 1 d G 9 S Z W 1 v d m V k Q 2 9 s d W 1 u c z E u e 0 N v b H V t b j c s N n 0 m c X V v d D s s J n F 1 b 3 Q 7 U 2 V j d G l v b j E v U H J v Z m l 0 Y W J p b G l 0 e S 9 B d X R v U m V t b 3 Z l Z E N v b H V t b n M x L n t D b 2 x 1 b W 4 4 L D d 9 J n F 1 b 3 Q 7 L C Z x d W 9 0 O 1 N l Y 3 R p b 2 4 x L 1 B y b 2 Z p d G F i a W x p d H k v Q X V 0 b 1 J l b W 9 2 Z W R D b 2 x 1 b W 5 z M S 5 7 Q 2 9 s d W 1 u O S w 4 f S Z x d W 9 0 O y w m c X V v d D t T Z W N 0 a W 9 u M S 9 Q c m 9 m a X R h Y m l s a X R 5 L 0 F 1 d G 9 S Z W 1 v d m V k Q 2 9 s d W 1 u c z E u e 0 N v b H V t b j E w L D l 9 J n F 1 b 3 Q 7 L C Z x d W 9 0 O 1 N l Y 3 R p b 2 4 x L 1 B y b 2 Z p d G F i a W x p d H k v Q X V 0 b 1 J l b W 9 2 Z W R D b 2 x 1 b W 5 z M S 5 7 Q 2 9 s d W 1 u M T E s M T B 9 J n F 1 b 3 Q 7 L C Z x d W 9 0 O 1 N l Y 3 R p b 2 4 x L 1 B y b 2 Z p d G F i a W x p d H k v Q X V 0 b 1 J l b W 9 2 Z W R D b 2 x 1 b W 5 z M S 5 7 Q 2 9 s d W 1 u M T I s M T F 9 J n F 1 b 3 Q 7 X S w m c X V v d D t D b 2 x 1 b W 5 D b 3 V u d C Z x d W 9 0 O z o x M i w m c X V v d D t L Z X l D b 2 x 1 b W 5 O Y W 1 l c y Z x d W 9 0 O z p b X S w m c X V v d D t D b 2 x 1 b W 5 J Z G V u d G l 0 a W V z J n F 1 b 3 Q 7 O l s m c X V v d D t T Z W N 0 a W 9 u M S 9 Q c m 9 m a X R h Y m l s a X R 5 L 0 F 1 d G 9 S Z W 1 v d m V k Q 2 9 s d W 1 u c z E u e 0 N v b H V t b j E s M H 0 m c X V v d D s s J n F 1 b 3 Q 7 U 2 V j d G l v b j E v U H J v Z m l 0 Y W J p b G l 0 e S 9 B d X R v U m V t b 3 Z l Z E N v b H V t b n M x L n t D b 2 x 1 b W 4 y L D F 9 J n F 1 b 3 Q 7 L C Z x d W 9 0 O 1 N l Y 3 R p b 2 4 x L 1 B y b 2 Z p d G F i a W x p d H k v Q X V 0 b 1 J l b W 9 2 Z W R D b 2 x 1 b W 5 z M S 5 7 Q 2 9 s d W 1 u M y w y f S Z x d W 9 0 O y w m c X V v d D t T Z W N 0 a W 9 u M S 9 Q c m 9 m a X R h Y m l s a X R 5 L 0 F 1 d G 9 S Z W 1 v d m V k Q 2 9 s d W 1 u c z E u e 0 N v b H V t b j Q s M 3 0 m c X V v d D s s J n F 1 b 3 Q 7 U 2 V j d G l v b j E v U H J v Z m l 0 Y W J p b G l 0 e S 9 B d X R v U m V t b 3 Z l Z E N v b H V t b n M x L n t D b 2 x 1 b W 4 1 L D R 9 J n F 1 b 3 Q 7 L C Z x d W 9 0 O 1 N l Y 3 R p b 2 4 x L 1 B y b 2 Z p d G F i a W x p d H k v Q X V 0 b 1 J l b W 9 2 Z W R D b 2 x 1 b W 5 z M S 5 7 Q 2 9 s d W 1 u N i w 1 f S Z x d W 9 0 O y w m c X V v d D t T Z W N 0 a W 9 u M S 9 Q c m 9 m a X R h Y m l s a X R 5 L 0 F 1 d G 9 S Z W 1 v d m V k Q 2 9 s d W 1 u c z E u e 0 N v b H V t b j c s N n 0 m c X V v d D s s J n F 1 b 3 Q 7 U 2 V j d G l v b j E v U H J v Z m l 0 Y W J p b G l 0 e S 9 B d X R v U m V t b 3 Z l Z E N v b H V t b n M x L n t D b 2 x 1 b W 4 4 L D d 9 J n F 1 b 3 Q 7 L C Z x d W 9 0 O 1 N l Y 3 R p b 2 4 x L 1 B y b 2 Z p d G F i a W x p d H k v Q X V 0 b 1 J l b W 9 2 Z W R D b 2 x 1 b W 5 z M S 5 7 Q 2 9 s d W 1 u O S w 4 f S Z x d W 9 0 O y w m c X V v d D t T Z W N 0 a W 9 u M S 9 Q c m 9 m a X R h Y m l s a X R 5 L 0 F 1 d G 9 S Z W 1 v d m V k Q 2 9 s d W 1 u c z E u e 0 N v b H V t b j E w L D l 9 J n F 1 b 3 Q 7 L C Z x d W 9 0 O 1 N l Y 3 R p b 2 4 x L 1 B y b 2 Z p d G F i a W x p d H k v Q X V 0 b 1 J l b W 9 2 Z W R D b 2 x 1 b W 5 z M S 5 7 Q 2 9 s d W 1 u M T E s M T B 9 J n F 1 b 3 Q 7 L C Z x d W 9 0 O 1 N l Y 3 R p b 2 4 x L 1 B y b 2 Z p d G F i a W x p d H k v Q X V 0 b 1 J l b W 9 2 Z W R D b 2 x 1 b W 5 z M S 5 7 Q 2 9 s d W 1 u M T I s M T F 9 J n F 1 b 3 Q 7 X S w m c X V v d D t S Z W x h d G l v b n N o a X B J b m Z v J n F 1 b 3 Q 7 O l t d f S I g L z 4 8 L 1 N 0 Y W J s Z U V u d H J p Z X M + P C 9 J d G V t P j x J d G V t P j x J d G V t T G 9 j Y X R p b 2 4 + P E l 0 Z W 1 U e X B l P k Z v c m 1 1 b G E 8 L 0 l 0 Z W 1 U e X B l P j x J d G V t U G F 0 a D 5 T Z W N 0 a W 9 u M S 9 Q c m 9 m a X R h Y m l s a X R 5 L 1 N v d X J j Z T w v S X R l b V B h d G g + P C 9 J d G V t T G 9 j Y X R p b 2 4 + P F N 0 Y W J s Z U V u d H J p Z X M g L z 4 8 L 0 l 0 Z W 0 + P E l 0 Z W 0 + P E l 0 Z W 1 M b 2 N h d G l v b j 4 8 S X R l b V R 5 c G U + R m 9 y b X V s Y T w v S X R l b V R 5 c G U + P E l 0 Z W 1 Q Y X R o P l N l Y 3 R p b 2 4 x L 1 B y b 2 Z p d G F i a W x p d H k v T m F 2 a W d h d G l v b j w v S X R l b V B h d G g + P C 9 J d G V t T G 9 j Y X R p b 2 4 + P F N 0 Y W J s Z U V u d H J p Z X M g L z 4 8 L 0 l 0 Z W 0 + P E l 0 Z W 0 + P E l 0 Z W 1 M b 2 N h d G l v b j 4 8 S X R l b V R 5 c G U + R m 9 y b X V s Y T w v S X R l b V R 5 c G U + P E l 0 Z W 1 Q Y X R o P l N l Y 3 R p b 2 4 x L 1 B y b 2 Z p d G F i a W x p d H k 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g 0 K r l D L h S 4 F j A N B g k q h k i G 9 w 0 B A Q E F A A S C A g B 2 C G d 6 P P u s C M v q K T G j q x V 3 0 9 J / 8 z e 9 P b D 7 d y f + w 6 7 C L Y 5 h c C 8 x 9 9 i 3 B u k P c L 2 5 Z I 6 2 r J Q x A r w D 8 r l G j Y y 7 p K g n Y n O r 4 R n A T d I V S 0 G Z / m W w 8 o h s X H T r e p S R F r I k g R E N S b q a S R w 8 v 1 0 H 2 j h v A t x e 2 0 J 7 o H t y p n b o o A G 4 C 8 2 J r z f x z / r S C a / M m p 4 u C i G 4 i 0 G / q F D o 0 H h d I y 3 q 4 G p V e i A H L D j 8 T j N h 7 A a o 9 r A z Z t J Z L 8 h h D J 8 a V H B a G W 6 d b z d x X y P A M L + C 1 U d t R d 6 f R G G 6 9 H G Y k d 4 X b U o q T S f T f c W W 6 A B a 8 9 q W h g Y H v T 9 g I z c i t v + D y B N O 6 G 2 W S q b W e R V B A U V 2 O P Z A 0 7 v Z K a E M v j X x M g t 5 K u x G c h v m y c f b o i O v 1 O Z J p 9 2 F z t f S z V X e g z e y I d v U V 3 B L 7 b 8 l p 1 V Z t 4 h s i f 6 Q 6 F J W w h m P 0 m 9 F Z L 0 A 1 n R K Q I w + 5 8 K 4 2 X Z a D G 7 U 1 q z D H 7 Q 6 7 S V X Q o 7 3 w + 0 P M d l + / T a O W Z F V J z G f e 6 a f + K x i B J 3 P q I q o z I J p u d 8 E 7 N e o Y N f H Q d 2 6 f Q l A T R i M L T c w N / C z i A V L p z E n x y H W x 6 8 2 J 0 W 6 Z C q / Y H / O / r i M a U 9 U N 9 T R n / L V 4 Q 0 d l Q n m U B c L s D T 9 k c J g 1 P 9 e a c x l t + u e 6 H L H T v K o X 1 E 9 S y h P 1 l 2 W + i Z 8 T r u Y G m S b e y 9 1 j U 6 r m m x T o s 2 a 4 u p F H F 0 5 I U K A a Z t 7 S 6 U C D T B 8 B g k q h k i G 9 w 0 B B w E w H Q Y J Y I Z I A W U D B A E q B B C 8 X p h 7 p J u I j F m 1 / X 6 L B o 3 E g F A H U g + O B 2 h H e 4 N Q Y U b i B n a G c B W S s J L Y V J 9 t L 3 R K X d 0 J L o M t b 7 x W T g + x e K 1 q H N T p x L b 1 m B e k L v 1 E U D T l n f 9 M W s E H A 5 A i g i 0 R l Z s + y y W 8 U L Y U Z A = = < / D a t a M a s h u p > 
</file>

<file path=customXml/itemProps1.xml><?xml version="1.0" encoding="utf-8"?>
<ds:datastoreItem xmlns:ds="http://schemas.openxmlformats.org/officeDocument/2006/customXml" ds:itemID="{1C41AD08-D8B7-394F-B8C9-5B70F787FC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Summary</vt:lpstr>
      <vt:lpstr>WACC</vt:lpstr>
      <vt:lpstr>Base DCF</vt:lpstr>
      <vt:lpstr>Bear DCF</vt:lpstr>
      <vt:lpstr>Bull DCF</vt:lpstr>
      <vt:lpstr>Relative Valuation</vt:lpstr>
      <vt:lpstr>&gt;&gt;&gt;</vt:lpstr>
      <vt:lpstr>Key Stats</vt:lpstr>
      <vt:lpstr>Income Statement</vt:lpstr>
      <vt:lpstr>Balance Sheet</vt:lpstr>
      <vt:lpstr>Cash Flow</vt:lpstr>
      <vt:lpstr>Ratios</vt:lpstr>
      <vt:lpstr>Beta</vt:lpstr>
      <vt:lpstr>CurrentPrice</vt:lpstr>
      <vt:lpstr>Debt</vt:lpstr>
      <vt:lpstr>EPS</vt:lpstr>
      <vt:lpstr>Equity</vt:lpstr>
      <vt:lpstr>InterestExp</vt:lpstr>
      <vt:lpstr>SharesOutstanding</vt:lpstr>
      <vt:lpstr>TaxRate</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Duke Tran</cp:lastModifiedBy>
  <dcterms:created xsi:type="dcterms:W3CDTF">2022-02-24T18:01:26Z</dcterms:created>
  <dcterms:modified xsi:type="dcterms:W3CDTF">2022-04-06T19:06:24Z</dcterms:modified>
</cp:coreProperties>
</file>