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950" yWindow="2865" windowWidth="20730" windowHeight="8250"/>
  </bookViews>
  <sheets>
    <sheet name="discounting" sheetId="4" r:id="rId1"/>
    <sheet name="Sheet1" sheetId="5" r:id="rId2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discount_rate">discounting!$B$2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55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45621"/>
</workbook>
</file>

<file path=xl/calcChain.xml><?xml version="1.0" encoding="utf-8"?>
<calcChain xmlns="http://schemas.openxmlformats.org/spreadsheetml/2006/main">
  <c r="X5" i="4" l="1"/>
  <c r="X6" i="4"/>
  <c r="X7" i="4"/>
  <c r="X8" i="4"/>
  <c r="X9" i="4"/>
  <c r="X10" i="4"/>
  <c r="X11" i="4"/>
  <c r="X12" i="4"/>
  <c r="X13" i="4"/>
  <c r="X14" i="4"/>
  <c r="X15" i="4"/>
  <c r="X16" i="4"/>
  <c r="X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4" i="4"/>
  <c r="AQ4" i="4" l="1"/>
  <c r="AR4" i="4"/>
  <c r="AS4" i="4"/>
  <c r="AT4" i="4"/>
  <c r="AU4" i="4"/>
  <c r="AV4" i="4"/>
  <c r="AW4" i="4"/>
  <c r="AX4" i="4"/>
  <c r="AY4" i="4"/>
  <c r="AQ7" i="4"/>
  <c r="AR7" i="4"/>
  <c r="AS7" i="4"/>
  <c r="AT7" i="4"/>
  <c r="AU7" i="4"/>
  <c r="AV7" i="4"/>
  <c r="AW7" i="4"/>
  <c r="AX7" i="4"/>
  <c r="AY7" i="4"/>
  <c r="AQ8" i="4"/>
  <c r="AR8" i="4"/>
  <c r="AS8" i="4"/>
  <c r="AT8" i="4"/>
  <c r="AU8" i="4"/>
  <c r="AV8" i="4"/>
  <c r="AW8" i="4"/>
  <c r="AX8" i="4"/>
  <c r="AY8" i="4"/>
  <c r="AQ9" i="4"/>
  <c r="AR9" i="4"/>
  <c r="AS9" i="4"/>
  <c r="AT9" i="4"/>
  <c r="AU9" i="4"/>
  <c r="AV9" i="4"/>
  <c r="AW9" i="4"/>
  <c r="AX9" i="4"/>
  <c r="AY9" i="4"/>
  <c r="AQ10" i="4"/>
  <c r="AR10" i="4"/>
  <c r="AS10" i="4"/>
  <c r="AT10" i="4"/>
  <c r="AU10" i="4"/>
  <c r="AV10" i="4"/>
  <c r="AW10" i="4"/>
  <c r="AX10" i="4"/>
  <c r="AY10" i="4"/>
  <c r="AQ14" i="4"/>
  <c r="AR14" i="4"/>
  <c r="AS14" i="4"/>
  <c r="AT14" i="4"/>
  <c r="AU14" i="4"/>
  <c r="AV14" i="4"/>
  <c r="AW14" i="4"/>
  <c r="AX14" i="4"/>
  <c r="AY14" i="4"/>
  <c r="AQ15" i="4"/>
  <c r="AR15" i="4"/>
  <c r="AS15" i="4"/>
  <c r="AT15" i="4"/>
  <c r="AU15" i="4"/>
  <c r="AV15" i="4"/>
  <c r="AW15" i="4"/>
  <c r="AX15" i="4"/>
  <c r="AY15" i="4"/>
  <c r="AQ16" i="4"/>
  <c r="AR16" i="4"/>
  <c r="AS16" i="4"/>
  <c r="AT16" i="4"/>
  <c r="AU16" i="4"/>
  <c r="AV16" i="4"/>
  <c r="AW16" i="4"/>
  <c r="AX16" i="4"/>
  <c r="AY16" i="4"/>
  <c r="AP7" i="4"/>
  <c r="AP8" i="4"/>
  <c r="AP9" i="4"/>
  <c r="AP10" i="4"/>
  <c r="AP14" i="4"/>
  <c r="AP15" i="4"/>
  <c r="AP16" i="4"/>
  <c r="AP4" i="4"/>
  <c r="AO7" i="4"/>
  <c r="AO8" i="4"/>
  <c r="AO9" i="4"/>
  <c r="AO10" i="4"/>
  <c r="AO11" i="4"/>
  <c r="AO14" i="4"/>
  <c r="AO15" i="4"/>
  <c r="AO16" i="4"/>
  <c r="AO4" i="4"/>
  <c r="Z5" i="4"/>
  <c r="AA5" i="4"/>
  <c r="AB5" i="4"/>
  <c r="AC5" i="4"/>
  <c r="AD5" i="4"/>
  <c r="AE5" i="4"/>
  <c r="AF5" i="4"/>
  <c r="AG5" i="4"/>
  <c r="AH5" i="4"/>
  <c r="Z6" i="4"/>
  <c r="AA6" i="4"/>
  <c r="AB6" i="4"/>
  <c r="AC6" i="4"/>
  <c r="AD6" i="4"/>
  <c r="AE6" i="4"/>
  <c r="AF6" i="4"/>
  <c r="AG6" i="4"/>
  <c r="AH6" i="4"/>
  <c r="Z7" i="4"/>
  <c r="AA7" i="4"/>
  <c r="AB7" i="4"/>
  <c r="AC7" i="4"/>
  <c r="AD7" i="4"/>
  <c r="AE7" i="4"/>
  <c r="AF7" i="4"/>
  <c r="AG7" i="4"/>
  <c r="AH7" i="4"/>
  <c r="Z8" i="4"/>
  <c r="AA8" i="4"/>
  <c r="AB8" i="4"/>
  <c r="AC8" i="4"/>
  <c r="AD8" i="4"/>
  <c r="AE8" i="4"/>
  <c r="AF8" i="4"/>
  <c r="AG8" i="4"/>
  <c r="AH8" i="4"/>
  <c r="Z9" i="4"/>
  <c r="AA9" i="4"/>
  <c r="AB9" i="4"/>
  <c r="AC9" i="4"/>
  <c r="AD9" i="4"/>
  <c r="AE9" i="4"/>
  <c r="AF9" i="4"/>
  <c r="AG9" i="4"/>
  <c r="AH9" i="4"/>
  <c r="Z10" i="4"/>
  <c r="AA10" i="4"/>
  <c r="AB10" i="4"/>
  <c r="AC10" i="4"/>
  <c r="AD10" i="4"/>
  <c r="AE10" i="4"/>
  <c r="AF10" i="4"/>
  <c r="AG10" i="4"/>
  <c r="AH10" i="4"/>
  <c r="Z12" i="4"/>
  <c r="AA12" i="4"/>
  <c r="AB12" i="4"/>
  <c r="AC12" i="4"/>
  <c r="AD12" i="4"/>
  <c r="AE12" i="4"/>
  <c r="AF12" i="4"/>
  <c r="AG12" i="4"/>
  <c r="AH12" i="4"/>
  <c r="Z13" i="4"/>
  <c r="AA13" i="4"/>
  <c r="AB13" i="4"/>
  <c r="AC13" i="4"/>
  <c r="AD13" i="4"/>
  <c r="AE13" i="4"/>
  <c r="AF13" i="4"/>
  <c r="AG13" i="4"/>
  <c r="AH13" i="4"/>
  <c r="Z14" i="4"/>
  <c r="AA14" i="4"/>
  <c r="AB14" i="4"/>
  <c r="AC14" i="4"/>
  <c r="AD14" i="4"/>
  <c r="AE14" i="4"/>
  <c r="AF14" i="4"/>
  <c r="AG14" i="4"/>
  <c r="AH14" i="4"/>
  <c r="Z15" i="4"/>
  <c r="AA15" i="4"/>
  <c r="AB15" i="4"/>
  <c r="AC15" i="4"/>
  <c r="AD15" i="4"/>
  <c r="AE15" i="4"/>
  <c r="AF15" i="4"/>
  <c r="AG15" i="4"/>
  <c r="AH15" i="4"/>
  <c r="Z16" i="4"/>
  <c r="AA16" i="4"/>
  <c r="AB16" i="4"/>
  <c r="AC16" i="4"/>
  <c r="AD16" i="4"/>
  <c r="AE16" i="4"/>
  <c r="AF16" i="4"/>
  <c r="AG16" i="4"/>
  <c r="AH16" i="4"/>
  <c r="Y5" i="4"/>
  <c r="Y6" i="4"/>
  <c r="Y7" i="4"/>
  <c r="Y8" i="4"/>
  <c r="Y9" i="4"/>
  <c r="Y10" i="4"/>
  <c r="Y12" i="4"/>
  <c r="Y13" i="4"/>
  <c r="Y14" i="4"/>
  <c r="Y15" i="4"/>
  <c r="Y16" i="4"/>
  <c r="G5" i="4"/>
  <c r="G6" i="4"/>
  <c r="G7" i="4"/>
  <c r="G8" i="4"/>
  <c r="G9" i="4"/>
  <c r="G10" i="4"/>
  <c r="G11" i="4"/>
  <c r="G12" i="4"/>
  <c r="G13" i="4"/>
  <c r="G14" i="4"/>
  <c r="G15" i="4"/>
  <c r="G16" i="4"/>
  <c r="Q5" i="4" l="1"/>
  <c r="AI5" i="4"/>
  <c r="AI7" i="4"/>
  <c r="AI13" i="4"/>
  <c r="AI15" i="4"/>
  <c r="AI6" i="4"/>
  <c r="AI10" i="4"/>
  <c r="AZ16" i="4"/>
  <c r="AZ15" i="4"/>
  <c r="AZ14" i="4"/>
  <c r="AZ10" i="4"/>
  <c r="AZ9" i="4"/>
  <c r="AZ8" i="4"/>
  <c r="AZ7" i="4"/>
  <c r="G4" i="4"/>
  <c r="B2" i="4"/>
  <c r="AR3" i="4"/>
  <c r="AS3" i="4"/>
  <c r="AT3" i="4"/>
  <c r="AU3" i="4"/>
  <c r="AV3" i="4"/>
  <c r="AQ3" i="4"/>
  <c r="AA3" i="4"/>
  <c r="AB3" i="4"/>
  <c r="AC3" i="4"/>
  <c r="AD3" i="4"/>
  <c r="AE3" i="4"/>
  <c r="Z3" i="4"/>
  <c r="I3" i="4"/>
  <c r="I4" i="4" s="1"/>
  <c r="J3" i="4"/>
  <c r="J4" i="4" s="1"/>
  <c r="H3" i="4"/>
  <c r="AL17" i="4"/>
  <c r="AO17" i="4" s="1"/>
  <c r="U17" i="4"/>
  <c r="V17" i="4"/>
  <c r="X17" i="4" s="1"/>
  <c r="D17" i="4"/>
  <c r="F17" i="4"/>
  <c r="G17" i="4" s="1"/>
  <c r="AL16" i="4"/>
  <c r="U16" i="4"/>
  <c r="V16" i="4"/>
  <c r="D16" i="4"/>
  <c r="F16" i="4"/>
  <c r="AL15" i="4"/>
  <c r="U15" i="4"/>
  <c r="V15" i="4"/>
  <c r="F15" i="4"/>
  <c r="AL14" i="4"/>
  <c r="AM14" i="4"/>
  <c r="AN14" i="4"/>
  <c r="U14" i="4"/>
  <c r="V14" i="4"/>
  <c r="F14" i="4"/>
  <c r="AL13" i="4"/>
  <c r="AO13" i="4" s="1"/>
  <c r="U13" i="4"/>
  <c r="V13" i="4"/>
  <c r="D13" i="4"/>
  <c r="F13" i="4"/>
  <c r="AL12" i="4"/>
  <c r="AO12" i="4" s="1"/>
  <c r="AM12" i="4"/>
  <c r="AN12" i="4"/>
  <c r="U12" i="4"/>
  <c r="V12" i="4"/>
  <c r="D12" i="4"/>
  <c r="F12" i="4"/>
  <c r="AL11" i="4"/>
  <c r="AM11" i="4"/>
  <c r="AN11" i="4"/>
  <c r="U11" i="4"/>
  <c r="V11" i="4"/>
  <c r="F11" i="4"/>
  <c r="AL10" i="4"/>
  <c r="U10" i="4"/>
  <c r="V10" i="4"/>
  <c r="D10" i="4"/>
  <c r="F10" i="4"/>
  <c r="AM9" i="4"/>
  <c r="AN9" i="4"/>
  <c r="AL9" i="4"/>
  <c r="U9" i="4"/>
  <c r="V9" i="4"/>
  <c r="D9" i="4"/>
  <c r="F9" i="4"/>
  <c r="AL8" i="4"/>
  <c r="AM8" i="4"/>
  <c r="AN8" i="4"/>
  <c r="U8" i="4"/>
  <c r="V8" i="4"/>
  <c r="F8" i="4"/>
  <c r="AL7" i="4"/>
  <c r="V7" i="4"/>
  <c r="U7" i="4"/>
  <c r="F7" i="4"/>
  <c r="AL6" i="4"/>
  <c r="AO6" i="4" s="1"/>
  <c r="U6" i="4"/>
  <c r="V6" i="4"/>
  <c r="D6" i="4"/>
  <c r="F6" i="4"/>
  <c r="AL5" i="4"/>
  <c r="AO5" i="4" s="1"/>
  <c r="AM5" i="4"/>
  <c r="AN5" i="4"/>
  <c r="U5" i="4"/>
  <c r="V5" i="4"/>
  <c r="D5" i="4"/>
  <c r="F5" i="4"/>
  <c r="AL4" i="4"/>
  <c r="AM4" i="4"/>
  <c r="AN4" i="4"/>
  <c r="U4" i="4"/>
  <c r="V4" i="4"/>
  <c r="F4" i="4"/>
  <c r="AM16" i="4"/>
  <c r="AN16" i="4"/>
  <c r="AM17" i="4"/>
  <c r="AN17" i="4"/>
  <c r="AM7" i="4"/>
  <c r="AN7" i="4"/>
  <c r="AM15" i="4"/>
  <c r="AN15" i="4"/>
  <c r="AM10" i="4"/>
  <c r="AN10" i="4"/>
  <c r="AW3" i="4"/>
  <c r="AF3" i="4"/>
  <c r="AX3" i="4"/>
  <c r="AG3" i="4"/>
  <c r="AY3" i="4"/>
  <c r="AH3" i="4"/>
  <c r="AI8" i="4"/>
  <c r="AI9" i="4"/>
  <c r="AI12" i="4"/>
  <c r="AI16" i="4"/>
  <c r="Q12" i="4"/>
  <c r="Q17" i="4"/>
  <c r="Q7" i="4"/>
  <c r="Q13" i="4"/>
  <c r="Q6" i="4"/>
  <c r="Q15" i="4"/>
  <c r="Q11" i="4"/>
  <c r="Q10" i="4"/>
  <c r="Q16" i="4"/>
  <c r="Q9" i="4"/>
  <c r="Q8" i="4"/>
  <c r="Q14" i="4"/>
  <c r="AR17" i="4" l="1"/>
  <c r="AB17" i="4"/>
  <c r="AC17" i="4"/>
  <c r="AD17" i="4"/>
  <c r="AH17" i="4"/>
  <c r="AY17" i="4"/>
  <c r="AS17" i="4"/>
  <c r="Y17" i="4"/>
  <c r="AU17" i="4"/>
  <c r="AE17" i="4"/>
  <c r="AF17" i="4"/>
  <c r="AX17" i="4"/>
  <c r="Z17" i="4"/>
  <c r="AQ17" i="4"/>
  <c r="AP17" i="4"/>
  <c r="AT17" i="4"/>
  <c r="AV17" i="4"/>
  <c r="AW17" i="4"/>
  <c r="AG17" i="4"/>
  <c r="AA17" i="4"/>
  <c r="BB8" i="4"/>
  <c r="BA8" i="4"/>
  <c r="BB7" i="4"/>
  <c r="BA7" i="4"/>
  <c r="BB9" i="4"/>
  <c r="BA9" i="4"/>
  <c r="K3" i="4"/>
  <c r="BB16" i="4"/>
  <c r="BA16" i="4"/>
  <c r="BA10" i="4"/>
  <c r="BB10" i="4"/>
  <c r="BB15" i="4"/>
  <c r="BA15" i="4"/>
  <c r="BB14" i="4"/>
  <c r="BA14" i="4"/>
  <c r="AS11" i="4"/>
  <c r="AC11" i="4"/>
  <c r="AT11" i="4"/>
  <c r="AD11" i="4"/>
  <c r="AU11" i="4"/>
  <c r="AE11" i="4"/>
  <c r="Y11" i="4"/>
  <c r="AY11" i="4"/>
  <c r="AV11" i="4"/>
  <c r="AF11" i="4"/>
  <c r="AA11" i="4"/>
  <c r="AR11" i="4"/>
  <c r="AP11" i="4"/>
  <c r="AB11" i="4"/>
  <c r="AW11" i="4"/>
  <c r="AG11" i="4"/>
  <c r="AX11" i="4"/>
  <c r="Z11" i="4"/>
  <c r="AH11" i="4"/>
  <c r="AQ11" i="4"/>
  <c r="AM13" i="4"/>
  <c r="AN13" i="4" s="1"/>
  <c r="AS12" i="4"/>
  <c r="AP12" i="4"/>
  <c r="AV12" i="4"/>
  <c r="AT12" i="4"/>
  <c r="AW12" i="4"/>
  <c r="AU12" i="4"/>
  <c r="AX12" i="4"/>
  <c r="AQ12" i="4"/>
  <c r="AY12" i="4"/>
  <c r="AR12" i="4"/>
  <c r="AM6" i="4"/>
  <c r="AN6" i="4" s="1"/>
  <c r="AT5" i="4"/>
  <c r="AU5" i="4"/>
  <c r="AV5" i="4"/>
  <c r="AP5" i="4"/>
  <c r="AW5" i="4"/>
  <c r="AX5" i="4"/>
  <c r="AQ5" i="4"/>
  <c r="AY5" i="4"/>
  <c r="AR5" i="4"/>
  <c r="AS5" i="4"/>
  <c r="Z4" i="4"/>
  <c r="AH4" i="4"/>
  <c r="AB4" i="4"/>
  <c r="Y4" i="4"/>
  <c r="AA4" i="4"/>
  <c r="AC4" i="4"/>
  <c r="AD4" i="4"/>
  <c r="AE4" i="4"/>
  <c r="AF4" i="4"/>
  <c r="AG4" i="4"/>
  <c r="AI14" i="4"/>
  <c r="AI17" i="4" l="1"/>
  <c r="AZ17" i="4"/>
  <c r="K4" i="4"/>
  <c r="L3" i="4"/>
  <c r="AI11" i="4"/>
  <c r="AZ11" i="4"/>
  <c r="AU13" i="4"/>
  <c r="AY13" i="4"/>
  <c r="AV13" i="4"/>
  <c r="AW13" i="4"/>
  <c r="AR13" i="4"/>
  <c r="AS13" i="4"/>
  <c r="AP13" i="4"/>
  <c r="AT13" i="4"/>
  <c r="AX13" i="4"/>
  <c r="AQ13" i="4"/>
  <c r="AZ12" i="4"/>
  <c r="AV6" i="4"/>
  <c r="AY6" i="4"/>
  <c r="AR6" i="4"/>
  <c r="AW6" i="4"/>
  <c r="AX6" i="4"/>
  <c r="AQ6" i="4"/>
  <c r="AS6" i="4"/>
  <c r="AT6" i="4"/>
  <c r="AU6" i="4"/>
  <c r="AP6" i="4"/>
  <c r="AZ5" i="4"/>
  <c r="AZ4" i="4"/>
  <c r="AI4" i="4"/>
  <c r="BB17" i="4" l="1"/>
  <c r="BA17" i="4"/>
  <c r="L4" i="4"/>
  <c r="M3" i="4"/>
  <c r="BA11" i="4"/>
  <c r="BB11" i="4"/>
  <c r="AZ13" i="4"/>
  <c r="BB12" i="4"/>
  <c r="BA12" i="4"/>
  <c r="AZ6" i="4"/>
  <c r="BB5" i="4"/>
  <c r="BA5" i="4"/>
  <c r="M4" i="4" l="1"/>
  <c r="N3" i="4"/>
  <c r="BB13" i="4"/>
  <c r="BA13" i="4"/>
  <c r="BB6" i="4"/>
  <c r="BA6" i="4"/>
  <c r="N4" i="4" l="1"/>
  <c r="O3" i="4"/>
  <c r="O4" i="4" l="1"/>
  <c r="P3" i="4"/>
  <c r="P4" i="4" s="1"/>
  <c r="Q4" i="4" s="1"/>
  <c r="BB4" i="4" l="1"/>
  <c r="BA4" i="4"/>
</calcChain>
</file>

<file path=xl/comments1.xml><?xml version="1.0" encoding="utf-8"?>
<comments xmlns="http://schemas.openxmlformats.org/spreadsheetml/2006/main">
  <authors>
    <author>Carpenter, Tim</author>
  </authors>
  <commentList>
    <comment ref="G3" authorId="0">
      <text>
        <r>
          <rPr>
            <b/>
            <sz val="9"/>
            <color indexed="81"/>
            <rFont val="Tahoma"/>
            <charset val="1"/>
          </rPr>
          <t>Carpenter, Tim:</t>
        </r>
        <r>
          <rPr>
            <sz val="9"/>
            <color indexed="81"/>
            <rFont val="Tahoma"/>
            <charset val="1"/>
          </rPr>
          <t xml:space="preserve">
assume all vaccination occurs in year 0
</t>
        </r>
      </text>
    </comment>
    <comment ref="R4" authorId="0">
      <text>
        <r>
          <rPr>
            <b/>
            <sz val="9"/>
            <color indexed="81"/>
            <rFont val="Tahoma"/>
            <charset val="1"/>
          </rPr>
          <t>Carpenter, Tim:</t>
        </r>
        <r>
          <rPr>
            <sz val="9"/>
            <color indexed="81"/>
            <rFont val="Tahoma"/>
            <charset val="1"/>
          </rPr>
          <t xml:space="preserve">
I am assuming this is the 10-year total and not annual total, which is the assumption for the other rows in this column.</t>
        </r>
      </text>
    </comment>
    <comment ref="D5" authorId="0">
      <text>
        <r>
          <rPr>
            <b/>
            <sz val="9"/>
            <color indexed="81"/>
            <rFont val="Tahoma"/>
            <family val="2"/>
          </rPr>
          <t>Carpenter, Tim:</t>
        </r>
        <r>
          <rPr>
            <sz val="9"/>
            <color indexed="81"/>
            <rFont val="Tahoma"/>
            <family val="2"/>
          </rPr>
          <t xml:space="preserve">
assume vaccination all occurred in year 0.</t>
        </r>
      </text>
    </comment>
  </commentList>
</comments>
</file>

<file path=xl/sharedStrings.xml><?xml version="1.0" encoding="utf-8"?>
<sst xmlns="http://schemas.openxmlformats.org/spreadsheetml/2006/main" count="84" uniqueCount="58">
  <si>
    <t>0.92-1.19</t>
  </si>
  <si>
    <t>1.82-2.13</t>
  </si>
  <si>
    <t>Costs per vaccine</t>
  </si>
  <si>
    <t>Benefit Cost Ratio</t>
  </si>
  <si>
    <t>Tot. vaccine costs</t>
  </si>
  <si>
    <t>Tot. hospitalised cases</t>
  </si>
  <si>
    <t>Tot hospitalised cases</t>
  </si>
  <si>
    <t>Years R0 estimated from</t>
  </si>
  <si>
    <t>2013-2014</t>
  </si>
  <si>
    <t>2009-2014</t>
  </si>
  <si>
    <t>Reffective range</t>
  </si>
  <si>
    <t>Reff  for simulations</t>
  </si>
  <si>
    <t>Proportion of cases hospitalised</t>
  </si>
  <si>
    <t>Ave. epidemic size in immune pop over 10 years with Reff = 1</t>
  </si>
  <si>
    <t>Number of introductions over 10 years</t>
  </si>
  <si>
    <t>Cost lost wages</t>
  </si>
  <si>
    <t>Cost Per Hospital Case</t>
  </si>
  <si>
    <t>Tot cases over 10 years</t>
  </si>
  <si>
    <t>year</t>
  </si>
  <si>
    <t>discount rate</t>
  </si>
  <si>
    <t>Present value of discounted vaccination costs</t>
  </si>
  <si>
    <t>Present value of discounted case costs of baseline program</t>
  </si>
  <si>
    <t>Additional vaccines required to reduce R0 to 1</t>
  </si>
  <si>
    <t>Total undiscounted case costs without additional vaccination</t>
  </si>
  <si>
    <t>Avg total cases in the popn over 10 years without additional vaccination (1000 sims using Reff sim)</t>
  </si>
  <si>
    <t>Total cases reduce by vaccination alternative vs baseline</t>
  </si>
  <si>
    <t>Tot. costs for cases assuming supplemental vaccination if any</t>
  </si>
  <si>
    <t>Annual discounted case costs without a supplemental (vaccination) program</t>
  </si>
  <si>
    <t>Annual discounted vaccination costs without a supplemental (vaccination) program</t>
  </si>
  <si>
    <t>Annual discounted benefits (case costs avoided) due to supplemental (vaccination) program</t>
  </si>
  <si>
    <t>Present value of discounted benefits from reducing cases with supplemental (vaccination) program</t>
  </si>
  <si>
    <t>Discounted Net Benefit of supplemental (vaccination) program</t>
  </si>
  <si>
    <t>Management costs</t>
  </si>
  <si>
    <t>DHB</t>
  </si>
  <si>
    <t>Auckland</t>
  </si>
  <si>
    <t>Canterbury</t>
  </si>
  <si>
    <t>Lakes</t>
  </si>
  <si>
    <t>MidCentral</t>
  </si>
  <si>
    <t>Northland</t>
  </si>
  <si>
    <t>Southern</t>
  </si>
  <si>
    <t>Tairawhiti</t>
  </si>
  <si>
    <t>Taranaki</t>
  </si>
  <si>
    <t>Waikato</t>
  </si>
  <si>
    <t>Wairarapa</t>
  </si>
  <si>
    <t>Waitemata</t>
  </si>
  <si>
    <t>Whanganui</t>
  </si>
  <si>
    <t>Counties Manukau</t>
  </si>
  <si>
    <t>Hawke's Bay</t>
  </si>
  <si>
    <t>Hutt Valley</t>
  </si>
  <si>
    <t>Nelson Marlborough</t>
  </si>
  <si>
    <t>West Coast</t>
  </si>
  <si>
    <t>South Canterbury</t>
  </si>
  <si>
    <t>Bay of Plenty</t>
  </si>
  <si>
    <t>Capital and Coast</t>
  </si>
  <si>
    <t>Size</t>
  </si>
  <si>
    <t>Attack</t>
  </si>
  <si>
    <t>Vacc</t>
  </si>
  <si>
    <t>Naïve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</si>
</sst>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Alignment="1">
      <alignment wrapText="1"/>
    </xf>
    <xf numFmtId="1" fontId="0" fillId="0" borderId="0" xfId="0" applyNumberFormat="1" applyFill="1" applyAlignment="1">
      <alignment wrapText="1"/>
    </xf>
    <xf numFmtId="2" fontId="0" fillId="0" borderId="0" xfId="0" applyNumberFormat="1" applyFill="1" applyAlignment="1">
      <alignment wrapText="1"/>
    </xf>
    <xf numFmtId="0" fontId="0" fillId="2" borderId="0" xfId="0" applyFill="1" applyAlignment="1">
      <alignment wrapText="1"/>
    </xf>
    <xf numFmtId="0" fontId="1" fillId="2" borderId="0" xfId="0" applyFont="1" applyFill="1" applyAlignment="1">
      <alignment wrapText="1"/>
    </xf>
    <xf numFmtId="1" fontId="0" fillId="3" borderId="0" xfId="0" applyNumberForma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52"/>
  <sheetViews>
    <sheetView tabSelected="1" workbookViewId="0">
      <selection activeCell="C33" sqref="C33"/>
    </sheetView>
  </sheetViews>
  <sheetFormatPr defaultRowHeight="15" x14ac:dyDescent="0.25"/>
  <cols>
    <col min="1" max="1" width="10" bestFit="1" customWidth="1"/>
    <col min="3" max="3" width="11" customWidth="1"/>
    <col min="4" max="4" width="13.28515625" customWidth="1"/>
    <col min="7" max="7" width="19.85546875" customWidth="1"/>
    <col min="8" max="17" width="14.7109375" customWidth="1"/>
    <col min="18" max="18" width="15.5703125" customWidth="1"/>
    <col min="24" max="24" width="14.7109375" customWidth="1"/>
    <col min="25" max="25" width="19.85546875" customWidth="1"/>
    <col min="26" max="35" width="14.7109375" customWidth="1"/>
    <col min="42" max="52" width="14.7109375" customWidth="1"/>
    <col min="53" max="53" width="17.42578125" customWidth="1"/>
    <col min="55" max="55" width="11.5703125" customWidth="1"/>
  </cols>
  <sheetData>
    <row r="1" spans="1:56" x14ac:dyDescent="0.25">
      <c r="G1" t="s">
        <v>28</v>
      </c>
      <c r="Y1" t="s">
        <v>27</v>
      </c>
      <c r="AP1" t="s">
        <v>29</v>
      </c>
    </row>
    <row r="2" spans="1:56" x14ac:dyDescent="0.25">
      <c r="A2" t="s">
        <v>19</v>
      </c>
      <c r="B2">
        <f>0.03</f>
        <v>0.03</v>
      </c>
      <c r="G2" t="s">
        <v>18</v>
      </c>
      <c r="Y2" t="s">
        <v>18</v>
      </c>
      <c r="AP2" t="s">
        <v>18</v>
      </c>
    </row>
    <row r="3" spans="1:56" ht="135.75" customHeight="1" x14ac:dyDescent="0.25">
      <c r="A3" s="1" t="s">
        <v>7</v>
      </c>
      <c r="B3" s="1" t="s">
        <v>10</v>
      </c>
      <c r="C3" s="1" t="s">
        <v>11</v>
      </c>
      <c r="D3" s="1" t="s">
        <v>22</v>
      </c>
      <c r="E3" s="1" t="s">
        <v>2</v>
      </c>
      <c r="F3" s="1" t="s">
        <v>4</v>
      </c>
      <c r="G3" s="1">
        <v>0</v>
      </c>
      <c r="H3" s="1">
        <f>G3+1</f>
        <v>1</v>
      </c>
      <c r="I3" s="1">
        <f t="shared" ref="I3:P3" si="0">H3+1</f>
        <v>2</v>
      </c>
      <c r="J3" s="1">
        <f t="shared" si="0"/>
        <v>3</v>
      </c>
      <c r="K3" s="1">
        <f t="shared" si="0"/>
        <v>4</v>
      </c>
      <c r="L3" s="1">
        <f t="shared" si="0"/>
        <v>5</v>
      </c>
      <c r="M3" s="1">
        <f t="shared" si="0"/>
        <v>6</v>
      </c>
      <c r="N3" s="1">
        <f t="shared" si="0"/>
        <v>7</v>
      </c>
      <c r="O3" s="1">
        <f t="shared" si="0"/>
        <v>8</v>
      </c>
      <c r="P3" s="1">
        <f t="shared" si="0"/>
        <v>9</v>
      </c>
      <c r="Q3" s="5" t="s">
        <v>20</v>
      </c>
      <c r="R3" s="1" t="s">
        <v>24</v>
      </c>
      <c r="S3" s="1" t="s">
        <v>15</v>
      </c>
      <c r="T3" s="1" t="s">
        <v>32</v>
      </c>
      <c r="U3" s="1" t="s">
        <v>12</v>
      </c>
      <c r="V3" s="1" t="s">
        <v>5</v>
      </c>
      <c r="W3" s="1" t="s">
        <v>16</v>
      </c>
      <c r="X3" s="1" t="s">
        <v>23</v>
      </c>
      <c r="Y3" s="1">
        <v>0</v>
      </c>
      <c r="Z3" s="1">
        <f>Y3+1</f>
        <v>1</v>
      </c>
      <c r="AA3" s="1">
        <f t="shared" ref="AA3:AH3" si="1">Z3+1</f>
        <v>2</v>
      </c>
      <c r="AB3" s="1">
        <f t="shared" si="1"/>
        <v>3</v>
      </c>
      <c r="AC3" s="1">
        <f t="shared" si="1"/>
        <v>4</v>
      </c>
      <c r="AD3" s="1">
        <f t="shared" si="1"/>
        <v>5</v>
      </c>
      <c r="AE3" s="1">
        <f t="shared" si="1"/>
        <v>6</v>
      </c>
      <c r="AF3" s="1">
        <f t="shared" si="1"/>
        <v>7</v>
      </c>
      <c r="AG3" s="1">
        <f t="shared" si="1"/>
        <v>8</v>
      </c>
      <c r="AH3" s="1">
        <f t="shared" si="1"/>
        <v>9</v>
      </c>
      <c r="AI3" s="4" t="s">
        <v>21</v>
      </c>
      <c r="AJ3" s="1" t="s">
        <v>13</v>
      </c>
      <c r="AK3" s="1" t="s">
        <v>14</v>
      </c>
      <c r="AL3" s="1" t="s">
        <v>17</v>
      </c>
      <c r="AM3" s="1" t="s">
        <v>6</v>
      </c>
      <c r="AN3" s="1" t="s">
        <v>26</v>
      </c>
      <c r="AO3" s="1" t="s">
        <v>25</v>
      </c>
      <c r="AP3" s="1">
        <v>0</v>
      </c>
      <c r="AQ3" s="1">
        <f>AP3+1</f>
        <v>1</v>
      </c>
      <c r="AR3" s="1">
        <f t="shared" ref="AR3:AY3" si="2">AQ3+1</f>
        <v>2</v>
      </c>
      <c r="AS3" s="1">
        <f t="shared" si="2"/>
        <v>3</v>
      </c>
      <c r="AT3" s="1">
        <f t="shared" si="2"/>
        <v>4</v>
      </c>
      <c r="AU3" s="1">
        <f t="shared" si="2"/>
        <v>5</v>
      </c>
      <c r="AV3" s="1">
        <f t="shared" si="2"/>
        <v>6</v>
      </c>
      <c r="AW3" s="1">
        <f t="shared" si="2"/>
        <v>7</v>
      </c>
      <c r="AX3" s="1">
        <f t="shared" si="2"/>
        <v>8</v>
      </c>
      <c r="AY3" s="1">
        <f t="shared" si="2"/>
        <v>9</v>
      </c>
      <c r="AZ3" s="4" t="s">
        <v>30</v>
      </c>
      <c r="BA3" s="4" t="s">
        <v>31</v>
      </c>
      <c r="BB3" s="4" t="s">
        <v>3</v>
      </c>
      <c r="BC3" s="1"/>
      <c r="BD3" s="1"/>
    </row>
    <row r="4" spans="1:56" x14ac:dyDescent="0.25">
      <c r="A4" s="1" t="s">
        <v>9</v>
      </c>
      <c r="B4" s="1" t="s">
        <v>0</v>
      </c>
      <c r="C4" s="3">
        <v>0.92</v>
      </c>
      <c r="D4" s="2">
        <v>0</v>
      </c>
      <c r="E4" s="2"/>
      <c r="F4" s="2">
        <f>D4*E4</f>
        <v>0</v>
      </c>
      <c r="G4" s="2">
        <f t="shared" ref="G4:P20" si="3">$F4*(1/(1+discount_rate)^G$3)</f>
        <v>0</v>
      </c>
      <c r="H4" s="2">
        <v>0</v>
      </c>
      <c r="I4" s="2">
        <f t="shared" si="3"/>
        <v>0</v>
      </c>
      <c r="J4" s="2">
        <f t="shared" si="3"/>
        <v>0</v>
      </c>
      <c r="K4" s="2">
        <f t="shared" si="3"/>
        <v>0</v>
      </c>
      <c r="L4" s="2">
        <f t="shared" si="3"/>
        <v>0</v>
      </c>
      <c r="M4" s="2">
        <f t="shared" si="3"/>
        <v>0</v>
      </c>
      <c r="N4" s="2">
        <f t="shared" si="3"/>
        <v>0</v>
      </c>
      <c r="O4" s="2">
        <f t="shared" si="3"/>
        <v>0</v>
      </c>
      <c r="P4" s="2">
        <f t="shared" si="3"/>
        <v>0</v>
      </c>
      <c r="Q4" s="2">
        <f>SUM(G4:P4)</f>
        <v>0</v>
      </c>
      <c r="R4" s="6">
        <v>130</v>
      </c>
      <c r="S4">
        <v>852</v>
      </c>
      <c r="T4">
        <f>330147/187</f>
        <v>1765.4919786096257</v>
      </c>
      <c r="U4" s="1">
        <f t="shared" ref="U4:U52" si="4">0.17</f>
        <v>0.17</v>
      </c>
      <c r="V4" s="2">
        <f>R4*U4</f>
        <v>22.1</v>
      </c>
      <c r="W4" s="2">
        <v>1710</v>
      </c>
      <c r="X4" s="2">
        <f>V4*W4+R4*S4+R4*T4</f>
        <v>378064.95721925132</v>
      </c>
      <c r="Y4" s="2">
        <f t="shared" ref="Y4:AH20" si="5">($X4/10)*(1/(1+discount_rate)^Y$3)</f>
        <v>37806.49572192513</v>
      </c>
      <c r="Z4" s="2">
        <f t="shared" si="5"/>
        <v>36705.335652354494</v>
      </c>
      <c r="AA4" s="2">
        <f t="shared" si="5"/>
        <v>35636.24820616941</v>
      </c>
      <c r="AB4" s="2">
        <f t="shared" si="5"/>
        <v>34598.299229290693</v>
      </c>
      <c r="AC4" s="2">
        <f t="shared" si="5"/>
        <v>33590.581776010382</v>
      </c>
      <c r="AD4" s="2">
        <f t="shared" si="5"/>
        <v>32612.215316514936</v>
      </c>
      <c r="AE4" s="2">
        <f t="shared" si="5"/>
        <v>31662.344967490229</v>
      </c>
      <c r="AF4" s="2">
        <f t="shared" si="5"/>
        <v>30740.140745136145</v>
      </c>
      <c r="AG4" s="2">
        <f t="shared" si="5"/>
        <v>29844.796839938004</v>
      </c>
      <c r="AH4" s="2">
        <f t="shared" si="5"/>
        <v>28975.530912561171</v>
      </c>
      <c r="AI4" s="2">
        <f>SUM(Y4:AH4)</f>
        <v>332171.98936739058</v>
      </c>
      <c r="AJ4" s="2">
        <v>13</v>
      </c>
      <c r="AK4" s="2">
        <v>10</v>
      </c>
      <c r="AL4" s="2">
        <f>AK4*AJ4</f>
        <v>130</v>
      </c>
      <c r="AM4" s="2">
        <f>AL4*0.17</f>
        <v>22.1</v>
      </c>
      <c r="AN4" s="2">
        <f>AM4*W4+AL4*S4</f>
        <v>148551</v>
      </c>
      <c r="AO4" s="2">
        <f>(R4-AL4)</f>
        <v>0</v>
      </c>
      <c r="AP4" s="2">
        <f t="shared" ref="AP4:AY20" si="6">(($X4-$AN4)/10)*(1/(1+discount_rate)^AP$3)</f>
        <v>22951.395721925132</v>
      </c>
      <c r="AQ4" s="2">
        <f t="shared" si="6"/>
        <v>22282.908467888479</v>
      </c>
      <c r="AR4" s="2">
        <f t="shared" si="6"/>
        <v>21633.891716396578</v>
      </c>
      <c r="AS4" s="2">
        <f t="shared" si="6"/>
        <v>21003.778365433573</v>
      </c>
      <c r="AT4" s="2">
        <f t="shared" si="6"/>
        <v>20392.017830518034</v>
      </c>
      <c r="AU4" s="2">
        <f t="shared" si="6"/>
        <v>19798.075563609742</v>
      </c>
      <c r="AV4" s="2">
        <f t="shared" si="6"/>
        <v>19221.432586028874</v>
      </c>
      <c r="AW4" s="2">
        <f t="shared" si="6"/>
        <v>18661.585034979489</v>
      </c>
      <c r="AX4" s="2">
        <f t="shared" si="6"/>
        <v>18118.043723281058</v>
      </c>
      <c r="AY4" s="2">
        <f t="shared" si="6"/>
        <v>17590.333711923358</v>
      </c>
      <c r="AZ4" s="2">
        <f>SUM(AP4:AY4)</f>
        <v>201653.46272198431</v>
      </c>
      <c r="BA4" s="2">
        <f>AZ4-Q4</f>
        <v>201653.46272198431</v>
      </c>
      <c r="BB4" s="3" t="e">
        <f>AZ4/Q4</f>
        <v>#DIV/0!</v>
      </c>
      <c r="BC4" s="2"/>
      <c r="BD4" s="3"/>
    </row>
    <row r="5" spans="1:56" x14ac:dyDescent="0.25">
      <c r="A5" s="1" t="s">
        <v>9</v>
      </c>
      <c r="B5" s="1" t="s">
        <v>0</v>
      </c>
      <c r="C5" s="3">
        <v>1.19</v>
      </c>
      <c r="D5" s="2">
        <f>80000</f>
        <v>80000</v>
      </c>
      <c r="E5" s="2">
        <v>20</v>
      </c>
      <c r="F5" s="2">
        <f>D5*E5</f>
        <v>1600000</v>
      </c>
      <c r="G5" s="2">
        <f t="shared" si="3"/>
        <v>1600000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f t="shared" ref="Q5:Q17" si="7">SUM(G5:P5)</f>
        <v>1600000</v>
      </c>
      <c r="R5" s="2">
        <v>128901</v>
      </c>
      <c r="S5">
        <v>852</v>
      </c>
      <c r="T5">
        <f t="shared" ref="T5:T52" si="8">330147/187</f>
        <v>1765.4919786096257</v>
      </c>
      <c r="U5" s="1">
        <f>0.17</f>
        <v>0.17</v>
      </c>
      <c r="V5" s="2">
        <f>R5*U5</f>
        <v>21913.170000000002</v>
      </c>
      <c r="W5" s="2">
        <v>1710</v>
      </c>
      <c r="X5" s="2">
        <f t="shared" ref="X5:X17" si="9">V5*W5+R5*S5+R5*T5</f>
        <v>374868854.23475933</v>
      </c>
      <c r="Y5" s="2">
        <f t="shared" si="5"/>
        <v>37486885.423475936</v>
      </c>
      <c r="Z5" s="2">
        <f t="shared" si="5"/>
        <v>36395034.391724214</v>
      </c>
      <c r="AA5" s="2">
        <f t="shared" si="5"/>
        <v>35334984.846334182</v>
      </c>
      <c r="AB5" s="2">
        <f t="shared" si="5"/>
        <v>34305810.53042154</v>
      </c>
      <c r="AC5" s="2">
        <f t="shared" si="5"/>
        <v>33306612.165457807</v>
      </c>
      <c r="AD5" s="2">
        <f t="shared" si="5"/>
        <v>32336516.665493019</v>
      </c>
      <c r="AE5" s="2">
        <f t="shared" si="5"/>
        <v>31394676.374265064</v>
      </c>
      <c r="AF5" s="2">
        <f t="shared" si="5"/>
        <v>30480268.324529186</v>
      </c>
      <c r="AG5" s="2">
        <f t="shared" si="5"/>
        <v>29592493.518960375</v>
      </c>
      <c r="AH5" s="2">
        <f t="shared" si="5"/>
        <v>28730576.232000366</v>
      </c>
      <c r="AI5" s="2">
        <f t="shared" ref="AI5:AI17" si="10">SUM(Y5:AH5)</f>
        <v>329363858.47266167</v>
      </c>
      <c r="AJ5" s="2">
        <v>145</v>
      </c>
      <c r="AK5" s="2">
        <v>10</v>
      </c>
      <c r="AL5" s="2">
        <f>AK5*AJ5</f>
        <v>1450</v>
      </c>
      <c r="AM5" s="2">
        <f>AL5*0.17</f>
        <v>246.50000000000003</v>
      </c>
      <c r="AN5" s="2">
        <f t="shared" ref="AN5:AN17" si="11">AM5*W5+AL5*S5</f>
        <v>1656915</v>
      </c>
      <c r="AO5" s="2">
        <f t="shared" ref="AO5:AO17" si="12">(R5-AL5)</f>
        <v>127451</v>
      </c>
      <c r="AP5" s="2">
        <f t="shared" si="6"/>
        <v>37321193.923475936</v>
      </c>
      <c r="AQ5" s="2">
        <f t="shared" si="6"/>
        <v>36234168.857743628</v>
      </c>
      <c r="AR5" s="2">
        <f t="shared" si="6"/>
        <v>35178804.716255948</v>
      </c>
      <c r="AS5" s="2">
        <f t="shared" si="6"/>
        <v>34154179.336170822</v>
      </c>
      <c r="AT5" s="2">
        <f t="shared" si="6"/>
        <v>33159397.413758084</v>
      </c>
      <c r="AU5" s="2">
        <f t="shared" si="6"/>
        <v>32193589.722095229</v>
      </c>
      <c r="AV5" s="2">
        <f t="shared" si="6"/>
        <v>31255912.351548765</v>
      </c>
      <c r="AW5" s="2">
        <f t="shared" si="6"/>
        <v>30345545.972377442</v>
      </c>
      <c r="AX5" s="2">
        <f t="shared" si="6"/>
        <v>29461695.118813049</v>
      </c>
      <c r="AY5" s="2">
        <f t="shared" si="6"/>
        <v>28603587.493993253</v>
      </c>
      <c r="AZ5" s="2">
        <f>SUM(AP5:AY5)</f>
        <v>327908074.90623212</v>
      </c>
      <c r="BA5" s="2">
        <f t="shared" ref="BA5:BA17" si="13">AZ5-Q5</f>
        <v>326308074.90623212</v>
      </c>
      <c r="BB5" s="3">
        <f>AZ5/Q5</f>
        <v>204.94254681639507</v>
      </c>
      <c r="BC5" s="2"/>
      <c r="BD5" s="3"/>
    </row>
    <row r="6" spans="1:56" x14ac:dyDescent="0.25">
      <c r="A6" s="1" t="s">
        <v>9</v>
      </c>
      <c r="B6" s="1" t="s">
        <v>0</v>
      </c>
      <c r="C6" s="3">
        <v>1.19</v>
      </c>
      <c r="D6" s="2">
        <f>80000</f>
        <v>80000</v>
      </c>
      <c r="E6" s="2">
        <v>50</v>
      </c>
      <c r="F6" s="2">
        <f t="shared" ref="F6:F8" si="14">D6*E6</f>
        <v>4000000</v>
      </c>
      <c r="G6" s="2">
        <f t="shared" si="3"/>
        <v>4000000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f t="shared" si="7"/>
        <v>4000000</v>
      </c>
      <c r="R6" s="2">
        <v>128901</v>
      </c>
      <c r="S6">
        <v>852</v>
      </c>
      <c r="T6">
        <f t="shared" si="8"/>
        <v>1765.4919786096257</v>
      </c>
      <c r="U6" s="1">
        <f t="shared" si="4"/>
        <v>0.17</v>
      </c>
      <c r="V6" s="2">
        <f t="shared" ref="V6:V8" si="15">R6*U6</f>
        <v>21913.170000000002</v>
      </c>
      <c r="W6" s="2">
        <v>1710</v>
      </c>
      <c r="X6" s="2">
        <f t="shared" si="9"/>
        <v>374868854.23475933</v>
      </c>
      <c r="Y6" s="2">
        <f t="shared" si="5"/>
        <v>37486885.423475936</v>
      </c>
      <c r="Z6" s="2">
        <f t="shared" si="5"/>
        <v>36395034.391724214</v>
      </c>
      <c r="AA6" s="2">
        <f t="shared" si="5"/>
        <v>35334984.846334182</v>
      </c>
      <c r="AB6" s="2">
        <f t="shared" si="5"/>
        <v>34305810.53042154</v>
      </c>
      <c r="AC6" s="2">
        <f t="shared" si="5"/>
        <v>33306612.165457807</v>
      </c>
      <c r="AD6" s="2">
        <f t="shared" si="5"/>
        <v>32336516.665493019</v>
      </c>
      <c r="AE6" s="2">
        <f t="shared" si="5"/>
        <v>31394676.374265064</v>
      </c>
      <c r="AF6" s="2">
        <f t="shared" si="5"/>
        <v>30480268.324529186</v>
      </c>
      <c r="AG6" s="2">
        <f t="shared" si="5"/>
        <v>29592493.518960375</v>
      </c>
      <c r="AH6" s="2">
        <f t="shared" si="5"/>
        <v>28730576.232000366</v>
      </c>
      <c r="AI6" s="2">
        <f t="shared" si="10"/>
        <v>329363858.47266167</v>
      </c>
      <c r="AJ6" s="2">
        <v>145</v>
      </c>
      <c r="AK6" s="2">
        <v>10</v>
      </c>
      <c r="AL6" s="2">
        <f t="shared" ref="AL6:AL8" si="16">AK6*AJ6</f>
        <v>1450</v>
      </c>
      <c r="AM6" s="2">
        <f t="shared" ref="AM6:AM8" si="17">AL6*0.17</f>
        <v>246.50000000000003</v>
      </c>
      <c r="AN6" s="2">
        <f t="shared" si="11"/>
        <v>1656915</v>
      </c>
      <c r="AO6" s="2">
        <f t="shared" si="12"/>
        <v>127451</v>
      </c>
      <c r="AP6" s="2">
        <f t="shared" si="6"/>
        <v>37321193.923475936</v>
      </c>
      <c r="AQ6" s="2">
        <f t="shared" si="6"/>
        <v>36234168.857743628</v>
      </c>
      <c r="AR6" s="2">
        <f t="shared" si="6"/>
        <v>35178804.716255948</v>
      </c>
      <c r="AS6" s="2">
        <f t="shared" si="6"/>
        <v>34154179.336170822</v>
      </c>
      <c r="AT6" s="2">
        <f t="shared" si="6"/>
        <v>33159397.413758084</v>
      </c>
      <c r="AU6" s="2">
        <f t="shared" si="6"/>
        <v>32193589.722095229</v>
      </c>
      <c r="AV6" s="2">
        <f t="shared" si="6"/>
        <v>31255912.351548765</v>
      </c>
      <c r="AW6" s="2">
        <f t="shared" si="6"/>
        <v>30345545.972377442</v>
      </c>
      <c r="AX6" s="2">
        <f t="shared" si="6"/>
        <v>29461695.118813049</v>
      </c>
      <c r="AY6" s="2">
        <f t="shared" si="6"/>
        <v>28603587.493993253</v>
      </c>
      <c r="AZ6" s="2">
        <f t="shared" ref="AZ6:AZ17" si="18">SUM(AP6:AY6)</f>
        <v>327908074.90623212</v>
      </c>
      <c r="BA6" s="2">
        <f t="shared" si="13"/>
        <v>323908074.90623212</v>
      </c>
      <c r="BB6" s="3">
        <f t="shared" ref="BB6:BB17" si="19">AZ6/Q6</f>
        <v>81.977018726558029</v>
      </c>
      <c r="BC6" s="2"/>
      <c r="BD6" s="3"/>
    </row>
    <row r="7" spans="1:56" x14ac:dyDescent="0.25">
      <c r="A7" s="1" t="s">
        <v>8</v>
      </c>
      <c r="B7" s="1" t="s">
        <v>1</v>
      </c>
      <c r="C7" s="3">
        <v>1.82</v>
      </c>
      <c r="D7" s="2">
        <v>208153</v>
      </c>
      <c r="E7" s="2">
        <v>20</v>
      </c>
      <c r="F7" s="2">
        <f t="shared" si="14"/>
        <v>4163060</v>
      </c>
      <c r="G7" s="2">
        <f t="shared" si="3"/>
        <v>4163060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f>SUM(G7:P7)</f>
        <v>4163060</v>
      </c>
      <c r="R7" s="2">
        <v>340032</v>
      </c>
      <c r="S7">
        <v>852</v>
      </c>
      <c r="T7">
        <f t="shared" si="8"/>
        <v>1765.4919786096257</v>
      </c>
      <c r="U7" s="1">
        <f t="shared" si="4"/>
        <v>0.17</v>
      </c>
      <c r="V7" s="2">
        <f t="shared" si="15"/>
        <v>57805.440000000002</v>
      </c>
      <c r="W7" s="2">
        <v>1710</v>
      </c>
      <c r="X7" s="2">
        <f t="shared" si="9"/>
        <v>988878334.87058818</v>
      </c>
      <c r="Y7" s="2">
        <f t="shared" si="5"/>
        <v>98887833.487058818</v>
      </c>
      <c r="Z7" s="2">
        <f t="shared" si="5"/>
        <v>96007605.32724157</v>
      </c>
      <c r="AA7" s="2">
        <f t="shared" si="5"/>
        <v>93211267.308001518</v>
      </c>
      <c r="AB7" s="2">
        <f t="shared" si="5"/>
        <v>90496376.027185947</v>
      </c>
      <c r="AC7" s="2">
        <f t="shared" si="5"/>
        <v>87860559.249695107</v>
      </c>
      <c r="AD7" s="2">
        <f t="shared" si="5"/>
        <v>85301513.834655449</v>
      </c>
      <c r="AE7" s="2">
        <f t="shared" si="5"/>
        <v>82817003.722966447</v>
      </c>
      <c r="AF7" s="2">
        <f t="shared" si="5"/>
        <v>80404857.983462572</v>
      </c>
      <c r="AG7" s="2">
        <f t="shared" si="5"/>
        <v>78062968.915983081</v>
      </c>
      <c r="AH7" s="2">
        <f t="shared" si="5"/>
        <v>75789290.209692314</v>
      </c>
      <c r="AI7" s="2">
        <f t="shared" si="10"/>
        <v>868839276.06594288</v>
      </c>
      <c r="AJ7" s="2">
        <v>116</v>
      </c>
      <c r="AK7" s="2">
        <v>10</v>
      </c>
      <c r="AL7" s="2">
        <f t="shared" si="16"/>
        <v>1160</v>
      </c>
      <c r="AM7" s="2">
        <f t="shared" si="17"/>
        <v>197.20000000000002</v>
      </c>
      <c r="AN7" s="2">
        <f t="shared" si="11"/>
        <v>1325532</v>
      </c>
      <c r="AO7" s="2">
        <f t="shared" si="12"/>
        <v>338872</v>
      </c>
      <c r="AP7" s="2">
        <f t="shared" si="6"/>
        <v>98755280.287058815</v>
      </c>
      <c r="AQ7" s="2">
        <f t="shared" si="6"/>
        <v>95878912.900057107</v>
      </c>
      <c r="AR7" s="2">
        <f t="shared" si="6"/>
        <v>93086323.203938931</v>
      </c>
      <c r="AS7" s="2">
        <f t="shared" si="6"/>
        <v>90375071.071785375</v>
      </c>
      <c r="AT7" s="2">
        <f t="shared" si="6"/>
        <v>87742787.44833532</v>
      </c>
      <c r="AU7" s="2">
        <f t="shared" si="6"/>
        <v>85187172.279937208</v>
      </c>
      <c r="AV7" s="2">
        <f t="shared" si="6"/>
        <v>82705992.504793406</v>
      </c>
      <c r="AW7" s="2">
        <f t="shared" si="6"/>
        <v>80297080.101741165</v>
      </c>
      <c r="AX7" s="2">
        <f t="shared" si="6"/>
        <v>77958330.195865214</v>
      </c>
      <c r="AY7" s="2">
        <f t="shared" si="6"/>
        <v>75687699.219286621</v>
      </c>
      <c r="AZ7" s="2">
        <f t="shared" si="18"/>
        <v>867674649.21279931</v>
      </c>
      <c r="BA7" s="2">
        <f t="shared" si="13"/>
        <v>863511589.21279931</v>
      </c>
      <c r="BB7" s="3">
        <f t="shared" si="19"/>
        <v>208.42232617661031</v>
      </c>
      <c r="BC7" s="2"/>
      <c r="BD7" s="3"/>
    </row>
    <row r="8" spans="1:56" x14ac:dyDescent="0.25">
      <c r="A8" s="1" t="s">
        <v>8</v>
      </c>
      <c r="B8" s="1" t="s">
        <v>1</v>
      </c>
      <c r="C8" s="3">
        <v>1.82</v>
      </c>
      <c r="D8" s="2">
        <v>208153</v>
      </c>
      <c r="E8" s="2">
        <v>50</v>
      </c>
      <c r="F8" s="2">
        <f t="shared" si="14"/>
        <v>10407650</v>
      </c>
      <c r="G8" s="2">
        <f t="shared" si="3"/>
        <v>10407650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f t="shared" si="7"/>
        <v>10407650</v>
      </c>
      <c r="R8" s="2">
        <v>340032</v>
      </c>
      <c r="S8">
        <v>852</v>
      </c>
      <c r="T8">
        <f t="shared" si="8"/>
        <v>1765.4919786096257</v>
      </c>
      <c r="U8" s="1">
        <f t="shared" si="4"/>
        <v>0.17</v>
      </c>
      <c r="V8" s="2">
        <f t="shared" si="15"/>
        <v>57805.440000000002</v>
      </c>
      <c r="W8" s="2">
        <v>1710</v>
      </c>
      <c r="X8" s="2">
        <f t="shared" si="9"/>
        <v>988878334.87058818</v>
      </c>
      <c r="Y8" s="2">
        <f t="shared" si="5"/>
        <v>98887833.487058818</v>
      </c>
      <c r="Z8" s="2">
        <f t="shared" si="5"/>
        <v>96007605.32724157</v>
      </c>
      <c r="AA8" s="2">
        <f t="shared" si="5"/>
        <v>93211267.308001518</v>
      </c>
      <c r="AB8" s="2">
        <f t="shared" si="5"/>
        <v>90496376.027185947</v>
      </c>
      <c r="AC8" s="2">
        <f t="shared" si="5"/>
        <v>87860559.249695107</v>
      </c>
      <c r="AD8" s="2">
        <f t="shared" si="5"/>
        <v>85301513.834655449</v>
      </c>
      <c r="AE8" s="2">
        <f t="shared" si="5"/>
        <v>82817003.722966447</v>
      </c>
      <c r="AF8" s="2">
        <f t="shared" si="5"/>
        <v>80404857.983462572</v>
      </c>
      <c r="AG8" s="2">
        <f t="shared" si="5"/>
        <v>78062968.915983081</v>
      </c>
      <c r="AH8" s="2">
        <f t="shared" si="5"/>
        <v>75789290.209692314</v>
      </c>
      <c r="AI8" s="2">
        <f t="shared" si="10"/>
        <v>868839276.06594288</v>
      </c>
      <c r="AJ8" s="2">
        <v>116</v>
      </c>
      <c r="AK8" s="2">
        <v>10</v>
      </c>
      <c r="AL8" s="2">
        <f t="shared" si="16"/>
        <v>1160</v>
      </c>
      <c r="AM8" s="2">
        <f t="shared" si="17"/>
        <v>197.20000000000002</v>
      </c>
      <c r="AN8" s="2">
        <f t="shared" si="11"/>
        <v>1325532</v>
      </c>
      <c r="AO8" s="2">
        <f t="shared" si="12"/>
        <v>338872</v>
      </c>
      <c r="AP8" s="2">
        <f t="shared" si="6"/>
        <v>98755280.287058815</v>
      </c>
      <c r="AQ8" s="2">
        <f t="shared" si="6"/>
        <v>95878912.900057107</v>
      </c>
      <c r="AR8" s="2">
        <f t="shared" si="6"/>
        <v>93086323.203938931</v>
      </c>
      <c r="AS8" s="2">
        <f t="shared" si="6"/>
        <v>90375071.071785375</v>
      </c>
      <c r="AT8" s="2">
        <f t="shared" si="6"/>
        <v>87742787.44833532</v>
      </c>
      <c r="AU8" s="2">
        <f t="shared" si="6"/>
        <v>85187172.279937208</v>
      </c>
      <c r="AV8" s="2">
        <f t="shared" si="6"/>
        <v>82705992.504793406</v>
      </c>
      <c r="AW8" s="2">
        <f t="shared" si="6"/>
        <v>80297080.101741165</v>
      </c>
      <c r="AX8" s="2">
        <f t="shared" si="6"/>
        <v>77958330.195865214</v>
      </c>
      <c r="AY8" s="2">
        <f t="shared" si="6"/>
        <v>75687699.219286621</v>
      </c>
      <c r="AZ8" s="2">
        <f t="shared" si="18"/>
        <v>867674649.21279931</v>
      </c>
      <c r="BA8" s="2">
        <f t="shared" si="13"/>
        <v>857266999.21279931</v>
      </c>
      <c r="BB8" s="3">
        <f t="shared" si="19"/>
        <v>83.368930470644116</v>
      </c>
      <c r="BC8" s="2"/>
      <c r="BD8" s="3"/>
    </row>
    <row r="9" spans="1:56" x14ac:dyDescent="0.25">
      <c r="A9" s="1" t="s">
        <v>8</v>
      </c>
      <c r="B9" s="1" t="s">
        <v>1</v>
      </c>
      <c r="C9" s="3">
        <v>2.13</v>
      </c>
      <c r="D9" s="2">
        <f>252561</f>
        <v>252561</v>
      </c>
      <c r="E9" s="2">
        <v>20</v>
      </c>
      <c r="F9" s="2">
        <f>D9*E9</f>
        <v>5051220</v>
      </c>
      <c r="G9" s="2">
        <f t="shared" si="3"/>
        <v>5051220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f t="shared" si="7"/>
        <v>5051220</v>
      </c>
      <c r="R9" s="2">
        <v>382074</v>
      </c>
      <c r="S9">
        <v>852</v>
      </c>
      <c r="T9">
        <f t="shared" si="8"/>
        <v>1765.4919786096257</v>
      </c>
      <c r="U9" s="1">
        <f t="shared" si="4"/>
        <v>0.17</v>
      </c>
      <c r="V9" s="2">
        <f>R9*U9</f>
        <v>64952.58</v>
      </c>
      <c r="W9" s="2">
        <v>1710</v>
      </c>
      <c r="X9" s="2">
        <f t="shared" si="9"/>
        <v>1111144542.0352941</v>
      </c>
      <c r="Y9" s="2">
        <f t="shared" si="5"/>
        <v>111114454.2035294</v>
      </c>
      <c r="Z9" s="2">
        <f t="shared" si="5"/>
        <v>107878110.87721302</v>
      </c>
      <c r="AA9" s="2">
        <f t="shared" si="5"/>
        <v>104736029.97787671</v>
      </c>
      <c r="AB9" s="2">
        <f t="shared" si="5"/>
        <v>101685465.99793856</v>
      </c>
      <c r="AC9" s="2">
        <f t="shared" si="5"/>
        <v>98723753.396056861</v>
      </c>
      <c r="AD9" s="2">
        <f t="shared" si="5"/>
        <v>95848304.268016368</v>
      </c>
      <c r="AE9" s="2">
        <f t="shared" si="5"/>
        <v>93056606.08545278</v>
      </c>
      <c r="AF9" s="2">
        <f t="shared" si="5"/>
        <v>90346219.500439584</v>
      </c>
      <c r="AG9" s="2">
        <f t="shared" si="5"/>
        <v>87714776.214019015</v>
      </c>
      <c r="AH9" s="2">
        <f t="shared" si="5"/>
        <v>85159976.90681459</v>
      </c>
      <c r="AI9" s="2">
        <f t="shared" si="10"/>
        <v>976263697.42735696</v>
      </c>
      <c r="AJ9" s="2">
        <v>116</v>
      </c>
      <c r="AK9" s="2">
        <v>10</v>
      </c>
      <c r="AL9" s="2">
        <f>AK9*AJ9</f>
        <v>1160</v>
      </c>
      <c r="AM9" s="2">
        <f>AL9*0.17</f>
        <v>197.20000000000002</v>
      </c>
      <c r="AN9" s="2">
        <f t="shared" si="11"/>
        <v>1325532</v>
      </c>
      <c r="AO9" s="2">
        <f t="shared" si="12"/>
        <v>380914</v>
      </c>
      <c r="AP9" s="2">
        <f t="shared" si="6"/>
        <v>110981901.0035294</v>
      </c>
      <c r="AQ9" s="2">
        <f t="shared" si="6"/>
        <v>107749418.45002854</v>
      </c>
      <c r="AR9" s="2">
        <f t="shared" si="6"/>
        <v>104611085.87381412</v>
      </c>
      <c r="AS9" s="2">
        <f t="shared" si="6"/>
        <v>101564161.04253799</v>
      </c>
      <c r="AT9" s="2">
        <f t="shared" si="6"/>
        <v>98605981.594697073</v>
      </c>
      <c r="AU9" s="2">
        <f t="shared" si="6"/>
        <v>95733962.713298142</v>
      </c>
      <c r="AV9" s="2">
        <f t="shared" si="6"/>
        <v>92945594.867279738</v>
      </c>
      <c r="AW9" s="2">
        <f t="shared" si="6"/>
        <v>90238441.618718192</v>
      </c>
      <c r="AX9" s="2">
        <f t="shared" si="6"/>
        <v>87610137.493901163</v>
      </c>
      <c r="AY9" s="2">
        <f t="shared" si="6"/>
        <v>85058385.916408896</v>
      </c>
      <c r="AZ9" s="2">
        <f t="shared" si="18"/>
        <v>975099070.57421327</v>
      </c>
      <c r="BA9" s="2">
        <f t="shared" si="13"/>
        <v>970047850.57421327</v>
      </c>
      <c r="BB9" s="3">
        <f t="shared" si="19"/>
        <v>193.04228890727651</v>
      </c>
      <c r="BC9" s="2"/>
      <c r="BD9" s="3"/>
    </row>
    <row r="10" spans="1:56" x14ac:dyDescent="0.25">
      <c r="A10" s="1" t="s">
        <v>8</v>
      </c>
      <c r="B10" s="1" t="s">
        <v>1</v>
      </c>
      <c r="C10" s="3">
        <v>2.13</v>
      </c>
      <c r="D10" s="2">
        <f>252561</f>
        <v>252561</v>
      </c>
      <c r="E10" s="2">
        <v>50</v>
      </c>
      <c r="F10" s="2">
        <f>D10*E10</f>
        <v>12628050</v>
      </c>
      <c r="G10" s="2">
        <f t="shared" si="3"/>
        <v>12628050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f t="shared" si="7"/>
        <v>12628050</v>
      </c>
      <c r="R10" s="2">
        <v>382074</v>
      </c>
      <c r="S10">
        <v>852</v>
      </c>
      <c r="T10">
        <f t="shared" si="8"/>
        <v>1765.4919786096257</v>
      </c>
      <c r="U10" s="1">
        <f t="shared" si="4"/>
        <v>0.17</v>
      </c>
      <c r="V10" s="2">
        <f>R10*U10</f>
        <v>64952.58</v>
      </c>
      <c r="W10" s="2">
        <v>1710</v>
      </c>
      <c r="X10" s="2">
        <f t="shared" si="9"/>
        <v>1111144542.0352941</v>
      </c>
      <c r="Y10" s="2">
        <f t="shared" si="5"/>
        <v>111114454.2035294</v>
      </c>
      <c r="Z10" s="2">
        <f t="shared" si="5"/>
        <v>107878110.87721302</v>
      </c>
      <c r="AA10" s="2">
        <f t="shared" si="5"/>
        <v>104736029.97787671</v>
      </c>
      <c r="AB10" s="2">
        <f t="shared" si="5"/>
        <v>101685465.99793856</v>
      </c>
      <c r="AC10" s="2">
        <f t="shared" si="5"/>
        <v>98723753.396056861</v>
      </c>
      <c r="AD10" s="2">
        <f t="shared" si="5"/>
        <v>95848304.268016368</v>
      </c>
      <c r="AE10" s="2">
        <f t="shared" si="5"/>
        <v>93056606.08545278</v>
      </c>
      <c r="AF10" s="2">
        <f t="shared" si="5"/>
        <v>90346219.500439584</v>
      </c>
      <c r="AG10" s="2">
        <f t="shared" si="5"/>
        <v>87714776.214019015</v>
      </c>
      <c r="AH10" s="2">
        <f t="shared" si="5"/>
        <v>85159976.90681459</v>
      </c>
      <c r="AI10" s="2">
        <f t="shared" si="10"/>
        <v>976263697.42735696</v>
      </c>
      <c r="AJ10" s="2">
        <v>116</v>
      </c>
      <c r="AK10" s="2">
        <v>10</v>
      </c>
      <c r="AL10" s="2">
        <f>AK10*AJ10</f>
        <v>1160</v>
      </c>
      <c r="AM10" s="2">
        <f>AL10*0.17</f>
        <v>197.20000000000002</v>
      </c>
      <c r="AN10" s="2">
        <f t="shared" si="11"/>
        <v>1325532</v>
      </c>
      <c r="AO10" s="2">
        <f t="shared" si="12"/>
        <v>380914</v>
      </c>
      <c r="AP10" s="2">
        <f t="shared" si="6"/>
        <v>110981901.0035294</v>
      </c>
      <c r="AQ10" s="2">
        <f t="shared" si="6"/>
        <v>107749418.45002854</v>
      </c>
      <c r="AR10" s="2">
        <f t="shared" si="6"/>
        <v>104611085.87381412</v>
      </c>
      <c r="AS10" s="2">
        <f t="shared" si="6"/>
        <v>101564161.04253799</v>
      </c>
      <c r="AT10" s="2">
        <f t="shared" si="6"/>
        <v>98605981.594697073</v>
      </c>
      <c r="AU10" s="2">
        <f t="shared" si="6"/>
        <v>95733962.713298142</v>
      </c>
      <c r="AV10" s="2">
        <f t="shared" si="6"/>
        <v>92945594.867279738</v>
      </c>
      <c r="AW10" s="2">
        <f t="shared" si="6"/>
        <v>90238441.618718192</v>
      </c>
      <c r="AX10" s="2">
        <f t="shared" si="6"/>
        <v>87610137.493901163</v>
      </c>
      <c r="AY10" s="2">
        <f t="shared" si="6"/>
        <v>85058385.916408896</v>
      </c>
      <c r="AZ10" s="2">
        <f t="shared" si="18"/>
        <v>975099070.57421327</v>
      </c>
      <c r="BA10" s="2">
        <f t="shared" si="13"/>
        <v>962471020.57421327</v>
      </c>
      <c r="BB10" s="3">
        <f t="shared" si="19"/>
        <v>77.2169155629106</v>
      </c>
      <c r="BC10" s="2"/>
      <c r="BD10" s="3"/>
    </row>
    <row r="11" spans="1:56" x14ac:dyDescent="0.25">
      <c r="A11" s="1" t="s">
        <v>9</v>
      </c>
      <c r="B11" s="1" t="s">
        <v>0</v>
      </c>
      <c r="C11" s="3">
        <v>0.92</v>
      </c>
      <c r="D11" s="2">
        <v>0</v>
      </c>
      <c r="E11" s="2"/>
      <c r="F11" s="2">
        <f>D11*E11</f>
        <v>0</v>
      </c>
      <c r="G11" s="2">
        <f t="shared" si="3"/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f t="shared" si="7"/>
        <v>0</v>
      </c>
      <c r="R11" s="2">
        <v>130</v>
      </c>
      <c r="S11">
        <v>852</v>
      </c>
      <c r="T11">
        <f t="shared" si="8"/>
        <v>1765.4919786096257</v>
      </c>
      <c r="U11" s="1">
        <f t="shared" si="4"/>
        <v>0.17</v>
      </c>
      <c r="V11" s="2">
        <f>R11*U11</f>
        <v>22.1</v>
      </c>
      <c r="W11" s="2">
        <v>1710</v>
      </c>
      <c r="X11" s="2">
        <f t="shared" si="9"/>
        <v>378064.95721925132</v>
      </c>
      <c r="Y11" s="2">
        <f t="shared" si="5"/>
        <v>37806.49572192513</v>
      </c>
      <c r="Z11" s="2">
        <f t="shared" si="5"/>
        <v>36705.335652354494</v>
      </c>
      <c r="AA11" s="2">
        <f t="shared" si="5"/>
        <v>35636.24820616941</v>
      </c>
      <c r="AB11" s="2">
        <f t="shared" si="5"/>
        <v>34598.299229290693</v>
      </c>
      <c r="AC11" s="2">
        <f t="shared" si="5"/>
        <v>33590.581776010382</v>
      </c>
      <c r="AD11" s="2">
        <f t="shared" si="5"/>
        <v>32612.215316514936</v>
      </c>
      <c r="AE11" s="2">
        <f t="shared" si="5"/>
        <v>31662.344967490229</v>
      </c>
      <c r="AF11" s="2">
        <f t="shared" si="5"/>
        <v>30740.140745136145</v>
      </c>
      <c r="AG11" s="2">
        <f t="shared" si="5"/>
        <v>29844.796839938004</v>
      </c>
      <c r="AH11" s="2">
        <f t="shared" si="5"/>
        <v>28975.530912561171</v>
      </c>
      <c r="AI11" s="2">
        <f t="shared" si="10"/>
        <v>332171.98936739058</v>
      </c>
      <c r="AJ11" s="2">
        <v>13</v>
      </c>
      <c r="AK11" s="2">
        <v>10</v>
      </c>
      <c r="AL11" s="2">
        <f>AK11*AJ11</f>
        <v>130</v>
      </c>
      <c r="AM11" s="2">
        <f>AL11*0.17</f>
        <v>22.1</v>
      </c>
      <c r="AN11" s="2">
        <f t="shared" si="11"/>
        <v>148551</v>
      </c>
      <c r="AO11" s="2">
        <f t="shared" si="12"/>
        <v>0</v>
      </c>
      <c r="AP11" s="2">
        <f t="shared" si="6"/>
        <v>22951.395721925132</v>
      </c>
      <c r="AQ11" s="2">
        <f t="shared" si="6"/>
        <v>22282.908467888479</v>
      </c>
      <c r="AR11" s="2">
        <f t="shared" si="6"/>
        <v>21633.891716396578</v>
      </c>
      <c r="AS11" s="2">
        <f t="shared" si="6"/>
        <v>21003.778365433573</v>
      </c>
      <c r="AT11" s="2">
        <f t="shared" si="6"/>
        <v>20392.017830518034</v>
      </c>
      <c r="AU11" s="2">
        <f t="shared" si="6"/>
        <v>19798.075563609742</v>
      </c>
      <c r="AV11" s="2">
        <f t="shared" si="6"/>
        <v>19221.432586028874</v>
      </c>
      <c r="AW11" s="2">
        <f t="shared" si="6"/>
        <v>18661.585034979489</v>
      </c>
      <c r="AX11" s="2">
        <f t="shared" si="6"/>
        <v>18118.043723281058</v>
      </c>
      <c r="AY11" s="2">
        <f t="shared" si="6"/>
        <v>17590.333711923358</v>
      </c>
      <c r="AZ11" s="2">
        <f t="shared" si="18"/>
        <v>201653.46272198431</v>
      </c>
      <c r="BA11" s="2">
        <f>AZ11-Q11</f>
        <v>201653.46272198431</v>
      </c>
      <c r="BB11" s="3" t="e">
        <f t="shared" si="19"/>
        <v>#DIV/0!</v>
      </c>
      <c r="BC11" s="2"/>
      <c r="BD11" s="3"/>
    </row>
    <row r="12" spans="1:56" x14ac:dyDescent="0.25">
      <c r="A12" s="1" t="s">
        <v>9</v>
      </c>
      <c r="B12" s="1" t="s">
        <v>0</v>
      </c>
      <c r="C12" s="3">
        <v>1.19</v>
      </c>
      <c r="D12" s="2">
        <f>80000</f>
        <v>80000</v>
      </c>
      <c r="E12" s="2">
        <v>20</v>
      </c>
      <c r="F12" s="2">
        <f>D12*E12</f>
        <v>1600000</v>
      </c>
      <c r="G12" s="2">
        <f t="shared" si="3"/>
        <v>1600000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f>SUM(G12:P12)</f>
        <v>1600000</v>
      </c>
      <c r="R12" s="2">
        <v>2200</v>
      </c>
      <c r="S12">
        <v>852</v>
      </c>
      <c r="T12">
        <f t="shared" si="8"/>
        <v>1765.4919786096257</v>
      </c>
      <c r="U12" s="1">
        <f>0.17</f>
        <v>0.17</v>
      </c>
      <c r="V12" s="2">
        <f>R12*U12</f>
        <v>374</v>
      </c>
      <c r="W12" s="2">
        <v>1710</v>
      </c>
      <c r="X12" s="2">
        <f t="shared" si="9"/>
        <v>6398022.3529411759</v>
      </c>
      <c r="Y12" s="2">
        <f t="shared" si="5"/>
        <v>639802.23529411759</v>
      </c>
      <c r="Z12" s="2">
        <f t="shared" si="5"/>
        <v>621167.21873215307</v>
      </c>
      <c r="AA12" s="2">
        <f t="shared" si="5"/>
        <v>603074.96964286698</v>
      </c>
      <c r="AB12" s="2">
        <f t="shared" si="5"/>
        <v>585509.67926491948</v>
      </c>
      <c r="AC12" s="2">
        <f t="shared" si="5"/>
        <v>568455.99928632961</v>
      </c>
      <c r="AD12" s="2">
        <f t="shared" si="5"/>
        <v>551899.02843332966</v>
      </c>
      <c r="AE12" s="2">
        <f t="shared" si="5"/>
        <v>535824.29944983462</v>
      </c>
      <c r="AF12" s="2">
        <f t="shared" si="5"/>
        <v>520217.7664561501</v>
      </c>
      <c r="AG12" s="2">
        <f t="shared" si="5"/>
        <v>505065.7926758739</v>
      </c>
      <c r="AH12" s="2">
        <f t="shared" si="5"/>
        <v>490355.13852026593</v>
      </c>
      <c r="AI12" s="2">
        <f t="shared" si="10"/>
        <v>5621372.1277558403</v>
      </c>
      <c r="AJ12" s="2">
        <v>145</v>
      </c>
      <c r="AK12" s="2">
        <v>10</v>
      </c>
      <c r="AL12" s="2">
        <f>AK12*AJ12</f>
        <v>1450</v>
      </c>
      <c r="AM12" s="2">
        <f>AL12*0.17</f>
        <v>246.50000000000003</v>
      </c>
      <c r="AN12" s="2">
        <f t="shared" si="11"/>
        <v>1656915</v>
      </c>
      <c r="AO12" s="2">
        <f t="shared" si="12"/>
        <v>750</v>
      </c>
      <c r="AP12" s="2">
        <f t="shared" si="6"/>
        <v>474110.73529411759</v>
      </c>
      <c r="AQ12" s="2">
        <f t="shared" si="6"/>
        <v>460301.68475157046</v>
      </c>
      <c r="AR12" s="2">
        <f t="shared" si="6"/>
        <v>446894.83956463152</v>
      </c>
      <c r="AS12" s="2">
        <f t="shared" si="6"/>
        <v>433878.48501420539</v>
      </c>
      <c r="AT12" s="2">
        <f t="shared" si="6"/>
        <v>421241.24758660718</v>
      </c>
      <c r="AU12" s="2">
        <f t="shared" si="6"/>
        <v>408972.08503554098</v>
      </c>
      <c r="AV12" s="2">
        <f t="shared" si="6"/>
        <v>397060.27673353493</v>
      </c>
      <c r="AW12" s="2">
        <f t="shared" si="6"/>
        <v>385495.41430440283</v>
      </c>
      <c r="AX12" s="2">
        <f t="shared" si="6"/>
        <v>374267.39252854645</v>
      </c>
      <c r="AY12" s="2">
        <f t="shared" si="6"/>
        <v>363366.40051315189</v>
      </c>
      <c r="AZ12" s="2">
        <f t="shared" si="18"/>
        <v>4165588.5613263091</v>
      </c>
      <c r="BA12" s="2">
        <f t="shared" si="13"/>
        <v>2565588.5613263091</v>
      </c>
      <c r="BB12" s="3">
        <f t="shared" si="19"/>
        <v>2.603492850828943</v>
      </c>
      <c r="BC12" s="2"/>
      <c r="BD12" s="3"/>
    </row>
    <row r="13" spans="1:56" x14ac:dyDescent="0.25">
      <c r="A13" s="1" t="s">
        <v>9</v>
      </c>
      <c r="B13" s="1" t="s">
        <v>0</v>
      </c>
      <c r="C13" s="3">
        <v>1.19</v>
      </c>
      <c r="D13" s="2">
        <f>80000</f>
        <v>80000</v>
      </c>
      <c r="E13" s="2">
        <v>50</v>
      </c>
      <c r="F13" s="2">
        <f t="shared" ref="F13:F15" si="20">D13*E13</f>
        <v>4000000</v>
      </c>
      <c r="G13" s="2">
        <f t="shared" si="3"/>
        <v>4000000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f t="shared" si="7"/>
        <v>4000000</v>
      </c>
      <c r="R13" s="2">
        <v>2200</v>
      </c>
      <c r="S13">
        <v>852</v>
      </c>
      <c r="T13">
        <f t="shared" si="8"/>
        <v>1765.4919786096257</v>
      </c>
      <c r="U13" s="1">
        <f t="shared" si="4"/>
        <v>0.17</v>
      </c>
      <c r="V13" s="2">
        <f t="shared" ref="V13:V15" si="21">R13*U13</f>
        <v>374</v>
      </c>
      <c r="W13" s="2">
        <v>1710</v>
      </c>
      <c r="X13" s="2">
        <f t="shared" si="9"/>
        <v>6398022.3529411759</v>
      </c>
      <c r="Y13" s="2">
        <f t="shared" si="5"/>
        <v>639802.23529411759</v>
      </c>
      <c r="Z13" s="2">
        <f t="shared" si="5"/>
        <v>621167.21873215307</v>
      </c>
      <c r="AA13" s="2">
        <f t="shared" si="5"/>
        <v>603074.96964286698</v>
      </c>
      <c r="AB13" s="2">
        <f t="shared" si="5"/>
        <v>585509.67926491948</v>
      </c>
      <c r="AC13" s="2">
        <f t="shared" si="5"/>
        <v>568455.99928632961</v>
      </c>
      <c r="AD13" s="2">
        <f t="shared" si="5"/>
        <v>551899.02843332966</v>
      </c>
      <c r="AE13" s="2">
        <f t="shared" si="5"/>
        <v>535824.29944983462</v>
      </c>
      <c r="AF13" s="2">
        <f t="shared" si="5"/>
        <v>520217.7664561501</v>
      </c>
      <c r="AG13" s="2">
        <f t="shared" si="5"/>
        <v>505065.7926758739</v>
      </c>
      <c r="AH13" s="2">
        <f t="shared" si="5"/>
        <v>490355.13852026593</v>
      </c>
      <c r="AI13" s="2">
        <f t="shared" si="10"/>
        <v>5621372.1277558403</v>
      </c>
      <c r="AJ13" s="2">
        <v>145</v>
      </c>
      <c r="AK13" s="2">
        <v>10</v>
      </c>
      <c r="AL13" s="2">
        <f t="shared" ref="AL13:AL15" si="22">AK13*AJ13</f>
        <v>1450</v>
      </c>
      <c r="AM13" s="2">
        <f t="shared" ref="AM13:AM15" si="23">AL13*0.17</f>
        <v>246.50000000000003</v>
      </c>
      <c r="AN13" s="2">
        <f t="shared" si="11"/>
        <v>1656915</v>
      </c>
      <c r="AO13" s="2">
        <f t="shared" si="12"/>
        <v>750</v>
      </c>
      <c r="AP13" s="2">
        <f t="shared" si="6"/>
        <v>474110.73529411759</v>
      </c>
      <c r="AQ13" s="2">
        <f t="shared" si="6"/>
        <v>460301.68475157046</v>
      </c>
      <c r="AR13" s="2">
        <f t="shared" si="6"/>
        <v>446894.83956463152</v>
      </c>
      <c r="AS13" s="2">
        <f t="shared" si="6"/>
        <v>433878.48501420539</v>
      </c>
      <c r="AT13" s="2">
        <f t="shared" si="6"/>
        <v>421241.24758660718</v>
      </c>
      <c r="AU13" s="2">
        <f t="shared" si="6"/>
        <v>408972.08503554098</v>
      </c>
      <c r="AV13" s="2">
        <f t="shared" si="6"/>
        <v>397060.27673353493</v>
      </c>
      <c r="AW13" s="2">
        <f t="shared" si="6"/>
        <v>385495.41430440283</v>
      </c>
      <c r="AX13" s="2">
        <f t="shared" si="6"/>
        <v>374267.39252854645</v>
      </c>
      <c r="AY13" s="2">
        <f t="shared" si="6"/>
        <v>363366.40051315189</v>
      </c>
      <c r="AZ13" s="2">
        <f t="shared" si="18"/>
        <v>4165588.5613263091</v>
      </c>
      <c r="BA13" s="2">
        <f t="shared" si="13"/>
        <v>165588.56132630911</v>
      </c>
      <c r="BB13" s="3">
        <f t="shared" si="19"/>
        <v>1.0413971403315774</v>
      </c>
      <c r="BC13" s="2"/>
      <c r="BD13" s="3"/>
    </row>
    <row r="14" spans="1:56" x14ac:dyDescent="0.25">
      <c r="A14" s="1" t="s">
        <v>8</v>
      </c>
      <c r="B14" s="1" t="s">
        <v>1</v>
      </c>
      <c r="C14" s="3">
        <v>1.82</v>
      </c>
      <c r="D14" s="2">
        <v>208153</v>
      </c>
      <c r="E14" s="2">
        <v>20</v>
      </c>
      <c r="F14" s="2">
        <f t="shared" si="20"/>
        <v>4163060</v>
      </c>
      <c r="G14" s="2">
        <f t="shared" si="3"/>
        <v>4163060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f t="shared" si="7"/>
        <v>4163060</v>
      </c>
      <c r="R14" s="2">
        <v>2200</v>
      </c>
      <c r="S14">
        <v>852</v>
      </c>
      <c r="T14">
        <f t="shared" si="8"/>
        <v>1765.4919786096257</v>
      </c>
      <c r="U14" s="1">
        <f t="shared" si="4"/>
        <v>0.17</v>
      </c>
      <c r="V14" s="2">
        <f t="shared" si="21"/>
        <v>374</v>
      </c>
      <c r="W14" s="2">
        <v>1710</v>
      </c>
      <c r="X14" s="2">
        <f t="shared" si="9"/>
        <v>6398022.3529411759</v>
      </c>
      <c r="Y14" s="2">
        <f t="shared" si="5"/>
        <v>639802.23529411759</v>
      </c>
      <c r="Z14" s="2">
        <f t="shared" si="5"/>
        <v>621167.21873215307</v>
      </c>
      <c r="AA14" s="2">
        <f t="shared" si="5"/>
        <v>603074.96964286698</v>
      </c>
      <c r="AB14" s="2">
        <f t="shared" si="5"/>
        <v>585509.67926491948</v>
      </c>
      <c r="AC14" s="2">
        <f t="shared" si="5"/>
        <v>568455.99928632961</v>
      </c>
      <c r="AD14" s="2">
        <f t="shared" si="5"/>
        <v>551899.02843332966</v>
      </c>
      <c r="AE14" s="2">
        <f t="shared" si="5"/>
        <v>535824.29944983462</v>
      </c>
      <c r="AF14" s="2">
        <f t="shared" si="5"/>
        <v>520217.7664561501</v>
      </c>
      <c r="AG14" s="2">
        <f t="shared" si="5"/>
        <v>505065.7926758739</v>
      </c>
      <c r="AH14" s="2">
        <f t="shared" si="5"/>
        <v>490355.13852026593</v>
      </c>
      <c r="AI14" s="2">
        <f t="shared" si="10"/>
        <v>5621372.1277558403</v>
      </c>
      <c r="AJ14" s="2">
        <v>116</v>
      </c>
      <c r="AK14" s="2">
        <v>10</v>
      </c>
      <c r="AL14" s="2">
        <f t="shared" si="22"/>
        <v>1160</v>
      </c>
      <c r="AM14" s="2">
        <f t="shared" si="23"/>
        <v>197.20000000000002</v>
      </c>
      <c r="AN14" s="2">
        <f t="shared" si="11"/>
        <v>1325532</v>
      </c>
      <c r="AO14" s="2">
        <f t="shared" si="12"/>
        <v>1040</v>
      </c>
      <c r="AP14" s="2">
        <f t="shared" si="6"/>
        <v>507249.03529411758</v>
      </c>
      <c r="AQ14" s="2">
        <f t="shared" si="6"/>
        <v>492474.79154768697</v>
      </c>
      <c r="AR14" s="2">
        <f t="shared" si="6"/>
        <v>478130.86558027862</v>
      </c>
      <c r="AS14" s="2">
        <f t="shared" si="6"/>
        <v>464204.7238643482</v>
      </c>
      <c r="AT14" s="2">
        <f t="shared" si="6"/>
        <v>450684.19792655169</v>
      </c>
      <c r="AU14" s="2">
        <f t="shared" si="6"/>
        <v>437557.47371509875</v>
      </c>
      <c r="AV14" s="2">
        <f t="shared" si="6"/>
        <v>424813.08127679484</v>
      </c>
      <c r="AW14" s="2">
        <f t="shared" si="6"/>
        <v>412439.88473475224</v>
      </c>
      <c r="AX14" s="2">
        <f t="shared" si="6"/>
        <v>400427.07255801192</v>
      </c>
      <c r="AY14" s="2">
        <f t="shared" si="6"/>
        <v>388764.14811457467</v>
      </c>
      <c r="AZ14" s="2">
        <f t="shared" si="18"/>
        <v>4456745.2746122153</v>
      </c>
      <c r="BA14" s="2">
        <f t="shared" si="13"/>
        <v>293685.27461221535</v>
      </c>
      <c r="BB14" s="3">
        <f t="shared" si="19"/>
        <v>1.0705455301178017</v>
      </c>
      <c r="BC14" s="2"/>
      <c r="BD14" s="3"/>
    </row>
    <row r="15" spans="1:56" x14ac:dyDescent="0.25">
      <c r="A15" s="1" t="s">
        <v>8</v>
      </c>
      <c r="B15" s="1" t="s">
        <v>1</v>
      </c>
      <c r="C15" s="3">
        <v>1.82</v>
      </c>
      <c r="D15" s="2">
        <v>208153</v>
      </c>
      <c r="E15" s="2">
        <v>50</v>
      </c>
      <c r="F15" s="2">
        <f t="shared" si="20"/>
        <v>10407650</v>
      </c>
      <c r="G15" s="2">
        <f t="shared" si="3"/>
        <v>10407650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f t="shared" si="7"/>
        <v>10407650</v>
      </c>
      <c r="R15" s="2">
        <v>2200</v>
      </c>
      <c r="S15">
        <v>852</v>
      </c>
      <c r="T15">
        <f t="shared" si="8"/>
        <v>1765.4919786096257</v>
      </c>
      <c r="U15" s="1">
        <f t="shared" si="4"/>
        <v>0.17</v>
      </c>
      <c r="V15" s="2">
        <f t="shared" si="21"/>
        <v>374</v>
      </c>
      <c r="W15" s="2">
        <v>1710</v>
      </c>
      <c r="X15" s="2">
        <f t="shared" si="9"/>
        <v>6398022.3529411759</v>
      </c>
      <c r="Y15" s="2">
        <f t="shared" si="5"/>
        <v>639802.23529411759</v>
      </c>
      <c r="Z15" s="2">
        <f t="shared" si="5"/>
        <v>621167.21873215307</v>
      </c>
      <c r="AA15" s="2">
        <f t="shared" si="5"/>
        <v>603074.96964286698</v>
      </c>
      <c r="AB15" s="2">
        <f t="shared" si="5"/>
        <v>585509.67926491948</v>
      </c>
      <c r="AC15" s="2">
        <f t="shared" si="5"/>
        <v>568455.99928632961</v>
      </c>
      <c r="AD15" s="2">
        <f t="shared" si="5"/>
        <v>551899.02843332966</v>
      </c>
      <c r="AE15" s="2">
        <f t="shared" si="5"/>
        <v>535824.29944983462</v>
      </c>
      <c r="AF15" s="2">
        <f t="shared" si="5"/>
        <v>520217.7664561501</v>
      </c>
      <c r="AG15" s="2">
        <f t="shared" si="5"/>
        <v>505065.7926758739</v>
      </c>
      <c r="AH15" s="2">
        <f t="shared" si="5"/>
        <v>490355.13852026593</v>
      </c>
      <c r="AI15" s="2">
        <f t="shared" si="10"/>
        <v>5621372.1277558403</v>
      </c>
      <c r="AJ15" s="2">
        <v>116</v>
      </c>
      <c r="AK15" s="2">
        <v>10</v>
      </c>
      <c r="AL15" s="2">
        <f t="shared" si="22"/>
        <v>1160</v>
      </c>
      <c r="AM15" s="2">
        <f t="shared" si="23"/>
        <v>197.20000000000002</v>
      </c>
      <c r="AN15" s="2">
        <f t="shared" si="11"/>
        <v>1325532</v>
      </c>
      <c r="AO15" s="2">
        <f t="shared" si="12"/>
        <v>1040</v>
      </c>
      <c r="AP15" s="2">
        <f t="shared" si="6"/>
        <v>507249.03529411758</v>
      </c>
      <c r="AQ15" s="2">
        <f t="shared" si="6"/>
        <v>492474.79154768697</v>
      </c>
      <c r="AR15" s="2">
        <f t="shared" si="6"/>
        <v>478130.86558027862</v>
      </c>
      <c r="AS15" s="2">
        <f t="shared" si="6"/>
        <v>464204.7238643482</v>
      </c>
      <c r="AT15" s="2">
        <f t="shared" si="6"/>
        <v>450684.19792655169</v>
      </c>
      <c r="AU15" s="2">
        <f t="shared" si="6"/>
        <v>437557.47371509875</v>
      </c>
      <c r="AV15" s="2">
        <f t="shared" si="6"/>
        <v>424813.08127679484</v>
      </c>
      <c r="AW15" s="2">
        <f t="shared" si="6"/>
        <v>412439.88473475224</v>
      </c>
      <c r="AX15" s="2">
        <f t="shared" si="6"/>
        <v>400427.07255801192</v>
      </c>
      <c r="AY15" s="2">
        <f t="shared" si="6"/>
        <v>388764.14811457467</v>
      </c>
      <c r="AZ15" s="2">
        <f t="shared" si="18"/>
        <v>4456745.2746122153</v>
      </c>
      <c r="BA15" s="2">
        <f t="shared" si="13"/>
        <v>-5950904.7253877847</v>
      </c>
      <c r="BB15" s="3">
        <f t="shared" si="19"/>
        <v>0.42821821204712068</v>
      </c>
      <c r="BC15" s="2"/>
      <c r="BD15" s="3"/>
    </row>
    <row r="16" spans="1:56" x14ac:dyDescent="0.25">
      <c r="A16" s="1" t="s">
        <v>8</v>
      </c>
      <c r="B16" s="1" t="s">
        <v>1</v>
      </c>
      <c r="C16" s="3">
        <v>2.13</v>
      </c>
      <c r="D16" s="2">
        <f>252561</f>
        <v>252561</v>
      </c>
      <c r="E16" s="2">
        <v>20</v>
      </c>
      <c r="F16" s="2">
        <f>D16*E16</f>
        <v>5051220</v>
      </c>
      <c r="G16" s="2">
        <f t="shared" si="3"/>
        <v>5051220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f t="shared" si="7"/>
        <v>5051220</v>
      </c>
      <c r="R16" s="2">
        <v>2200</v>
      </c>
      <c r="S16">
        <v>852</v>
      </c>
      <c r="T16">
        <f t="shared" si="8"/>
        <v>1765.4919786096257</v>
      </c>
      <c r="U16" s="1">
        <f t="shared" si="4"/>
        <v>0.17</v>
      </c>
      <c r="V16" s="2">
        <f>R16*U16</f>
        <v>374</v>
      </c>
      <c r="W16" s="2">
        <v>1710</v>
      </c>
      <c r="X16" s="2">
        <f t="shared" si="9"/>
        <v>6398022.3529411759</v>
      </c>
      <c r="Y16" s="2">
        <f t="shared" si="5"/>
        <v>639802.23529411759</v>
      </c>
      <c r="Z16" s="2">
        <f t="shared" si="5"/>
        <v>621167.21873215307</v>
      </c>
      <c r="AA16" s="2">
        <f t="shared" si="5"/>
        <v>603074.96964286698</v>
      </c>
      <c r="AB16" s="2">
        <f t="shared" si="5"/>
        <v>585509.67926491948</v>
      </c>
      <c r="AC16" s="2">
        <f t="shared" si="5"/>
        <v>568455.99928632961</v>
      </c>
      <c r="AD16" s="2">
        <f t="shared" si="5"/>
        <v>551899.02843332966</v>
      </c>
      <c r="AE16" s="2">
        <f t="shared" si="5"/>
        <v>535824.29944983462</v>
      </c>
      <c r="AF16" s="2">
        <f t="shared" si="5"/>
        <v>520217.7664561501</v>
      </c>
      <c r="AG16" s="2">
        <f t="shared" si="5"/>
        <v>505065.7926758739</v>
      </c>
      <c r="AH16" s="2">
        <f t="shared" si="5"/>
        <v>490355.13852026593</v>
      </c>
      <c r="AI16" s="2">
        <f t="shared" si="10"/>
        <v>5621372.1277558403</v>
      </c>
      <c r="AJ16" s="2">
        <v>116</v>
      </c>
      <c r="AK16" s="2">
        <v>10</v>
      </c>
      <c r="AL16" s="2">
        <f>AK16*AJ16</f>
        <v>1160</v>
      </c>
      <c r="AM16" s="2">
        <f>AL16*0.17</f>
        <v>197.20000000000002</v>
      </c>
      <c r="AN16" s="2">
        <f t="shared" si="11"/>
        <v>1325532</v>
      </c>
      <c r="AO16" s="2">
        <f t="shared" si="12"/>
        <v>1040</v>
      </c>
      <c r="AP16" s="2">
        <f t="shared" si="6"/>
        <v>507249.03529411758</v>
      </c>
      <c r="AQ16" s="2">
        <f t="shared" si="6"/>
        <v>492474.79154768697</v>
      </c>
      <c r="AR16" s="2">
        <f t="shared" si="6"/>
        <v>478130.86558027862</v>
      </c>
      <c r="AS16" s="2">
        <f t="shared" si="6"/>
        <v>464204.7238643482</v>
      </c>
      <c r="AT16" s="2">
        <f t="shared" si="6"/>
        <v>450684.19792655169</v>
      </c>
      <c r="AU16" s="2">
        <f t="shared" si="6"/>
        <v>437557.47371509875</v>
      </c>
      <c r="AV16" s="2">
        <f t="shared" si="6"/>
        <v>424813.08127679484</v>
      </c>
      <c r="AW16" s="2">
        <f t="shared" si="6"/>
        <v>412439.88473475224</v>
      </c>
      <c r="AX16" s="2">
        <f t="shared" si="6"/>
        <v>400427.07255801192</v>
      </c>
      <c r="AY16" s="2">
        <f t="shared" si="6"/>
        <v>388764.14811457467</v>
      </c>
      <c r="AZ16" s="2">
        <f t="shared" si="18"/>
        <v>4456745.2746122153</v>
      </c>
      <c r="BA16" s="2">
        <f t="shared" si="13"/>
        <v>-594474.72538778465</v>
      </c>
      <c r="BB16" s="3">
        <f t="shared" si="19"/>
        <v>0.88231066447555551</v>
      </c>
      <c r="BC16" s="2"/>
      <c r="BD16" s="3"/>
    </row>
    <row r="17" spans="1:56" x14ac:dyDescent="0.25">
      <c r="A17" s="1" t="s">
        <v>8</v>
      </c>
      <c r="B17" s="1" t="s">
        <v>1</v>
      </c>
      <c r="C17" s="3">
        <v>2.13</v>
      </c>
      <c r="D17" s="2">
        <f>252561</f>
        <v>252561</v>
      </c>
      <c r="E17" s="2">
        <v>50</v>
      </c>
      <c r="F17" s="2">
        <f>D17*E17</f>
        <v>12628050</v>
      </c>
      <c r="G17" s="2">
        <f t="shared" si="3"/>
        <v>12628050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f t="shared" si="7"/>
        <v>12628050</v>
      </c>
      <c r="R17" s="2">
        <v>2200</v>
      </c>
      <c r="S17">
        <v>852</v>
      </c>
      <c r="T17">
        <f t="shared" si="8"/>
        <v>1765.4919786096257</v>
      </c>
      <c r="U17" s="1">
        <f t="shared" si="4"/>
        <v>0.17</v>
      </c>
      <c r="V17" s="2">
        <f>R17*U17</f>
        <v>374</v>
      </c>
      <c r="W17" s="2">
        <v>1710</v>
      </c>
      <c r="X17" s="2">
        <f t="shared" si="9"/>
        <v>6398022.3529411759</v>
      </c>
      <c r="Y17" s="2">
        <f t="shared" si="5"/>
        <v>639802.23529411759</v>
      </c>
      <c r="Z17" s="2">
        <f t="shared" si="5"/>
        <v>621167.21873215307</v>
      </c>
      <c r="AA17" s="2">
        <f t="shared" si="5"/>
        <v>603074.96964286698</v>
      </c>
      <c r="AB17" s="2">
        <f t="shared" si="5"/>
        <v>585509.67926491948</v>
      </c>
      <c r="AC17" s="2">
        <f t="shared" si="5"/>
        <v>568455.99928632961</v>
      </c>
      <c r="AD17" s="2">
        <f t="shared" si="5"/>
        <v>551899.02843332966</v>
      </c>
      <c r="AE17" s="2">
        <f t="shared" si="5"/>
        <v>535824.29944983462</v>
      </c>
      <c r="AF17" s="2">
        <f t="shared" si="5"/>
        <v>520217.7664561501</v>
      </c>
      <c r="AG17" s="2">
        <f t="shared" si="5"/>
        <v>505065.7926758739</v>
      </c>
      <c r="AH17" s="2">
        <f t="shared" si="5"/>
        <v>490355.13852026593</v>
      </c>
      <c r="AI17" s="2">
        <f t="shared" si="10"/>
        <v>5621372.1277558403</v>
      </c>
      <c r="AJ17" s="2">
        <v>116</v>
      </c>
      <c r="AK17" s="2">
        <v>10</v>
      </c>
      <c r="AL17" s="2">
        <f>AK17*AJ17</f>
        <v>1160</v>
      </c>
      <c r="AM17" s="2">
        <f>AL17*0.17</f>
        <v>197.20000000000002</v>
      </c>
      <c r="AN17" s="2">
        <f t="shared" si="11"/>
        <v>1325532</v>
      </c>
      <c r="AO17" s="2">
        <f t="shared" si="12"/>
        <v>1040</v>
      </c>
      <c r="AP17" s="2">
        <f t="shared" si="6"/>
        <v>507249.03529411758</v>
      </c>
      <c r="AQ17" s="2">
        <f t="shared" si="6"/>
        <v>492474.79154768697</v>
      </c>
      <c r="AR17" s="2">
        <f t="shared" si="6"/>
        <v>478130.86558027862</v>
      </c>
      <c r="AS17" s="2">
        <f t="shared" si="6"/>
        <v>464204.7238643482</v>
      </c>
      <c r="AT17" s="2">
        <f t="shared" si="6"/>
        <v>450684.19792655169</v>
      </c>
      <c r="AU17" s="2">
        <f t="shared" si="6"/>
        <v>437557.47371509875</v>
      </c>
      <c r="AV17" s="2">
        <f t="shared" si="6"/>
        <v>424813.08127679484</v>
      </c>
      <c r="AW17" s="2">
        <f t="shared" si="6"/>
        <v>412439.88473475224</v>
      </c>
      <c r="AX17" s="2">
        <f t="shared" si="6"/>
        <v>400427.07255801192</v>
      </c>
      <c r="AY17" s="2">
        <f t="shared" si="6"/>
        <v>388764.14811457467</v>
      </c>
      <c r="AZ17" s="2">
        <f t="shared" si="18"/>
        <v>4456745.2746122153</v>
      </c>
      <c r="BA17" s="2">
        <f t="shared" si="13"/>
        <v>-8171304.7253877847</v>
      </c>
      <c r="BB17" s="3">
        <f t="shared" si="19"/>
        <v>0.35292426579022218</v>
      </c>
      <c r="BC17" s="2"/>
      <c r="BD17" s="3"/>
    </row>
    <row r="18" spans="1:56" x14ac:dyDescent="0.25">
      <c r="A18" s="1"/>
      <c r="B18" s="1"/>
      <c r="C18" s="3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U18" s="1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3"/>
      <c r="BC18" s="2"/>
      <c r="BD18" s="3"/>
    </row>
    <row r="19" spans="1:56" x14ac:dyDescent="0.25">
      <c r="A19" s="1"/>
      <c r="B19" s="1"/>
      <c r="C19" s="3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U19" s="1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3"/>
    </row>
    <row r="20" spans="1:56" x14ac:dyDescent="0.25">
      <c r="A20" s="1"/>
      <c r="B20" s="1"/>
      <c r="C20" s="3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U20" s="1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3"/>
    </row>
    <row r="21" spans="1:56" x14ac:dyDescent="0.25">
      <c r="A21" s="1"/>
      <c r="B21" s="1"/>
      <c r="C21" s="3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U21" s="1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3"/>
    </row>
    <row r="22" spans="1:56" x14ac:dyDescent="0.25">
      <c r="A22" s="1"/>
      <c r="B22" s="1"/>
      <c r="C22" s="3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U22" s="1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3"/>
    </row>
    <row r="23" spans="1:56" x14ac:dyDescent="0.25">
      <c r="A23" s="1"/>
      <c r="B23" s="1"/>
      <c r="C23" s="3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U23" s="1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3"/>
    </row>
    <row r="24" spans="1:56" x14ac:dyDescent="0.25">
      <c r="A24" s="1"/>
      <c r="B24" s="1"/>
      <c r="C24" s="3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U24" s="1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3"/>
    </row>
    <row r="25" spans="1:56" x14ac:dyDescent="0.25">
      <c r="A25" s="1"/>
      <c r="B25" s="1"/>
      <c r="C25" s="3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U25" s="1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3"/>
    </row>
    <row r="26" spans="1:56" x14ac:dyDescent="0.25">
      <c r="A26" s="1"/>
      <c r="B26" s="1"/>
      <c r="C26" s="3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U26" s="1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3"/>
    </row>
    <row r="27" spans="1:56" x14ac:dyDescent="0.25">
      <c r="A27" s="1"/>
      <c r="B27" s="1"/>
      <c r="C27" s="3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U27" s="1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3"/>
    </row>
    <row r="28" spans="1:56" x14ac:dyDescent="0.25">
      <c r="A28" s="1"/>
      <c r="B28" s="1"/>
      <c r="C28" s="3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U28" s="1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3"/>
    </row>
    <row r="29" spans="1:56" x14ac:dyDescent="0.25">
      <c r="A29" s="1"/>
      <c r="B29" s="1"/>
      <c r="C29" s="3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U29" s="1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3"/>
    </row>
    <row r="30" spans="1:56" x14ac:dyDescent="0.25">
      <c r="A30" s="1"/>
      <c r="B30" s="1"/>
      <c r="C30" s="3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U30" s="1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3"/>
    </row>
    <row r="31" spans="1:56" x14ac:dyDescent="0.25">
      <c r="A31" s="1"/>
      <c r="B31" s="1"/>
      <c r="C31" s="3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U31" s="1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3"/>
    </row>
    <row r="32" spans="1:56" x14ac:dyDescent="0.25">
      <c r="A32" s="1"/>
      <c r="B32" s="1"/>
      <c r="C32" s="3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U32" s="1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3"/>
    </row>
    <row r="33" spans="1:54" x14ac:dyDescent="0.25">
      <c r="A33" s="1"/>
      <c r="B33" s="1"/>
      <c r="C33" s="3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U33" s="1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3"/>
    </row>
    <row r="34" spans="1:54" x14ac:dyDescent="0.25">
      <c r="A34" s="1"/>
      <c r="B34" s="1"/>
      <c r="C34" s="3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U34" s="1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3"/>
    </row>
    <row r="35" spans="1:54" x14ac:dyDescent="0.25">
      <c r="A35" s="1"/>
      <c r="B35" s="1"/>
      <c r="C35" s="3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U35" s="1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3"/>
    </row>
    <row r="36" spans="1:54" x14ac:dyDescent="0.25">
      <c r="A36" s="1"/>
      <c r="B36" s="1"/>
      <c r="C36" s="3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U36" s="1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3"/>
    </row>
    <row r="37" spans="1:54" x14ac:dyDescent="0.25">
      <c r="A37" s="1"/>
      <c r="B37" s="1"/>
      <c r="C37" s="3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U37" s="1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3"/>
    </row>
    <row r="38" spans="1:54" x14ac:dyDescent="0.25">
      <c r="A38" s="1"/>
      <c r="B38" s="1"/>
      <c r="C38" s="3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U38" s="1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3"/>
    </row>
    <row r="39" spans="1:54" x14ac:dyDescent="0.25">
      <c r="A39" s="1"/>
      <c r="B39" s="1"/>
      <c r="C39" s="3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U39" s="1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3"/>
    </row>
    <row r="40" spans="1:54" x14ac:dyDescent="0.25">
      <c r="A40" s="1"/>
      <c r="B40" s="1"/>
      <c r="C40" s="3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U40" s="1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3"/>
    </row>
    <row r="41" spans="1:54" x14ac:dyDescent="0.25">
      <c r="A41" s="1"/>
      <c r="B41" s="1"/>
      <c r="C41" s="3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U41" s="1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3"/>
    </row>
    <row r="42" spans="1:54" x14ac:dyDescent="0.25">
      <c r="A42" s="1"/>
      <c r="B42" s="1"/>
      <c r="C42" s="3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U42" s="1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3"/>
    </row>
    <row r="43" spans="1:54" x14ac:dyDescent="0.25">
      <c r="A43" s="1"/>
      <c r="B43" s="1"/>
      <c r="C43" s="3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U43" s="1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3"/>
    </row>
    <row r="44" spans="1:54" x14ac:dyDescent="0.25">
      <c r="A44" s="1"/>
      <c r="B44" s="1"/>
      <c r="C44" s="3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U44" s="1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3"/>
    </row>
    <row r="45" spans="1:54" x14ac:dyDescent="0.25">
      <c r="A45" s="1"/>
      <c r="B45" s="1"/>
      <c r="C45" s="3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U45" s="1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3"/>
    </row>
    <row r="46" spans="1:54" x14ac:dyDescent="0.25">
      <c r="A46" s="1"/>
      <c r="B46" s="1"/>
      <c r="C46" s="3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U46" s="1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3"/>
    </row>
    <row r="47" spans="1:54" x14ac:dyDescent="0.25">
      <c r="A47" s="1"/>
      <c r="B47" s="1"/>
      <c r="C47" s="3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U47" s="1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3"/>
    </row>
    <row r="48" spans="1:54" x14ac:dyDescent="0.25">
      <c r="A48" s="1"/>
      <c r="B48" s="1"/>
      <c r="C48" s="3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U48" s="1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3"/>
    </row>
    <row r="49" spans="1:54" x14ac:dyDescent="0.25">
      <c r="A49" s="1"/>
      <c r="B49" s="1"/>
      <c r="C49" s="3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U49" s="1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3"/>
    </row>
    <row r="50" spans="1:54" x14ac:dyDescent="0.25">
      <c r="A50" s="1"/>
      <c r="B50" s="1"/>
      <c r="C50" s="3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U50" s="1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3"/>
    </row>
    <row r="51" spans="1:54" x14ac:dyDescent="0.25">
      <c r="A51" s="1"/>
      <c r="B51" s="1"/>
      <c r="C51" s="3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U51" s="1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3"/>
    </row>
    <row r="52" spans="1:54" x14ac:dyDescent="0.25">
      <c r="A52" s="1"/>
      <c r="B52" s="1"/>
      <c r="C52" s="3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U52" s="1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3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F1" sqref="F1"/>
    </sheetView>
  </sheetViews>
  <sheetFormatPr defaultRowHeight="15" x14ac:dyDescent="0.25"/>
  <cols>
    <col min="1" max="1" width="19.42578125" bestFit="1" customWidth="1"/>
  </cols>
  <sheetData>
    <row r="1" spans="1:5" x14ac:dyDescent="0.25">
      <c r="A1" t="s">
        <v>33</v>
      </c>
      <c r="B1" t="s">
        <v>54</v>
      </c>
      <c r="C1" t="s">
        <v>57</v>
      </c>
      <c r="D1" t="s">
        <v>55</v>
      </c>
      <c r="E1" t="s">
        <v>56</v>
      </c>
    </row>
    <row r="2" spans="1:5" x14ac:dyDescent="0.25">
      <c r="A2" t="s">
        <v>34</v>
      </c>
      <c r="B2">
        <v>436350</v>
      </c>
      <c r="C2">
        <v>52010</v>
      </c>
      <c r="D2">
        <v>31159</v>
      </c>
      <c r="E2">
        <v>17920</v>
      </c>
    </row>
    <row r="3" spans="1:5" x14ac:dyDescent="0.25">
      <c r="A3" t="s">
        <v>52</v>
      </c>
      <c r="B3">
        <v>206000</v>
      </c>
      <c r="C3">
        <v>20679</v>
      </c>
      <c r="D3">
        <v>8437</v>
      </c>
      <c r="E3">
        <v>4585</v>
      </c>
    </row>
    <row r="4" spans="1:5" x14ac:dyDescent="0.25">
      <c r="A4" t="s">
        <v>35</v>
      </c>
      <c r="B4">
        <v>482180</v>
      </c>
      <c r="C4">
        <v>51357</v>
      </c>
      <c r="D4">
        <v>24695</v>
      </c>
      <c r="E4">
        <v>13687</v>
      </c>
    </row>
    <row r="5" spans="1:5" x14ac:dyDescent="0.25">
      <c r="A5" t="s">
        <v>53</v>
      </c>
      <c r="B5">
        <v>283700</v>
      </c>
      <c r="C5">
        <v>32625</v>
      </c>
      <c r="D5">
        <v>18403</v>
      </c>
      <c r="E5">
        <v>10461</v>
      </c>
    </row>
    <row r="6" spans="1:5" x14ac:dyDescent="0.25">
      <c r="A6" t="s">
        <v>46</v>
      </c>
      <c r="B6">
        <v>469300</v>
      </c>
      <c r="C6">
        <v>55544</v>
      </c>
      <c r="D6">
        <v>32903</v>
      </c>
      <c r="E6">
        <v>18880</v>
      </c>
    </row>
    <row r="7" spans="1:5" x14ac:dyDescent="0.25">
      <c r="A7" t="s">
        <v>47</v>
      </c>
      <c r="B7">
        <v>151700</v>
      </c>
      <c r="C7">
        <v>15602</v>
      </c>
      <c r="D7">
        <v>6846</v>
      </c>
      <c r="E7">
        <v>3751</v>
      </c>
    </row>
    <row r="8" spans="1:5" x14ac:dyDescent="0.25">
      <c r="A8" t="s">
        <v>48</v>
      </c>
      <c r="B8">
        <v>138380</v>
      </c>
      <c r="C8">
        <v>15198</v>
      </c>
      <c r="D8">
        <v>7836</v>
      </c>
      <c r="E8">
        <v>4388</v>
      </c>
    </row>
    <row r="9" spans="1:5" x14ac:dyDescent="0.25">
      <c r="A9" t="s">
        <v>36</v>
      </c>
      <c r="B9">
        <v>98196</v>
      </c>
      <c r="C9">
        <v>10558</v>
      </c>
      <c r="D9">
        <v>5192</v>
      </c>
      <c r="E9">
        <v>2886</v>
      </c>
    </row>
    <row r="10" spans="1:5" x14ac:dyDescent="0.25">
      <c r="A10" t="s">
        <v>37</v>
      </c>
      <c r="B10">
        <v>162560</v>
      </c>
      <c r="C10">
        <v>17328</v>
      </c>
      <c r="D10">
        <v>8348</v>
      </c>
      <c r="E10">
        <v>4628</v>
      </c>
    </row>
    <row r="11" spans="1:5" x14ac:dyDescent="0.25">
      <c r="A11" t="s">
        <v>49</v>
      </c>
      <c r="B11">
        <v>137000</v>
      </c>
      <c r="C11">
        <v>13059</v>
      </c>
      <c r="D11">
        <v>4411</v>
      </c>
      <c r="E11">
        <v>2356</v>
      </c>
    </row>
    <row r="12" spans="1:5" x14ac:dyDescent="0.25">
      <c r="A12" t="s">
        <v>38</v>
      </c>
      <c r="B12">
        <v>151690</v>
      </c>
      <c r="C12">
        <v>14921</v>
      </c>
      <c r="D12">
        <v>5688</v>
      </c>
      <c r="E12">
        <v>3071</v>
      </c>
    </row>
    <row r="13" spans="1:5" x14ac:dyDescent="0.25">
      <c r="A13" t="s">
        <v>51</v>
      </c>
      <c r="B13">
        <v>55620</v>
      </c>
      <c r="C13">
        <v>5238</v>
      </c>
      <c r="D13">
        <v>1678</v>
      </c>
      <c r="E13">
        <v>893</v>
      </c>
    </row>
    <row r="14" spans="1:5" x14ac:dyDescent="0.25">
      <c r="A14" t="s">
        <v>39</v>
      </c>
      <c r="B14">
        <v>297420</v>
      </c>
      <c r="C14">
        <v>31607</v>
      </c>
      <c r="D14">
        <v>15115</v>
      </c>
      <c r="E14">
        <v>8371</v>
      </c>
    </row>
    <row r="15" spans="1:5" x14ac:dyDescent="0.25">
      <c r="A15" t="s">
        <v>40</v>
      </c>
      <c r="B15">
        <v>43650</v>
      </c>
      <c r="C15">
        <v>4769</v>
      </c>
      <c r="D15">
        <v>2431</v>
      </c>
      <c r="E15">
        <v>1359</v>
      </c>
    </row>
    <row r="16" spans="1:5" x14ac:dyDescent="0.25">
      <c r="A16" t="s">
        <v>41</v>
      </c>
      <c r="B16">
        <v>109750</v>
      </c>
      <c r="C16">
        <v>11473</v>
      </c>
      <c r="D16">
        <v>5262</v>
      </c>
      <c r="E16">
        <v>2899</v>
      </c>
    </row>
    <row r="17" spans="1:5" x14ac:dyDescent="0.25">
      <c r="A17" t="s">
        <v>42</v>
      </c>
      <c r="B17">
        <v>359310</v>
      </c>
      <c r="C17">
        <v>39402</v>
      </c>
      <c r="D17">
        <v>20248</v>
      </c>
      <c r="E17">
        <v>11331</v>
      </c>
    </row>
    <row r="18" spans="1:5" x14ac:dyDescent="0.25">
      <c r="A18" t="s">
        <v>43</v>
      </c>
      <c r="B18">
        <v>41112</v>
      </c>
      <c r="C18">
        <v>3932</v>
      </c>
      <c r="D18">
        <v>1346</v>
      </c>
      <c r="E18">
        <v>720</v>
      </c>
    </row>
    <row r="19" spans="1:5" x14ac:dyDescent="0.25">
      <c r="A19" t="s">
        <v>44</v>
      </c>
      <c r="B19">
        <v>525550</v>
      </c>
      <c r="C19">
        <v>58350</v>
      </c>
      <c r="D19">
        <v>30774</v>
      </c>
      <c r="E19">
        <v>17291</v>
      </c>
    </row>
    <row r="20" spans="1:5" x14ac:dyDescent="0.25">
      <c r="A20" t="s">
        <v>50</v>
      </c>
      <c r="B20">
        <v>32151</v>
      </c>
      <c r="C20">
        <v>3197</v>
      </c>
      <c r="D20">
        <v>1265</v>
      </c>
      <c r="E20">
        <v>685</v>
      </c>
    </row>
    <row r="21" spans="1:5" x14ac:dyDescent="0.25">
      <c r="A21" t="s">
        <v>45</v>
      </c>
      <c r="B21">
        <v>60120</v>
      </c>
      <c r="C21">
        <v>6075</v>
      </c>
      <c r="D21">
        <v>2530</v>
      </c>
      <c r="E21">
        <v>1378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discounting</vt:lpstr>
      <vt:lpstr>Sheet1</vt:lpstr>
      <vt:lpstr>discount_rate</vt:lpstr>
    </vt:vector>
  </TitlesOfParts>
  <Company>Massey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Hayman, David</dc:creator>
  <cp:lastModifiedBy>Hayman, David</cp:lastModifiedBy>
  <dcterms:created xsi:type="dcterms:W3CDTF">2014-08-21T01:10:27Z</dcterms:created>
  <dcterms:modified xsi:type="dcterms:W3CDTF">2014-10-23T03:32:28Z</dcterms:modified>
</cp:coreProperties>
</file>