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measles_costs" sheetId="1" r:id="rId1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LiveUpdate">1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case_gp">measles_costs!$B$4</definedName>
    <definedName name="case_lab">measles_costs!$B$5</definedName>
    <definedName name="case_management">measles_costs!$B$3</definedName>
    <definedName name="contacts_number">measles_costs!$B$6</definedName>
    <definedName name="contacts_quarantine">measles_costs!$B$7</definedName>
    <definedName name="contacts_wage_per_day">measles_costs!$B$8</definedName>
    <definedName name="disc_rate">measles_costs!$B$12</definedName>
    <definedName name="disc_years">measles_costs!$B$13</definedName>
    <definedName name="discount_rate">#REF!</definedName>
    <definedName name="extra_vacc">measles_costs!$B$15</definedName>
    <definedName name="f">#REF!</definedName>
    <definedName name="gp_costs">measles_costs!$B$4</definedName>
    <definedName name="hospital_costs">measles_costs!$B$10</definedName>
    <definedName name="lost_wages">measles_costs!$B$2</definedName>
    <definedName name="prop_hospitalised">measles_costs!$B$9</definedName>
    <definedName name="r0">#REF!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55</definedName>
    <definedName name="RiskHasSettings">6</definedName>
    <definedName name="RiskMinimizeOnStart">0</definedName>
    <definedName name="RiskMonitorConvergence">0</definedName>
    <definedName name="RiskMultipleCPUSupportEnabled">1</definedName>
    <definedName name="RiskNumIterations">1000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1</definedName>
    <definedName name="RiskUpdateDisplay">0</definedName>
    <definedName name="RiskUseDifferentSeedForEachSim">0</definedName>
    <definedName name="RiskUseFixedSeed">1</definedName>
    <definedName name="RiskUseMultipleCPUs">1</definedName>
    <definedName name="vacc_cost">measles_costs!$B$14</definedName>
  </definedNames>
  <calcPr calcId="145621" concurrentCalc="0"/>
</workbook>
</file>

<file path=xl/calcChain.xml><?xml version="1.0" encoding="utf-8"?>
<calcChain xmlns="http://schemas.openxmlformats.org/spreadsheetml/2006/main">
  <c r="X40" i="1" l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19" i="1"/>
  <c r="M40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9" i="1"/>
  <c r="F19" i="1"/>
  <c r="N19" i="1"/>
  <c r="F20" i="1"/>
  <c r="N20" i="1"/>
  <c r="F21" i="1"/>
  <c r="N21" i="1"/>
  <c r="F22" i="1"/>
  <c r="N22" i="1"/>
  <c r="F23" i="1"/>
  <c r="N23" i="1"/>
  <c r="F24" i="1"/>
  <c r="N24" i="1"/>
  <c r="F25" i="1"/>
  <c r="N25" i="1"/>
  <c r="F26" i="1"/>
  <c r="N26" i="1"/>
  <c r="F27" i="1"/>
  <c r="N27" i="1"/>
  <c r="F28" i="1"/>
  <c r="N28" i="1"/>
  <c r="F29" i="1"/>
  <c r="N29" i="1"/>
  <c r="F30" i="1"/>
  <c r="N30" i="1"/>
  <c r="F31" i="1"/>
  <c r="N31" i="1"/>
  <c r="F32" i="1"/>
  <c r="N32" i="1"/>
  <c r="F33" i="1"/>
  <c r="N33" i="1"/>
  <c r="F34" i="1"/>
  <c r="N34" i="1"/>
  <c r="F35" i="1"/>
  <c r="N35" i="1"/>
  <c r="F36" i="1"/>
  <c r="N36" i="1"/>
  <c r="F37" i="1"/>
  <c r="N37" i="1"/>
  <c r="F38" i="1"/>
  <c r="N38" i="1"/>
  <c r="O40" i="1"/>
  <c r="E40" i="1"/>
  <c r="N40" i="1"/>
  <c r="D40" i="1"/>
  <c r="C40" i="1"/>
  <c r="B40" i="1"/>
  <c r="R38" i="1"/>
  <c r="S38" i="1"/>
  <c r="I38" i="1"/>
  <c r="J38" i="1"/>
  <c r="R37" i="1"/>
  <c r="S37" i="1"/>
  <c r="I37" i="1"/>
  <c r="J37" i="1"/>
  <c r="R36" i="1"/>
  <c r="S36" i="1"/>
  <c r="I36" i="1"/>
  <c r="J36" i="1"/>
  <c r="R35" i="1"/>
  <c r="S35" i="1"/>
  <c r="I35" i="1"/>
  <c r="J35" i="1"/>
  <c r="R34" i="1"/>
  <c r="S34" i="1"/>
  <c r="I34" i="1"/>
  <c r="J34" i="1"/>
  <c r="R33" i="1"/>
  <c r="S33" i="1"/>
  <c r="I33" i="1"/>
  <c r="J33" i="1"/>
  <c r="R32" i="1"/>
  <c r="S32" i="1"/>
  <c r="I32" i="1"/>
  <c r="J32" i="1"/>
  <c r="R31" i="1"/>
  <c r="S31" i="1"/>
  <c r="I31" i="1"/>
  <c r="J31" i="1"/>
  <c r="R30" i="1"/>
  <c r="S30" i="1"/>
  <c r="I30" i="1"/>
  <c r="J30" i="1"/>
  <c r="R29" i="1"/>
  <c r="S29" i="1"/>
  <c r="I29" i="1"/>
  <c r="J29" i="1"/>
  <c r="R28" i="1"/>
  <c r="S28" i="1"/>
  <c r="I28" i="1"/>
  <c r="J28" i="1"/>
  <c r="R27" i="1"/>
  <c r="S27" i="1"/>
  <c r="I27" i="1"/>
  <c r="J27" i="1"/>
  <c r="R26" i="1"/>
  <c r="S26" i="1"/>
  <c r="I26" i="1"/>
  <c r="J26" i="1"/>
  <c r="R25" i="1"/>
  <c r="S25" i="1"/>
  <c r="I25" i="1"/>
  <c r="J25" i="1"/>
  <c r="R24" i="1"/>
  <c r="S24" i="1"/>
  <c r="I24" i="1"/>
  <c r="J24" i="1"/>
  <c r="R23" i="1"/>
  <c r="S23" i="1"/>
  <c r="I23" i="1"/>
  <c r="J23" i="1"/>
  <c r="R22" i="1"/>
  <c r="S22" i="1"/>
  <c r="I22" i="1"/>
  <c r="J22" i="1"/>
  <c r="R21" i="1"/>
  <c r="S21" i="1"/>
  <c r="I21" i="1"/>
  <c r="J21" i="1"/>
  <c r="R20" i="1"/>
  <c r="S20" i="1"/>
  <c r="I20" i="1"/>
  <c r="J20" i="1"/>
  <c r="R19" i="1"/>
  <c r="S19" i="1"/>
  <c r="I19" i="1"/>
  <c r="J19" i="1"/>
  <c r="F40" i="1"/>
  <c r="B8" i="1"/>
  <c r="B3" i="1"/>
  <c r="B2" i="1"/>
  <c r="P40" i="1"/>
  <c r="G40" i="1"/>
  <c r="P38" i="1"/>
  <c r="G38" i="1"/>
  <c r="P37" i="1"/>
  <c r="G37" i="1"/>
  <c r="P36" i="1"/>
  <c r="G36" i="1"/>
  <c r="P35" i="1"/>
  <c r="G35" i="1"/>
  <c r="P34" i="1"/>
  <c r="G34" i="1"/>
  <c r="P33" i="1"/>
  <c r="G33" i="1"/>
  <c r="P32" i="1"/>
  <c r="G32" i="1"/>
  <c r="P31" i="1"/>
  <c r="G31" i="1"/>
  <c r="P30" i="1"/>
  <c r="G30" i="1"/>
  <c r="P29" i="1"/>
  <c r="G29" i="1"/>
  <c r="P28" i="1"/>
  <c r="G28" i="1"/>
  <c r="P27" i="1"/>
  <c r="G27" i="1"/>
  <c r="P26" i="1"/>
  <c r="G26" i="1"/>
  <c r="P25" i="1"/>
  <c r="G25" i="1"/>
  <c r="P24" i="1"/>
  <c r="G24" i="1"/>
  <c r="P23" i="1"/>
  <c r="G23" i="1"/>
  <c r="P22" i="1"/>
  <c r="Q40" i="1"/>
  <c r="H40" i="1"/>
  <c r="Q38" i="1"/>
  <c r="H38" i="1"/>
  <c r="Q37" i="1"/>
  <c r="H37" i="1"/>
  <c r="Q36" i="1"/>
  <c r="H36" i="1"/>
  <c r="Q35" i="1"/>
  <c r="H35" i="1"/>
  <c r="Q34" i="1"/>
  <c r="H34" i="1"/>
  <c r="Q33" i="1"/>
  <c r="H33" i="1"/>
  <c r="Q32" i="1"/>
  <c r="H32" i="1"/>
  <c r="Q31" i="1"/>
  <c r="H31" i="1"/>
  <c r="Q30" i="1"/>
  <c r="H30" i="1"/>
  <c r="Q29" i="1"/>
  <c r="H29" i="1"/>
  <c r="Q28" i="1"/>
  <c r="H28" i="1"/>
  <c r="Q27" i="1"/>
  <c r="H27" i="1"/>
  <c r="Q26" i="1"/>
  <c r="H26" i="1"/>
  <c r="Q25" i="1"/>
  <c r="H25" i="1"/>
  <c r="Q24" i="1"/>
  <c r="H24" i="1"/>
  <c r="Q23" i="1"/>
  <c r="H23" i="1"/>
  <c r="Q22" i="1"/>
  <c r="T38" i="1"/>
  <c r="K38" i="1"/>
  <c r="T37" i="1"/>
  <c r="K37" i="1"/>
  <c r="T36" i="1"/>
  <c r="K36" i="1"/>
  <c r="T35" i="1"/>
  <c r="K35" i="1"/>
  <c r="T34" i="1"/>
  <c r="K34" i="1"/>
  <c r="T33" i="1"/>
  <c r="K33" i="1"/>
  <c r="T32" i="1"/>
  <c r="K32" i="1"/>
  <c r="T31" i="1"/>
  <c r="K31" i="1"/>
  <c r="T30" i="1"/>
  <c r="K30" i="1"/>
  <c r="T29" i="1"/>
  <c r="K29" i="1"/>
  <c r="T28" i="1"/>
  <c r="K28" i="1"/>
  <c r="T27" i="1"/>
  <c r="K27" i="1"/>
  <c r="T26" i="1"/>
  <c r="K26" i="1"/>
  <c r="T25" i="1"/>
  <c r="K25" i="1"/>
  <c r="T24" i="1"/>
  <c r="K24" i="1"/>
  <c r="T23" i="1"/>
  <c r="K23" i="1"/>
  <c r="T22" i="1"/>
  <c r="K22" i="1"/>
  <c r="G19" i="1"/>
  <c r="H19" i="1"/>
  <c r="K19" i="1"/>
  <c r="P19" i="1"/>
  <c r="Q19" i="1"/>
  <c r="T19" i="1"/>
  <c r="G20" i="1"/>
  <c r="H20" i="1"/>
  <c r="K20" i="1"/>
  <c r="P20" i="1"/>
  <c r="Q20" i="1"/>
  <c r="T20" i="1"/>
  <c r="G21" i="1"/>
  <c r="H21" i="1"/>
  <c r="K21" i="1"/>
  <c r="P21" i="1"/>
  <c r="Q21" i="1"/>
  <c r="T21" i="1"/>
  <c r="G22" i="1"/>
  <c r="H22" i="1"/>
  <c r="K40" i="1"/>
  <c r="T40" i="1"/>
  <c r="I40" i="1"/>
  <c r="J40" i="1"/>
  <c r="R40" i="1"/>
  <c r="S40" i="1"/>
  <c r="L22" i="1"/>
  <c r="U21" i="1"/>
  <c r="V21" i="1"/>
  <c r="L21" i="1"/>
  <c r="W21" i="1"/>
  <c r="U20" i="1"/>
  <c r="V20" i="1"/>
  <c r="L20" i="1"/>
  <c r="W20" i="1"/>
  <c r="U19" i="1"/>
  <c r="V19" i="1"/>
  <c r="L19" i="1"/>
  <c r="W19" i="1"/>
  <c r="U22" i="1"/>
  <c r="V22" i="1"/>
  <c r="L23" i="1"/>
  <c r="U23" i="1"/>
  <c r="V23" i="1"/>
  <c r="L24" i="1"/>
  <c r="U24" i="1"/>
  <c r="V24" i="1"/>
  <c r="L25" i="1"/>
  <c r="U25" i="1"/>
  <c r="V25" i="1"/>
  <c r="L26" i="1"/>
  <c r="U26" i="1"/>
  <c r="V26" i="1"/>
  <c r="L27" i="1"/>
  <c r="U27" i="1"/>
  <c r="V27" i="1"/>
  <c r="L28" i="1"/>
  <c r="U28" i="1"/>
  <c r="V28" i="1"/>
  <c r="L29" i="1"/>
  <c r="U29" i="1"/>
  <c r="V29" i="1"/>
  <c r="L30" i="1"/>
  <c r="U30" i="1"/>
  <c r="V30" i="1"/>
  <c r="L31" i="1"/>
  <c r="U31" i="1"/>
  <c r="V31" i="1"/>
  <c r="L32" i="1"/>
  <c r="U32" i="1"/>
  <c r="V32" i="1"/>
  <c r="L33" i="1"/>
  <c r="U33" i="1"/>
  <c r="V33" i="1"/>
  <c r="L34" i="1"/>
  <c r="U34" i="1"/>
  <c r="V34" i="1"/>
  <c r="L35" i="1"/>
  <c r="U35" i="1"/>
  <c r="V35" i="1"/>
  <c r="L36" i="1"/>
  <c r="U36" i="1"/>
  <c r="V36" i="1"/>
  <c r="L37" i="1"/>
  <c r="U37" i="1"/>
  <c r="V37" i="1"/>
  <c r="L38" i="1"/>
  <c r="U38" i="1"/>
  <c r="V38" i="1"/>
  <c r="L40" i="1"/>
  <c r="U40" i="1"/>
  <c r="V40" i="1"/>
  <c r="W40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</calcChain>
</file>

<file path=xl/sharedStrings.xml><?xml version="1.0" encoding="utf-8"?>
<sst xmlns="http://schemas.openxmlformats.org/spreadsheetml/2006/main" count="74" uniqueCount="68">
  <si>
    <t>Costs per case</t>
  </si>
  <si>
    <t>lost wages</t>
  </si>
  <si>
    <t>Lost wages for a case (5 days)</t>
  </si>
  <si>
    <t>case management costs</t>
  </si>
  <si>
    <t>Management costs per case</t>
  </si>
  <si>
    <t>GP costs</t>
  </si>
  <si>
    <t>GP costs per case</t>
  </si>
  <si>
    <t>Lab costs</t>
  </si>
  <si>
    <t>Lab costs per case</t>
  </si>
  <si>
    <t>Contacts quarantined</t>
  </si>
  <si>
    <t>Average number of contacts quarantined per case</t>
  </si>
  <si>
    <t>Quarantine length</t>
  </si>
  <si>
    <t>Average number of days a contact is quarantined</t>
  </si>
  <si>
    <t>Contact wage</t>
  </si>
  <si>
    <t>Average wage of a contact per day</t>
  </si>
  <si>
    <t>proportion hospitalised</t>
  </si>
  <si>
    <t>Proportion of cases that will be hospitalised</t>
  </si>
  <si>
    <t>hospital costs</t>
  </si>
  <si>
    <t>Costs of a hospitalised case</t>
  </si>
  <si>
    <t>discount rate</t>
  </si>
  <si>
    <t>Discount rate to use to adjust for cost in future vs present</t>
  </si>
  <si>
    <t>discount years</t>
  </si>
  <si>
    <t>Number of years to project for cost/benefit analysis</t>
  </si>
  <si>
    <t>vaccine cost</t>
  </si>
  <si>
    <t>Vaccine cost per person</t>
  </si>
  <si>
    <t>extra vaccination proportion</t>
  </si>
  <si>
    <t>Additional vaccination over and above the 0.28 required.</t>
  </si>
  <si>
    <t>Benefits from outbreaks avoided</t>
  </si>
  <si>
    <t>Post-vaccination outbreak costs</t>
  </si>
  <si>
    <t>DHB</t>
  </si>
  <si>
    <t>Population</t>
  </si>
  <si>
    <t>Naïve</t>
  </si>
  <si>
    <t>Attack</t>
  </si>
  <si>
    <t>Vacc</t>
  </si>
  <si>
    <t>Additional Vacc</t>
  </si>
  <si>
    <t>Case wage loss</t>
  </si>
  <si>
    <t>Management, GP, Lab costs</t>
  </si>
  <si>
    <t>Total hospitalised</t>
  </si>
  <si>
    <t>Hospitalisation costs</t>
  </si>
  <si>
    <t>Wage loss for contacts</t>
  </si>
  <si>
    <t>Total undiscounted costs</t>
  </si>
  <si>
    <t>Total discounted costs</t>
  </si>
  <si>
    <t>Total vaccine costs</t>
  </si>
  <si>
    <t>Outbreak size post vaccination</t>
  </si>
  <si>
    <t>Management , GP, Lab costs</t>
  </si>
  <si>
    <t>Benefit/cost</t>
  </si>
  <si>
    <t>Auckland</t>
  </si>
  <si>
    <t>Bay of Plenty</t>
  </si>
  <si>
    <t>Canterbury</t>
  </si>
  <si>
    <t>Capital and Coast</t>
  </si>
  <si>
    <t>Counties Manukau</t>
  </si>
  <si>
    <t>Hawke's Bay</t>
  </si>
  <si>
    <t>Hutt Valley</t>
  </si>
  <si>
    <t>Lakes</t>
  </si>
  <si>
    <t>MidCentral</t>
  </si>
  <si>
    <t>Nelson Marlborough</t>
  </si>
  <si>
    <t>Northland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</si>
  <si>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</si>
  <si>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</si>
  <si>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</si>
  <si>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</si>
  <si>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</si>
  <si>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</si>
  <si>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</si>
  <si>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</si>
  <si>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</si>
  <si>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Total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</si>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</sst>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6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FFCC"/>
        <b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6" fillId="5" borderId="2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2" fillId="2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4" fillId="0" borderId="0" xfId="0" applyFont="1"/>
    <xf numFmtId="0" fontId="5" fillId="3" borderId="0" xfId="1" applyFont="1" applyFill="1" applyBorder="1" applyAlignment="1" applyProtection="1"/>
    <xf numFmtId="0" fontId="6" fillId="3" borderId="0" xfId="1" applyFont="1" applyFill="1" applyBorder="1" applyAlignment="1" applyProtection="1"/>
    <xf numFmtId="0" fontId="5" fillId="4" borderId="0" xfId="1" applyFont="1" applyFill="1" applyBorder="1" applyAlignment="1" applyProtection="1"/>
    <xf numFmtId="0" fontId="4" fillId="4" borderId="0" xfId="1" applyFont="1" applyFill="1" applyBorder="1" applyAlignment="1" applyProtection="1"/>
    <xf numFmtId="0" fontId="4" fillId="0" borderId="0" xfId="0" applyFont="1" applyAlignment="1">
      <alignment wrapText="1"/>
    </xf>
    <xf numFmtId="0" fontId="4" fillId="3" borderId="0" xfId="1" applyFont="1" applyFill="1" applyBorder="1" applyAlignment="1" applyProtection="1">
      <alignment wrapText="1"/>
    </xf>
    <xf numFmtId="0" fontId="4" fillId="5" borderId="2" xfId="1" applyFont="1" applyAlignment="1" applyProtection="1">
      <alignment wrapText="1"/>
    </xf>
    <xf numFmtId="0" fontId="4" fillId="4" borderId="0" xfId="1" applyFont="1" applyFill="1" applyBorder="1" applyAlignment="1" applyProtection="1">
      <alignment wrapText="1"/>
    </xf>
    <xf numFmtId="1" fontId="0" fillId="0" borderId="0" xfId="0" applyNumberFormat="1"/>
    <xf numFmtId="1" fontId="6" fillId="3" borderId="0" xfId="1" applyNumberFormat="1" applyFont="1" applyFill="1" applyBorder="1" applyAlignment="1" applyProtection="1"/>
    <xf numFmtId="1" fontId="0" fillId="5" borderId="2" xfId="1" applyNumberFormat="1" applyFont="1" applyAlignment="1" applyProtection="1"/>
    <xf numFmtId="1" fontId="6" fillId="4" borderId="0" xfId="1" applyNumberFormat="1" applyFont="1" applyFill="1" applyBorder="1" applyAlignment="1" applyProtection="1"/>
    <xf numFmtId="1" fontId="0" fillId="0" borderId="0" xfId="0" applyNumberFormat="1" applyAlignment="1">
      <alignment wrapText="1"/>
    </xf>
    <xf numFmtId="1" fontId="4" fillId="0" borderId="0" xfId="0" applyNumberFormat="1" applyFont="1"/>
    <xf numFmtId="1" fontId="4" fillId="3" borderId="0" xfId="1" applyNumberFormat="1" applyFont="1" applyFill="1" applyBorder="1" applyAlignment="1" applyProtection="1"/>
    <xf numFmtId="1" fontId="4" fillId="5" borderId="2" xfId="1" applyNumberFormat="1" applyFont="1" applyAlignment="1" applyProtection="1"/>
    <xf numFmtId="1" fontId="4" fillId="4" borderId="0" xfId="1" applyNumberFormat="1" applyFont="1" applyFill="1" applyBorder="1" applyAlignment="1" applyProtection="1">
      <alignment wrapText="1"/>
    </xf>
    <xf numFmtId="1" fontId="4" fillId="4" borderId="0" xfId="1" applyNumberFormat="1" applyFont="1" applyFill="1" applyBorder="1" applyAlignment="1" applyProtection="1"/>
    <xf numFmtId="0" fontId="1" fillId="6" borderId="0" xfId="2"/>
    <xf numFmtId="1" fontId="7" fillId="3" borderId="0" xfId="1" applyNumberFormat="1" applyFont="1" applyFill="1" applyBorder="1" applyAlignment="1" applyProtection="1"/>
    <xf numFmtId="0" fontId="4" fillId="5" borderId="3" xfId="1" applyFont="1" applyBorder="1" applyAlignment="1" applyProtection="1">
      <alignment wrapText="1"/>
    </xf>
    <xf numFmtId="0" fontId="0" fillId="5" borderId="3" xfId="1" applyFont="1" applyBorder="1" applyAlignment="1" applyProtection="1"/>
    <xf numFmtId="0" fontId="4" fillId="5" borderId="3" xfId="1" applyFont="1" applyBorder="1" applyAlignment="1" applyProtection="1"/>
    <xf numFmtId="0" fontId="4" fillId="7" borderId="4" xfId="0" applyFont="1" applyFill="1" applyBorder="1" applyAlignment="1">
      <alignment wrapText="1"/>
    </xf>
    <xf numFmtId="1" fontId="0" fillId="7" borderId="4" xfId="0" applyNumberFormat="1" applyFill="1" applyBorder="1"/>
    <xf numFmtId="1" fontId="0" fillId="7" borderId="6" xfId="0" applyNumberFormat="1" applyFill="1" applyBorder="1"/>
    <xf numFmtId="1" fontId="7" fillId="7" borderId="5" xfId="0" applyNumberFormat="1" applyFont="1" applyFill="1" applyBorder="1"/>
  </cellXfs>
  <cellStyles count="3">
    <cellStyle name="20% - Accent5" xfId="2" builtinId="46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10" zoomScaleNormal="100" workbookViewId="0">
      <selection activeCell="R12" sqref="R12"/>
    </sheetView>
  </sheetViews>
  <sheetFormatPr defaultRowHeight="15" x14ac:dyDescent="0.25"/>
  <cols>
    <col min="1" max="1" width="29"/>
    <col min="2" max="2" width="12"/>
    <col min="3" max="3" width="7.140625"/>
    <col min="4" max="6" width="7"/>
    <col min="7" max="7" width="17.5703125"/>
    <col min="8" max="8" width="10"/>
    <col min="9" max="9" width="13.85546875"/>
    <col min="10" max="11" width="11.85546875"/>
    <col min="12" max="12" width="14.28515625"/>
    <col min="13" max="13" width="16.140625"/>
    <col min="14" max="14" width="10.85546875" style="1"/>
    <col min="15" max="15" width="13.28515625" style="1"/>
    <col min="16" max="16" width="14.7109375"/>
    <col min="17" max="17" width="12.7109375"/>
    <col min="18" max="18" width="11.85546875"/>
    <col min="19" max="20" width="14.28515625"/>
    <col min="21" max="21" width="13.28515625"/>
    <col min="22" max="22" width="13.28515625" style="1"/>
    <col min="23" max="1025" width="15.28515625"/>
  </cols>
  <sheetData>
    <row r="1" spans="1:22" ht="21" x14ac:dyDescent="0.35">
      <c r="A1" s="2" t="s">
        <v>0</v>
      </c>
      <c r="B1" s="3"/>
      <c r="N1"/>
      <c r="O1"/>
      <c r="V1"/>
    </row>
    <row r="2" spans="1:22" x14ac:dyDescent="0.25">
      <c r="A2" s="3" t="s">
        <v>1</v>
      </c>
      <c r="B2" s="3">
        <f>207155/247</f>
        <v>838.68421052631584</v>
      </c>
      <c r="C2" t="s">
        <v>2</v>
      </c>
      <c r="N2"/>
      <c r="O2"/>
      <c r="V2"/>
    </row>
    <row r="3" spans="1:22" x14ac:dyDescent="0.25">
      <c r="A3" s="3" t="s">
        <v>3</v>
      </c>
      <c r="B3" s="3">
        <f>330147/187</f>
        <v>1765.4919786096257</v>
      </c>
      <c r="C3" t="s">
        <v>4</v>
      </c>
      <c r="N3"/>
      <c r="O3"/>
      <c r="V3"/>
    </row>
    <row r="4" spans="1:22" x14ac:dyDescent="0.25">
      <c r="A4" s="3" t="s">
        <v>5</v>
      </c>
      <c r="B4" s="3">
        <v>20</v>
      </c>
      <c r="C4" t="s">
        <v>6</v>
      </c>
      <c r="N4"/>
      <c r="O4"/>
      <c r="V4"/>
    </row>
    <row r="5" spans="1:22" x14ac:dyDescent="0.25">
      <c r="A5" s="3" t="s">
        <v>7</v>
      </c>
      <c r="B5" s="3">
        <v>0</v>
      </c>
      <c r="C5" t="s">
        <v>8</v>
      </c>
      <c r="N5"/>
      <c r="O5"/>
      <c r="V5"/>
    </row>
    <row r="6" spans="1:22" x14ac:dyDescent="0.25">
      <c r="A6" s="3" t="s">
        <v>9</v>
      </c>
      <c r="B6" s="3">
        <v>2.11</v>
      </c>
      <c r="C6" t="s">
        <v>10</v>
      </c>
      <c r="N6"/>
      <c r="O6"/>
      <c r="V6"/>
    </row>
    <row r="7" spans="1:22" x14ac:dyDescent="0.25">
      <c r="A7" s="3" t="s">
        <v>11</v>
      </c>
      <c r="B7" s="3">
        <v>7.3</v>
      </c>
      <c r="C7" t="s">
        <v>12</v>
      </c>
      <c r="N7"/>
      <c r="O7"/>
      <c r="V7"/>
    </row>
    <row r="8" spans="1:22" x14ac:dyDescent="0.25">
      <c r="A8" s="3" t="s">
        <v>13</v>
      </c>
      <c r="B8" s="3">
        <f>210436/247/5</f>
        <v>170.39352226720649</v>
      </c>
      <c r="C8" t="s">
        <v>14</v>
      </c>
      <c r="N8"/>
      <c r="O8"/>
      <c r="V8"/>
    </row>
    <row r="9" spans="1:22" x14ac:dyDescent="0.25">
      <c r="A9" s="3" t="s">
        <v>15</v>
      </c>
      <c r="B9" s="3">
        <v>0.17</v>
      </c>
      <c r="C9" t="s">
        <v>16</v>
      </c>
      <c r="N9"/>
      <c r="O9"/>
      <c r="V9"/>
    </row>
    <row r="10" spans="1:22" x14ac:dyDescent="0.25">
      <c r="A10" s="3" t="s">
        <v>17</v>
      </c>
      <c r="B10" s="3">
        <v>1877</v>
      </c>
      <c r="C10" t="s">
        <v>18</v>
      </c>
      <c r="N10"/>
      <c r="O10"/>
      <c r="V10"/>
    </row>
    <row r="12" spans="1:22" x14ac:dyDescent="0.25">
      <c r="A12" s="3" t="s">
        <v>19</v>
      </c>
      <c r="B12" s="3">
        <v>0.03</v>
      </c>
      <c r="C12" t="s">
        <v>20</v>
      </c>
      <c r="N12"/>
      <c r="O12"/>
      <c r="V12"/>
    </row>
    <row r="13" spans="1:22" x14ac:dyDescent="0.25">
      <c r="A13" s="3" t="s">
        <v>21</v>
      </c>
      <c r="B13" s="3">
        <v>10</v>
      </c>
      <c r="C13" t="s">
        <v>22</v>
      </c>
      <c r="N13"/>
      <c r="O13"/>
      <c r="V13"/>
    </row>
    <row r="14" spans="1:22" x14ac:dyDescent="0.25">
      <c r="A14" s="3" t="s">
        <v>23</v>
      </c>
      <c r="B14" s="3">
        <v>74</v>
      </c>
      <c r="C14" t="s">
        <v>24</v>
      </c>
      <c r="N14"/>
      <c r="O14"/>
      <c r="V14"/>
    </row>
    <row r="15" spans="1:22" x14ac:dyDescent="0.25">
      <c r="A15" s="3" t="s">
        <v>25</v>
      </c>
      <c r="B15" s="3">
        <v>0</v>
      </c>
      <c r="C15" t="s">
        <v>26</v>
      </c>
      <c r="N15"/>
      <c r="O15"/>
      <c r="V15"/>
    </row>
    <row r="17" spans="1:25" s="4" customFormat="1" ht="21" x14ac:dyDescent="0.35">
      <c r="G17" s="5" t="s">
        <v>27</v>
      </c>
      <c r="H17" s="5"/>
      <c r="I17" s="5"/>
      <c r="J17" s="5"/>
      <c r="K17" s="5"/>
      <c r="L17" s="5"/>
      <c r="M17" s="6"/>
      <c r="O17" s="7" t="s">
        <v>28</v>
      </c>
      <c r="P17" s="8"/>
      <c r="Q17" s="8"/>
      <c r="R17" s="8"/>
      <c r="S17" s="8"/>
      <c r="T17" s="8"/>
      <c r="U17" s="8"/>
      <c r="V17" s="8"/>
    </row>
    <row r="18" spans="1:25" s="9" customFormat="1" ht="45" x14ac:dyDescent="0.25">
      <c r="A18" s="9" t="s">
        <v>29</v>
      </c>
      <c r="B18" s="9" t="s">
        <v>30</v>
      </c>
      <c r="C18" s="9" t="s">
        <v>31</v>
      </c>
      <c r="D18" s="9" t="s">
        <v>32</v>
      </c>
      <c r="E18" s="9" t="s">
        <v>33</v>
      </c>
      <c r="F18" s="9" t="s">
        <v>34</v>
      </c>
      <c r="G18" s="10" t="s">
        <v>35</v>
      </c>
      <c r="H18" s="10" t="s">
        <v>36</v>
      </c>
      <c r="I18" s="10" t="s">
        <v>37</v>
      </c>
      <c r="J18" s="10" t="s">
        <v>38</v>
      </c>
      <c r="K18" s="10" t="s">
        <v>39</v>
      </c>
      <c r="L18" s="10" t="s">
        <v>40</v>
      </c>
      <c r="M18" s="10" t="s">
        <v>41</v>
      </c>
      <c r="N18" s="11" t="s">
        <v>42</v>
      </c>
      <c r="O18" s="12" t="s">
        <v>43</v>
      </c>
      <c r="P18" s="12" t="s">
        <v>35</v>
      </c>
      <c r="Q18" s="12" t="s">
        <v>44</v>
      </c>
      <c r="R18" s="12" t="s">
        <v>37</v>
      </c>
      <c r="S18" s="12" t="s">
        <v>38</v>
      </c>
      <c r="T18" s="12" t="s">
        <v>39</v>
      </c>
      <c r="U18" s="12" t="s">
        <v>40</v>
      </c>
      <c r="V18" s="12" t="s">
        <v>41</v>
      </c>
      <c r="W18" s="25" t="s">
        <v>45</v>
      </c>
      <c r="X18" s="28" t="s">
        <v>67</v>
      </c>
    </row>
    <row r="19" spans="1:25" x14ac:dyDescent="0.25">
      <c r="A19" t="s">
        <v>46</v>
      </c>
      <c r="B19" s="1">
        <v>436347</v>
      </c>
      <c r="C19" s="1">
        <v>47930</v>
      </c>
      <c r="D19" s="1">
        <v>45</v>
      </c>
      <c r="E19" s="1">
        <v>13840</v>
      </c>
      <c r="F19" s="13">
        <f t="shared" ref="F19:F38" si="0">C19*extra_vacc</f>
        <v>0</v>
      </c>
      <c r="G19" s="14">
        <f t="shared" ref="G19:G38" si="1">lost_wages*D19</f>
        <v>37740.789473684214</v>
      </c>
      <c r="H19" s="14">
        <f t="shared" ref="H19:H38" si="2">(case_management+case_gp+case_lab)*D19</f>
        <v>80347.139037433153</v>
      </c>
      <c r="I19" s="14">
        <f t="shared" ref="I19:I38" si="3">prop_hospitalised*D19</f>
        <v>7.65</v>
      </c>
      <c r="J19" s="14">
        <f t="shared" ref="J19:J38" si="4">hospital_costs*I19</f>
        <v>14359.050000000001</v>
      </c>
      <c r="K19" s="14">
        <f t="shared" ref="K19:K38" si="5">D19*contacts_number*contacts_quarantine*contacts_wage_per_day</f>
        <v>118105.71405668015</v>
      </c>
      <c r="L19" s="14">
        <f t="shared" ref="L19:L38" si="6">G19+H19+J19+K19</f>
        <v>250552.69256779752</v>
      </c>
      <c r="M19" s="14">
        <f>L19*(1-1/(1+disc_rate)^disc_years)/(1-1/(1+disc_rate))</f>
        <v>2201383.2475707587</v>
      </c>
      <c r="N19" s="15">
        <f t="shared" ref="N19:N38" si="7">vacc_cost*(E19+F19)</f>
        <v>1024160</v>
      </c>
      <c r="O19" s="23">
        <v>2</v>
      </c>
      <c r="P19" s="16">
        <f t="shared" ref="P19:P38" si="8">lost_wages*O19</f>
        <v>1677.3684210526317</v>
      </c>
      <c r="Q19" s="16">
        <f t="shared" ref="Q19:Q38" si="9">(case_management+case_gp+case_lab)*O19</f>
        <v>3570.9839572192514</v>
      </c>
      <c r="R19" s="16">
        <f t="shared" ref="R19:R38" si="10">prop_hospitalised*O19</f>
        <v>0.34</v>
      </c>
      <c r="S19" s="16">
        <f t="shared" ref="S19:S38" si="11">hospital_costs*R19</f>
        <v>638.18000000000006</v>
      </c>
      <c r="T19" s="16">
        <f t="shared" ref="T19:T38" si="12">O19*contacts_number*contacts_quarantine*contacts_wage_per_day</f>
        <v>5249.142846963563</v>
      </c>
      <c r="U19" s="16">
        <f t="shared" ref="U19:U38" si="13">P19+Q19+S19+T19</f>
        <v>11135.675225235445</v>
      </c>
      <c r="V19" s="16">
        <f t="shared" ref="V19:V38" si="14">U19*(1-1/(1+disc_rate)^disc_years)/(1-1/(1+disc_rate))</f>
        <v>97839.255447589268</v>
      </c>
      <c r="W19" s="26">
        <f t="shared" ref="W19:W38" si="15">M19/(N19+V19)</f>
        <v>1.9620184566812213</v>
      </c>
      <c r="X19" s="29">
        <f>M19-(N19+V19)</f>
        <v>1079383.9921231694</v>
      </c>
    </row>
    <row r="20" spans="1:25" x14ac:dyDescent="0.25">
      <c r="A20" t="s">
        <v>47</v>
      </c>
      <c r="B20" s="1">
        <v>205998</v>
      </c>
      <c r="C20" s="1">
        <v>19642</v>
      </c>
      <c r="D20" s="1">
        <v>2</v>
      </c>
      <c r="E20" s="1">
        <v>3548</v>
      </c>
      <c r="F20" s="13">
        <f t="shared" si="0"/>
        <v>0</v>
      </c>
      <c r="G20" s="14">
        <f t="shared" si="1"/>
        <v>1677.3684210526317</v>
      </c>
      <c r="H20" s="14">
        <f t="shared" si="2"/>
        <v>3570.9839572192514</v>
      </c>
      <c r="I20" s="14">
        <f t="shared" si="3"/>
        <v>0.34</v>
      </c>
      <c r="J20" s="14">
        <f t="shared" si="4"/>
        <v>638.18000000000006</v>
      </c>
      <c r="K20" s="14">
        <f t="shared" si="5"/>
        <v>5249.142846963563</v>
      </c>
      <c r="L20" s="14">
        <f t="shared" si="6"/>
        <v>11135.675225235445</v>
      </c>
      <c r="M20" s="14">
        <f>L20*(1-1/(1+disc_rate)^disc_years)/(1-1/(1+disc_rate))</f>
        <v>97839.255447589268</v>
      </c>
      <c r="N20" s="15">
        <f t="shared" si="7"/>
        <v>262552</v>
      </c>
      <c r="O20" s="23">
        <v>2</v>
      </c>
      <c r="P20" s="16">
        <f t="shared" si="8"/>
        <v>1677.3684210526317</v>
      </c>
      <c r="Q20" s="16">
        <f t="shared" si="9"/>
        <v>3570.9839572192514</v>
      </c>
      <c r="R20" s="16">
        <f t="shared" si="10"/>
        <v>0.34</v>
      </c>
      <c r="S20" s="16">
        <f t="shared" si="11"/>
        <v>638.18000000000006</v>
      </c>
      <c r="T20" s="16">
        <f t="shared" si="12"/>
        <v>5249.142846963563</v>
      </c>
      <c r="U20" s="16">
        <f t="shared" si="13"/>
        <v>11135.675225235445</v>
      </c>
      <c r="V20" s="16">
        <f t="shared" si="14"/>
        <v>97839.255447589268</v>
      </c>
      <c r="W20" s="26">
        <f t="shared" si="15"/>
        <v>0.27148065878035094</v>
      </c>
      <c r="X20" s="29">
        <f t="shared" ref="X20:X40" si="16">M20-(N20+V20)</f>
        <v>-262552</v>
      </c>
    </row>
    <row r="21" spans="1:25" x14ac:dyDescent="0.25">
      <c r="A21" t="s">
        <v>48</v>
      </c>
      <c r="B21" s="1">
        <v>482178</v>
      </c>
      <c r="C21" s="1">
        <v>48190</v>
      </c>
      <c r="D21" s="1">
        <v>34</v>
      </c>
      <c r="E21" s="1">
        <v>10520</v>
      </c>
      <c r="F21" s="13">
        <f t="shared" si="0"/>
        <v>0</v>
      </c>
      <c r="G21" s="14">
        <f t="shared" si="1"/>
        <v>28515.26315789474</v>
      </c>
      <c r="H21" s="14">
        <f t="shared" si="2"/>
        <v>60706.727272727272</v>
      </c>
      <c r="I21" s="14">
        <f t="shared" si="3"/>
        <v>5.78</v>
      </c>
      <c r="J21" s="14">
        <f t="shared" si="4"/>
        <v>10849.060000000001</v>
      </c>
      <c r="K21" s="14">
        <f t="shared" si="5"/>
        <v>89235.42839838058</v>
      </c>
      <c r="L21" s="14">
        <f t="shared" si="6"/>
        <v>189306.47882900259</v>
      </c>
      <c r="M21" s="14">
        <f>L21*(1-1/(1+disc_rate)^disc_years)/(1-1/(1+disc_rate))</f>
        <v>1663267.3426090179</v>
      </c>
      <c r="N21" s="15">
        <f t="shared" si="7"/>
        <v>778480</v>
      </c>
      <c r="O21" s="23">
        <v>2</v>
      </c>
      <c r="P21" s="16">
        <f t="shared" si="8"/>
        <v>1677.3684210526317</v>
      </c>
      <c r="Q21" s="16">
        <f t="shared" si="9"/>
        <v>3570.9839572192514</v>
      </c>
      <c r="R21" s="16">
        <f t="shared" si="10"/>
        <v>0.34</v>
      </c>
      <c r="S21" s="16">
        <f t="shared" si="11"/>
        <v>638.18000000000006</v>
      </c>
      <c r="T21" s="16">
        <f t="shared" si="12"/>
        <v>5249.142846963563</v>
      </c>
      <c r="U21" s="16">
        <f t="shared" si="13"/>
        <v>11135.675225235445</v>
      </c>
      <c r="V21" s="16">
        <f t="shared" si="14"/>
        <v>97839.255447589268</v>
      </c>
      <c r="W21" s="26">
        <f t="shared" si="15"/>
        <v>1.8980152864032258</v>
      </c>
      <c r="X21" s="30">
        <f t="shared" si="16"/>
        <v>786948.08716142853</v>
      </c>
      <c r="Y21" s="17"/>
    </row>
    <row r="22" spans="1:25" x14ac:dyDescent="0.25">
      <c r="A22" t="s">
        <v>49</v>
      </c>
      <c r="B22" s="1">
        <v>283704</v>
      </c>
      <c r="C22" s="1">
        <v>30414</v>
      </c>
      <c r="D22" s="1">
        <v>4</v>
      </c>
      <c r="E22" s="1">
        <v>8250</v>
      </c>
      <c r="F22" s="13">
        <f t="shared" si="0"/>
        <v>0</v>
      </c>
      <c r="G22" s="14">
        <f t="shared" si="1"/>
        <v>3354.7368421052633</v>
      </c>
      <c r="H22" s="14">
        <f t="shared" si="2"/>
        <v>7141.9679144385027</v>
      </c>
      <c r="I22" s="14">
        <f t="shared" si="3"/>
        <v>0.68</v>
      </c>
      <c r="J22" s="14">
        <f t="shared" si="4"/>
        <v>1276.3600000000001</v>
      </c>
      <c r="K22" s="14">
        <f t="shared" si="5"/>
        <v>10498.285693927126</v>
      </c>
      <c r="L22" s="14">
        <f t="shared" si="6"/>
        <v>22271.350450470891</v>
      </c>
      <c r="M22" s="14">
        <f>L22*(1-1/(1+disc_rate)^disc_years)/(1-1/(1+disc_rate))</f>
        <v>195678.51089517854</v>
      </c>
      <c r="N22" s="15">
        <f t="shared" si="7"/>
        <v>610500</v>
      </c>
      <c r="O22" s="23">
        <v>3</v>
      </c>
      <c r="P22" s="16">
        <f t="shared" si="8"/>
        <v>2516.0526315789475</v>
      </c>
      <c r="Q22" s="16">
        <f t="shared" si="9"/>
        <v>5356.4759358288775</v>
      </c>
      <c r="R22" s="16">
        <f t="shared" si="10"/>
        <v>0.51</v>
      </c>
      <c r="S22" s="16">
        <f t="shared" si="11"/>
        <v>957.27</v>
      </c>
      <c r="T22" s="16">
        <f t="shared" si="12"/>
        <v>7873.7142704453445</v>
      </c>
      <c r="U22" s="16">
        <f t="shared" si="13"/>
        <v>16703.51283785317</v>
      </c>
      <c r="V22" s="16">
        <f t="shared" si="14"/>
        <v>146758.88317138393</v>
      </c>
      <c r="W22" s="26">
        <f t="shared" si="15"/>
        <v>0.2584037179936155</v>
      </c>
      <c r="X22" s="29">
        <f t="shared" si="16"/>
        <v>-561580.37227620545</v>
      </c>
    </row>
    <row r="23" spans="1:25" x14ac:dyDescent="0.25">
      <c r="A23" t="s">
        <v>50</v>
      </c>
      <c r="B23" s="1">
        <v>469299</v>
      </c>
      <c r="C23" s="1">
        <v>52672</v>
      </c>
      <c r="D23" s="1">
        <v>26</v>
      </c>
      <c r="E23" s="1">
        <v>16008</v>
      </c>
      <c r="F23" s="13">
        <f t="shared" si="0"/>
        <v>0</v>
      </c>
      <c r="G23" s="14">
        <f t="shared" si="1"/>
        <v>21805.789473684214</v>
      </c>
      <c r="H23" s="14">
        <f t="shared" si="2"/>
        <v>46422.79144385027</v>
      </c>
      <c r="I23" s="14">
        <f t="shared" si="3"/>
        <v>4.42</v>
      </c>
      <c r="J23" s="14">
        <f t="shared" si="4"/>
        <v>8296.34</v>
      </c>
      <c r="K23" s="14">
        <f t="shared" si="5"/>
        <v>68238.857010526321</v>
      </c>
      <c r="L23" s="14">
        <f t="shared" si="6"/>
        <v>144763.77792806079</v>
      </c>
      <c r="M23" s="14">
        <f>L23*(1-1/(1+disc_rate)^disc_years)/(1-1/(1+disc_rate))</f>
        <v>1271910.3208186608</v>
      </c>
      <c r="N23" s="15">
        <f t="shared" si="7"/>
        <v>1184592</v>
      </c>
      <c r="O23" s="23">
        <v>3</v>
      </c>
      <c r="P23" s="16">
        <f t="shared" si="8"/>
        <v>2516.0526315789475</v>
      </c>
      <c r="Q23" s="16">
        <f t="shared" si="9"/>
        <v>5356.4759358288775</v>
      </c>
      <c r="R23" s="16">
        <f t="shared" si="10"/>
        <v>0.51</v>
      </c>
      <c r="S23" s="16">
        <f t="shared" si="11"/>
        <v>957.27</v>
      </c>
      <c r="T23" s="16">
        <f t="shared" si="12"/>
        <v>7873.7142704453445</v>
      </c>
      <c r="U23" s="16">
        <f t="shared" si="13"/>
        <v>16703.51283785317</v>
      </c>
      <c r="V23" s="16">
        <f t="shared" si="14"/>
        <v>146758.88317138393</v>
      </c>
      <c r="W23" s="26">
        <f t="shared" si="15"/>
        <v>0.95535319568712718</v>
      </c>
      <c r="X23" s="29">
        <f t="shared" si="16"/>
        <v>-59440.562352723209</v>
      </c>
    </row>
    <row r="24" spans="1:25" x14ac:dyDescent="0.25">
      <c r="A24" t="s">
        <v>51</v>
      </c>
      <c r="B24" s="1">
        <v>151695</v>
      </c>
      <c r="C24" s="1">
        <v>14842</v>
      </c>
      <c r="D24" s="1">
        <v>5</v>
      </c>
      <c r="E24" s="1">
        <v>2991</v>
      </c>
      <c r="F24" s="13">
        <f t="shared" si="0"/>
        <v>0</v>
      </c>
      <c r="G24" s="14">
        <f t="shared" si="1"/>
        <v>4193.4210526315792</v>
      </c>
      <c r="H24" s="14">
        <f t="shared" si="2"/>
        <v>8927.4598930481279</v>
      </c>
      <c r="I24" s="14">
        <f t="shared" si="3"/>
        <v>0.85000000000000009</v>
      </c>
      <c r="J24" s="14">
        <f t="shared" si="4"/>
        <v>1595.4500000000003</v>
      </c>
      <c r="K24" s="14">
        <f t="shared" si="5"/>
        <v>13122.857117408907</v>
      </c>
      <c r="L24" s="14">
        <f t="shared" si="6"/>
        <v>27839.188063088615</v>
      </c>
      <c r="M24" s="14">
        <f>L24*(1-1/(1+disc_rate)^disc_years)/(1-1/(1+disc_rate))</f>
        <v>244598.13861897323</v>
      </c>
      <c r="N24" s="15">
        <f t="shared" si="7"/>
        <v>221334</v>
      </c>
      <c r="O24" s="23">
        <v>2</v>
      </c>
      <c r="P24" s="16">
        <f t="shared" si="8"/>
        <v>1677.3684210526317</v>
      </c>
      <c r="Q24" s="16">
        <f t="shared" si="9"/>
        <v>3570.9839572192514</v>
      </c>
      <c r="R24" s="16">
        <f t="shared" si="10"/>
        <v>0.34</v>
      </c>
      <c r="S24" s="16">
        <f t="shared" si="11"/>
        <v>638.18000000000006</v>
      </c>
      <c r="T24" s="16">
        <f t="shared" si="12"/>
        <v>5249.142846963563</v>
      </c>
      <c r="U24" s="16">
        <f t="shared" si="13"/>
        <v>11135.675225235445</v>
      </c>
      <c r="V24" s="16">
        <f t="shared" si="14"/>
        <v>97839.255447589268</v>
      </c>
      <c r="W24" s="26">
        <f t="shared" si="15"/>
        <v>0.76634910489590868</v>
      </c>
      <c r="X24" s="29">
        <f t="shared" si="16"/>
        <v>-74575.116828616039</v>
      </c>
    </row>
    <row r="25" spans="1:25" x14ac:dyDescent="0.25">
      <c r="A25" t="s">
        <v>52</v>
      </c>
      <c r="B25" s="1">
        <v>138375</v>
      </c>
      <c r="C25" s="1">
        <v>14288</v>
      </c>
      <c r="D25" s="1">
        <v>0</v>
      </c>
      <c r="E25" s="1">
        <v>3477</v>
      </c>
      <c r="F25" s="13">
        <f t="shared" si="0"/>
        <v>0</v>
      </c>
      <c r="G25" s="14">
        <f t="shared" si="1"/>
        <v>0</v>
      </c>
      <c r="H25" s="14">
        <f t="shared" si="2"/>
        <v>0</v>
      </c>
      <c r="I25" s="14">
        <f t="shared" si="3"/>
        <v>0</v>
      </c>
      <c r="J25" s="14">
        <f t="shared" si="4"/>
        <v>0</v>
      </c>
      <c r="K25" s="14">
        <f t="shared" si="5"/>
        <v>0</v>
      </c>
      <c r="L25" s="14">
        <f t="shared" si="6"/>
        <v>0</v>
      </c>
      <c r="M25" s="14">
        <f>L25*(1-1/(1+disc_rate)^disc_years)/(1-1/(1+disc_rate))</f>
        <v>0</v>
      </c>
      <c r="N25" s="15">
        <f t="shared" si="7"/>
        <v>257298</v>
      </c>
      <c r="O25" s="23">
        <v>2</v>
      </c>
      <c r="P25" s="16">
        <f t="shared" si="8"/>
        <v>1677.3684210526317</v>
      </c>
      <c r="Q25" s="16">
        <f t="shared" si="9"/>
        <v>3570.9839572192514</v>
      </c>
      <c r="R25" s="16">
        <f t="shared" si="10"/>
        <v>0.34</v>
      </c>
      <c r="S25" s="16">
        <f t="shared" si="11"/>
        <v>638.18000000000006</v>
      </c>
      <c r="T25" s="16">
        <f t="shared" si="12"/>
        <v>5249.142846963563</v>
      </c>
      <c r="U25" s="16">
        <f t="shared" si="13"/>
        <v>11135.675225235445</v>
      </c>
      <c r="V25" s="16">
        <f t="shared" si="14"/>
        <v>97839.255447589268</v>
      </c>
      <c r="W25" s="26">
        <f t="shared" si="15"/>
        <v>0</v>
      </c>
      <c r="X25" s="29">
        <f t="shared" si="16"/>
        <v>-355137.25544758927</v>
      </c>
    </row>
    <row r="26" spans="1:25" x14ac:dyDescent="0.25">
      <c r="A26" t="s">
        <v>53</v>
      </c>
      <c r="B26" s="1">
        <v>98196</v>
      </c>
      <c r="C26" s="1">
        <v>10015</v>
      </c>
      <c r="D26" s="1">
        <v>4</v>
      </c>
      <c r="E26" s="1">
        <v>2343</v>
      </c>
      <c r="F26" s="13">
        <f t="shared" si="0"/>
        <v>0</v>
      </c>
      <c r="G26" s="14">
        <f t="shared" si="1"/>
        <v>3354.7368421052633</v>
      </c>
      <c r="H26" s="14">
        <f t="shared" si="2"/>
        <v>7141.9679144385027</v>
      </c>
      <c r="I26" s="14">
        <f t="shared" si="3"/>
        <v>0.68</v>
      </c>
      <c r="J26" s="14">
        <f t="shared" si="4"/>
        <v>1276.3600000000001</v>
      </c>
      <c r="K26" s="14">
        <f t="shared" si="5"/>
        <v>10498.285693927126</v>
      </c>
      <c r="L26" s="14">
        <f t="shared" si="6"/>
        <v>22271.350450470891</v>
      </c>
      <c r="M26" s="14">
        <f>L26*(1-1/(1+disc_rate)^disc_years)/(1-1/(1+disc_rate))</f>
        <v>195678.51089517854</v>
      </c>
      <c r="N26" s="15">
        <f t="shared" si="7"/>
        <v>173382</v>
      </c>
      <c r="O26" s="23">
        <v>2</v>
      </c>
      <c r="P26" s="16">
        <f t="shared" si="8"/>
        <v>1677.3684210526317</v>
      </c>
      <c r="Q26" s="16">
        <f t="shared" si="9"/>
        <v>3570.9839572192514</v>
      </c>
      <c r="R26" s="16">
        <f t="shared" si="10"/>
        <v>0.34</v>
      </c>
      <c r="S26" s="16">
        <f t="shared" si="11"/>
        <v>638.18000000000006</v>
      </c>
      <c r="T26" s="16">
        <f t="shared" si="12"/>
        <v>5249.142846963563</v>
      </c>
      <c r="U26" s="16">
        <f t="shared" si="13"/>
        <v>11135.675225235445</v>
      </c>
      <c r="V26" s="16">
        <f t="shared" si="14"/>
        <v>97839.255447589268</v>
      </c>
      <c r="W26" s="26">
        <f t="shared" si="15"/>
        <v>0.72147188675259044</v>
      </c>
      <c r="X26" s="29">
        <f t="shared" si="16"/>
        <v>-75542.744552410732</v>
      </c>
    </row>
    <row r="27" spans="1:25" x14ac:dyDescent="0.25">
      <c r="A27" t="s">
        <v>54</v>
      </c>
      <c r="B27" s="1">
        <v>162561</v>
      </c>
      <c r="C27" s="1">
        <v>16432</v>
      </c>
      <c r="D27" s="1">
        <v>1</v>
      </c>
      <c r="E27" s="1">
        <v>3732</v>
      </c>
      <c r="F27" s="13">
        <f t="shared" si="0"/>
        <v>0</v>
      </c>
      <c r="G27" s="14">
        <f t="shared" si="1"/>
        <v>838.68421052631584</v>
      </c>
      <c r="H27" s="14">
        <f t="shared" si="2"/>
        <v>1785.4919786096257</v>
      </c>
      <c r="I27" s="14">
        <f t="shared" si="3"/>
        <v>0.17</v>
      </c>
      <c r="J27" s="14">
        <f t="shared" si="4"/>
        <v>319.09000000000003</v>
      </c>
      <c r="K27" s="14">
        <f t="shared" si="5"/>
        <v>2624.5714234817815</v>
      </c>
      <c r="L27" s="14">
        <f t="shared" si="6"/>
        <v>5567.8376126177227</v>
      </c>
      <c r="M27" s="14">
        <f>L27*(1-1/(1+disc_rate)^disc_years)/(1-1/(1+disc_rate))</f>
        <v>48919.627723794634</v>
      </c>
      <c r="N27" s="15">
        <f t="shared" si="7"/>
        <v>276168</v>
      </c>
      <c r="O27" s="23">
        <v>2</v>
      </c>
      <c r="P27" s="16">
        <f t="shared" si="8"/>
        <v>1677.3684210526317</v>
      </c>
      <c r="Q27" s="16">
        <f t="shared" si="9"/>
        <v>3570.9839572192514</v>
      </c>
      <c r="R27" s="16">
        <f t="shared" si="10"/>
        <v>0.34</v>
      </c>
      <c r="S27" s="16">
        <f t="shared" si="11"/>
        <v>638.18000000000006</v>
      </c>
      <c r="T27" s="16">
        <f t="shared" si="12"/>
        <v>5249.142846963563</v>
      </c>
      <c r="U27" s="16">
        <f t="shared" si="13"/>
        <v>11135.675225235445</v>
      </c>
      <c r="V27" s="16">
        <f t="shared" si="14"/>
        <v>97839.255447589268</v>
      </c>
      <c r="W27" s="26">
        <f t="shared" si="15"/>
        <v>0.13079860620685174</v>
      </c>
      <c r="X27" s="29">
        <f t="shared" si="16"/>
        <v>-325087.62772379466</v>
      </c>
    </row>
    <row r="28" spans="1:25" x14ac:dyDescent="0.25">
      <c r="A28" t="s">
        <v>55</v>
      </c>
      <c r="B28" s="1">
        <v>136995</v>
      </c>
      <c r="C28" s="1">
        <v>12320</v>
      </c>
      <c r="D28" s="1">
        <v>0</v>
      </c>
      <c r="E28" s="1">
        <v>1617</v>
      </c>
      <c r="F28" s="13">
        <f t="shared" si="0"/>
        <v>0</v>
      </c>
      <c r="G28" s="14">
        <f t="shared" si="1"/>
        <v>0</v>
      </c>
      <c r="H28" s="14">
        <f t="shared" si="2"/>
        <v>0</v>
      </c>
      <c r="I28" s="14">
        <f t="shared" si="3"/>
        <v>0</v>
      </c>
      <c r="J28" s="14">
        <f t="shared" si="4"/>
        <v>0</v>
      </c>
      <c r="K28" s="14">
        <f t="shared" si="5"/>
        <v>0</v>
      </c>
      <c r="L28" s="14">
        <f t="shared" si="6"/>
        <v>0</v>
      </c>
      <c r="M28" s="14">
        <f>L28*(1-1/(1+disc_rate)^disc_years)/(1-1/(1+disc_rate))</f>
        <v>0</v>
      </c>
      <c r="N28" s="15">
        <f t="shared" si="7"/>
        <v>119658</v>
      </c>
      <c r="O28" s="23">
        <v>3</v>
      </c>
      <c r="P28" s="16">
        <f t="shared" si="8"/>
        <v>2516.0526315789475</v>
      </c>
      <c r="Q28" s="16">
        <f t="shared" si="9"/>
        <v>5356.4759358288775</v>
      </c>
      <c r="R28" s="16">
        <f t="shared" si="10"/>
        <v>0.51</v>
      </c>
      <c r="S28" s="16">
        <f t="shared" si="11"/>
        <v>957.27</v>
      </c>
      <c r="T28" s="16">
        <f t="shared" si="12"/>
        <v>7873.7142704453445</v>
      </c>
      <c r="U28" s="16">
        <f t="shared" si="13"/>
        <v>16703.51283785317</v>
      </c>
      <c r="V28" s="16">
        <f t="shared" si="14"/>
        <v>146758.88317138393</v>
      </c>
      <c r="W28" s="26">
        <f t="shared" si="15"/>
        <v>0</v>
      </c>
      <c r="X28" s="29">
        <f t="shared" si="16"/>
        <v>-266416.88317138393</v>
      </c>
    </row>
    <row r="29" spans="1:25" x14ac:dyDescent="0.25">
      <c r="A29" t="s">
        <v>56</v>
      </c>
      <c r="B29" s="1">
        <v>151686</v>
      </c>
      <c r="C29" s="1">
        <v>14257</v>
      </c>
      <c r="D29" s="1">
        <v>8</v>
      </c>
      <c r="E29" s="1">
        <v>2407</v>
      </c>
      <c r="F29" s="13">
        <f t="shared" si="0"/>
        <v>0</v>
      </c>
      <c r="G29" s="14">
        <f t="shared" si="1"/>
        <v>6709.4736842105267</v>
      </c>
      <c r="H29" s="14">
        <f t="shared" si="2"/>
        <v>14283.935828877005</v>
      </c>
      <c r="I29" s="14">
        <f t="shared" si="3"/>
        <v>1.36</v>
      </c>
      <c r="J29" s="14">
        <f t="shared" si="4"/>
        <v>2552.7200000000003</v>
      </c>
      <c r="K29" s="14">
        <f t="shared" si="5"/>
        <v>20996.571387854252</v>
      </c>
      <c r="L29" s="14">
        <f t="shared" si="6"/>
        <v>44542.700900941782</v>
      </c>
      <c r="M29" s="14">
        <f>L29*(1-1/(1+disc_rate)^disc_years)/(1-1/(1+disc_rate))</f>
        <v>391357.02179035707</v>
      </c>
      <c r="N29" s="15">
        <f t="shared" si="7"/>
        <v>178118</v>
      </c>
      <c r="O29" s="23">
        <v>3</v>
      </c>
      <c r="P29" s="16">
        <f t="shared" si="8"/>
        <v>2516.0526315789475</v>
      </c>
      <c r="Q29" s="16">
        <f t="shared" si="9"/>
        <v>5356.4759358288775</v>
      </c>
      <c r="R29" s="16">
        <f t="shared" si="10"/>
        <v>0.51</v>
      </c>
      <c r="S29" s="16">
        <f t="shared" si="11"/>
        <v>957.27</v>
      </c>
      <c r="T29" s="16">
        <f t="shared" si="12"/>
        <v>7873.7142704453445</v>
      </c>
      <c r="U29" s="16">
        <f t="shared" si="13"/>
        <v>16703.51283785317</v>
      </c>
      <c r="V29" s="16">
        <f t="shared" si="14"/>
        <v>146758.88317138393</v>
      </c>
      <c r="W29" s="26">
        <f t="shared" si="15"/>
        <v>1.2046317914959266</v>
      </c>
      <c r="X29" s="29">
        <f t="shared" si="16"/>
        <v>66480.138618973142</v>
      </c>
    </row>
    <row r="30" spans="1:25" x14ac:dyDescent="0.25">
      <c r="A30" t="s">
        <v>57</v>
      </c>
      <c r="B30" s="1">
        <v>55620</v>
      </c>
      <c r="C30" s="1">
        <v>4949</v>
      </c>
      <c r="D30" s="1">
        <v>0</v>
      </c>
      <c r="E30" s="1">
        <v>604</v>
      </c>
      <c r="F30" s="13">
        <f t="shared" si="0"/>
        <v>0</v>
      </c>
      <c r="G30" s="14">
        <f t="shared" si="1"/>
        <v>0</v>
      </c>
      <c r="H30" s="14">
        <f t="shared" si="2"/>
        <v>0</v>
      </c>
      <c r="I30" s="14">
        <f t="shared" si="3"/>
        <v>0</v>
      </c>
      <c r="J30" s="14">
        <f t="shared" si="4"/>
        <v>0</v>
      </c>
      <c r="K30" s="14">
        <f t="shared" si="5"/>
        <v>0</v>
      </c>
      <c r="L30" s="14">
        <f t="shared" si="6"/>
        <v>0</v>
      </c>
      <c r="M30" s="14">
        <f>L30*(1-1/(1+disc_rate)^disc_years)/(1-1/(1+disc_rate))</f>
        <v>0</v>
      </c>
      <c r="N30" s="15">
        <f t="shared" si="7"/>
        <v>44696</v>
      </c>
      <c r="O30" s="23">
        <v>3</v>
      </c>
      <c r="P30" s="16">
        <f t="shared" si="8"/>
        <v>2516.0526315789475</v>
      </c>
      <c r="Q30" s="16">
        <f t="shared" si="9"/>
        <v>5356.4759358288775</v>
      </c>
      <c r="R30" s="16">
        <f t="shared" si="10"/>
        <v>0.51</v>
      </c>
      <c r="S30" s="16">
        <f t="shared" si="11"/>
        <v>957.27</v>
      </c>
      <c r="T30" s="16">
        <f t="shared" si="12"/>
        <v>7873.7142704453445</v>
      </c>
      <c r="U30" s="16">
        <f t="shared" si="13"/>
        <v>16703.51283785317</v>
      </c>
      <c r="V30" s="16">
        <f t="shared" si="14"/>
        <v>146758.88317138393</v>
      </c>
      <c r="W30" s="26">
        <f t="shared" si="15"/>
        <v>0</v>
      </c>
      <c r="X30" s="29">
        <f t="shared" si="16"/>
        <v>-191454.88317138393</v>
      </c>
    </row>
    <row r="31" spans="1:25" x14ac:dyDescent="0.25">
      <c r="A31" t="s">
        <v>58</v>
      </c>
      <c r="B31" s="1">
        <v>297420</v>
      </c>
      <c r="C31" s="1">
        <v>29797</v>
      </c>
      <c r="D31" s="1">
        <v>10</v>
      </c>
      <c r="E31" s="1">
        <v>6561</v>
      </c>
      <c r="F31" s="13">
        <f t="shared" si="0"/>
        <v>0</v>
      </c>
      <c r="G31" s="14">
        <f t="shared" si="1"/>
        <v>8386.8421052631584</v>
      </c>
      <c r="H31" s="14">
        <f t="shared" si="2"/>
        <v>17854.919786096256</v>
      </c>
      <c r="I31" s="14">
        <f t="shared" si="3"/>
        <v>1.7000000000000002</v>
      </c>
      <c r="J31" s="14">
        <f t="shared" si="4"/>
        <v>3190.9000000000005</v>
      </c>
      <c r="K31" s="14">
        <f t="shared" si="5"/>
        <v>26245.714234817813</v>
      </c>
      <c r="L31" s="14">
        <f t="shared" si="6"/>
        <v>55678.376126177231</v>
      </c>
      <c r="M31" s="14">
        <f>L31*(1-1/(1+disc_rate)^disc_years)/(1-1/(1+disc_rate))</f>
        <v>489196.27723794646</v>
      </c>
      <c r="N31" s="15">
        <f t="shared" si="7"/>
        <v>485514</v>
      </c>
      <c r="O31" s="23">
        <v>2</v>
      </c>
      <c r="P31" s="16">
        <f t="shared" si="8"/>
        <v>1677.3684210526317</v>
      </c>
      <c r="Q31" s="16">
        <f t="shared" si="9"/>
        <v>3570.9839572192514</v>
      </c>
      <c r="R31" s="16">
        <f t="shared" si="10"/>
        <v>0.34</v>
      </c>
      <c r="S31" s="16">
        <f t="shared" si="11"/>
        <v>638.18000000000006</v>
      </c>
      <c r="T31" s="16">
        <f t="shared" si="12"/>
        <v>5249.142846963563</v>
      </c>
      <c r="U31" s="16">
        <f t="shared" si="13"/>
        <v>11135.675225235445</v>
      </c>
      <c r="V31" s="16">
        <f t="shared" si="14"/>
        <v>97839.255447589268</v>
      </c>
      <c r="W31" s="26">
        <f t="shared" si="15"/>
        <v>0.83859354973960154</v>
      </c>
      <c r="X31" s="29">
        <f t="shared" si="16"/>
        <v>-94156.978209642868</v>
      </c>
    </row>
    <row r="32" spans="1:25" x14ac:dyDescent="0.25">
      <c r="A32" t="s">
        <v>59</v>
      </c>
      <c r="B32" s="1">
        <v>43650</v>
      </c>
      <c r="C32" s="1">
        <v>4557</v>
      </c>
      <c r="D32" s="1">
        <v>1</v>
      </c>
      <c r="E32" s="1">
        <v>1147</v>
      </c>
      <c r="F32" s="13">
        <f t="shared" si="0"/>
        <v>0</v>
      </c>
      <c r="G32" s="14">
        <f t="shared" si="1"/>
        <v>838.68421052631584</v>
      </c>
      <c r="H32" s="14">
        <f t="shared" si="2"/>
        <v>1785.4919786096257</v>
      </c>
      <c r="I32" s="14">
        <f t="shared" si="3"/>
        <v>0.17</v>
      </c>
      <c r="J32" s="14">
        <f t="shared" si="4"/>
        <v>319.09000000000003</v>
      </c>
      <c r="K32" s="14">
        <f t="shared" si="5"/>
        <v>2624.5714234817815</v>
      </c>
      <c r="L32" s="14">
        <f t="shared" si="6"/>
        <v>5567.8376126177227</v>
      </c>
      <c r="M32" s="14">
        <f>L32*(1-1/(1+disc_rate)^disc_years)/(1-1/(1+disc_rate))</f>
        <v>48919.627723794634</v>
      </c>
      <c r="N32" s="15">
        <f t="shared" si="7"/>
        <v>84878</v>
      </c>
      <c r="O32" s="23">
        <v>2</v>
      </c>
      <c r="P32" s="16">
        <f t="shared" si="8"/>
        <v>1677.3684210526317</v>
      </c>
      <c r="Q32" s="16">
        <f t="shared" si="9"/>
        <v>3570.9839572192514</v>
      </c>
      <c r="R32" s="16">
        <f t="shared" si="10"/>
        <v>0.34</v>
      </c>
      <c r="S32" s="16">
        <f t="shared" si="11"/>
        <v>638.18000000000006</v>
      </c>
      <c r="T32" s="16">
        <f t="shared" si="12"/>
        <v>5249.142846963563</v>
      </c>
      <c r="U32" s="16">
        <f t="shared" si="13"/>
        <v>11135.675225235445</v>
      </c>
      <c r="V32" s="16">
        <f t="shared" si="14"/>
        <v>97839.255447589268</v>
      </c>
      <c r="W32" s="26">
        <f t="shared" si="15"/>
        <v>0.26773403313200911</v>
      </c>
      <c r="X32" s="29">
        <f t="shared" si="16"/>
        <v>-133797.62772379463</v>
      </c>
    </row>
    <row r="33" spans="1:24" x14ac:dyDescent="0.25">
      <c r="A33" t="s">
        <v>60</v>
      </c>
      <c r="B33" s="1">
        <v>109752</v>
      </c>
      <c r="C33" s="1">
        <v>10821</v>
      </c>
      <c r="D33" s="1">
        <v>0</v>
      </c>
      <c r="E33" s="1">
        <v>2247</v>
      </c>
      <c r="F33" s="13">
        <f t="shared" si="0"/>
        <v>0</v>
      </c>
      <c r="G33" s="14">
        <f t="shared" si="1"/>
        <v>0</v>
      </c>
      <c r="H33" s="14">
        <f t="shared" si="2"/>
        <v>0</v>
      </c>
      <c r="I33" s="14">
        <f t="shared" si="3"/>
        <v>0</v>
      </c>
      <c r="J33" s="14">
        <f t="shared" si="4"/>
        <v>0</v>
      </c>
      <c r="K33" s="14">
        <f t="shared" si="5"/>
        <v>0</v>
      </c>
      <c r="L33" s="14">
        <f t="shared" si="6"/>
        <v>0</v>
      </c>
      <c r="M33" s="14">
        <f>L33*(1-1/(1+disc_rate)^disc_years)/(1-1/(1+disc_rate))</f>
        <v>0</v>
      </c>
      <c r="N33" s="15">
        <f t="shared" si="7"/>
        <v>166278</v>
      </c>
      <c r="O33" s="23">
        <v>3</v>
      </c>
      <c r="P33" s="16">
        <f t="shared" si="8"/>
        <v>2516.0526315789475</v>
      </c>
      <c r="Q33" s="16">
        <f t="shared" si="9"/>
        <v>5356.4759358288775</v>
      </c>
      <c r="R33" s="16">
        <f t="shared" si="10"/>
        <v>0.51</v>
      </c>
      <c r="S33" s="16">
        <f t="shared" si="11"/>
        <v>957.27</v>
      </c>
      <c r="T33" s="16">
        <f t="shared" si="12"/>
        <v>7873.7142704453445</v>
      </c>
      <c r="U33" s="16">
        <f t="shared" si="13"/>
        <v>16703.51283785317</v>
      </c>
      <c r="V33" s="16">
        <f t="shared" si="14"/>
        <v>146758.88317138393</v>
      </c>
      <c r="W33" s="26">
        <f t="shared" si="15"/>
        <v>0</v>
      </c>
      <c r="X33" s="29">
        <f t="shared" si="16"/>
        <v>-313036.88317138393</v>
      </c>
    </row>
    <row r="34" spans="1:24" x14ac:dyDescent="0.25">
      <c r="A34" t="s">
        <v>61</v>
      </c>
      <c r="B34" s="1">
        <v>359313</v>
      </c>
      <c r="C34" s="1">
        <v>37303</v>
      </c>
      <c r="D34" s="1">
        <v>16</v>
      </c>
      <c r="E34" s="1">
        <v>9232</v>
      </c>
      <c r="F34" s="13">
        <f t="shared" si="0"/>
        <v>0</v>
      </c>
      <c r="G34" s="14">
        <f t="shared" si="1"/>
        <v>13418.947368421053</v>
      </c>
      <c r="H34" s="14">
        <f t="shared" si="2"/>
        <v>28567.871657754011</v>
      </c>
      <c r="I34" s="14">
        <f t="shared" si="3"/>
        <v>2.72</v>
      </c>
      <c r="J34" s="14">
        <f t="shared" si="4"/>
        <v>5105.4400000000005</v>
      </c>
      <c r="K34" s="14">
        <f t="shared" si="5"/>
        <v>41993.142775708504</v>
      </c>
      <c r="L34" s="14">
        <f t="shared" si="6"/>
        <v>89085.401801883563</v>
      </c>
      <c r="M34" s="14">
        <f>L34*(1-1/(1+disc_rate)^disc_years)/(1-1/(1+disc_rate))</f>
        <v>782714.04358071415</v>
      </c>
      <c r="N34" s="15">
        <f t="shared" si="7"/>
        <v>683168</v>
      </c>
      <c r="O34" s="23">
        <v>2</v>
      </c>
      <c r="P34" s="16">
        <f t="shared" si="8"/>
        <v>1677.3684210526317</v>
      </c>
      <c r="Q34" s="16">
        <f t="shared" si="9"/>
        <v>3570.9839572192514</v>
      </c>
      <c r="R34" s="16">
        <f t="shared" si="10"/>
        <v>0.34</v>
      </c>
      <c r="S34" s="16">
        <f t="shared" si="11"/>
        <v>638.18000000000006</v>
      </c>
      <c r="T34" s="16">
        <f t="shared" si="12"/>
        <v>5249.142846963563</v>
      </c>
      <c r="U34" s="16">
        <f t="shared" si="13"/>
        <v>11135.675225235445</v>
      </c>
      <c r="V34" s="16">
        <f t="shared" si="14"/>
        <v>97839.255447589268</v>
      </c>
      <c r="W34" s="26">
        <f t="shared" si="15"/>
        <v>1.0021853678326544</v>
      </c>
      <c r="X34" s="29">
        <f t="shared" si="16"/>
        <v>1706.7881331248209</v>
      </c>
    </row>
    <row r="35" spans="1:24" x14ac:dyDescent="0.25">
      <c r="A35" t="s">
        <v>62</v>
      </c>
      <c r="B35" s="1">
        <v>41112</v>
      </c>
      <c r="C35" s="1">
        <v>3744</v>
      </c>
      <c r="D35" s="1">
        <v>0</v>
      </c>
      <c r="E35" s="1">
        <v>532</v>
      </c>
      <c r="F35" s="13">
        <f t="shared" si="0"/>
        <v>0</v>
      </c>
      <c r="G35" s="14">
        <f t="shared" si="1"/>
        <v>0</v>
      </c>
      <c r="H35" s="14">
        <f t="shared" si="2"/>
        <v>0</v>
      </c>
      <c r="I35" s="14">
        <f t="shared" si="3"/>
        <v>0</v>
      </c>
      <c r="J35" s="14">
        <f t="shared" si="4"/>
        <v>0</v>
      </c>
      <c r="K35" s="14">
        <f t="shared" si="5"/>
        <v>0</v>
      </c>
      <c r="L35" s="14">
        <f t="shared" si="6"/>
        <v>0</v>
      </c>
      <c r="M35" s="14">
        <f>L35*(1-1/(1+disc_rate)^disc_years)/(1-1/(1+disc_rate))</f>
        <v>0</v>
      </c>
      <c r="N35" s="15">
        <f t="shared" si="7"/>
        <v>39368</v>
      </c>
      <c r="O35" s="23">
        <v>3</v>
      </c>
      <c r="P35" s="16">
        <f t="shared" si="8"/>
        <v>2516.0526315789475</v>
      </c>
      <c r="Q35" s="16">
        <f t="shared" si="9"/>
        <v>5356.4759358288775</v>
      </c>
      <c r="R35" s="16">
        <f t="shared" si="10"/>
        <v>0.51</v>
      </c>
      <c r="S35" s="16">
        <f t="shared" si="11"/>
        <v>957.27</v>
      </c>
      <c r="T35" s="16">
        <f t="shared" si="12"/>
        <v>7873.7142704453445</v>
      </c>
      <c r="U35" s="16">
        <f t="shared" si="13"/>
        <v>16703.51283785317</v>
      </c>
      <c r="V35" s="16">
        <f t="shared" si="14"/>
        <v>146758.88317138393</v>
      </c>
      <c r="W35" s="26">
        <f t="shared" si="15"/>
        <v>0</v>
      </c>
      <c r="X35" s="29">
        <f t="shared" si="16"/>
        <v>-186126.88317138393</v>
      </c>
    </row>
    <row r="36" spans="1:24" x14ac:dyDescent="0.25">
      <c r="A36" t="s">
        <v>63</v>
      </c>
      <c r="B36" s="1">
        <v>525549</v>
      </c>
      <c r="C36" s="1">
        <v>54788</v>
      </c>
      <c r="D36" s="1">
        <v>48</v>
      </c>
      <c r="E36" s="1">
        <v>13729</v>
      </c>
      <c r="F36" s="13">
        <f t="shared" si="0"/>
        <v>0</v>
      </c>
      <c r="G36" s="14">
        <f t="shared" si="1"/>
        <v>40256.84210526316</v>
      </c>
      <c r="H36" s="14">
        <f t="shared" si="2"/>
        <v>85703.61497326204</v>
      </c>
      <c r="I36" s="14">
        <f t="shared" si="3"/>
        <v>8.16</v>
      </c>
      <c r="J36" s="14">
        <f t="shared" si="4"/>
        <v>15316.32</v>
      </c>
      <c r="K36" s="14">
        <f t="shared" si="5"/>
        <v>125979.42832712551</v>
      </c>
      <c r="L36" s="14">
        <f t="shared" si="6"/>
        <v>267256.20540565072</v>
      </c>
      <c r="M36" s="14">
        <f>L36*(1-1/(1+disc_rate)^disc_years)/(1-1/(1+disc_rate))</f>
        <v>2348142.1307421429</v>
      </c>
      <c r="N36" s="15">
        <f t="shared" si="7"/>
        <v>1015946</v>
      </c>
      <c r="O36" s="23">
        <v>2</v>
      </c>
      <c r="P36" s="16">
        <f t="shared" si="8"/>
        <v>1677.3684210526317</v>
      </c>
      <c r="Q36" s="16">
        <f t="shared" si="9"/>
        <v>3570.9839572192514</v>
      </c>
      <c r="R36" s="16">
        <f t="shared" si="10"/>
        <v>0.34</v>
      </c>
      <c r="S36" s="16">
        <f t="shared" si="11"/>
        <v>638.18000000000006</v>
      </c>
      <c r="T36" s="16">
        <f t="shared" si="12"/>
        <v>5249.142846963563</v>
      </c>
      <c r="U36" s="16">
        <f t="shared" si="13"/>
        <v>11135.675225235445</v>
      </c>
      <c r="V36" s="16">
        <f t="shared" si="14"/>
        <v>97839.255447589268</v>
      </c>
      <c r="W36" s="26">
        <f t="shared" si="15"/>
        <v>2.1082539199161072</v>
      </c>
      <c r="X36" s="29">
        <f t="shared" si="16"/>
        <v>1234356.8752945536</v>
      </c>
    </row>
    <row r="37" spans="1:24" x14ac:dyDescent="0.25">
      <c r="A37" t="s">
        <v>64</v>
      </c>
      <c r="B37" s="1">
        <v>32151</v>
      </c>
      <c r="C37" s="1">
        <v>3009</v>
      </c>
      <c r="D37" s="1">
        <v>2</v>
      </c>
      <c r="E37" s="1">
        <v>497</v>
      </c>
      <c r="F37" s="13">
        <f t="shared" si="0"/>
        <v>0</v>
      </c>
      <c r="G37" s="14">
        <f t="shared" si="1"/>
        <v>1677.3684210526317</v>
      </c>
      <c r="H37" s="14">
        <f t="shared" si="2"/>
        <v>3570.9839572192514</v>
      </c>
      <c r="I37" s="14">
        <f t="shared" si="3"/>
        <v>0.34</v>
      </c>
      <c r="J37" s="14">
        <f t="shared" si="4"/>
        <v>638.18000000000006</v>
      </c>
      <c r="K37" s="14">
        <f t="shared" si="5"/>
        <v>5249.142846963563</v>
      </c>
      <c r="L37" s="14">
        <f t="shared" si="6"/>
        <v>11135.675225235445</v>
      </c>
      <c r="M37" s="14">
        <f>L37*(1-1/(1+disc_rate)^disc_years)/(1-1/(1+disc_rate))</f>
        <v>97839.255447589268</v>
      </c>
      <c r="N37" s="15">
        <f t="shared" si="7"/>
        <v>36778</v>
      </c>
      <c r="O37" s="23">
        <v>2</v>
      </c>
      <c r="P37" s="16">
        <f t="shared" si="8"/>
        <v>1677.3684210526317</v>
      </c>
      <c r="Q37" s="16">
        <f t="shared" si="9"/>
        <v>3570.9839572192514</v>
      </c>
      <c r="R37" s="16">
        <f t="shared" si="10"/>
        <v>0.34</v>
      </c>
      <c r="S37" s="16">
        <f t="shared" si="11"/>
        <v>638.18000000000006</v>
      </c>
      <c r="T37" s="16">
        <f t="shared" si="12"/>
        <v>5249.142846963563</v>
      </c>
      <c r="U37" s="16">
        <f t="shared" si="13"/>
        <v>11135.675225235445</v>
      </c>
      <c r="V37" s="16">
        <f t="shared" si="14"/>
        <v>97839.255447589268</v>
      </c>
      <c r="W37" s="26">
        <f t="shared" si="15"/>
        <v>0.72679579688564644</v>
      </c>
      <c r="X37" s="29">
        <f t="shared" si="16"/>
        <v>-36778</v>
      </c>
    </row>
    <row r="38" spans="1:24" x14ac:dyDescent="0.25">
      <c r="A38" t="s">
        <v>65</v>
      </c>
      <c r="B38" s="1">
        <v>60120</v>
      </c>
      <c r="C38" s="1">
        <v>5772</v>
      </c>
      <c r="D38" s="1">
        <v>0</v>
      </c>
      <c r="E38" s="1">
        <v>1075</v>
      </c>
      <c r="F38" s="13">
        <f t="shared" si="0"/>
        <v>0</v>
      </c>
      <c r="G38" s="14">
        <f t="shared" si="1"/>
        <v>0</v>
      </c>
      <c r="H38" s="14">
        <f t="shared" si="2"/>
        <v>0</v>
      </c>
      <c r="I38" s="14">
        <f t="shared" si="3"/>
        <v>0</v>
      </c>
      <c r="J38" s="14">
        <f t="shared" si="4"/>
        <v>0</v>
      </c>
      <c r="K38" s="14">
        <f t="shared" si="5"/>
        <v>0</v>
      </c>
      <c r="L38" s="14">
        <f t="shared" si="6"/>
        <v>0</v>
      </c>
      <c r="M38" s="14">
        <f>L38*(1-1/(1+disc_rate)^disc_years)/(1-1/(1+disc_rate))</f>
        <v>0</v>
      </c>
      <c r="N38" s="15">
        <f t="shared" si="7"/>
        <v>79550</v>
      </c>
      <c r="O38" s="23">
        <v>2</v>
      </c>
      <c r="P38" s="16">
        <f t="shared" si="8"/>
        <v>1677.3684210526317</v>
      </c>
      <c r="Q38" s="16">
        <f t="shared" si="9"/>
        <v>3570.9839572192514</v>
      </c>
      <c r="R38" s="16">
        <f t="shared" si="10"/>
        <v>0.34</v>
      </c>
      <c r="S38" s="16">
        <f t="shared" si="11"/>
        <v>638.18000000000006</v>
      </c>
      <c r="T38" s="16">
        <f t="shared" si="12"/>
        <v>5249.142846963563</v>
      </c>
      <c r="U38" s="16">
        <f t="shared" si="13"/>
        <v>11135.675225235445</v>
      </c>
      <c r="V38" s="16">
        <f t="shared" si="14"/>
        <v>97839.255447589268</v>
      </c>
      <c r="W38" s="26">
        <f t="shared" si="15"/>
        <v>0</v>
      </c>
      <c r="X38" s="29">
        <f t="shared" si="16"/>
        <v>-177389.25544758927</v>
      </c>
    </row>
    <row r="39" spans="1:24" x14ac:dyDescent="0.25">
      <c r="B39" s="13"/>
      <c r="C39" s="13"/>
      <c r="D39" s="13"/>
      <c r="E39" s="13"/>
      <c r="F39" s="13"/>
      <c r="G39" s="14"/>
      <c r="H39" s="14"/>
      <c r="I39" s="14"/>
      <c r="J39" s="14"/>
      <c r="K39" s="14"/>
      <c r="L39" s="14"/>
      <c r="M39" s="14"/>
      <c r="N39" s="15"/>
      <c r="O39" s="16"/>
      <c r="P39" s="16"/>
      <c r="Q39" s="16"/>
      <c r="R39" s="16"/>
      <c r="S39" s="16"/>
      <c r="T39" s="16"/>
      <c r="U39" s="16"/>
      <c r="V39" s="16"/>
      <c r="W39" s="26"/>
      <c r="X39" s="29"/>
    </row>
    <row r="40" spans="1:24" s="4" customFormat="1" x14ac:dyDescent="0.25">
      <c r="A40" s="4" t="s">
        <v>66</v>
      </c>
      <c r="B40" s="18">
        <f>SUM(B19:B38)</f>
        <v>4241721</v>
      </c>
      <c r="C40" s="18">
        <f>SUM(C19:C38)</f>
        <v>435742</v>
      </c>
      <c r="D40" s="18">
        <f>SUM(D19:D38)</f>
        <v>206</v>
      </c>
      <c r="E40" s="18">
        <f>SUM(E19:E38)</f>
        <v>104357</v>
      </c>
      <c r="F40" s="18">
        <f>SUM(F19:F38)</f>
        <v>0</v>
      </c>
      <c r="G40" s="19">
        <f>lost_wages*D40</f>
        <v>172768.94736842107</v>
      </c>
      <c r="H40" s="19">
        <f>(case_management+case_gp+case_lab)*D40</f>
        <v>367811.34759358288</v>
      </c>
      <c r="I40" s="19">
        <f>prop_hospitalised*D40</f>
        <v>35.020000000000003</v>
      </c>
      <c r="J40" s="19">
        <f>hospital_costs*I40</f>
        <v>65732.540000000008</v>
      </c>
      <c r="K40" s="19">
        <f>D40*contacts_number*contacts_quarantine*contacts_wage_per_day</f>
        <v>540661.71323724696</v>
      </c>
      <c r="L40" s="19">
        <f>G40+H40+J40+K40</f>
        <v>1146974.5481992508</v>
      </c>
      <c r="M40" s="24">
        <f>L40*(1-1/(1+disc_rate)^disc_years)/(1-1/(1+disc_rate))</f>
        <v>10077443.311101696</v>
      </c>
      <c r="N40" s="20">
        <f>vacc_cost*E40</f>
        <v>7722418</v>
      </c>
      <c r="O40" s="21">
        <f>SUM(O19:O38)</f>
        <v>47</v>
      </c>
      <c r="P40" s="22">
        <f>lost_wages*O40</f>
        <v>39418.157894736847</v>
      </c>
      <c r="Q40" s="22">
        <f>(case_management+case_gp+case_lab)*O40</f>
        <v>83918.122994652411</v>
      </c>
      <c r="R40" s="22">
        <f>prop_hospitalised*O40</f>
        <v>7.99</v>
      </c>
      <c r="S40" s="22">
        <f>hospital_costs*R40</f>
        <v>14997.23</v>
      </c>
      <c r="T40" s="22">
        <f>O40*contacts_number*contacts_quarantine*contacts_wage_per_day</f>
        <v>123354.85690364373</v>
      </c>
      <c r="U40" s="22">
        <f>P40+Q40+S40+T40</f>
        <v>261688.36779303299</v>
      </c>
      <c r="V40" s="22">
        <f>U40*(1-1/(1+disc_rate)^disc_years)/(1-1/(1+disc_rate))</f>
        <v>2299222.5030183485</v>
      </c>
      <c r="W40" s="27">
        <f>M40/(N40+V40)</f>
        <v>1.0055682308766254</v>
      </c>
      <c r="X40" s="31">
        <f t="shared" si="16"/>
        <v>55802.808083346114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measles_costs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extra_vacc</vt:lpstr>
      <vt:lpstr>gp_costs</vt:lpstr>
      <vt:lpstr>hospital_costs</vt:lpstr>
      <vt:lpstr>lost_wages</vt:lpstr>
      <vt:lpstr>prop_hospitalised</vt:lpstr>
      <vt:lpstr>vacc_cost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cp:revision>0</cp:revision>
  <dcterms:created xsi:type="dcterms:W3CDTF">2014-08-21T01:10:27Z</dcterms:created>
  <dcterms:modified xsi:type="dcterms:W3CDTF">2015-08-25T03:50:32Z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