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950" yWindow="2925" windowWidth="20730" windowHeight="8190" activeTab="1"/>
  </bookViews>
  <sheets>
    <sheet name="discounting" sheetId="4" r:id="rId1"/>
    <sheet name="micks" sheetId="5" r:id="rId2"/>
    <sheet name="DHB summary" sheetId="6" r:id="rId3"/>
    <sheet name="20dollar" sheetId="7" r:id="rId4"/>
    <sheet name="50dollar" sheetId="8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ase_gp">micks!$B$4</definedName>
    <definedName name="case_lab">micks!$B$5</definedName>
    <definedName name="case_management">micks!$B$3</definedName>
    <definedName name="contacts_number">micks!$B$6</definedName>
    <definedName name="contacts_quarantine">micks!$B$7</definedName>
    <definedName name="contacts_wage_per_day">micks!$B$8</definedName>
    <definedName name="disc_rate">micks!$B$12</definedName>
    <definedName name="disc_years">micks!$B$13</definedName>
    <definedName name="discount_rate">discounting!$B$2</definedName>
    <definedName name="extra_vacc">micks!$B$15</definedName>
    <definedName name="f">'DHB summary'!#REF!</definedName>
    <definedName name="gp_costs">micks!$B$4</definedName>
    <definedName name="hospital_costs">micks!$B$10</definedName>
    <definedName name="lost_wages">micks!$B$2</definedName>
    <definedName name="prop_hospitalised">micks!$B$9</definedName>
    <definedName name="r0">'DHB summary'!$B$1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55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solver_adj" localSheetId="2" hidden="1">'DHB summary'!#REF!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'DHB summary'!#REF!</definedName>
    <definedName name="solver_lhs2" localSheetId="2" hidden="1">'DHB summary'!#REF!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'DHB summary'!#REF!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3</definedName>
    <definedName name="solver_rhs1" localSheetId="2" hidden="1">1</definedName>
    <definedName name="solver_rhs2" localSheetId="2" hidden="1">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  <definedName name="vacc_cost">micks!$B$14</definedName>
  </definedNames>
  <calcPr calcId="145621"/>
</workbook>
</file>

<file path=xl/calcChain.xml><?xml version="1.0" encoding="utf-8"?>
<calcChain xmlns="http://schemas.openxmlformats.org/spreadsheetml/2006/main">
  <c r="U40" i="5" l="1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19" i="5"/>
  <c r="H40" i="5"/>
  <c r="Q40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19" i="5"/>
  <c r="T40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19" i="5"/>
  <c r="K40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19" i="5"/>
  <c r="B8" i="5"/>
  <c r="G19" i="5"/>
  <c r="L19" i="5" s="1"/>
  <c r="F20" i="5"/>
  <c r="N20" i="5" s="1"/>
  <c r="F21" i="5"/>
  <c r="N21" i="5" s="1"/>
  <c r="F22" i="5"/>
  <c r="N22" i="5" s="1"/>
  <c r="F23" i="5"/>
  <c r="N23" i="5" s="1"/>
  <c r="F24" i="5"/>
  <c r="N24" i="5" s="1"/>
  <c r="F25" i="5"/>
  <c r="N25" i="5" s="1"/>
  <c r="F26" i="5"/>
  <c r="N26" i="5" s="1"/>
  <c r="F27" i="5"/>
  <c r="N27" i="5" s="1"/>
  <c r="F28" i="5"/>
  <c r="N28" i="5" s="1"/>
  <c r="F29" i="5"/>
  <c r="N29" i="5" s="1"/>
  <c r="F30" i="5"/>
  <c r="N30" i="5" s="1"/>
  <c r="F31" i="5"/>
  <c r="N31" i="5" s="1"/>
  <c r="F32" i="5"/>
  <c r="N32" i="5" s="1"/>
  <c r="F33" i="5"/>
  <c r="N33" i="5" s="1"/>
  <c r="F34" i="5"/>
  <c r="N34" i="5" s="1"/>
  <c r="F35" i="5"/>
  <c r="N35" i="5" s="1"/>
  <c r="F36" i="5"/>
  <c r="N36" i="5" s="1"/>
  <c r="F37" i="5"/>
  <c r="N37" i="5" s="1"/>
  <c r="F38" i="5"/>
  <c r="N38" i="5" s="1"/>
  <c r="F19" i="5"/>
  <c r="N19" i="5" s="1"/>
  <c r="F40" i="5" l="1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4" i="6"/>
  <c r="T5" i="6"/>
  <c r="U5" i="6" s="1"/>
  <c r="V5" i="6" s="1"/>
  <c r="W5" i="6" s="1"/>
  <c r="T6" i="6"/>
  <c r="U6" i="6" s="1"/>
  <c r="V6" i="6" s="1"/>
  <c r="W6" i="6" s="1"/>
  <c r="T7" i="6"/>
  <c r="U7" i="6" s="1"/>
  <c r="V7" i="6" s="1"/>
  <c r="W7" i="6" s="1"/>
  <c r="T8" i="6"/>
  <c r="U8" i="6" s="1"/>
  <c r="V8" i="6" s="1"/>
  <c r="W8" i="6" s="1"/>
  <c r="T9" i="6"/>
  <c r="U9" i="6" s="1"/>
  <c r="V9" i="6" s="1"/>
  <c r="W9" i="6" s="1"/>
  <c r="T10" i="6"/>
  <c r="U10" i="6" s="1"/>
  <c r="V10" i="6" s="1"/>
  <c r="W10" i="6" s="1"/>
  <c r="T11" i="6"/>
  <c r="U11" i="6" s="1"/>
  <c r="V11" i="6" s="1"/>
  <c r="W11" i="6" s="1"/>
  <c r="T12" i="6"/>
  <c r="U12" i="6" s="1"/>
  <c r="V12" i="6" s="1"/>
  <c r="W12" i="6" s="1"/>
  <c r="T13" i="6"/>
  <c r="U13" i="6" s="1"/>
  <c r="V13" i="6" s="1"/>
  <c r="W13" i="6" s="1"/>
  <c r="T14" i="6"/>
  <c r="U14" i="6" s="1"/>
  <c r="V14" i="6" s="1"/>
  <c r="W14" i="6" s="1"/>
  <c r="T15" i="6"/>
  <c r="U15" i="6" s="1"/>
  <c r="V15" i="6" s="1"/>
  <c r="W15" i="6" s="1"/>
  <c r="T16" i="6"/>
  <c r="U16" i="6" s="1"/>
  <c r="V16" i="6" s="1"/>
  <c r="W16" i="6" s="1"/>
  <c r="T17" i="6"/>
  <c r="U17" i="6" s="1"/>
  <c r="V17" i="6" s="1"/>
  <c r="W17" i="6" s="1"/>
  <c r="T18" i="6"/>
  <c r="U18" i="6" s="1"/>
  <c r="V18" i="6" s="1"/>
  <c r="W18" i="6" s="1"/>
  <c r="T19" i="6"/>
  <c r="U19" i="6" s="1"/>
  <c r="V19" i="6" s="1"/>
  <c r="W19" i="6" s="1"/>
  <c r="T20" i="6"/>
  <c r="U20" i="6" s="1"/>
  <c r="V20" i="6" s="1"/>
  <c r="W20" i="6" s="1"/>
  <c r="T21" i="6"/>
  <c r="U21" i="6" s="1"/>
  <c r="V21" i="6" s="1"/>
  <c r="W21" i="6" s="1"/>
  <c r="T22" i="6"/>
  <c r="U22" i="6" s="1"/>
  <c r="V22" i="6" s="1"/>
  <c r="W22" i="6" s="1"/>
  <c r="T23" i="6"/>
  <c r="U23" i="6" s="1"/>
  <c r="V23" i="6" s="1"/>
  <c r="W23" i="6" s="1"/>
  <c r="T4" i="6"/>
  <c r="U4" i="6" s="1"/>
  <c r="V4" i="6" s="1"/>
  <c r="W4" i="6" s="1"/>
  <c r="C5" i="6"/>
  <c r="F5" i="6" s="1"/>
  <c r="C6" i="6"/>
  <c r="F6" i="6" s="1"/>
  <c r="C7" i="6"/>
  <c r="F7" i="6" s="1"/>
  <c r="C8" i="6"/>
  <c r="F8" i="6" s="1"/>
  <c r="C9" i="6"/>
  <c r="F9" i="6" s="1"/>
  <c r="C10" i="6"/>
  <c r="F10" i="6" s="1"/>
  <c r="C11" i="6"/>
  <c r="F11" i="6" s="1"/>
  <c r="C12" i="6"/>
  <c r="F12" i="6" s="1"/>
  <c r="C13" i="6"/>
  <c r="F13" i="6" s="1"/>
  <c r="C14" i="6"/>
  <c r="F14" i="6" s="1"/>
  <c r="C15" i="6"/>
  <c r="F15" i="6" s="1"/>
  <c r="C16" i="6"/>
  <c r="F16" i="6" s="1"/>
  <c r="C17" i="6"/>
  <c r="F17" i="6" s="1"/>
  <c r="C18" i="6"/>
  <c r="F18" i="6" s="1"/>
  <c r="C19" i="6"/>
  <c r="F19" i="6" s="1"/>
  <c r="C20" i="6"/>
  <c r="F20" i="6" s="1"/>
  <c r="C21" i="6"/>
  <c r="F21" i="6" s="1"/>
  <c r="C22" i="6"/>
  <c r="F22" i="6" s="1"/>
  <c r="C23" i="6"/>
  <c r="F23" i="6" s="1"/>
  <c r="C4" i="6"/>
  <c r="F4" i="6" s="1"/>
  <c r="O40" i="5"/>
  <c r="R40" i="5" s="1"/>
  <c r="S40" i="5" s="1"/>
  <c r="B40" i="5"/>
  <c r="C40" i="5"/>
  <c r="D40" i="5"/>
  <c r="I40" i="5" s="1"/>
  <c r="J40" i="5" s="1"/>
  <c r="E40" i="5"/>
  <c r="N40" i="5" s="1"/>
  <c r="R20" i="5"/>
  <c r="S20" i="5" s="1"/>
  <c r="R21" i="5"/>
  <c r="S21" i="5" s="1"/>
  <c r="R22" i="5"/>
  <c r="S22" i="5" s="1"/>
  <c r="R23" i="5"/>
  <c r="S23" i="5" s="1"/>
  <c r="R24" i="5"/>
  <c r="S24" i="5" s="1"/>
  <c r="R25" i="5"/>
  <c r="S25" i="5" s="1"/>
  <c r="R26" i="5"/>
  <c r="S26" i="5" s="1"/>
  <c r="R27" i="5"/>
  <c r="S27" i="5" s="1"/>
  <c r="R28" i="5"/>
  <c r="S28" i="5" s="1"/>
  <c r="R29" i="5"/>
  <c r="S29" i="5" s="1"/>
  <c r="R30" i="5"/>
  <c r="S30" i="5" s="1"/>
  <c r="R31" i="5"/>
  <c r="S31" i="5" s="1"/>
  <c r="R32" i="5"/>
  <c r="S32" i="5" s="1"/>
  <c r="R33" i="5"/>
  <c r="S33" i="5" s="1"/>
  <c r="R34" i="5"/>
  <c r="S34" i="5" s="1"/>
  <c r="R35" i="5"/>
  <c r="S35" i="5" s="1"/>
  <c r="R36" i="5"/>
  <c r="S36" i="5" s="1"/>
  <c r="R37" i="5"/>
  <c r="S37" i="5" s="1"/>
  <c r="R38" i="5"/>
  <c r="S38" i="5" s="1"/>
  <c r="R19" i="5"/>
  <c r="S19" i="5" s="1"/>
  <c r="I20" i="5"/>
  <c r="J20" i="5" s="1"/>
  <c r="I21" i="5"/>
  <c r="J21" i="5" s="1"/>
  <c r="I22" i="5"/>
  <c r="J22" i="5" s="1"/>
  <c r="I23" i="5"/>
  <c r="J23" i="5" s="1"/>
  <c r="I24" i="5"/>
  <c r="J24" i="5" s="1"/>
  <c r="I25" i="5"/>
  <c r="J25" i="5" s="1"/>
  <c r="I26" i="5"/>
  <c r="J26" i="5" s="1"/>
  <c r="I27" i="5"/>
  <c r="J27" i="5" s="1"/>
  <c r="I28" i="5"/>
  <c r="J28" i="5" s="1"/>
  <c r="I29" i="5"/>
  <c r="J29" i="5" s="1"/>
  <c r="I30" i="5"/>
  <c r="J30" i="5" s="1"/>
  <c r="I31" i="5"/>
  <c r="J31" i="5" s="1"/>
  <c r="I32" i="5"/>
  <c r="J32" i="5" s="1"/>
  <c r="I33" i="5"/>
  <c r="J33" i="5" s="1"/>
  <c r="I34" i="5"/>
  <c r="J34" i="5" s="1"/>
  <c r="I35" i="5"/>
  <c r="J35" i="5" s="1"/>
  <c r="I36" i="5"/>
  <c r="J36" i="5" s="1"/>
  <c r="I37" i="5"/>
  <c r="J37" i="5" s="1"/>
  <c r="I38" i="5"/>
  <c r="J38" i="5" s="1"/>
  <c r="I19" i="5"/>
  <c r="J19" i="5" s="1"/>
  <c r="M21" i="6" l="1"/>
  <c r="N21" i="6" s="1"/>
  <c r="O21" i="6" s="1"/>
  <c r="P21" i="6" s="1"/>
  <c r="E21" i="6" s="1"/>
  <c r="M20" i="6"/>
  <c r="N20" i="6" s="1"/>
  <c r="O20" i="6" s="1"/>
  <c r="P20" i="6" s="1"/>
  <c r="E20" i="6" s="1"/>
  <c r="M19" i="6"/>
  <c r="N19" i="6" s="1"/>
  <c r="O19" i="6" s="1"/>
  <c r="P19" i="6" s="1"/>
  <c r="E19" i="6" s="1"/>
  <c r="M18" i="6"/>
  <c r="N18" i="6" s="1"/>
  <c r="O18" i="6" s="1"/>
  <c r="P18" i="6" s="1"/>
  <c r="E18" i="6" s="1"/>
  <c r="M17" i="6"/>
  <c r="N17" i="6" s="1"/>
  <c r="O17" i="6" s="1"/>
  <c r="P17" i="6" s="1"/>
  <c r="E17" i="6" s="1"/>
  <c r="M16" i="6"/>
  <c r="N16" i="6" s="1"/>
  <c r="O16" i="6" s="1"/>
  <c r="P16" i="6" s="1"/>
  <c r="E16" i="6" s="1"/>
  <c r="M15" i="6"/>
  <c r="N15" i="6" s="1"/>
  <c r="O15" i="6" s="1"/>
  <c r="P15" i="6" s="1"/>
  <c r="E15" i="6" s="1"/>
  <c r="M14" i="6"/>
  <c r="N14" i="6" s="1"/>
  <c r="O14" i="6" s="1"/>
  <c r="P14" i="6" s="1"/>
  <c r="E14" i="6" s="1"/>
  <c r="M13" i="6"/>
  <c r="N13" i="6" s="1"/>
  <c r="O13" i="6" s="1"/>
  <c r="P13" i="6" s="1"/>
  <c r="E13" i="6" s="1"/>
  <c r="M12" i="6"/>
  <c r="N12" i="6" s="1"/>
  <c r="O12" i="6" s="1"/>
  <c r="P12" i="6" s="1"/>
  <c r="E12" i="6" s="1"/>
  <c r="M11" i="6"/>
  <c r="N11" i="6" s="1"/>
  <c r="O11" i="6" s="1"/>
  <c r="P11" i="6" s="1"/>
  <c r="E11" i="6" s="1"/>
  <c r="M10" i="6"/>
  <c r="N10" i="6" s="1"/>
  <c r="O10" i="6" s="1"/>
  <c r="P10" i="6" s="1"/>
  <c r="E10" i="6" s="1"/>
  <c r="M9" i="6"/>
  <c r="N9" i="6" s="1"/>
  <c r="O9" i="6" s="1"/>
  <c r="P9" i="6" s="1"/>
  <c r="E9" i="6" s="1"/>
  <c r="M8" i="6"/>
  <c r="N8" i="6" s="1"/>
  <c r="O8" i="6" s="1"/>
  <c r="P8" i="6" s="1"/>
  <c r="E8" i="6" s="1"/>
  <c r="M7" i="6"/>
  <c r="N7" i="6" s="1"/>
  <c r="O7" i="6" s="1"/>
  <c r="P7" i="6" s="1"/>
  <c r="E7" i="6" s="1"/>
  <c r="M6" i="6"/>
  <c r="N6" i="6" s="1"/>
  <c r="O6" i="6" s="1"/>
  <c r="P6" i="6" s="1"/>
  <c r="E6" i="6" s="1"/>
  <c r="M5" i="6"/>
  <c r="N5" i="6" s="1"/>
  <c r="O5" i="6" s="1"/>
  <c r="P5" i="6" s="1"/>
  <c r="E5" i="6" s="1"/>
  <c r="M4" i="6"/>
  <c r="N4" i="6" s="1"/>
  <c r="O4" i="6" s="1"/>
  <c r="P4" i="6" s="1"/>
  <c r="E4" i="6" s="1"/>
  <c r="M23" i="6"/>
  <c r="N23" i="6" s="1"/>
  <c r="O23" i="6" s="1"/>
  <c r="P23" i="6" s="1"/>
  <c r="E23" i="6" s="1"/>
  <c r="M22" i="6"/>
  <c r="N22" i="6" s="1"/>
  <c r="O22" i="6" s="1"/>
  <c r="P22" i="6" s="1"/>
  <c r="E22" i="6" s="1"/>
  <c r="B2" i="5" l="1"/>
  <c r="B3" i="5"/>
  <c r="P40" i="5" l="1"/>
  <c r="V40" i="5" s="1"/>
  <c r="G40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19" i="5"/>
  <c r="G20" i="5"/>
  <c r="L20" i="5" s="1"/>
  <c r="G21" i="5"/>
  <c r="L21" i="5" s="1"/>
  <c r="G22" i="5"/>
  <c r="L22" i="5" s="1"/>
  <c r="G23" i="5"/>
  <c r="L23" i="5" s="1"/>
  <c r="G24" i="5"/>
  <c r="L24" i="5" s="1"/>
  <c r="G25" i="5"/>
  <c r="L25" i="5" s="1"/>
  <c r="G26" i="5"/>
  <c r="L26" i="5" s="1"/>
  <c r="G27" i="5"/>
  <c r="L27" i="5" s="1"/>
  <c r="G28" i="5"/>
  <c r="L28" i="5" s="1"/>
  <c r="G29" i="5"/>
  <c r="L29" i="5" s="1"/>
  <c r="G30" i="5"/>
  <c r="L30" i="5" s="1"/>
  <c r="G31" i="5"/>
  <c r="L31" i="5" s="1"/>
  <c r="G32" i="5"/>
  <c r="L32" i="5" s="1"/>
  <c r="G33" i="5"/>
  <c r="L33" i="5" s="1"/>
  <c r="G34" i="5"/>
  <c r="L34" i="5" s="1"/>
  <c r="G35" i="5"/>
  <c r="L35" i="5" s="1"/>
  <c r="G36" i="5"/>
  <c r="L36" i="5" s="1"/>
  <c r="G37" i="5"/>
  <c r="L37" i="5" s="1"/>
  <c r="G38" i="5"/>
  <c r="L38" i="5" s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L40" i="5" l="1"/>
  <c r="M40" i="5" s="1"/>
  <c r="W40" i="5" s="1"/>
  <c r="B24" i="6"/>
  <c r="D24" i="6"/>
  <c r="F24" i="6"/>
  <c r="G24" i="6" s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4" i="6"/>
  <c r="AP4" i="4"/>
  <c r="Y4" i="4"/>
  <c r="BB5" i="4"/>
  <c r="H24" i="6" l="1"/>
  <c r="V38" i="5"/>
  <c r="V37" i="5"/>
  <c r="V22" i="5"/>
  <c r="V34" i="5"/>
  <c r="M21" i="5"/>
  <c r="M29" i="5"/>
  <c r="V24" i="5"/>
  <c r="V19" i="5"/>
  <c r="V29" i="5"/>
  <c r="V31" i="5"/>
  <c r="V27" i="5"/>
  <c r="V26" i="5"/>
  <c r="V21" i="5"/>
  <c r="V33" i="5"/>
  <c r="V23" i="5"/>
  <c r="V36" i="5"/>
  <c r="V20" i="5"/>
  <c r="V25" i="5"/>
  <c r="V28" i="5"/>
  <c r="V32" i="5"/>
  <c r="V35" i="5"/>
  <c r="M25" i="5"/>
  <c r="M32" i="5"/>
  <c r="M33" i="5"/>
  <c r="M24" i="5"/>
  <c r="M31" i="5"/>
  <c r="M23" i="5"/>
  <c r="M38" i="5"/>
  <c r="M22" i="5"/>
  <c r="M30" i="5"/>
  <c r="M37" i="5"/>
  <c r="M36" i="5"/>
  <c r="M28" i="5"/>
  <c r="M20" i="5"/>
  <c r="M35" i="5"/>
  <c r="M27" i="5"/>
  <c r="M34" i="5"/>
  <c r="M26" i="5"/>
  <c r="M19" i="5"/>
  <c r="X5" i="4"/>
  <c r="X6" i="4"/>
  <c r="X7" i="4"/>
  <c r="X8" i="4"/>
  <c r="X9" i="4"/>
  <c r="X10" i="4"/>
  <c r="X11" i="4"/>
  <c r="X12" i="4"/>
  <c r="X13" i="4"/>
  <c r="X14" i="4"/>
  <c r="X15" i="4"/>
  <c r="X16" i="4"/>
  <c r="X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4" i="4"/>
  <c r="AQ4" i="4" l="1"/>
  <c r="AR4" i="4"/>
  <c r="AS4" i="4"/>
  <c r="AT4" i="4"/>
  <c r="AU4" i="4"/>
  <c r="AV4" i="4"/>
  <c r="AW4" i="4"/>
  <c r="AX4" i="4"/>
  <c r="AY4" i="4"/>
  <c r="AQ7" i="4"/>
  <c r="AR7" i="4"/>
  <c r="AS7" i="4"/>
  <c r="AT7" i="4"/>
  <c r="AU7" i="4"/>
  <c r="AV7" i="4"/>
  <c r="AW7" i="4"/>
  <c r="AX7" i="4"/>
  <c r="AY7" i="4"/>
  <c r="AQ8" i="4"/>
  <c r="AR8" i="4"/>
  <c r="AS8" i="4"/>
  <c r="AT8" i="4"/>
  <c r="AU8" i="4"/>
  <c r="AV8" i="4"/>
  <c r="AW8" i="4"/>
  <c r="AX8" i="4"/>
  <c r="AY8" i="4"/>
  <c r="AQ9" i="4"/>
  <c r="AR9" i="4"/>
  <c r="AS9" i="4"/>
  <c r="AT9" i="4"/>
  <c r="AU9" i="4"/>
  <c r="AV9" i="4"/>
  <c r="AW9" i="4"/>
  <c r="AX9" i="4"/>
  <c r="AY9" i="4"/>
  <c r="AQ10" i="4"/>
  <c r="AR10" i="4"/>
  <c r="AS10" i="4"/>
  <c r="AT10" i="4"/>
  <c r="AU10" i="4"/>
  <c r="AV10" i="4"/>
  <c r="AW10" i="4"/>
  <c r="AX10" i="4"/>
  <c r="AY10" i="4"/>
  <c r="AQ14" i="4"/>
  <c r="AR14" i="4"/>
  <c r="AS14" i="4"/>
  <c r="AT14" i="4"/>
  <c r="AU14" i="4"/>
  <c r="AV14" i="4"/>
  <c r="AW14" i="4"/>
  <c r="AX14" i="4"/>
  <c r="AY14" i="4"/>
  <c r="AQ15" i="4"/>
  <c r="AR15" i="4"/>
  <c r="AS15" i="4"/>
  <c r="AT15" i="4"/>
  <c r="AU15" i="4"/>
  <c r="AV15" i="4"/>
  <c r="AW15" i="4"/>
  <c r="AX15" i="4"/>
  <c r="AY15" i="4"/>
  <c r="AQ16" i="4"/>
  <c r="AR16" i="4"/>
  <c r="AS16" i="4"/>
  <c r="AT16" i="4"/>
  <c r="AU16" i="4"/>
  <c r="AV16" i="4"/>
  <c r="AW16" i="4"/>
  <c r="AX16" i="4"/>
  <c r="AY16" i="4"/>
  <c r="AP7" i="4"/>
  <c r="AP8" i="4"/>
  <c r="AP9" i="4"/>
  <c r="AP10" i="4"/>
  <c r="AP14" i="4"/>
  <c r="AP15" i="4"/>
  <c r="AP16" i="4"/>
  <c r="AO7" i="4"/>
  <c r="AO8" i="4"/>
  <c r="AO9" i="4"/>
  <c r="AO10" i="4"/>
  <c r="AO11" i="4"/>
  <c r="AO14" i="4"/>
  <c r="AO15" i="4"/>
  <c r="AO16" i="4"/>
  <c r="AO4" i="4"/>
  <c r="Z5" i="4"/>
  <c r="AA5" i="4"/>
  <c r="AB5" i="4"/>
  <c r="AC5" i="4"/>
  <c r="AD5" i="4"/>
  <c r="AE5" i="4"/>
  <c r="AF5" i="4"/>
  <c r="AG5" i="4"/>
  <c r="AH5" i="4"/>
  <c r="Z6" i="4"/>
  <c r="AA6" i="4"/>
  <c r="AB6" i="4"/>
  <c r="AC6" i="4"/>
  <c r="AD6" i="4"/>
  <c r="AE6" i="4"/>
  <c r="AF6" i="4"/>
  <c r="AG6" i="4"/>
  <c r="AH6" i="4"/>
  <c r="Z7" i="4"/>
  <c r="AA7" i="4"/>
  <c r="AB7" i="4"/>
  <c r="AC7" i="4"/>
  <c r="AD7" i="4"/>
  <c r="AE7" i="4"/>
  <c r="AF7" i="4"/>
  <c r="AG7" i="4"/>
  <c r="AH7" i="4"/>
  <c r="Z8" i="4"/>
  <c r="AA8" i="4"/>
  <c r="AB8" i="4"/>
  <c r="AC8" i="4"/>
  <c r="AD8" i="4"/>
  <c r="AE8" i="4"/>
  <c r="AF8" i="4"/>
  <c r="AG8" i="4"/>
  <c r="AH8" i="4"/>
  <c r="Z9" i="4"/>
  <c r="AA9" i="4"/>
  <c r="AB9" i="4"/>
  <c r="AC9" i="4"/>
  <c r="AD9" i="4"/>
  <c r="AE9" i="4"/>
  <c r="AF9" i="4"/>
  <c r="AG9" i="4"/>
  <c r="AH9" i="4"/>
  <c r="Z10" i="4"/>
  <c r="AA10" i="4"/>
  <c r="AB10" i="4"/>
  <c r="AC10" i="4"/>
  <c r="AD10" i="4"/>
  <c r="AE10" i="4"/>
  <c r="AF10" i="4"/>
  <c r="AG10" i="4"/>
  <c r="AH10" i="4"/>
  <c r="Z12" i="4"/>
  <c r="AA12" i="4"/>
  <c r="AB12" i="4"/>
  <c r="AC12" i="4"/>
  <c r="AD12" i="4"/>
  <c r="AE12" i="4"/>
  <c r="AF12" i="4"/>
  <c r="AG12" i="4"/>
  <c r="AH12" i="4"/>
  <c r="Z13" i="4"/>
  <c r="AA13" i="4"/>
  <c r="AB13" i="4"/>
  <c r="AC13" i="4"/>
  <c r="AD13" i="4"/>
  <c r="AE13" i="4"/>
  <c r="AF13" i="4"/>
  <c r="AG13" i="4"/>
  <c r="AH13" i="4"/>
  <c r="Z14" i="4"/>
  <c r="AA14" i="4"/>
  <c r="AB14" i="4"/>
  <c r="AC14" i="4"/>
  <c r="AD14" i="4"/>
  <c r="AE14" i="4"/>
  <c r="AF14" i="4"/>
  <c r="AG14" i="4"/>
  <c r="AH14" i="4"/>
  <c r="Z15" i="4"/>
  <c r="AA15" i="4"/>
  <c r="AB15" i="4"/>
  <c r="AC15" i="4"/>
  <c r="AD15" i="4"/>
  <c r="AE15" i="4"/>
  <c r="AF15" i="4"/>
  <c r="AG15" i="4"/>
  <c r="AH15" i="4"/>
  <c r="Z16" i="4"/>
  <c r="AA16" i="4"/>
  <c r="AB16" i="4"/>
  <c r="AC16" i="4"/>
  <c r="AD16" i="4"/>
  <c r="AE16" i="4"/>
  <c r="AF16" i="4"/>
  <c r="AG16" i="4"/>
  <c r="AH16" i="4"/>
  <c r="Y5" i="4"/>
  <c r="Y6" i="4"/>
  <c r="Y7" i="4"/>
  <c r="Y8" i="4"/>
  <c r="Y9" i="4"/>
  <c r="Y10" i="4"/>
  <c r="Y12" i="4"/>
  <c r="Y13" i="4"/>
  <c r="Y14" i="4"/>
  <c r="Y15" i="4"/>
  <c r="Y16" i="4"/>
  <c r="G5" i="4"/>
  <c r="G6" i="4"/>
  <c r="G7" i="4"/>
  <c r="G8" i="4"/>
  <c r="G9" i="4"/>
  <c r="G10" i="4"/>
  <c r="G11" i="4"/>
  <c r="G12" i="4"/>
  <c r="G13" i="4"/>
  <c r="G14" i="4"/>
  <c r="G15" i="4"/>
  <c r="G16" i="4"/>
  <c r="V30" i="5" l="1"/>
  <c r="W22" i="5"/>
  <c r="W32" i="5"/>
  <c r="Q5" i="4"/>
  <c r="AI5" i="4"/>
  <c r="AI7" i="4"/>
  <c r="AI13" i="4"/>
  <c r="AI15" i="4"/>
  <c r="AI6" i="4"/>
  <c r="AI10" i="4"/>
  <c r="AZ16" i="4"/>
  <c r="AZ15" i="4"/>
  <c r="AZ14" i="4"/>
  <c r="AZ10" i="4"/>
  <c r="AZ9" i="4"/>
  <c r="AZ8" i="4"/>
  <c r="AZ7" i="4"/>
  <c r="G4" i="4"/>
  <c r="B2" i="4"/>
  <c r="AR3" i="4"/>
  <c r="AS3" i="4"/>
  <c r="AT3" i="4"/>
  <c r="AU3" i="4"/>
  <c r="AV3" i="4"/>
  <c r="AQ3" i="4"/>
  <c r="AA3" i="4"/>
  <c r="AB3" i="4"/>
  <c r="AC3" i="4"/>
  <c r="AD3" i="4"/>
  <c r="AE3" i="4"/>
  <c r="Z3" i="4"/>
  <c r="I3" i="4"/>
  <c r="I4" i="4" s="1"/>
  <c r="J3" i="4"/>
  <c r="J4" i="4" s="1"/>
  <c r="H3" i="4"/>
  <c r="AL17" i="4"/>
  <c r="AO17" i="4" s="1"/>
  <c r="U17" i="4"/>
  <c r="V17" i="4"/>
  <c r="X17" i="4" s="1"/>
  <c r="D17" i="4"/>
  <c r="F17" i="4"/>
  <c r="G17" i="4" s="1"/>
  <c r="AL16" i="4"/>
  <c r="U16" i="4"/>
  <c r="V16" i="4"/>
  <c r="D16" i="4"/>
  <c r="F16" i="4"/>
  <c r="AL15" i="4"/>
  <c r="U15" i="4"/>
  <c r="V15" i="4"/>
  <c r="F15" i="4"/>
  <c r="AL14" i="4"/>
  <c r="AM14" i="4"/>
  <c r="AN14" i="4"/>
  <c r="U14" i="4"/>
  <c r="V14" i="4"/>
  <c r="F14" i="4"/>
  <c r="AL13" i="4"/>
  <c r="AO13" i="4" s="1"/>
  <c r="U13" i="4"/>
  <c r="V13" i="4"/>
  <c r="D13" i="4"/>
  <c r="F13" i="4"/>
  <c r="AL12" i="4"/>
  <c r="AO12" i="4" s="1"/>
  <c r="AM12" i="4"/>
  <c r="AN12" i="4"/>
  <c r="U12" i="4"/>
  <c r="V12" i="4"/>
  <c r="D12" i="4"/>
  <c r="F12" i="4"/>
  <c r="AL11" i="4"/>
  <c r="AM11" i="4"/>
  <c r="AN11" i="4"/>
  <c r="U11" i="4"/>
  <c r="V11" i="4"/>
  <c r="F11" i="4"/>
  <c r="AL10" i="4"/>
  <c r="U10" i="4"/>
  <c r="V10" i="4"/>
  <c r="D10" i="4"/>
  <c r="F10" i="4"/>
  <c r="AM9" i="4"/>
  <c r="AN9" i="4"/>
  <c r="AL9" i="4"/>
  <c r="U9" i="4"/>
  <c r="V9" i="4"/>
  <c r="D9" i="4"/>
  <c r="F9" i="4"/>
  <c r="AL8" i="4"/>
  <c r="AM8" i="4"/>
  <c r="AN8" i="4"/>
  <c r="U8" i="4"/>
  <c r="V8" i="4"/>
  <c r="F8" i="4"/>
  <c r="AL7" i="4"/>
  <c r="V7" i="4"/>
  <c r="U7" i="4"/>
  <c r="F7" i="4"/>
  <c r="AL6" i="4"/>
  <c r="AO6" i="4" s="1"/>
  <c r="U6" i="4"/>
  <c r="V6" i="4"/>
  <c r="D6" i="4"/>
  <c r="F6" i="4"/>
  <c r="AL5" i="4"/>
  <c r="AO5" i="4" s="1"/>
  <c r="AM5" i="4"/>
  <c r="AN5" i="4"/>
  <c r="U5" i="4"/>
  <c r="V5" i="4"/>
  <c r="D5" i="4"/>
  <c r="F5" i="4"/>
  <c r="AL4" i="4"/>
  <c r="AM4" i="4"/>
  <c r="AN4" i="4"/>
  <c r="U4" i="4"/>
  <c r="V4" i="4"/>
  <c r="F4" i="4"/>
  <c r="AM16" i="4"/>
  <c r="AN16" i="4"/>
  <c r="AM17" i="4"/>
  <c r="AN17" i="4"/>
  <c r="AM7" i="4"/>
  <c r="AN7" i="4"/>
  <c r="AM15" i="4"/>
  <c r="AN15" i="4"/>
  <c r="AM10" i="4"/>
  <c r="AN10" i="4"/>
  <c r="AW3" i="4"/>
  <c r="AF3" i="4"/>
  <c r="AX3" i="4"/>
  <c r="AG3" i="4"/>
  <c r="AY3" i="4"/>
  <c r="AH3" i="4"/>
  <c r="AI8" i="4"/>
  <c r="AI9" i="4"/>
  <c r="AI12" i="4"/>
  <c r="AI16" i="4"/>
  <c r="Q12" i="4"/>
  <c r="Q17" i="4"/>
  <c r="Q7" i="4"/>
  <c r="Q13" i="4"/>
  <c r="Q6" i="4"/>
  <c r="Q15" i="4"/>
  <c r="Q11" i="4"/>
  <c r="Q10" i="4"/>
  <c r="Q16" i="4"/>
  <c r="Q9" i="4"/>
  <c r="Q8" i="4"/>
  <c r="Q14" i="4"/>
  <c r="W26" i="5" l="1"/>
  <c r="W28" i="5"/>
  <c r="W19" i="5"/>
  <c r="W31" i="5"/>
  <c r="W24" i="5"/>
  <c r="W20" i="5"/>
  <c r="W35" i="5"/>
  <c r="W25" i="5"/>
  <c r="W29" i="5"/>
  <c r="W34" i="5"/>
  <c r="W37" i="5"/>
  <c r="W27" i="5"/>
  <c r="W38" i="5"/>
  <c r="W21" i="5"/>
  <c r="W33" i="5"/>
  <c r="W23" i="5"/>
  <c r="W36" i="5"/>
  <c r="AR17" i="4"/>
  <c r="AB17" i="4"/>
  <c r="AC17" i="4"/>
  <c r="AD17" i="4"/>
  <c r="AH17" i="4"/>
  <c r="AY17" i="4"/>
  <c r="AS17" i="4"/>
  <c r="Y17" i="4"/>
  <c r="AU17" i="4"/>
  <c r="AE17" i="4"/>
  <c r="AF17" i="4"/>
  <c r="AX17" i="4"/>
  <c r="Z17" i="4"/>
  <c r="AQ17" i="4"/>
  <c r="AP17" i="4"/>
  <c r="AT17" i="4"/>
  <c r="AV17" i="4"/>
  <c r="AW17" i="4"/>
  <c r="AG17" i="4"/>
  <c r="AA17" i="4"/>
  <c r="BB8" i="4"/>
  <c r="BA8" i="4"/>
  <c r="BB7" i="4"/>
  <c r="BA7" i="4"/>
  <c r="BB9" i="4"/>
  <c r="BA9" i="4"/>
  <c r="K3" i="4"/>
  <c r="BB16" i="4"/>
  <c r="BA16" i="4"/>
  <c r="BA10" i="4"/>
  <c r="BB10" i="4"/>
  <c r="BB15" i="4"/>
  <c r="BA15" i="4"/>
  <c r="BB14" i="4"/>
  <c r="BA14" i="4"/>
  <c r="AS11" i="4"/>
  <c r="AC11" i="4"/>
  <c r="AT11" i="4"/>
  <c r="AD11" i="4"/>
  <c r="AU11" i="4"/>
  <c r="AE11" i="4"/>
  <c r="Y11" i="4"/>
  <c r="AY11" i="4"/>
  <c r="AV11" i="4"/>
  <c r="AF11" i="4"/>
  <c r="AA11" i="4"/>
  <c r="AR11" i="4"/>
  <c r="AP11" i="4"/>
  <c r="AB11" i="4"/>
  <c r="AW11" i="4"/>
  <c r="AG11" i="4"/>
  <c r="AX11" i="4"/>
  <c r="Z11" i="4"/>
  <c r="AH11" i="4"/>
  <c r="AQ11" i="4"/>
  <c r="AM13" i="4"/>
  <c r="AN13" i="4" s="1"/>
  <c r="AS12" i="4"/>
  <c r="AP12" i="4"/>
  <c r="AV12" i="4"/>
  <c r="AT12" i="4"/>
  <c r="AW12" i="4"/>
  <c r="AU12" i="4"/>
  <c r="AX12" i="4"/>
  <c r="AQ12" i="4"/>
  <c r="AY12" i="4"/>
  <c r="AR12" i="4"/>
  <c r="AM6" i="4"/>
  <c r="AN6" i="4" s="1"/>
  <c r="AT5" i="4"/>
  <c r="AU5" i="4"/>
  <c r="AV5" i="4"/>
  <c r="AP5" i="4"/>
  <c r="AW5" i="4"/>
  <c r="AX5" i="4"/>
  <c r="AQ5" i="4"/>
  <c r="AY5" i="4"/>
  <c r="AR5" i="4"/>
  <c r="AS5" i="4"/>
  <c r="Z4" i="4"/>
  <c r="AH4" i="4"/>
  <c r="AB4" i="4"/>
  <c r="AA4" i="4"/>
  <c r="AC4" i="4"/>
  <c r="AD4" i="4"/>
  <c r="AE4" i="4"/>
  <c r="AF4" i="4"/>
  <c r="AG4" i="4"/>
  <c r="AI14" i="4"/>
  <c r="W30" i="5" l="1"/>
  <c r="AI17" i="4"/>
  <c r="AZ17" i="4"/>
  <c r="K4" i="4"/>
  <c r="L3" i="4"/>
  <c r="AI11" i="4"/>
  <c r="AZ11" i="4"/>
  <c r="AU13" i="4"/>
  <c r="AY13" i="4"/>
  <c r="AV13" i="4"/>
  <c r="AW13" i="4"/>
  <c r="AR13" i="4"/>
  <c r="AS13" i="4"/>
  <c r="AP13" i="4"/>
  <c r="AT13" i="4"/>
  <c r="AX13" i="4"/>
  <c r="AQ13" i="4"/>
  <c r="AZ12" i="4"/>
  <c r="AV6" i="4"/>
  <c r="AY6" i="4"/>
  <c r="AR6" i="4"/>
  <c r="AW6" i="4"/>
  <c r="AX6" i="4"/>
  <c r="AQ6" i="4"/>
  <c r="AS6" i="4"/>
  <c r="AT6" i="4"/>
  <c r="AU6" i="4"/>
  <c r="AP6" i="4"/>
  <c r="AZ5" i="4"/>
  <c r="AZ4" i="4"/>
  <c r="AI4" i="4"/>
  <c r="BB17" i="4" l="1"/>
  <c r="BA17" i="4"/>
  <c r="L4" i="4"/>
  <c r="M3" i="4"/>
  <c r="BA11" i="4"/>
  <c r="BB11" i="4"/>
  <c r="AZ13" i="4"/>
  <c r="BB12" i="4"/>
  <c r="BA12" i="4"/>
  <c r="AZ6" i="4"/>
  <c r="BA5" i="4"/>
  <c r="M4" i="4" l="1"/>
  <c r="N3" i="4"/>
  <c r="BB13" i="4"/>
  <c r="BA13" i="4"/>
  <c r="BB6" i="4"/>
  <c r="BA6" i="4"/>
  <c r="N4" i="4" l="1"/>
  <c r="O3" i="4"/>
  <c r="O4" i="4" l="1"/>
  <c r="P3" i="4"/>
  <c r="P4" i="4" s="1"/>
  <c r="Q4" i="4" s="1"/>
  <c r="BB4" i="4" l="1"/>
  <c r="BA4" i="4"/>
</calcChain>
</file>

<file path=xl/comments1.xml><?xml version="1.0" encoding="utf-8"?>
<comments xmlns="http://schemas.openxmlformats.org/spreadsheetml/2006/main">
  <authors>
    <author>Carpenter, Tim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Carpenter, Tim:</t>
        </r>
        <r>
          <rPr>
            <sz val="9"/>
            <color indexed="81"/>
            <rFont val="Tahoma"/>
            <family val="2"/>
          </rPr>
          <t xml:space="preserve">
assume all vaccination occurs in year 0
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Carpenter, Tim:</t>
        </r>
        <r>
          <rPr>
            <sz val="9"/>
            <color indexed="81"/>
            <rFont val="Tahoma"/>
            <family val="2"/>
          </rPr>
          <t xml:space="preserve">
I am assuming this is the 10-year total and not annual total, which is the assumption for the other rows in this column.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Carpenter, Tim:</t>
        </r>
        <r>
          <rPr>
            <sz val="9"/>
            <color indexed="81"/>
            <rFont val="Tahoma"/>
            <family val="2"/>
          </rPr>
          <t xml:space="preserve">
assume vaccination all occurred in year 0.</t>
        </r>
      </text>
    </comment>
  </commentList>
</comments>
</file>

<file path=xl/sharedStrings.xml><?xml version="1.0" encoding="utf-8"?>
<sst xmlns="http://schemas.openxmlformats.org/spreadsheetml/2006/main" count="384" uniqueCount="125">
  <si>
    <t>0.92-1.19</t>
  </si>
  <si>
    <t>1.82-2.13</t>
  </si>
  <si>
    <t>Costs per vaccine</t>
  </si>
  <si>
    <t>Benefit Cost Ratio</t>
  </si>
  <si>
    <t>Tot. vaccine costs</t>
  </si>
  <si>
    <t>Tot. hospitalised cases</t>
  </si>
  <si>
    <t>Tot hospitalised cases</t>
  </si>
  <si>
    <t>Years R0 estimated from</t>
  </si>
  <si>
    <t>2013-2014</t>
  </si>
  <si>
    <t>2009-2014</t>
  </si>
  <si>
    <t>Reffective range</t>
  </si>
  <si>
    <t>Reff  for simulations</t>
  </si>
  <si>
    <t>Proportion of cases hospitalised</t>
  </si>
  <si>
    <t>Ave. epidemic size in immune pop over 10 years with Reff = 1</t>
  </si>
  <si>
    <t>Number of introductions over 10 years</t>
  </si>
  <si>
    <t>Cost lost wages</t>
  </si>
  <si>
    <t>Cost Per Hospital Case</t>
  </si>
  <si>
    <t>Tot cases over 10 years</t>
  </si>
  <si>
    <t>year</t>
  </si>
  <si>
    <t>discount rate</t>
  </si>
  <si>
    <t>Present value of discounted vaccination costs</t>
  </si>
  <si>
    <t>Present value of discounted case costs of baseline program</t>
  </si>
  <si>
    <t>Additional vaccines required to reduce R0 to 1</t>
  </si>
  <si>
    <t>Total undiscounted case costs without additional vaccination</t>
  </si>
  <si>
    <t>Avg total cases in the popn over 10 years without additional vaccination (1000 sims using Reff sim)</t>
  </si>
  <si>
    <t>Total cases reduce by vaccination alternative vs baseline</t>
  </si>
  <si>
    <t>Tot. costs for cases assuming supplemental vaccination if any</t>
  </si>
  <si>
    <t>Annual discounted case costs without a supplemental (vaccination) program</t>
  </si>
  <si>
    <t>Annual discounted vaccination costs without a supplemental (vaccination) program</t>
  </si>
  <si>
    <t>Annual discounted benefits (case costs avoided) due to supplemental (vaccination) program</t>
  </si>
  <si>
    <t>Present value of discounted benefits from reducing cases with supplemental (vaccination) program</t>
  </si>
  <si>
    <t>Discounted Net Benefit of supplemental (vaccination) program</t>
  </si>
  <si>
    <t>Management costs</t>
  </si>
  <si>
    <t>DHB</t>
  </si>
  <si>
    <t>Auckland</t>
  </si>
  <si>
    <t>Canterbury</t>
  </si>
  <si>
    <t>Lakes</t>
  </si>
  <si>
    <t>MidCentral</t>
  </si>
  <si>
    <t>Northland</t>
  </si>
  <si>
    <t>Southern</t>
  </si>
  <si>
    <t>Tairawhiti</t>
  </si>
  <si>
    <t>Taranaki</t>
  </si>
  <si>
    <t>Waikato</t>
  </si>
  <si>
    <t>Wairarapa</t>
  </si>
  <si>
    <t>Waitemata</t>
  </si>
  <si>
    <t>Whanganui</t>
  </si>
  <si>
    <t>Counties Manukau</t>
  </si>
  <si>
    <t>Hawke's Bay</t>
  </si>
  <si>
    <t>Hutt Valley</t>
  </si>
  <si>
    <t>Nelson Marlborough</t>
  </si>
  <si>
    <t>West Coast</t>
  </si>
  <si>
    <t>South Canterbury</t>
  </si>
  <si>
    <t>Bay of Plenty</t>
  </si>
  <si>
    <t>Capital and Coast</t>
  </si>
  <si>
    <t>Size</t>
  </si>
  <si>
    <t>Attack</t>
  </si>
  <si>
    <t>Vacc</t>
  </si>
  <si>
    <t>Naïve</t>
  </si>
  <si>
    <t>Cost per vaccine</t>
  </si>
  <si>
    <t>Total vaccine costs</t>
  </si>
  <si>
    <t>Total hospitalised</t>
  </si>
  <si>
    <t>Total hospitalisation costs</t>
  </si>
  <si>
    <t>Total undiscounted costs</t>
  </si>
  <si>
    <t>Total wage loss</t>
  </si>
  <si>
    <t>Total management costs</t>
  </si>
  <si>
    <t>Benefit/cost</t>
  </si>
  <si>
    <t>Total discounted costs</t>
  </si>
  <si>
    <t>Total</t>
  </si>
  <si>
    <t>Naïve post vaccination</t>
  </si>
  <si>
    <t>Outbreak size post vaccination</t>
  </si>
  <si>
    <t>Proportion to vaccinate</t>
  </si>
  <si>
    <t>Median outbreak</t>
  </si>
  <si>
    <t>Mean outbreak</t>
  </si>
  <si>
    <t>Vaccines</t>
  </si>
  <si>
    <t>Vac costs</t>
  </si>
  <si>
    <t>Wage loss</t>
  </si>
  <si>
    <t>Management</t>
  </si>
  <si>
    <t>Hospitalised</t>
  </si>
  <si>
    <t>Hospitalisation</t>
  </si>
  <si>
    <t>Costs</t>
  </si>
  <si>
    <t>Outbreak</t>
  </si>
  <si>
    <t>OB costs</t>
  </si>
  <si>
    <t>vaccine cost</t>
  </si>
  <si>
    <t>lost wages</t>
  </si>
  <si>
    <t>Costs per case</t>
  </si>
  <si>
    <t>case management costs</t>
  </si>
  <si>
    <t>hospital costs</t>
  </si>
  <si>
    <t>proportion hospitalised</t>
  </si>
  <si>
    <t>discount years</t>
  </si>
  <si>
    <t>Number of years to project for cost/benefit analysis</t>
  </si>
  <si>
    <t>Vaccine cost per person</t>
  </si>
  <si>
    <t>Discount rate to use to adjust for cost in future vs present</t>
  </si>
  <si>
    <t>GP costs</t>
  </si>
  <si>
    <t>Average number of contacts quarantined per case</t>
  </si>
  <si>
    <t>Average number of days a contact is quarantined</t>
  </si>
  <si>
    <t>Lab costs</t>
  </si>
  <si>
    <t>Contacts quarantined</t>
  </si>
  <si>
    <t>Quarantine length</t>
  </si>
  <si>
    <t>Contact wage</t>
  </si>
  <si>
    <t>Post-vaccination outbreak costs</t>
  </si>
  <si>
    <t>Population</t>
  </si>
  <si>
    <t>Benefits from outbreaks avoided</t>
  </si>
  <si>
    <t>R0</t>
  </si>
  <si>
    <t>NR0</t>
  </si>
  <si>
    <t>NR1</t>
  </si>
  <si>
    <t>NR2</t>
  </si>
  <si>
    <t>NR3</t>
  </si>
  <si>
    <t>NR4</t>
  </si>
  <si>
    <t>Vaccine Coverage</t>
  </si>
  <si>
    <t>PropVacc</t>
  </si>
  <si>
    <t>extra vaccination proportion</t>
  </si>
  <si>
    <t>Additional vaccination over and above the 0.28 required.</t>
  </si>
  <si>
    <t>Additional Vacc</t>
  </si>
  <si>
    <t>Average wage of a contact per day</t>
  </si>
  <si>
    <t>Lost wages for a case (5 days)</t>
  </si>
  <si>
    <t>Management costs per case</t>
  </si>
  <si>
    <t>GP costs per case</t>
  </si>
  <si>
    <t>Lab costs per case</t>
  </si>
  <si>
    <t>Management, GP, Lab costs</t>
  </si>
  <si>
    <t>Case wage loss</t>
  </si>
  <si>
    <t>Hospitalisation costs</t>
  </si>
  <si>
    <t>Wage loss for contacts</t>
  </si>
  <si>
    <t>Proportion of cases that will be hospitalised</t>
  </si>
  <si>
    <t>Costs of a hospitalised case</t>
  </si>
  <si>
    <t>Management , GP, Lab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</si>
</sst>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6"/>
      <color rgb="FF3F3F7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5" fillId="4" borderId="1" applyNumberFormat="0" applyAlignment="0" applyProtection="0"/>
    <xf numFmtId="0" fontId="4" fillId="5" borderId="2" applyNumberFormat="0" applyFont="0" applyAlignment="0" applyProtection="0"/>
    <xf numFmtId="0" fontId="6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</cellStyleXfs>
  <cellXfs count="36">
    <xf numFmtId="0" fontId="0" fillId="0" borderId="0" xfId="0"/>
    <xf numFmtId="0" fontId="0" fillId="0" borderId="0" xfId="0" applyFill="1" applyAlignment="1">
      <alignment wrapText="1"/>
    </xf>
    <xf numFmtId="1" fontId="0" fillId="0" borderId="0" xfId="0" applyNumberFormat="1" applyFill="1" applyAlignment="1">
      <alignment wrapText="1"/>
    </xf>
    <xf numFmtId="2" fontId="0" fillId="0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1" fontId="0" fillId="3" borderId="0" xfId="0" applyNumberFormat="1" applyFill="1" applyAlignment="1">
      <alignment wrapText="1"/>
    </xf>
    <xf numFmtId="1" fontId="0" fillId="0" borderId="0" xfId="0" applyNumberFormat="1"/>
    <xf numFmtId="1" fontId="0" fillId="0" borderId="0" xfId="0" applyNumberFormat="1" applyFill="1"/>
    <xf numFmtId="0" fontId="0" fillId="0" borderId="0" xfId="0" applyFill="1"/>
    <xf numFmtId="2" fontId="0" fillId="0" borderId="0" xfId="0" applyNumberFormat="1"/>
    <xf numFmtId="0" fontId="1" fillId="0" borderId="0" xfId="0" applyFont="1"/>
    <xf numFmtId="0" fontId="5" fillId="4" borderId="1" xfId="1"/>
    <xf numFmtId="0" fontId="7" fillId="4" borderId="1" xfId="1" applyFont="1"/>
    <xf numFmtId="1" fontId="1" fillId="0" borderId="0" xfId="0" applyNumberFormat="1" applyFont="1"/>
    <xf numFmtId="0" fontId="0" fillId="5" borderId="2" xfId="2" applyFont="1"/>
    <xf numFmtId="0" fontId="6" fillId="0" borderId="0" xfId="3"/>
    <xf numFmtId="0" fontId="4" fillId="6" borderId="0" xfId="4"/>
    <xf numFmtId="0" fontId="1" fillId="5" borderId="2" xfId="2" applyFont="1"/>
    <xf numFmtId="0" fontId="1" fillId="5" borderId="2" xfId="2" applyFont="1" applyAlignment="1">
      <alignment wrapText="1"/>
    </xf>
    <xf numFmtId="1" fontId="0" fillId="5" borderId="2" xfId="2" applyNumberFormat="1" applyFont="1"/>
    <xf numFmtId="1" fontId="1" fillId="5" borderId="2" xfId="2" applyNumberFormat="1" applyFont="1"/>
    <xf numFmtId="1" fontId="4" fillId="6" borderId="0" xfId="4" applyNumberFormat="1"/>
    <xf numFmtId="1" fontId="4" fillId="7" borderId="0" xfId="5" applyNumberFormat="1"/>
    <xf numFmtId="0" fontId="1" fillId="7" borderId="0" xfId="5" applyFont="1"/>
    <xf numFmtId="0" fontId="1" fillId="6" borderId="0" xfId="4" applyFont="1" applyAlignment="1">
      <alignment wrapText="1"/>
    </xf>
    <xf numFmtId="0" fontId="1" fillId="7" borderId="0" xfId="5" applyFont="1" applyAlignment="1">
      <alignment wrapText="1"/>
    </xf>
    <xf numFmtId="1" fontId="1" fillId="6" borderId="0" xfId="4" applyNumberFormat="1" applyFont="1"/>
    <xf numFmtId="1" fontId="1" fillId="7" borderId="0" xfId="5" applyNumberFormat="1" applyFont="1"/>
    <xf numFmtId="0" fontId="1" fillId="0" borderId="0" xfId="0" applyFont="1" applyAlignment="1">
      <alignment wrapText="1"/>
    </xf>
    <xf numFmtId="1" fontId="1" fillId="7" borderId="0" xfId="5" applyNumberFormat="1" applyFont="1" applyAlignment="1">
      <alignment wrapText="1"/>
    </xf>
    <xf numFmtId="0" fontId="8" fillId="6" borderId="0" xfId="4" applyFont="1"/>
    <xf numFmtId="0" fontId="8" fillId="7" borderId="0" xfId="5" applyFont="1"/>
    <xf numFmtId="1" fontId="4" fillId="6" borderId="0" xfId="4" applyNumberFormat="1" applyBorder="1"/>
    <xf numFmtId="1" fontId="1" fillId="6" borderId="0" xfId="4" applyNumberFormat="1" applyFont="1" applyBorder="1"/>
    <xf numFmtId="0" fontId="1" fillId="6" borderId="0" xfId="4" applyFont="1" applyBorder="1" applyAlignment="1">
      <alignment wrapText="1"/>
    </xf>
  </cellXfs>
  <cellStyles count="6">
    <cellStyle name="20% - Accent1" xfId="4" builtinId="30"/>
    <cellStyle name="20% - Accent5" xfId="5" builtinId="46"/>
    <cellStyle name="Explanatory Text" xfId="3" builtinId="53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52"/>
  <sheetViews>
    <sheetView workbookViewId="0">
      <selection activeCell="D16" sqref="D16"/>
    </sheetView>
  </sheetViews>
  <sheetFormatPr defaultRowHeight="15" x14ac:dyDescent="0.25"/>
  <cols>
    <col min="1" max="1" width="10" bestFit="1" customWidth="1"/>
    <col min="3" max="3" width="11" customWidth="1"/>
    <col min="4" max="4" width="13.28515625" customWidth="1"/>
    <col min="7" max="7" width="19.85546875" customWidth="1"/>
    <col min="8" max="17" width="14.7109375" customWidth="1"/>
    <col min="18" max="18" width="15.5703125" customWidth="1"/>
    <col min="24" max="24" width="14.7109375" customWidth="1"/>
    <col min="25" max="25" width="19.85546875" customWidth="1"/>
    <col min="26" max="35" width="14.7109375" customWidth="1"/>
    <col min="42" max="52" width="14.7109375" customWidth="1"/>
    <col min="53" max="53" width="17.42578125" customWidth="1"/>
    <col min="55" max="55" width="11.5703125" customWidth="1"/>
  </cols>
  <sheetData>
    <row r="1" spans="1:56" x14ac:dyDescent="0.25">
      <c r="G1" t="s">
        <v>28</v>
      </c>
      <c r="Y1" t="s">
        <v>27</v>
      </c>
      <c r="AP1" t="s">
        <v>29</v>
      </c>
    </row>
    <row r="2" spans="1:56" x14ac:dyDescent="0.25">
      <c r="A2" t="s">
        <v>19</v>
      </c>
      <c r="B2">
        <f>0.03</f>
        <v>0.03</v>
      </c>
      <c r="G2" t="s">
        <v>18</v>
      </c>
      <c r="Y2" t="s">
        <v>18</v>
      </c>
      <c r="AP2" t="s">
        <v>18</v>
      </c>
    </row>
    <row r="3" spans="1:56" ht="135.75" customHeight="1" x14ac:dyDescent="0.25">
      <c r="A3" s="1" t="s">
        <v>7</v>
      </c>
      <c r="B3" s="1" t="s">
        <v>10</v>
      </c>
      <c r="C3" s="1" t="s">
        <v>11</v>
      </c>
      <c r="D3" s="1" t="s">
        <v>22</v>
      </c>
      <c r="E3" s="1" t="s">
        <v>2</v>
      </c>
      <c r="F3" s="1" t="s">
        <v>4</v>
      </c>
      <c r="G3" s="1">
        <v>0</v>
      </c>
      <c r="H3" s="1">
        <f>G3+1</f>
        <v>1</v>
      </c>
      <c r="I3" s="1">
        <f t="shared" ref="I3:P3" si="0">H3+1</f>
        <v>2</v>
      </c>
      <c r="J3" s="1">
        <f t="shared" si="0"/>
        <v>3</v>
      </c>
      <c r="K3" s="1">
        <f t="shared" si="0"/>
        <v>4</v>
      </c>
      <c r="L3" s="1">
        <f t="shared" si="0"/>
        <v>5</v>
      </c>
      <c r="M3" s="1">
        <f t="shared" si="0"/>
        <v>6</v>
      </c>
      <c r="N3" s="1">
        <f t="shared" si="0"/>
        <v>7</v>
      </c>
      <c r="O3" s="1">
        <f t="shared" si="0"/>
        <v>8</v>
      </c>
      <c r="P3" s="1">
        <f t="shared" si="0"/>
        <v>9</v>
      </c>
      <c r="Q3" s="5" t="s">
        <v>20</v>
      </c>
      <c r="R3" s="1" t="s">
        <v>24</v>
      </c>
      <c r="S3" s="1" t="s">
        <v>15</v>
      </c>
      <c r="T3" s="1" t="s">
        <v>32</v>
      </c>
      <c r="U3" s="1" t="s">
        <v>12</v>
      </c>
      <c r="V3" s="1" t="s">
        <v>5</v>
      </c>
      <c r="W3" s="1" t="s">
        <v>16</v>
      </c>
      <c r="X3" s="1" t="s">
        <v>23</v>
      </c>
      <c r="Y3" s="1">
        <v>0</v>
      </c>
      <c r="Z3" s="1">
        <f>Y3+1</f>
        <v>1</v>
      </c>
      <c r="AA3" s="1">
        <f t="shared" ref="AA3:AH3" si="1">Z3+1</f>
        <v>2</v>
      </c>
      <c r="AB3" s="1">
        <f t="shared" si="1"/>
        <v>3</v>
      </c>
      <c r="AC3" s="1">
        <f t="shared" si="1"/>
        <v>4</v>
      </c>
      <c r="AD3" s="1">
        <f t="shared" si="1"/>
        <v>5</v>
      </c>
      <c r="AE3" s="1">
        <f t="shared" si="1"/>
        <v>6</v>
      </c>
      <c r="AF3" s="1">
        <f t="shared" si="1"/>
        <v>7</v>
      </c>
      <c r="AG3" s="1">
        <f t="shared" si="1"/>
        <v>8</v>
      </c>
      <c r="AH3" s="1">
        <f t="shared" si="1"/>
        <v>9</v>
      </c>
      <c r="AI3" s="4" t="s">
        <v>21</v>
      </c>
      <c r="AJ3" s="1" t="s">
        <v>13</v>
      </c>
      <c r="AK3" s="1" t="s">
        <v>14</v>
      </c>
      <c r="AL3" s="1" t="s">
        <v>17</v>
      </c>
      <c r="AM3" s="1" t="s">
        <v>6</v>
      </c>
      <c r="AN3" s="1" t="s">
        <v>26</v>
      </c>
      <c r="AO3" s="1" t="s">
        <v>25</v>
      </c>
      <c r="AP3" s="1">
        <v>0</v>
      </c>
      <c r="AQ3" s="1">
        <f>AP3+1</f>
        <v>1</v>
      </c>
      <c r="AR3" s="1">
        <f t="shared" ref="AR3:AY3" si="2">AQ3+1</f>
        <v>2</v>
      </c>
      <c r="AS3" s="1">
        <f t="shared" si="2"/>
        <v>3</v>
      </c>
      <c r="AT3" s="1">
        <f t="shared" si="2"/>
        <v>4</v>
      </c>
      <c r="AU3" s="1">
        <f t="shared" si="2"/>
        <v>5</v>
      </c>
      <c r="AV3" s="1">
        <f t="shared" si="2"/>
        <v>6</v>
      </c>
      <c r="AW3" s="1">
        <f t="shared" si="2"/>
        <v>7</v>
      </c>
      <c r="AX3" s="1">
        <f t="shared" si="2"/>
        <v>8</v>
      </c>
      <c r="AY3" s="1">
        <f t="shared" si="2"/>
        <v>9</v>
      </c>
      <c r="AZ3" s="4" t="s">
        <v>30</v>
      </c>
      <c r="BA3" s="4" t="s">
        <v>31</v>
      </c>
      <c r="BB3" s="4" t="s">
        <v>3</v>
      </c>
      <c r="BC3" s="1"/>
      <c r="BD3" s="1"/>
    </row>
    <row r="4" spans="1:56" x14ac:dyDescent="0.25">
      <c r="A4" s="1" t="s">
        <v>9</v>
      </c>
      <c r="B4" s="1" t="s">
        <v>0</v>
      </c>
      <c r="C4" s="3">
        <v>0.92</v>
      </c>
      <c r="D4" s="2">
        <v>0</v>
      </c>
      <c r="E4" s="2"/>
      <c r="F4" s="2">
        <f>D4*E4</f>
        <v>0</v>
      </c>
      <c r="G4" s="2">
        <f t="shared" ref="G4:P17" si="3">$F4*(1/(1+discount_rate)^G$3)</f>
        <v>0</v>
      </c>
      <c r="H4" s="2">
        <v>0</v>
      </c>
      <c r="I4" s="2">
        <f t="shared" si="3"/>
        <v>0</v>
      </c>
      <c r="J4" s="2">
        <f t="shared" si="3"/>
        <v>0</v>
      </c>
      <c r="K4" s="2">
        <f t="shared" si="3"/>
        <v>0</v>
      </c>
      <c r="L4" s="2">
        <f t="shared" si="3"/>
        <v>0</v>
      </c>
      <c r="M4" s="2">
        <f t="shared" si="3"/>
        <v>0</v>
      </c>
      <c r="N4" s="2">
        <f t="shared" si="3"/>
        <v>0</v>
      </c>
      <c r="O4" s="2">
        <f t="shared" si="3"/>
        <v>0</v>
      </c>
      <c r="P4" s="2">
        <f t="shared" si="3"/>
        <v>0</v>
      </c>
      <c r="Q4" s="2">
        <f>SUM(G4:P4)</f>
        <v>0</v>
      </c>
      <c r="R4" s="6">
        <v>130</v>
      </c>
      <c r="S4">
        <v>852</v>
      </c>
      <c r="T4">
        <f>330147/187</f>
        <v>1765.4919786096257</v>
      </c>
      <c r="U4" s="1">
        <f t="shared" ref="U4:U17" si="4">0.17</f>
        <v>0.17</v>
      </c>
      <c r="V4" s="2">
        <f>R4*U4</f>
        <v>22.1</v>
      </c>
      <c r="W4" s="2">
        <v>1710</v>
      </c>
      <c r="X4" s="2">
        <f>V4*W4+R4*S4+R4*T4</f>
        <v>378064.95721925132</v>
      </c>
      <c r="Y4" s="2">
        <f t="shared" ref="Y4:AH17" si="5">($X4/10)*(1/(1+discount_rate)^Y$3)</f>
        <v>37806.49572192513</v>
      </c>
      <c r="Z4" s="2">
        <f t="shared" si="5"/>
        <v>36705.335652354494</v>
      </c>
      <c r="AA4" s="2">
        <f t="shared" si="5"/>
        <v>35636.24820616941</v>
      </c>
      <c r="AB4" s="2">
        <f t="shared" si="5"/>
        <v>34598.299229290693</v>
      </c>
      <c r="AC4" s="2">
        <f t="shared" si="5"/>
        <v>33590.581776010382</v>
      </c>
      <c r="AD4" s="2">
        <f t="shared" si="5"/>
        <v>32612.215316514936</v>
      </c>
      <c r="AE4" s="2">
        <f t="shared" si="5"/>
        <v>31662.344967490229</v>
      </c>
      <c r="AF4" s="2">
        <f t="shared" si="5"/>
        <v>30740.140745136145</v>
      </c>
      <c r="AG4" s="2">
        <f t="shared" si="5"/>
        <v>29844.796839938004</v>
      </c>
      <c r="AH4" s="2">
        <f t="shared" si="5"/>
        <v>28975.530912561171</v>
      </c>
      <c r="AI4" s="2">
        <f>SUM(Y4:AH4)</f>
        <v>332171.98936739058</v>
      </c>
      <c r="AJ4" s="2">
        <v>13</v>
      </c>
      <c r="AK4" s="2">
        <v>10</v>
      </c>
      <c r="AL4" s="2">
        <f>AK4*AJ4</f>
        <v>130</v>
      </c>
      <c r="AM4" s="2">
        <f>AL4*0.17</f>
        <v>22.1</v>
      </c>
      <c r="AN4" s="2">
        <f>AM4*W4+AL4*S4</f>
        <v>148551</v>
      </c>
      <c r="AO4" s="2">
        <f>(R4-AL4)</f>
        <v>0</v>
      </c>
      <c r="AP4" s="2">
        <f t="shared" ref="AP4:AY17" si="6">(($X4-$AN4)/10)*(1/(1+discount_rate)^AP$3)</f>
        <v>22951.395721925132</v>
      </c>
      <c r="AQ4" s="2">
        <f t="shared" si="6"/>
        <v>22282.908467888479</v>
      </c>
      <c r="AR4" s="2">
        <f t="shared" si="6"/>
        <v>21633.891716396578</v>
      </c>
      <c r="AS4" s="2">
        <f t="shared" si="6"/>
        <v>21003.778365433573</v>
      </c>
      <c r="AT4" s="2">
        <f t="shared" si="6"/>
        <v>20392.017830518034</v>
      </c>
      <c r="AU4" s="2">
        <f t="shared" si="6"/>
        <v>19798.075563609742</v>
      </c>
      <c r="AV4" s="2">
        <f t="shared" si="6"/>
        <v>19221.432586028874</v>
      </c>
      <c r="AW4" s="2">
        <f t="shared" si="6"/>
        <v>18661.585034979489</v>
      </c>
      <c r="AX4" s="2">
        <f t="shared" si="6"/>
        <v>18118.043723281058</v>
      </c>
      <c r="AY4" s="2">
        <f t="shared" si="6"/>
        <v>17590.333711923358</v>
      </c>
      <c r="AZ4" s="2">
        <f>SUM(AP4:AY4)</f>
        <v>201653.46272198431</v>
      </c>
      <c r="BA4" s="2">
        <f>AZ4-Q4</f>
        <v>201653.46272198431</v>
      </c>
      <c r="BB4" s="3" t="e">
        <f>AZ4/Q4</f>
        <v>#DIV/0!</v>
      </c>
      <c r="BC4" s="2"/>
      <c r="BD4" s="3"/>
    </row>
    <row r="5" spans="1:56" x14ac:dyDescent="0.25">
      <c r="A5" s="1" t="s">
        <v>9</v>
      </c>
      <c r="B5" s="1" t="s">
        <v>0</v>
      </c>
      <c r="C5" s="3">
        <v>1.19</v>
      </c>
      <c r="D5" s="2">
        <f>80000</f>
        <v>80000</v>
      </c>
      <c r="E5" s="2">
        <v>20</v>
      </c>
      <c r="F5" s="2">
        <f>D5*E5</f>
        <v>1600000</v>
      </c>
      <c r="G5" s="2">
        <f t="shared" si="3"/>
        <v>1600000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f t="shared" ref="Q5:Q17" si="7">SUM(G5:P5)</f>
        <v>1600000</v>
      </c>
      <c r="R5" s="2">
        <v>128901</v>
      </c>
      <c r="S5">
        <v>852</v>
      </c>
      <c r="T5">
        <f t="shared" ref="T5:T17" si="8">330147/187</f>
        <v>1765.4919786096257</v>
      </c>
      <c r="U5" s="1">
        <f>0.17</f>
        <v>0.17</v>
      </c>
      <c r="V5" s="2">
        <f>R5*U5</f>
        <v>21913.170000000002</v>
      </c>
      <c r="W5" s="2">
        <v>1710</v>
      </c>
      <c r="X5" s="2">
        <f t="shared" ref="X5:X17" si="9">V5*W5+R5*S5+R5*T5</f>
        <v>374868854.23475933</v>
      </c>
      <c r="Y5" s="2">
        <f t="shared" si="5"/>
        <v>37486885.423475936</v>
      </c>
      <c r="Z5" s="2">
        <f t="shared" si="5"/>
        <v>36395034.391724214</v>
      </c>
      <c r="AA5" s="2">
        <f t="shared" si="5"/>
        <v>35334984.846334182</v>
      </c>
      <c r="AB5" s="2">
        <f t="shared" si="5"/>
        <v>34305810.53042154</v>
      </c>
      <c r="AC5" s="2">
        <f t="shared" si="5"/>
        <v>33306612.165457807</v>
      </c>
      <c r="AD5" s="2">
        <f t="shared" si="5"/>
        <v>32336516.665493019</v>
      </c>
      <c r="AE5" s="2">
        <f t="shared" si="5"/>
        <v>31394676.374265064</v>
      </c>
      <c r="AF5" s="2">
        <f t="shared" si="5"/>
        <v>30480268.324529186</v>
      </c>
      <c r="AG5" s="2">
        <f t="shared" si="5"/>
        <v>29592493.518960375</v>
      </c>
      <c r="AH5" s="2">
        <f t="shared" si="5"/>
        <v>28730576.232000366</v>
      </c>
      <c r="AI5" s="2">
        <f t="shared" ref="AI5:AI17" si="10">SUM(Y5:AH5)</f>
        <v>329363858.47266167</v>
      </c>
      <c r="AJ5" s="2">
        <v>145</v>
      </c>
      <c r="AK5" s="2">
        <v>10</v>
      </c>
      <c r="AL5" s="2">
        <f>AK5*AJ5</f>
        <v>1450</v>
      </c>
      <c r="AM5" s="2">
        <f>AL5*0.17</f>
        <v>246.50000000000003</v>
      </c>
      <c r="AN5" s="2">
        <f t="shared" ref="AN5:AN17" si="11">AM5*W5+AL5*S5</f>
        <v>1656915</v>
      </c>
      <c r="AO5" s="2">
        <f t="shared" ref="AO5:AO17" si="12">(R5-AL5)</f>
        <v>127451</v>
      </c>
      <c r="AP5" s="2">
        <f t="shared" si="6"/>
        <v>37321193.923475936</v>
      </c>
      <c r="AQ5" s="2">
        <f t="shared" si="6"/>
        <v>36234168.857743628</v>
      </c>
      <c r="AR5" s="2">
        <f t="shared" si="6"/>
        <v>35178804.716255948</v>
      </c>
      <c r="AS5" s="2">
        <f t="shared" si="6"/>
        <v>34154179.336170822</v>
      </c>
      <c r="AT5" s="2">
        <f t="shared" si="6"/>
        <v>33159397.413758084</v>
      </c>
      <c r="AU5" s="2">
        <f t="shared" si="6"/>
        <v>32193589.722095229</v>
      </c>
      <c r="AV5" s="2">
        <f t="shared" si="6"/>
        <v>31255912.351548765</v>
      </c>
      <c r="AW5" s="2">
        <f t="shared" si="6"/>
        <v>30345545.972377442</v>
      </c>
      <c r="AX5" s="2">
        <f t="shared" si="6"/>
        <v>29461695.118813049</v>
      </c>
      <c r="AY5" s="2">
        <f t="shared" si="6"/>
        <v>28603587.493993253</v>
      </c>
      <c r="AZ5" s="2">
        <f>SUM(AP5:AY5)</f>
        <v>327908074.90623212</v>
      </c>
      <c r="BA5" s="2">
        <f t="shared" ref="BA5:BA17" si="13">AZ5-Q5</f>
        <v>326308074.90623212</v>
      </c>
      <c r="BB5" s="3">
        <f>AZ5/Q5</f>
        <v>204.94254681639507</v>
      </c>
      <c r="BC5" s="2"/>
      <c r="BD5" s="3"/>
    </row>
    <row r="6" spans="1:56" x14ac:dyDescent="0.25">
      <c r="A6" s="1" t="s">
        <v>9</v>
      </c>
      <c r="B6" s="1" t="s">
        <v>0</v>
      </c>
      <c r="C6" s="3">
        <v>1.19</v>
      </c>
      <c r="D6" s="2">
        <f>80000</f>
        <v>80000</v>
      </c>
      <c r="E6" s="2">
        <v>50</v>
      </c>
      <c r="F6" s="2">
        <f t="shared" ref="F6:F8" si="14">D6*E6</f>
        <v>4000000</v>
      </c>
      <c r="G6" s="2">
        <f t="shared" si="3"/>
        <v>4000000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f t="shared" si="7"/>
        <v>4000000</v>
      </c>
      <c r="R6" s="2">
        <v>128901</v>
      </c>
      <c r="S6">
        <v>852</v>
      </c>
      <c r="T6">
        <f t="shared" si="8"/>
        <v>1765.4919786096257</v>
      </c>
      <c r="U6" s="1">
        <f t="shared" si="4"/>
        <v>0.17</v>
      </c>
      <c r="V6" s="2">
        <f t="shared" ref="V6:V8" si="15">R6*U6</f>
        <v>21913.170000000002</v>
      </c>
      <c r="W6" s="2">
        <v>1710</v>
      </c>
      <c r="X6" s="2">
        <f t="shared" si="9"/>
        <v>374868854.23475933</v>
      </c>
      <c r="Y6" s="2">
        <f t="shared" si="5"/>
        <v>37486885.423475936</v>
      </c>
      <c r="Z6" s="2">
        <f t="shared" si="5"/>
        <v>36395034.391724214</v>
      </c>
      <c r="AA6" s="2">
        <f t="shared" si="5"/>
        <v>35334984.846334182</v>
      </c>
      <c r="AB6" s="2">
        <f t="shared" si="5"/>
        <v>34305810.53042154</v>
      </c>
      <c r="AC6" s="2">
        <f t="shared" si="5"/>
        <v>33306612.165457807</v>
      </c>
      <c r="AD6" s="2">
        <f t="shared" si="5"/>
        <v>32336516.665493019</v>
      </c>
      <c r="AE6" s="2">
        <f t="shared" si="5"/>
        <v>31394676.374265064</v>
      </c>
      <c r="AF6" s="2">
        <f t="shared" si="5"/>
        <v>30480268.324529186</v>
      </c>
      <c r="AG6" s="2">
        <f t="shared" si="5"/>
        <v>29592493.518960375</v>
      </c>
      <c r="AH6" s="2">
        <f t="shared" si="5"/>
        <v>28730576.232000366</v>
      </c>
      <c r="AI6" s="2">
        <f t="shared" si="10"/>
        <v>329363858.47266167</v>
      </c>
      <c r="AJ6" s="2">
        <v>145</v>
      </c>
      <c r="AK6" s="2">
        <v>10</v>
      </c>
      <c r="AL6" s="2">
        <f t="shared" ref="AL6:AL8" si="16">AK6*AJ6</f>
        <v>1450</v>
      </c>
      <c r="AM6" s="2">
        <f t="shared" ref="AM6:AM8" si="17">AL6*0.17</f>
        <v>246.50000000000003</v>
      </c>
      <c r="AN6" s="2">
        <f t="shared" si="11"/>
        <v>1656915</v>
      </c>
      <c r="AO6" s="2">
        <f t="shared" si="12"/>
        <v>127451</v>
      </c>
      <c r="AP6" s="2">
        <f t="shared" si="6"/>
        <v>37321193.923475936</v>
      </c>
      <c r="AQ6" s="2">
        <f t="shared" si="6"/>
        <v>36234168.857743628</v>
      </c>
      <c r="AR6" s="2">
        <f t="shared" si="6"/>
        <v>35178804.716255948</v>
      </c>
      <c r="AS6" s="2">
        <f t="shared" si="6"/>
        <v>34154179.336170822</v>
      </c>
      <c r="AT6" s="2">
        <f t="shared" si="6"/>
        <v>33159397.413758084</v>
      </c>
      <c r="AU6" s="2">
        <f t="shared" si="6"/>
        <v>32193589.722095229</v>
      </c>
      <c r="AV6" s="2">
        <f t="shared" si="6"/>
        <v>31255912.351548765</v>
      </c>
      <c r="AW6" s="2">
        <f t="shared" si="6"/>
        <v>30345545.972377442</v>
      </c>
      <c r="AX6" s="2">
        <f t="shared" si="6"/>
        <v>29461695.118813049</v>
      </c>
      <c r="AY6" s="2">
        <f t="shared" si="6"/>
        <v>28603587.493993253</v>
      </c>
      <c r="AZ6" s="2">
        <f t="shared" ref="AZ6:AZ17" si="18">SUM(AP6:AY6)</f>
        <v>327908074.90623212</v>
      </c>
      <c r="BA6" s="2">
        <f t="shared" si="13"/>
        <v>323908074.90623212</v>
      </c>
      <c r="BB6" s="3">
        <f t="shared" ref="BB6:BB17" si="19">AZ6/Q6</f>
        <v>81.977018726558029</v>
      </c>
      <c r="BC6" s="2"/>
      <c r="BD6" s="3"/>
    </row>
    <row r="7" spans="1:56" x14ac:dyDescent="0.25">
      <c r="A7" s="1" t="s">
        <v>8</v>
      </c>
      <c r="B7" s="1" t="s">
        <v>1</v>
      </c>
      <c r="C7" s="3">
        <v>1.82</v>
      </c>
      <c r="D7" s="2">
        <v>208153</v>
      </c>
      <c r="E7" s="2">
        <v>20</v>
      </c>
      <c r="F7" s="2">
        <f t="shared" si="14"/>
        <v>4163060</v>
      </c>
      <c r="G7" s="2">
        <f t="shared" si="3"/>
        <v>4163060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f>SUM(G7:P7)</f>
        <v>4163060</v>
      </c>
      <c r="R7" s="2">
        <v>340032</v>
      </c>
      <c r="S7">
        <v>852</v>
      </c>
      <c r="T7">
        <f t="shared" si="8"/>
        <v>1765.4919786096257</v>
      </c>
      <c r="U7" s="1">
        <f t="shared" si="4"/>
        <v>0.17</v>
      </c>
      <c r="V7" s="2">
        <f t="shared" si="15"/>
        <v>57805.440000000002</v>
      </c>
      <c r="W7" s="2">
        <v>1710</v>
      </c>
      <c r="X7" s="2">
        <f t="shared" si="9"/>
        <v>988878334.87058818</v>
      </c>
      <c r="Y7" s="2">
        <f t="shared" si="5"/>
        <v>98887833.487058818</v>
      </c>
      <c r="Z7" s="2">
        <f t="shared" si="5"/>
        <v>96007605.32724157</v>
      </c>
      <c r="AA7" s="2">
        <f t="shared" si="5"/>
        <v>93211267.308001518</v>
      </c>
      <c r="AB7" s="2">
        <f t="shared" si="5"/>
        <v>90496376.027185947</v>
      </c>
      <c r="AC7" s="2">
        <f t="shared" si="5"/>
        <v>87860559.249695107</v>
      </c>
      <c r="AD7" s="2">
        <f t="shared" si="5"/>
        <v>85301513.834655449</v>
      </c>
      <c r="AE7" s="2">
        <f t="shared" si="5"/>
        <v>82817003.722966447</v>
      </c>
      <c r="AF7" s="2">
        <f t="shared" si="5"/>
        <v>80404857.983462572</v>
      </c>
      <c r="AG7" s="2">
        <f t="shared" si="5"/>
        <v>78062968.915983081</v>
      </c>
      <c r="AH7" s="2">
        <f t="shared" si="5"/>
        <v>75789290.209692314</v>
      </c>
      <c r="AI7" s="2">
        <f t="shared" si="10"/>
        <v>868839276.06594288</v>
      </c>
      <c r="AJ7" s="2">
        <v>116</v>
      </c>
      <c r="AK7" s="2">
        <v>10</v>
      </c>
      <c r="AL7" s="2">
        <f t="shared" si="16"/>
        <v>1160</v>
      </c>
      <c r="AM7" s="2">
        <f t="shared" si="17"/>
        <v>197.20000000000002</v>
      </c>
      <c r="AN7" s="2">
        <f t="shared" si="11"/>
        <v>1325532</v>
      </c>
      <c r="AO7" s="2">
        <f t="shared" si="12"/>
        <v>338872</v>
      </c>
      <c r="AP7" s="2">
        <f t="shared" si="6"/>
        <v>98755280.287058815</v>
      </c>
      <c r="AQ7" s="2">
        <f t="shared" si="6"/>
        <v>95878912.900057107</v>
      </c>
      <c r="AR7" s="2">
        <f t="shared" si="6"/>
        <v>93086323.203938931</v>
      </c>
      <c r="AS7" s="2">
        <f t="shared" si="6"/>
        <v>90375071.071785375</v>
      </c>
      <c r="AT7" s="2">
        <f t="shared" si="6"/>
        <v>87742787.44833532</v>
      </c>
      <c r="AU7" s="2">
        <f t="shared" si="6"/>
        <v>85187172.279937208</v>
      </c>
      <c r="AV7" s="2">
        <f t="shared" si="6"/>
        <v>82705992.504793406</v>
      </c>
      <c r="AW7" s="2">
        <f t="shared" si="6"/>
        <v>80297080.101741165</v>
      </c>
      <c r="AX7" s="2">
        <f t="shared" si="6"/>
        <v>77958330.195865214</v>
      </c>
      <c r="AY7" s="2">
        <f t="shared" si="6"/>
        <v>75687699.219286621</v>
      </c>
      <c r="AZ7" s="2">
        <f t="shared" si="18"/>
        <v>867674649.21279931</v>
      </c>
      <c r="BA7" s="2">
        <f t="shared" si="13"/>
        <v>863511589.21279931</v>
      </c>
      <c r="BB7" s="3">
        <f t="shared" si="19"/>
        <v>208.42232617661031</v>
      </c>
      <c r="BC7" s="2"/>
      <c r="BD7" s="3"/>
    </row>
    <row r="8" spans="1:56" x14ac:dyDescent="0.25">
      <c r="A8" s="1" t="s">
        <v>8</v>
      </c>
      <c r="B8" s="1" t="s">
        <v>1</v>
      </c>
      <c r="C8" s="3">
        <v>1.82</v>
      </c>
      <c r="D8" s="2">
        <v>208153</v>
      </c>
      <c r="E8" s="2">
        <v>50</v>
      </c>
      <c r="F8" s="2">
        <f t="shared" si="14"/>
        <v>10407650</v>
      </c>
      <c r="G8" s="2">
        <f t="shared" si="3"/>
        <v>10407650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f t="shared" si="7"/>
        <v>10407650</v>
      </c>
      <c r="R8" s="2">
        <v>340032</v>
      </c>
      <c r="S8">
        <v>852</v>
      </c>
      <c r="T8">
        <f t="shared" si="8"/>
        <v>1765.4919786096257</v>
      </c>
      <c r="U8" s="1">
        <f t="shared" si="4"/>
        <v>0.17</v>
      </c>
      <c r="V8" s="2">
        <f t="shared" si="15"/>
        <v>57805.440000000002</v>
      </c>
      <c r="W8" s="2">
        <v>1710</v>
      </c>
      <c r="X8" s="2">
        <f t="shared" si="9"/>
        <v>988878334.87058818</v>
      </c>
      <c r="Y8" s="2">
        <f t="shared" si="5"/>
        <v>98887833.487058818</v>
      </c>
      <c r="Z8" s="2">
        <f t="shared" si="5"/>
        <v>96007605.32724157</v>
      </c>
      <c r="AA8" s="2">
        <f t="shared" si="5"/>
        <v>93211267.308001518</v>
      </c>
      <c r="AB8" s="2">
        <f t="shared" si="5"/>
        <v>90496376.027185947</v>
      </c>
      <c r="AC8" s="2">
        <f t="shared" si="5"/>
        <v>87860559.249695107</v>
      </c>
      <c r="AD8" s="2">
        <f t="shared" si="5"/>
        <v>85301513.834655449</v>
      </c>
      <c r="AE8" s="2">
        <f t="shared" si="5"/>
        <v>82817003.722966447</v>
      </c>
      <c r="AF8" s="2">
        <f t="shared" si="5"/>
        <v>80404857.983462572</v>
      </c>
      <c r="AG8" s="2">
        <f t="shared" si="5"/>
        <v>78062968.915983081</v>
      </c>
      <c r="AH8" s="2">
        <f t="shared" si="5"/>
        <v>75789290.209692314</v>
      </c>
      <c r="AI8" s="2">
        <f t="shared" si="10"/>
        <v>868839276.06594288</v>
      </c>
      <c r="AJ8" s="2">
        <v>116</v>
      </c>
      <c r="AK8" s="2">
        <v>10</v>
      </c>
      <c r="AL8" s="2">
        <f t="shared" si="16"/>
        <v>1160</v>
      </c>
      <c r="AM8" s="2">
        <f t="shared" si="17"/>
        <v>197.20000000000002</v>
      </c>
      <c r="AN8" s="2">
        <f t="shared" si="11"/>
        <v>1325532</v>
      </c>
      <c r="AO8" s="2">
        <f t="shared" si="12"/>
        <v>338872</v>
      </c>
      <c r="AP8" s="2">
        <f t="shared" si="6"/>
        <v>98755280.287058815</v>
      </c>
      <c r="AQ8" s="2">
        <f t="shared" si="6"/>
        <v>95878912.900057107</v>
      </c>
      <c r="AR8" s="2">
        <f t="shared" si="6"/>
        <v>93086323.203938931</v>
      </c>
      <c r="AS8" s="2">
        <f t="shared" si="6"/>
        <v>90375071.071785375</v>
      </c>
      <c r="AT8" s="2">
        <f t="shared" si="6"/>
        <v>87742787.44833532</v>
      </c>
      <c r="AU8" s="2">
        <f t="shared" si="6"/>
        <v>85187172.279937208</v>
      </c>
      <c r="AV8" s="2">
        <f t="shared" si="6"/>
        <v>82705992.504793406</v>
      </c>
      <c r="AW8" s="2">
        <f t="shared" si="6"/>
        <v>80297080.101741165</v>
      </c>
      <c r="AX8" s="2">
        <f t="shared" si="6"/>
        <v>77958330.195865214</v>
      </c>
      <c r="AY8" s="2">
        <f t="shared" si="6"/>
        <v>75687699.219286621</v>
      </c>
      <c r="AZ8" s="2">
        <f t="shared" si="18"/>
        <v>867674649.21279931</v>
      </c>
      <c r="BA8" s="2">
        <f t="shared" si="13"/>
        <v>857266999.21279931</v>
      </c>
      <c r="BB8" s="3">
        <f t="shared" si="19"/>
        <v>83.368930470644116</v>
      </c>
      <c r="BC8" s="2"/>
      <c r="BD8" s="3"/>
    </row>
    <row r="9" spans="1:56" x14ac:dyDescent="0.25">
      <c r="A9" s="1" t="s">
        <v>8</v>
      </c>
      <c r="B9" s="1" t="s">
        <v>1</v>
      </c>
      <c r="C9" s="3">
        <v>2.13</v>
      </c>
      <c r="D9" s="2">
        <f>252561</f>
        <v>252561</v>
      </c>
      <c r="E9" s="2">
        <v>20</v>
      </c>
      <c r="F9" s="2">
        <f>D9*E9</f>
        <v>5051220</v>
      </c>
      <c r="G9" s="2">
        <f t="shared" si="3"/>
        <v>5051220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f t="shared" si="7"/>
        <v>5051220</v>
      </c>
      <c r="R9" s="2">
        <v>382074</v>
      </c>
      <c r="S9">
        <v>852</v>
      </c>
      <c r="T9">
        <f t="shared" si="8"/>
        <v>1765.4919786096257</v>
      </c>
      <c r="U9" s="1">
        <f t="shared" si="4"/>
        <v>0.17</v>
      </c>
      <c r="V9" s="2">
        <f>R9*U9</f>
        <v>64952.58</v>
      </c>
      <c r="W9" s="2">
        <v>1710</v>
      </c>
      <c r="X9" s="2">
        <f t="shared" si="9"/>
        <v>1111144542.0352941</v>
      </c>
      <c r="Y9" s="2">
        <f t="shared" si="5"/>
        <v>111114454.2035294</v>
      </c>
      <c r="Z9" s="2">
        <f t="shared" si="5"/>
        <v>107878110.87721302</v>
      </c>
      <c r="AA9" s="2">
        <f t="shared" si="5"/>
        <v>104736029.97787671</v>
      </c>
      <c r="AB9" s="2">
        <f t="shared" si="5"/>
        <v>101685465.99793856</v>
      </c>
      <c r="AC9" s="2">
        <f t="shared" si="5"/>
        <v>98723753.396056861</v>
      </c>
      <c r="AD9" s="2">
        <f t="shared" si="5"/>
        <v>95848304.268016368</v>
      </c>
      <c r="AE9" s="2">
        <f t="shared" si="5"/>
        <v>93056606.08545278</v>
      </c>
      <c r="AF9" s="2">
        <f t="shared" si="5"/>
        <v>90346219.500439584</v>
      </c>
      <c r="AG9" s="2">
        <f t="shared" si="5"/>
        <v>87714776.214019015</v>
      </c>
      <c r="AH9" s="2">
        <f t="shared" si="5"/>
        <v>85159976.90681459</v>
      </c>
      <c r="AI9" s="2">
        <f t="shared" si="10"/>
        <v>976263697.42735696</v>
      </c>
      <c r="AJ9" s="2">
        <v>116</v>
      </c>
      <c r="AK9" s="2">
        <v>10</v>
      </c>
      <c r="AL9" s="2">
        <f>AK9*AJ9</f>
        <v>1160</v>
      </c>
      <c r="AM9" s="2">
        <f>AL9*0.17</f>
        <v>197.20000000000002</v>
      </c>
      <c r="AN9" s="2">
        <f t="shared" si="11"/>
        <v>1325532</v>
      </c>
      <c r="AO9" s="2">
        <f t="shared" si="12"/>
        <v>380914</v>
      </c>
      <c r="AP9" s="2">
        <f t="shared" si="6"/>
        <v>110981901.0035294</v>
      </c>
      <c r="AQ9" s="2">
        <f t="shared" si="6"/>
        <v>107749418.45002854</v>
      </c>
      <c r="AR9" s="2">
        <f t="shared" si="6"/>
        <v>104611085.87381412</v>
      </c>
      <c r="AS9" s="2">
        <f t="shared" si="6"/>
        <v>101564161.04253799</v>
      </c>
      <c r="AT9" s="2">
        <f t="shared" si="6"/>
        <v>98605981.594697073</v>
      </c>
      <c r="AU9" s="2">
        <f t="shared" si="6"/>
        <v>95733962.713298142</v>
      </c>
      <c r="AV9" s="2">
        <f t="shared" si="6"/>
        <v>92945594.867279738</v>
      </c>
      <c r="AW9" s="2">
        <f t="shared" si="6"/>
        <v>90238441.618718192</v>
      </c>
      <c r="AX9" s="2">
        <f t="shared" si="6"/>
        <v>87610137.493901163</v>
      </c>
      <c r="AY9" s="2">
        <f t="shared" si="6"/>
        <v>85058385.916408896</v>
      </c>
      <c r="AZ9" s="2">
        <f t="shared" si="18"/>
        <v>975099070.57421327</v>
      </c>
      <c r="BA9" s="2">
        <f t="shared" si="13"/>
        <v>970047850.57421327</v>
      </c>
      <c r="BB9" s="3">
        <f t="shared" si="19"/>
        <v>193.04228890727651</v>
      </c>
      <c r="BC9" s="2"/>
      <c r="BD9" s="3"/>
    </row>
    <row r="10" spans="1:56" x14ac:dyDescent="0.25">
      <c r="A10" s="1" t="s">
        <v>8</v>
      </c>
      <c r="B10" s="1" t="s">
        <v>1</v>
      </c>
      <c r="C10" s="3">
        <v>2.13</v>
      </c>
      <c r="D10" s="2">
        <f>252561</f>
        <v>252561</v>
      </c>
      <c r="E10" s="2">
        <v>50</v>
      </c>
      <c r="F10" s="2">
        <f>D10*E10</f>
        <v>12628050</v>
      </c>
      <c r="G10" s="2">
        <f t="shared" si="3"/>
        <v>12628050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f t="shared" si="7"/>
        <v>12628050</v>
      </c>
      <c r="R10" s="2">
        <v>382074</v>
      </c>
      <c r="S10">
        <v>852</v>
      </c>
      <c r="T10">
        <f t="shared" si="8"/>
        <v>1765.4919786096257</v>
      </c>
      <c r="U10" s="1">
        <f t="shared" si="4"/>
        <v>0.17</v>
      </c>
      <c r="V10" s="2">
        <f>R10*U10</f>
        <v>64952.58</v>
      </c>
      <c r="W10" s="2">
        <v>1710</v>
      </c>
      <c r="X10" s="2">
        <f t="shared" si="9"/>
        <v>1111144542.0352941</v>
      </c>
      <c r="Y10" s="2">
        <f t="shared" si="5"/>
        <v>111114454.2035294</v>
      </c>
      <c r="Z10" s="2">
        <f t="shared" si="5"/>
        <v>107878110.87721302</v>
      </c>
      <c r="AA10" s="2">
        <f t="shared" si="5"/>
        <v>104736029.97787671</v>
      </c>
      <c r="AB10" s="2">
        <f t="shared" si="5"/>
        <v>101685465.99793856</v>
      </c>
      <c r="AC10" s="2">
        <f t="shared" si="5"/>
        <v>98723753.396056861</v>
      </c>
      <c r="AD10" s="2">
        <f t="shared" si="5"/>
        <v>95848304.268016368</v>
      </c>
      <c r="AE10" s="2">
        <f t="shared" si="5"/>
        <v>93056606.08545278</v>
      </c>
      <c r="AF10" s="2">
        <f t="shared" si="5"/>
        <v>90346219.500439584</v>
      </c>
      <c r="AG10" s="2">
        <f t="shared" si="5"/>
        <v>87714776.214019015</v>
      </c>
      <c r="AH10" s="2">
        <f t="shared" si="5"/>
        <v>85159976.90681459</v>
      </c>
      <c r="AI10" s="2">
        <f t="shared" si="10"/>
        <v>976263697.42735696</v>
      </c>
      <c r="AJ10" s="2">
        <v>116</v>
      </c>
      <c r="AK10" s="2">
        <v>10</v>
      </c>
      <c r="AL10" s="2">
        <f>AK10*AJ10</f>
        <v>1160</v>
      </c>
      <c r="AM10" s="2">
        <f>AL10*0.17</f>
        <v>197.20000000000002</v>
      </c>
      <c r="AN10" s="2">
        <f t="shared" si="11"/>
        <v>1325532</v>
      </c>
      <c r="AO10" s="2">
        <f t="shared" si="12"/>
        <v>380914</v>
      </c>
      <c r="AP10" s="2">
        <f t="shared" si="6"/>
        <v>110981901.0035294</v>
      </c>
      <c r="AQ10" s="2">
        <f t="shared" si="6"/>
        <v>107749418.45002854</v>
      </c>
      <c r="AR10" s="2">
        <f t="shared" si="6"/>
        <v>104611085.87381412</v>
      </c>
      <c r="AS10" s="2">
        <f t="shared" si="6"/>
        <v>101564161.04253799</v>
      </c>
      <c r="AT10" s="2">
        <f t="shared" si="6"/>
        <v>98605981.594697073</v>
      </c>
      <c r="AU10" s="2">
        <f t="shared" si="6"/>
        <v>95733962.713298142</v>
      </c>
      <c r="AV10" s="2">
        <f t="shared" si="6"/>
        <v>92945594.867279738</v>
      </c>
      <c r="AW10" s="2">
        <f t="shared" si="6"/>
        <v>90238441.618718192</v>
      </c>
      <c r="AX10" s="2">
        <f t="shared" si="6"/>
        <v>87610137.493901163</v>
      </c>
      <c r="AY10" s="2">
        <f t="shared" si="6"/>
        <v>85058385.916408896</v>
      </c>
      <c r="AZ10" s="2">
        <f t="shared" si="18"/>
        <v>975099070.57421327</v>
      </c>
      <c r="BA10" s="2">
        <f t="shared" si="13"/>
        <v>962471020.57421327</v>
      </c>
      <c r="BB10" s="3">
        <f t="shared" si="19"/>
        <v>77.2169155629106</v>
      </c>
      <c r="BC10" s="2"/>
      <c r="BD10" s="3"/>
    </row>
    <row r="11" spans="1:56" x14ac:dyDescent="0.25">
      <c r="A11" s="1" t="s">
        <v>9</v>
      </c>
      <c r="B11" s="1" t="s">
        <v>0</v>
      </c>
      <c r="C11" s="3">
        <v>0.92</v>
      </c>
      <c r="D11" s="2">
        <v>0</v>
      </c>
      <c r="E11" s="2"/>
      <c r="F11" s="2">
        <f>D11*E11</f>
        <v>0</v>
      </c>
      <c r="G11" s="2">
        <f t="shared" si="3"/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f t="shared" si="7"/>
        <v>0</v>
      </c>
      <c r="R11" s="2">
        <v>130</v>
      </c>
      <c r="S11">
        <v>852</v>
      </c>
      <c r="T11">
        <f t="shared" si="8"/>
        <v>1765.4919786096257</v>
      </c>
      <c r="U11" s="1">
        <f t="shared" si="4"/>
        <v>0.17</v>
      </c>
      <c r="V11" s="2">
        <f>R11*U11</f>
        <v>22.1</v>
      </c>
      <c r="W11" s="2">
        <v>1710</v>
      </c>
      <c r="X11" s="2">
        <f t="shared" si="9"/>
        <v>378064.95721925132</v>
      </c>
      <c r="Y11" s="2">
        <f t="shared" si="5"/>
        <v>37806.49572192513</v>
      </c>
      <c r="Z11" s="2">
        <f t="shared" si="5"/>
        <v>36705.335652354494</v>
      </c>
      <c r="AA11" s="2">
        <f t="shared" si="5"/>
        <v>35636.24820616941</v>
      </c>
      <c r="AB11" s="2">
        <f t="shared" si="5"/>
        <v>34598.299229290693</v>
      </c>
      <c r="AC11" s="2">
        <f t="shared" si="5"/>
        <v>33590.581776010382</v>
      </c>
      <c r="AD11" s="2">
        <f t="shared" si="5"/>
        <v>32612.215316514936</v>
      </c>
      <c r="AE11" s="2">
        <f t="shared" si="5"/>
        <v>31662.344967490229</v>
      </c>
      <c r="AF11" s="2">
        <f t="shared" si="5"/>
        <v>30740.140745136145</v>
      </c>
      <c r="AG11" s="2">
        <f t="shared" si="5"/>
        <v>29844.796839938004</v>
      </c>
      <c r="AH11" s="2">
        <f t="shared" si="5"/>
        <v>28975.530912561171</v>
      </c>
      <c r="AI11" s="2">
        <f t="shared" si="10"/>
        <v>332171.98936739058</v>
      </c>
      <c r="AJ11" s="2">
        <v>13</v>
      </c>
      <c r="AK11" s="2">
        <v>10</v>
      </c>
      <c r="AL11" s="2">
        <f>AK11*AJ11</f>
        <v>130</v>
      </c>
      <c r="AM11" s="2">
        <f>AL11*0.17</f>
        <v>22.1</v>
      </c>
      <c r="AN11" s="2">
        <f t="shared" si="11"/>
        <v>148551</v>
      </c>
      <c r="AO11" s="2">
        <f t="shared" si="12"/>
        <v>0</v>
      </c>
      <c r="AP11" s="2">
        <f t="shared" si="6"/>
        <v>22951.395721925132</v>
      </c>
      <c r="AQ11" s="2">
        <f t="shared" si="6"/>
        <v>22282.908467888479</v>
      </c>
      <c r="AR11" s="2">
        <f t="shared" si="6"/>
        <v>21633.891716396578</v>
      </c>
      <c r="AS11" s="2">
        <f t="shared" si="6"/>
        <v>21003.778365433573</v>
      </c>
      <c r="AT11" s="2">
        <f t="shared" si="6"/>
        <v>20392.017830518034</v>
      </c>
      <c r="AU11" s="2">
        <f t="shared" si="6"/>
        <v>19798.075563609742</v>
      </c>
      <c r="AV11" s="2">
        <f t="shared" si="6"/>
        <v>19221.432586028874</v>
      </c>
      <c r="AW11" s="2">
        <f t="shared" si="6"/>
        <v>18661.585034979489</v>
      </c>
      <c r="AX11" s="2">
        <f t="shared" si="6"/>
        <v>18118.043723281058</v>
      </c>
      <c r="AY11" s="2">
        <f t="shared" si="6"/>
        <v>17590.333711923358</v>
      </c>
      <c r="AZ11" s="2">
        <f t="shared" si="18"/>
        <v>201653.46272198431</v>
      </c>
      <c r="BA11" s="2">
        <f>AZ11-Q11</f>
        <v>201653.46272198431</v>
      </c>
      <c r="BB11" s="3" t="e">
        <f t="shared" si="19"/>
        <v>#DIV/0!</v>
      </c>
      <c r="BC11" s="2"/>
      <c r="BD11" s="3"/>
    </row>
    <row r="12" spans="1:56" x14ac:dyDescent="0.25">
      <c r="A12" s="1" t="s">
        <v>9</v>
      </c>
      <c r="B12" s="1" t="s">
        <v>0</v>
      </c>
      <c r="C12" s="3">
        <v>1.19</v>
      </c>
      <c r="D12" s="2">
        <f>80000</f>
        <v>80000</v>
      </c>
      <c r="E12" s="2">
        <v>20</v>
      </c>
      <c r="F12" s="2">
        <f>D12*E12</f>
        <v>1600000</v>
      </c>
      <c r="G12" s="2">
        <f t="shared" si="3"/>
        <v>1600000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f>SUM(G12:P12)</f>
        <v>1600000</v>
      </c>
      <c r="R12" s="2">
        <v>2200</v>
      </c>
      <c r="S12">
        <v>852</v>
      </c>
      <c r="T12">
        <f t="shared" si="8"/>
        <v>1765.4919786096257</v>
      </c>
      <c r="U12" s="1">
        <f>0.17</f>
        <v>0.17</v>
      </c>
      <c r="V12" s="2">
        <f>R12*U12</f>
        <v>374</v>
      </c>
      <c r="W12" s="2">
        <v>1710</v>
      </c>
      <c r="X12" s="2">
        <f t="shared" si="9"/>
        <v>6398022.3529411759</v>
      </c>
      <c r="Y12" s="2">
        <f t="shared" si="5"/>
        <v>639802.23529411759</v>
      </c>
      <c r="Z12" s="2">
        <f t="shared" si="5"/>
        <v>621167.21873215307</v>
      </c>
      <c r="AA12" s="2">
        <f t="shared" si="5"/>
        <v>603074.96964286698</v>
      </c>
      <c r="AB12" s="2">
        <f t="shared" si="5"/>
        <v>585509.67926491948</v>
      </c>
      <c r="AC12" s="2">
        <f t="shared" si="5"/>
        <v>568455.99928632961</v>
      </c>
      <c r="AD12" s="2">
        <f t="shared" si="5"/>
        <v>551899.02843332966</v>
      </c>
      <c r="AE12" s="2">
        <f t="shared" si="5"/>
        <v>535824.29944983462</v>
      </c>
      <c r="AF12" s="2">
        <f t="shared" si="5"/>
        <v>520217.7664561501</v>
      </c>
      <c r="AG12" s="2">
        <f t="shared" si="5"/>
        <v>505065.7926758739</v>
      </c>
      <c r="AH12" s="2">
        <f t="shared" si="5"/>
        <v>490355.13852026593</v>
      </c>
      <c r="AI12" s="2">
        <f t="shared" si="10"/>
        <v>5621372.1277558403</v>
      </c>
      <c r="AJ12" s="2">
        <v>145</v>
      </c>
      <c r="AK12" s="2">
        <v>10</v>
      </c>
      <c r="AL12" s="2">
        <f>AK12*AJ12</f>
        <v>1450</v>
      </c>
      <c r="AM12" s="2">
        <f>AL12*0.17</f>
        <v>246.50000000000003</v>
      </c>
      <c r="AN12" s="2">
        <f t="shared" si="11"/>
        <v>1656915</v>
      </c>
      <c r="AO12" s="2">
        <f t="shared" si="12"/>
        <v>750</v>
      </c>
      <c r="AP12" s="2">
        <f t="shared" si="6"/>
        <v>474110.73529411759</v>
      </c>
      <c r="AQ12" s="2">
        <f t="shared" si="6"/>
        <v>460301.68475157046</v>
      </c>
      <c r="AR12" s="2">
        <f t="shared" si="6"/>
        <v>446894.83956463152</v>
      </c>
      <c r="AS12" s="2">
        <f t="shared" si="6"/>
        <v>433878.48501420539</v>
      </c>
      <c r="AT12" s="2">
        <f t="shared" si="6"/>
        <v>421241.24758660718</v>
      </c>
      <c r="AU12" s="2">
        <f t="shared" si="6"/>
        <v>408972.08503554098</v>
      </c>
      <c r="AV12" s="2">
        <f t="shared" si="6"/>
        <v>397060.27673353493</v>
      </c>
      <c r="AW12" s="2">
        <f t="shared" si="6"/>
        <v>385495.41430440283</v>
      </c>
      <c r="AX12" s="2">
        <f t="shared" si="6"/>
        <v>374267.39252854645</v>
      </c>
      <c r="AY12" s="2">
        <f t="shared" si="6"/>
        <v>363366.40051315189</v>
      </c>
      <c r="AZ12" s="2">
        <f t="shared" si="18"/>
        <v>4165588.5613263091</v>
      </c>
      <c r="BA12" s="2">
        <f t="shared" si="13"/>
        <v>2565588.5613263091</v>
      </c>
      <c r="BB12" s="3">
        <f t="shared" si="19"/>
        <v>2.603492850828943</v>
      </c>
      <c r="BC12" s="2"/>
      <c r="BD12" s="3"/>
    </row>
    <row r="13" spans="1:56" x14ac:dyDescent="0.25">
      <c r="A13" s="1" t="s">
        <v>9</v>
      </c>
      <c r="B13" s="1" t="s">
        <v>0</v>
      </c>
      <c r="C13" s="3">
        <v>1.19</v>
      </c>
      <c r="D13" s="2">
        <f>80000</f>
        <v>80000</v>
      </c>
      <c r="E13" s="2">
        <v>50</v>
      </c>
      <c r="F13" s="2">
        <f t="shared" ref="F13:F15" si="20">D13*E13</f>
        <v>4000000</v>
      </c>
      <c r="G13" s="2">
        <f t="shared" si="3"/>
        <v>4000000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f t="shared" si="7"/>
        <v>4000000</v>
      </c>
      <c r="R13" s="2">
        <v>2200</v>
      </c>
      <c r="S13">
        <v>852</v>
      </c>
      <c r="T13">
        <f t="shared" si="8"/>
        <v>1765.4919786096257</v>
      </c>
      <c r="U13" s="1">
        <f t="shared" si="4"/>
        <v>0.17</v>
      </c>
      <c r="V13" s="2">
        <f t="shared" ref="V13:V15" si="21">R13*U13</f>
        <v>374</v>
      </c>
      <c r="W13" s="2">
        <v>1710</v>
      </c>
      <c r="X13" s="2">
        <f t="shared" si="9"/>
        <v>6398022.3529411759</v>
      </c>
      <c r="Y13" s="2">
        <f t="shared" si="5"/>
        <v>639802.23529411759</v>
      </c>
      <c r="Z13" s="2">
        <f t="shared" si="5"/>
        <v>621167.21873215307</v>
      </c>
      <c r="AA13" s="2">
        <f t="shared" si="5"/>
        <v>603074.96964286698</v>
      </c>
      <c r="AB13" s="2">
        <f t="shared" si="5"/>
        <v>585509.67926491948</v>
      </c>
      <c r="AC13" s="2">
        <f t="shared" si="5"/>
        <v>568455.99928632961</v>
      </c>
      <c r="AD13" s="2">
        <f t="shared" si="5"/>
        <v>551899.02843332966</v>
      </c>
      <c r="AE13" s="2">
        <f t="shared" si="5"/>
        <v>535824.29944983462</v>
      </c>
      <c r="AF13" s="2">
        <f t="shared" si="5"/>
        <v>520217.7664561501</v>
      </c>
      <c r="AG13" s="2">
        <f t="shared" si="5"/>
        <v>505065.7926758739</v>
      </c>
      <c r="AH13" s="2">
        <f t="shared" si="5"/>
        <v>490355.13852026593</v>
      </c>
      <c r="AI13" s="2">
        <f t="shared" si="10"/>
        <v>5621372.1277558403</v>
      </c>
      <c r="AJ13" s="2">
        <v>145</v>
      </c>
      <c r="AK13" s="2">
        <v>10</v>
      </c>
      <c r="AL13" s="2">
        <f t="shared" ref="AL13:AL15" si="22">AK13*AJ13</f>
        <v>1450</v>
      </c>
      <c r="AM13" s="2">
        <f t="shared" ref="AM13:AM15" si="23">AL13*0.17</f>
        <v>246.50000000000003</v>
      </c>
      <c r="AN13" s="2">
        <f t="shared" si="11"/>
        <v>1656915</v>
      </c>
      <c r="AO13" s="2">
        <f t="shared" si="12"/>
        <v>750</v>
      </c>
      <c r="AP13" s="2">
        <f t="shared" si="6"/>
        <v>474110.73529411759</v>
      </c>
      <c r="AQ13" s="2">
        <f t="shared" si="6"/>
        <v>460301.68475157046</v>
      </c>
      <c r="AR13" s="2">
        <f t="shared" si="6"/>
        <v>446894.83956463152</v>
      </c>
      <c r="AS13" s="2">
        <f t="shared" si="6"/>
        <v>433878.48501420539</v>
      </c>
      <c r="AT13" s="2">
        <f t="shared" si="6"/>
        <v>421241.24758660718</v>
      </c>
      <c r="AU13" s="2">
        <f t="shared" si="6"/>
        <v>408972.08503554098</v>
      </c>
      <c r="AV13" s="2">
        <f t="shared" si="6"/>
        <v>397060.27673353493</v>
      </c>
      <c r="AW13" s="2">
        <f t="shared" si="6"/>
        <v>385495.41430440283</v>
      </c>
      <c r="AX13" s="2">
        <f t="shared" si="6"/>
        <v>374267.39252854645</v>
      </c>
      <c r="AY13" s="2">
        <f t="shared" si="6"/>
        <v>363366.40051315189</v>
      </c>
      <c r="AZ13" s="2">
        <f t="shared" si="18"/>
        <v>4165588.5613263091</v>
      </c>
      <c r="BA13" s="2">
        <f t="shared" si="13"/>
        <v>165588.56132630911</v>
      </c>
      <c r="BB13" s="3">
        <f t="shared" si="19"/>
        <v>1.0413971403315774</v>
      </c>
      <c r="BC13" s="2"/>
      <c r="BD13" s="3"/>
    </row>
    <row r="14" spans="1:56" x14ac:dyDescent="0.25">
      <c r="A14" s="1" t="s">
        <v>8</v>
      </c>
      <c r="B14" s="1" t="s">
        <v>1</v>
      </c>
      <c r="C14" s="3">
        <v>1.82</v>
      </c>
      <c r="D14" s="2">
        <v>208153</v>
      </c>
      <c r="E14" s="2">
        <v>20</v>
      </c>
      <c r="F14" s="2">
        <f t="shared" si="20"/>
        <v>4163060</v>
      </c>
      <c r="G14" s="2">
        <f t="shared" si="3"/>
        <v>4163060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f t="shared" si="7"/>
        <v>4163060</v>
      </c>
      <c r="R14" s="2">
        <v>2200</v>
      </c>
      <c r="S14">
        <v>852</v>
      </c>
      <c r="T14">
        <f t="shared" si="8"/>
        <v>1765.4919786096257</v>
      </c>
      <c r="U14" s="1">
        <f t="shared" si="4"/>
        <v>0.17</v>
      </c>
      <c r="V14" s="2">
        <f t="shared" si="21"/>
        <v>374</v>
      </c>
      <c r="W14" s="2">
        <v>1710</v>
      </c>
      <c r="X14" s="2">
        <f t="shared" si="9"/>
        <v>6398022.3529411759</v>
      </c>
      <c r="Y14" s="2">
        <f t="shared" si="5"/>
        <v>639802.23529411759</v>
      </c>
      <c r="Z14" s="2">
        <f t="shared" si="5"/>
        <v>621167.21873215307</v>
      </c>
      <c r="AA14" s="2">
        <f t="shared" si="5"/>
        <v>603074.96964286698</v>
      </c>
      <c r="AB14" s="2">
        <f t="shared" si="5"/>
        <v>585509.67926491948</v>
      </c>
      <c r="AC14" s="2">
        <f t="shared" si="5"/>
        <v>568455.99928632961</v>
      </c>
      <c r="AD14" s="2">
        <f t="shared" si="5"/>
        <v>551899.02843332966</v>
      </c>
      <c r="AE14" s="2">
        <f t="shared" si="5"/>
        <v>535824.29944983462</v>
      </c>
      <c r="AF14" s="2">
        <f t="shared" si="5"/>
        <v>520217.7664561501</v>
      </c>
      <c r="AG14" s="2">
        <f t="shared" si="5"/>
        <v>505065.7926758739</v>
      </c>
      <c r="AH14" s="2">
        <f t="shared" si="5"/>
        <v>490355.13852026593</v>
      </c>
      <c r="AI14" s="2">
        <f t="shared" si="10"/>
        <v>5621372.1277558403</v>
      </c>
      <c r="AJ14" s="2">
        <v>116</v>
      </c>
      <c r="AK14" s="2">
        <v>10</v>
      </c>
      <c r="AL14" s="2">
        <f t="shared" si="22"/>
        <v>1160</v>
      </c>
      <c r="AM14" s="2">
        <f t="shared" si="23"/>
        <v>197.20000000000002</v>
      </c>
      <c r="AN14" s="2">
        <f t="shared" si="11"/>
        <v>1325532</v>
      </c>
      <c r="AO14" s="2">
        <f t="shared" si="12"/>
        <v>1040</v>
      </c>
      <c r="AP14" s="2">
        <f t="shared" si="6"/>
        <v>507249.03529411758</v>
      </c>
      <c r="AQ14" s="2">
        <f t="shared" si="6"/>
        <v>492474.79154768697</v>
      </c>
      <c r="AR14" s="2">
        <f t="shared" si="6"/>
        <v>478130.86558027862</v>
      </c>
      <c r="AS14" s="2">
        <f t="shared" si="6"/>
        <v>464204.7238643482</v>
      </c>
      <c r="AT14" s="2">
        <f t="shared" si="6"/>
        <v>450684.19792655169</v>
      </c>
      <c r="AU14" s="2">
        <f t="shared" si="6"/>
        <v>437557.47371509875</v>
      </c>
      <c r="AV14" s="2">
        <f t="shared" si="6"/>
        <v>424813.08127679484</v>
      </c>
      <c r="AW14" s="2">
        <f t="shared" si="6"/>
        <v>412439.88473475224</v>
      </c>
      <c r="AX14" s="2">
        <f t="shared" si="6"/>
        <v>400427.07255801192</v>
      </c>
      <c r="AY14" s="2">
        <f t="shared" si="6"/>
        <v>388764.14811457467</v>
      </c>
      <c r="AZ14" s="2">
        <f t="shared" si="18"/>
        <v>4456745.2746122153</v>
      </c>
      <c r="BA14" s="2">
        <f t="shared" si="13"/>
        <v>293685.27461221535</v>
      </c>
      <c r="BB14" s="3">
        <f t="shared" si="19"/>
        <v>1.0705455301178017</v>
      </c>
      <c r="BC14" s="2"/>
      <c r="BD14" s="3"/>
    </row>
    <row r="15" spans="1:56" x14ac:dyDescent="0.25">
      <c r="A15" s="1" t="s">
        <v>8</v>
      </c>
      <c r="B15" s="1" t="s">
        <v>1</v>
      </c>
      <c r="C15" s="3">
        <v>1.82</v>
      </c>
      <c r="D15" s="2">
        <v>208153</v>
      </c>
      <c r="E15" s="2">
        <v>50</v>
      </c>
      <c r="F15" s="2">
        <f t="shared" si="20"/>
        <v>10407650</v>
      </c>
      <c r="G15" s="2">
        <f t="shared" si="3"/>
        <v>10407650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f t="shared" si="7"/>
        <v>10407650</v>
      </c>
      <c r="R15" s="2">
        <v>2200</v>
      </c>
      <c r="S15">
        <v>852</v>
      </c>
      <c r="T15">
        <f t="shared" si="8"/>
        <v>1765.4919786096257</v>
      </c>
      <c r="U15" s="1">
        <f t="shared" si="4"/>
        <v>0.17</v>
      </c>
      <c r="V15" s="2">
        <f t="shared" si="21"/>
        <v>374</v>
      </c>
      <c r="W15" s="2">
        <v>1710</v>
      </c>
      <c r="X15" s="2">
        <f t="shared" si="9"/>
        <v>6398022.3529411759</v>
      </c>
      <c r="Y15" s="2">
        <f t="shared" si="5"/>
        <v>639802.23529411759</v>
      </c>
      <c r="Z15" s="2">
        <f t="shared" si="5"/>
        <v>621167.21873215307</v>
      </c>
      <c r="AA15" s="2">
        <f t="shared" si="5"/>
        <v>603074.96964286698</v>
      </c>
      <c r="AB15" s="2">
        <f t="shared" si="5"/>
        <v>585509.67926491948</v>
      </c>
      <c r="AC15" s="2">
        <f t="shared" si="5"/>
        <v>568455.99928632961</v>
      </c>
      <c r="AD15" s="2">
        <f t="shared" si="5"/>
        <v>551899.02843332966</v>
      </c>
      <c r="AE15" s="2">
        <f t="shared" si="5"/>
        <v>535824.29944983462</v>
      </c>
      <c r="AF15" s="2">
        <f t="shared" si="5"/>
        <v>520217.7664561501</v>
      </c>
      <c r="AG15" s="2">
        <f t="shared" si="5"/>
        <v>505065.7926758739</v>
      </c>
      <c r="AH15" s="2">
        <f t="shared" si="5"/>
        <v>490355.13852026593</v>
      </c>
      <c r="AI15" s="2">
        <f t="shared" si="10"/>
        <v>5621372.1277558403</v>
      </c>
      <c r="AJ15" s="2">
        <v>116</v>
      </c>
      <c r="AK15" s="2">
        <v>10</v>
      </c>
      <c r="AL15" s="2">
        <f t="shared" si="22"/>
        <v>1160</v>
      </c>
      <c r="AM15" s="2">
        <f t="shared" si="23"/>
        <v>197.20000000000002</v>
      </c>
      <c r="AN15" s="2">
        <f t="shared" si="11"/>
        <v>1325532</v>
      </c>
      <c r="AO15" s="2">
        <f t="shared" si="12"/>
        <v>1040</v>
      </c>
      <c r="AP15" s="2">
        <f t="shared" si="6"/>
        <v>507249.03529411758</v>
      </c>
      <c r="AQ15" s="2">
        <f t="shared" si="6"/>
        <v>492474.79154768697</v>
      </c>
      <c r="AR15" s="2">
        <f t="shared" si="6"/>
        <v>478130.86558027862</v>
      </c>
      <c r="AS15" s="2">
        <f t="shared" si="6"/>
        <v>464204.7238643482</v>
      </c>
      <c r="AT15" s="2">
        <f t="shared" si="6"/>
        <v>450684.19792655169</v>
      </c>
      <c r="AU15" s="2">
        <f t="shared" si="6"/>
        <v>437557.47371509875</v>
      </c>
      <c r="AV15" s="2">
        <f t="shared" si="6"/>
        <v>424813.08127679484</v>
      </c>
      <c r="AW15" s="2">
        <f t="shared" si="6"/>
        <v>412439.88473475224</v>
      </c>
      <c r="AX15" s="2">
        <f t="shared" si="6"/>
        <v>400427.07255801192</v>
      </c>
      <c r="AY15" s="2">
        <f t="shared" si="6"/>
        <v>388764.14811457467</v>
      </c>
      <c r="AZ15" s="2">
        <f t="shared" si="18"/>
        <v>4456745.2746122153</v>
      </c>
      <c r="BA15" s="2">
        <f t="shared" si="13"/>
        <v>-5950904.7253877847</v>
      </c>
      <c r="BB15" s="3">
        <f t="shared" si="19"/>
        <v>0.42821821204712068</v>
      </c>
      <c r="BC15" s="2"/>
      <c r="BD15" s="3"/>
    </row>
    <row r="16" spans="1:56" x14ac:dyDescent="0.25">
      <c r="A16" s="1" t="s">
        <v>8</v>
      </c>
      <c r="B16" s="1" t="s">
        <v>1</v>
      </c>
      <c r="C16" s="3">
        <v>2.13</v>
      </c>
      <c r="D16" s="2">
        <f>252561</f>
        <v>252561</v>
      </c>
      <c r="E16" s="2">
        <v>20</v>
      </c>
      <c r="F16" s="2">
        <f>D16*E16</f>
        <v>5051220</v>
      </c>
      <c r="G16" s="2">
        <f t="shared" si="3"/>
        <v>5051220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f t="shared" si="7"/>
        <v>5051220</v>
      </c>
      <c r="R16" s="2">
        <v>2200</v>
      </c>
      <c r="S16">
        <v>852</v>
      </c>
      <c r="T16">
        <f t="shared" si="8"/>
        <v>1765.4919786096257</v>
      </c>
      <c r="U16" s="1">
        <f t="shared" si="4"/>
        <v>0.17</v>
      </c>
      <c r="V16" s="2">
        <f>R16*U16</f>
        <v>374</v>
      </c>
      <c r="W16" s="2">
        <v>1710</v>
      </c>
      <c r="X16" s="2">
        <f t="shared" si="9"/>
        <v>6398022.3529411759</v>
      </c>
      <c r="Y16" s="2">
        <f t="shared" si="5"/>
        <v>639802.23529411759</v>
      </c>
      <c r="Z16" s="2">
        <f t="shared" si="5"/>
        <v>621167.21873215307</v>
      </c>
      <c r="AA16" s="2">
        <f t="shared" si="5"/>
        <v>603074.96964286698</v>
      </c>
      <c r="AB16" s="2">
        <f t="shared" si="5"/>
        <v>585509.67926491948</v>
      </c>
      <c r="AC16" s="2">
        <f t="shared" si="5"/>
        <v>568455.99928632961</v>
      </c>
      <c r="AD16" s="2">
        <f t="shared" si="5"/>
        <v>551899.02843332966</v>
      </c>
      <c r="AE16" s="2">
        <f t="shared" si="5"/>
        <v>535824.29944983462</v>
      </c>
      <c r="AF16" s="2">
        <f t="shared" si="5"/>
        <v>520217.7664561501</v>
      </c>
      <c r="AG16" s="2">
        <f t="shared" si="5"/>
        <v>505065.7926758739</v>
      </c>
      <c r="AH16" s="2">
        <f t="shared" si="5"/>
        <v>490355.13852026593</v>
      </c>
      <c r="AI16" s="2">
        <f t="shared" si="10"/>
        <v>5621372.1277558403</v>
      </c>
      <c r="AJ16" s="2">
        <v>116</v>
      </c>
      <c r="AK16" s="2">
        <v>10</v>
      </c>
      <c r="AL16" s="2">
        <f>AK16*AJ16</f>
        <v>1160</v>
      </c>
      <c r="AM16" s="2">
        <f>AL16*0.17</f>
        <v>197.20000000000002</v>
      </c>
      <c r="AN16" s="2">
        <f t="shared" si="11"/>
        <v>1325532</v>
      </c>
      <c r="AO16" s="2">
        <f t="shared" si="12"/>
        <v>1040</v>
      </c>
      <c r="AP16" s="2">
        <f t="shared" si="6"/>
        <v>507249.03529411758</v>
      </c>
      <c r="AQ16" s="2">
        <f t="shared" si="6"/>
        <v>492474.79154768697</v>
      </c>
      <c r="AR16" s="2">
        <f t="shared" si="6"/>
        <v>478130.86558027862</v>
      </c>
      <c r="AS16" s="2">
        <f t="shared" si="6"/>
        <v>464204.7238643482</v>
      </c>
      <c r="AT16" s="2">
        <f t="shared" si="6"/>
        <v>450684.19792655169</v>
      </c>
      <c r="AU16" s="2">
        <f t="shared" si="6"/>
        <v>437557.47371509875</v>
      </c>
      <c r="AV16" s="2">
        <f t="shared" si="6"/>
        <v>424813.08127679484</v>
      </c>
      <c r="AW16" s="2">
        <f t="shared" si="6"/>
        <v>412439.88473475224</v>
      </c>
      <c r="AX16" s="2">
        <f t="shared" si="6"/>
        <v>400427.07255801192</v>
      </c>
      <c r="AY16" s="2">
        <f t="shared" si="6"/>
        <v>388764.14811457467</v>
      </c>
      <c r="AZ16" s="2">
        <f t="shared" si="18"/>
        <v>4456745.2746122153</v>
      </c>
      <c r="BA16" s="2">
        <f t="shared" si="13"/>
        <v>-594474.72538778465</v>
      </c>
      <c r="BB16" s="3">
        <f t="shared" si="19"/>
        <v>0.88231066447555551</v>
      </c>
      <c r="BC16" s="2"/>
      <c r="BD16" s="3"/>
    </row>
    <row r="17" spans="1:56" x14ac:dyDescent="0.25">
      <c r="A17" s="1" t="s">
        <v>8</v>
      </c>
      <c r="B17" s="1" t="s">
        <v>1</v>
      </c>
      <c r="C17" s="3">
        <v>2.13</v>
      </c>
      <c r="D17" s="2">
        <f>252561</f>
        <v>252561</v>
      </c>
      <c r="E17" s="2">
        <v>50</v>
      </c>
      <c r="F17" s="2">
        <f>D17*E17</f>
        <v>12628050</v>
      </c>
      <c r="G17" s="2">
        <f t="shared" si="3"/>
        <v>12628050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f t="shared" si="7"/>
        <v>12628050</v>
      </c>
      <c r="R17" s="2">
        <v>2200</v>
      </c>
      <c r="S17">
        <v>852</v>
      </c>
      <c r="T17">
        <f t="shared" si="8"/>
        <v>1765.4919786096257</v>
      </c>
      <c r="U17" s="1">
        <f t="shared" si="4"/>
        <v>0.17</v>
      </c>
      <c r="V17" s="2">
        <f>R17*U17</f>
        <v>374</v>
      </c>
      <c r="W17" s="2">
        <v>1710</v>
      </c>
      <c r="X17" s="2">
        <f t="shared" si="9"/>
        <v>6398022.3529411759</v>
      </c>
      <c r="Y17" s="2">
        <f t="shared" si="5"/>
        <v>639802.23529411759</v>
      </c>
      <c r="Z17" s="2">
        <f t="shared" si="5"/>
        <v>621167.21873215307</v>
      </c>
      <c r="AA17" s="2">
        <f t="shared" si="5"/>
        <v>603074.96964286698</v>
      </c>
      <c r="AB17" s="2">
        <f t="shared" si="5"/>
        <v>585509.67926491948</v>
      </c>
      <c r="AC17" s="2">
        <f t="shared" si="5"/>
        <v>568455.99928632961</v>
      </c>
      <c r="AD17" s="2">
        <f t="shared" si="5"/>
        <v>551899.02843332966</v>
      </c>
      <c r="AE17" s="2">
        <f t="shared" si="5"/>
        <v>535824.29944983462</v>
      </c>
      <c r="AF17" s="2">
        <f t="shared" si="5"/>
        <v>520217.7664561501</v>
      </c>
      <c r="AG17" s="2">
        <f t="shared" si="5"/>
        <v>505065.7926758739</v>
      </c>
      <c r="AH17" s="2">
        <f t="shared" si="5"/>
        <v>490355.13852026593</v>
      </c>
      <c r="AI17" s="2">
        <f t="shared" si="10"/>
        <v>5621372.1277558403</v>
      </c>
      <c r="AJ17" s="2">
        <v>116</v>
      </c>
      <c r="AK17" s="2">
        <v>10</v>
      </c>
      <c r="AL17" s="2">
        <f>AK17*AJ17</f>
        <v>1160</v>
      </c>
      <c r="AM17" s="2">
        <f>AL17*0.17</f>
        <v>197.20000000000002</v>
      </c>
      <c r="AN17" s="2">
        <f t="shared" si="11"/>
        <v>1325532</v>
      </c>
      <c r="AO17" s="2">
        <f t="shared" si="12"/>
        <v>1040</v>
      </c>
      <c r="AP17" s="2">
        <f t="shared" si="6"/>
        <v>507249.03529411758</v>
      </c>
      <c r="AQ17" s="2">
        <f t="shared" si="6"/>
        <v>492474.79154768697</v>
      </c>
      <c r="AR17" s="2">
        <f t="shared" si="6"/>
        <v>478130.86558027862</v>
      </c>
      <c r="AS17" s="2">
        <f t="shared" si="6"/>
        <v>464204.7238643482</v>
      </c>
      <c r="AT17" s="2">
        <f t="shared" si="6"/>
        <v>450684.19792655169</v>
      </c>
      <c r="AU17" s="2">
        <f t="shared" si="6"/>
        <v>437557.47371509875</v>
      </c>
      <c r="AV17" s="2">
        <f t="shared" si="6"/>
        <v>424813.08127679484</v>
      </c>
      <c r="AW17" s="2">
        <f t="shared" si="6"/>
        <v>412439.88473475224</v>
      </c>
      <c r="AX17" s="2">
        <f t="shared" si="6"/>
        <v>400427.07255801192</v>
      </c>
      <c r="AY17" s="2">
        <f t="shared" si="6"/>
        <v>388764.14811457467</v>
      </c>
      <c r="AZ17" s="2">
        <f t="shared" si="18"/>
        <v>4456745.2746122153</v>
      </c>
      <c r="BA17" s="2">
        <f t="shared" si="13"/>
        <v>-8171304.7253877847</v>
      </c>
      <c r="BB17" s="3">
        <f t="shared" si="19"/>
        <v>0.35292426579022218</v>
      </c>
      <c r="BC17" s="2"/>
      <c r="BD17" s="3"/>
    </row>
    <row r="18" spans="1:56" x14ac:dyDescent="0.25">
      <c r="A18" s="1"/>
      <c r="B18" s="1"/>
      <c r="C18" s="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U18" s="1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3"/>
      <c r="BC18" s="2"/>
      <c r="BD18" s="3"/>
    </row>
    <row r="19" spans="1:56" x14ac:dyDescent="0.25">
      <c r="A19" s="1"/>
      <c r="B19" s="1"/>
      <c r="C19" s="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U19" s="1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3"/>
    </row>
    <row r="20" spans="1:56" x14ac:dyDescent="0.25">
      <c r="A20" s="1"/>
      <c r="B20" s="1"/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U20" s="1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3"/>
    </row>
    <row r="21" spans="1:56" x14ac:dyDescent="0.25">
      <c r="A21" s="1"/>
      <c r="B21" s="1"/>
      <c r="C21" s="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U21" s="1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3"/>
    </row>
    <row r="22" spans="1:56" x14ac:dyDescent="0.25">
      <c r="A22" s="1"/>
      <c r="B22" s="1"/>
      <c r="C22" s="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U22" s="1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3"/>
    </row>
    <row r="23" spans="1:56" x14ac:dyDescent="0.25">
      <c r="A23" s="1"/>
      <c r="B23" s="1"/>
      <c r="C23" s="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U23" s="1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3"/>
    </row>
    <row r="24" spans="1:56" x14ac:dyDescent="0.25">
      <c r="A24" s="1"/>
      <c r="B24" s="1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U24" s="1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3"/>
    </row>
    <row r="25" spans="1:56" x14ac:dyDescent="0.25">
      <c r="A25" s="1"/>
      <c r="B25" s="1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U25" s="1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3"/>
    </row>
    <row r="26" spans="1:56" x14ac:dyDescent="0.25">
      <c r="A26" s="1"/>
      <c r="B26" s="1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U26" s="1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3"/>
    </row>
    <row r="27" spans="1:56" x14ac:dyDescent="0.25">
      <c r="A27" s="1"/>
      <c r="B27" s="1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U27" s="1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3"/>
    </row>
    <row r="28" spans="1:56" x14ac:dyDescent="0.25">
      <c r="A28" s="1"/>
      <c r="B28" s="1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U28" s="1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3"/>
    </row>
    <row r="29" spans="1:56" x14ac:dyDescent="0.25">
      <c r="A29" s="1"/>
      <c r="B29" s="1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U29" s="1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3"/>
    </row>
    <row r="30" spans="1:56" x14ac:dyDescent="0.25">
      <c r="A30" s="1"/>
      <c r="B30" s="1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U30" s="1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3"/>
    </row>
    <row r="31" spans="1:56" x14ac:dyDescent="0.25">
      <c r="A31" s="1"/>
      <c r="B31" s="1"/>
      <c r="C31" s="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U31" s="1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3"/>
    </row>
    <row r="32" spans="1:56" x14ac:dyDescent="0.25">
      <c r="A32" s="1"/>
      <c r="B32" s="1"/>
      <c r="C32" s="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U32" s="1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3"/>
    </row>
    <row r="33" spans="1:54" x14ac:dyDescent="0.25">
      <c r="A33" s="1"/>
      <c r="B33" s="1"/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U33" s="1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3"/>
    </row>
    <row r="34" spans="1:54" x14ac:dyDescent="0.25">
      <c r="A34" s="1"/>
      <c r="B34" s="1"/>
      <c r="C34" s="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U34" s="1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3"/>
    </row>
    <row r="35" spans="1:54" x14ac:dyDescent="0.25">
      <c r="A35" s="1"/>
      <c r="B35" s="1"/>
      <c r="C35" s="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U35" s="1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3"/>
    </row>
    <row r="36" spans="1:54" x14ac:dyDescent="0.25">
      <c r="A36" s="1"/>
      <c r="B36" s="1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U36" s="1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3"/>
    </row>
    <row r="37" spans="1:54" x14ac:dyDescent="0.25">
      <c r="A37" s="1"/>
      <c r="B37" s="1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U37" s="1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3"/>
    </row>
    <row r="38" spans="1:54" x14ac:dyDescent="0.25">
      <c r="A38" s="1"/>
      <c r="B38" s="1"/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U38" s="1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3"/>
    </row>
    <row r="39" spans="1:54" x14ac:dyDescent="0.25">
      <c r="A39" s="1"/>
      <c r="B39" s="1"/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U39" s="1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3"/>
    </row>
    <row r="40" spans="1:54" x14ac:dyDescent="0.25">
      <c r="A40" s="1"/>
      <c r="B40" s="1"/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U40" s="1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3"/>
    </row>
    <row r="41" spans="1:54" x14ac:dyDescent="0.25">
      <c r="A41" s="1"/>
      <c r="B41" s="1"/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U41" s="1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3"/>
    </row>
    <row r="42" spans="1:54" x14ac:dyDescent="0.25">
      <c r="A42" s="1"/>
      <c r="B42" s="1"/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U42" s="1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3"/>
    </row>
    <row r="43" spans="1:54" x14ac:dyDescent="0.25">
      <c r="A43" s="1"/>
      <c r="B43" s="1"/>
      <c r="C43" s="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U43" s="1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3"/>
    </row>
    <row r="44" spans="1:54" x14ac:dyDescent="0.25">
      <c r="A44" s="1"/>
      <c r="B44" s="1"/>
      <c r="C44" s="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U44" s="1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3"/>
    </row>
    <row r="45" spans="1:54" x14ac:dyDescent="0.25">
      <c r="A45" s="1"/>
      <c r="B45" s="1"/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U45" s="1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3"/>
    </row>
    <row r="46" spans="1:54" x14ac:dyDescent="0.25">
      <c r="A46" s="1"/>
      <c r="B46" s="1"/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U46" s="1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3"/>
    </row>
    <row r="47" spans="1:54" x14ac:dyDescent="0.25">
      <c r="A47" s="1"/>
      <c r="B47" s="1"/>
      <c r="C47" s="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U47" s="1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3"/>
    </row>
    <row r="48" spans="1:54" x14ac:dyDescent="0.25">
      <c r="A48" s="1"/>
      <c r="B48" s="1"/>
      <c r="C48" s="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U48" s="1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3"/>
    </row>
    <row r="49" spans="1:54" x14ac:dyDescent="0.25">
      <c r="A49" s="1"/>
      <c r="B49" s="1"/>
      <c r="C49" s="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U49" s="1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3"/>
    </row>
    <row r="50" spans="1:54" x14ac:dyDescent="0.25">
      <c r="A50" s="1"/>
      <c r="B50" s="1"/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U50" s="1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3"/>
    </row>
    <row r="51" spans="1:54" x14ac:dyDescent="0.25">
      <c r="A51" s="1"/>
      <c r="B51" s="1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U51" s="1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3"/>
    </row>
    <row r="52" spans="1:54" x14ac:dyDescent="0.25">
      <c r="A52" s="1"/>
      <c r="B52" s="1"/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U52" s="1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3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abSelected="1" workbookViewId="0">
      <selection activeCell="I15" sqref="I15"/>
    </sheetView>
  </sheetViews>
  <sheetFormatPr defaultColWidth="15.28515625" defaultRowHeight="15" x14ac:dyDescent="0.25"/>
  <cols>
    <col min="1" max="1" width="29" customWidth="1"/>
    <col min="2" max="2" width="12" bestFit="1" customWidth="1"/>
    <col min="3" max="3" width="7.140625" customWidth="1"/>
    <col min="4" max="5" width="7" bestFit="1" customWidth="1"/>
    <col min="6" max="6" width="7" customWidth="1"/>
    <col min="7" max="7" width="17.5703125" bestFit="1" customWidth="1"/>
    <col min="8" max="8" width="10" bestFit="1" customWidth="1"/>
    <col min="9" max="9" width="13.85546875" customWidth="1"/>
    <col min="10" max="10" width="11.85546875" bestFit="1" customWidth="1"/>
    <col min="11" max="11" width="11.85546875" customWidth="1"/>
    <col min="12" max="12" width="14.28515625" bestFit="1" customWidth="1"/>
    <col min="13" max="13" width="16.140625" customWidth="1"/>
    <col min="14" max="14" width="10.85546875" style="9" bestFit="1" customWidth="1"/>
    <col min="15" max="15" width="13.28515625" style="9" customWidth="1"/>
    <col min="16" max="16" width="14.7109375" customWidth="1"/>
    <col min="17" max="17" width="12.7109375" customWidth="1"/>
    <col min="18" max="18" width="11.85546875" bestFit="1" customWidth="1"/>
    <col min="19" max="19" width="14.28515625" bestFit="1" customWidth="1"/>
    <col min="20" max="20" width="14.28515625" customWidth="1"/>
    <col min="21" max="21" width="13.28515625" bestFit="1" customWidth="1"/>
    <col min="22" max="22" width="13.28515625" style="9" customWidth="1"/>
  </cols>
  <sheetData>
    <row r="1" spans="1:3" ht="21" x14ac:dyDescent="0.35">
      <c r="A1" s="13" t="s">
        <v>84</v>
      </c>
      <c r="B1" s="12"/>
    </row>
    <row r="2" spans="1:3" x14ac:dyDescent="0.25">
      <c r="A2" s="12" t="s">
        <v>83</v>
      </c>
      <c r="B2" s="12">
        <f>210436/247</f>
        <v>851.96761133603241</v>
      </c>
      <c r="C2" t="s">
        <v>114</v>
      </c>
    </row>
    <row r="3" spans="1:3" x14ac:dyDescent="0.25">
      <c r="A3" s="12" t="s">
        <v>85</v>
      </c>
      <c r="B3" s="12">
        <f>330147/187</f>
        <v>1765.4919786096257</v>
      </c>
      <c r="C3" t="s">
        <v>115</v>
      </c>
    </row>
    <row r="4" spans="1:3" x14ac:dyDescent="0.25">
      <c r="A4" s="12" t="s">
        <v>92</v>
      </c>
      <c r="B4" s="12">
        <v>20</v>
      </c>
      <c r="C4" t="s">
        <v>116</v>
      </c>
    </row>
    <row r="5" spans="1:3" x14ac:dyDescent="0.25">
      <c r="A5" s="12" t="s">
        <v>95</v>
      </c>
      <c r="B5" s="12">
        <v>0</v>
      </c>
      <c r="C5" t="s">
        <v>117</v>
      </c>
    </row>
    <row r="6" spans="1:3" x14ac:dyDescent="0.25">
      <c r="A6" s="12" t="s">
        <v>96</v>
      </c>
      <c r="B6" s="12">
        <v>2.11</v>
      </c>
      <c r="C6" t="s">
        <v>93</v>
      </c>
    </row>
    <row r="7" spans="1:3" x14ac:dyDescent="0.25">
      <c r="A7" s="12" t="s">
        <v>97</v>
      </c>
      <c r="B7" s="12">
        <v>7.3</v>
      </c>
      <c r="C7" t="s">
        <v>94</v>
      </c>
    </row>
    <row r="8" spans="1:3" x14ac:dyDescent="0.25">
      <c r="A8" s="12" t="s">
        <v>98</v>
      </c>
      <c r="B8" s="12">
        <f>210436/247/5</f>
        <v>170.39352226720649</v>
      </c>
      <c r="C8" t="s">
        <v>113</v>
      </c>
    </row>
    <row r="9" spans="1:3" x14ac:dyDescent="0.25">
      <c r="A9" s="12" t="s">
        <v>87</v>
      </c>
      <c r="B9" s="12">
        <v>0.17</v>
      </c>
      <c r="C9" t="s">
        <v>122</v>
      </c>
    </row>
    <row r="10" spans="1:3" x14ac:dyDescent="0.25">
      <c r="A10" s="12" t="s">
        <v>86</v>
      </c>
      <c r="B10" s="12">
        <v>1877</v>
      </c>
      <c r="C10" t="s">
        <v>123</v>
      </c>
    </row>
    <row r="12" spans="1:3" x14ac:dyDescent="0.25">
      <c r="A12" s="12" t="s">
        <v>19</v>
      </c>
      <c r="B12" s="12">
        <v>0.03</v>
      </c>
      <c r="C12" t="s">
        <v>91</v>
      </c>
    </row>
    <row r="13" spans="1:3" x14ac:dyDescent="0.25">
      <c r="A13" s="12" t="s">
        <v>88</v>
      </c>
      <c r="B13" s="12">
        <v>10</v>
      </c>
      <c r="C13" t="s">
        <v>89</v>
      </c>
    </row>
    <row r="14" spans="1:3" x14ac:dyDescent="0.25">
      <c r="A14" s="12" t="s">
        <v>82</v>
      </c>
      <c r="B14" s="12">
        <v>8214</v>
      </c>
      <c r="C14" t="s">
        <v>90</v>
      </c>
    </row>
    <row r="15" spans="1:3" x14ac:dyDescent="0.25">
      <c r="A15" s="12" t="s">
        <v>110</v>
      </c>
      <c r="B15" s="12">
        <v>0</v>
      </c>
      <c r="C15" t="s">
        <v>111</v>
      </c>
    </row>
    <row r="17" spans="1:25" s="11" customFormat="1" ht="21" x14ac:dyDescent="0.35">
      <c r="G17" s="31" t="s">
        <v>101</v>
      </c>
      <c r="H17" s="31"/>
      <c r="I17" s="31"/>
      <c r="J17" s="31"/>
      <c r="K17" s="31"/>
      <c r="L17" s="31"/>
      <c r="M17" s="17"/>
      <c r="O17" s="32" t="s">
        <v>99</v>
      </c>
      <c r="P17" s="24"/>
      <c r="Q17" s="24"/>
      <c r="R17" s="24"/>
      <c r="S17" s="24"/>
      <c r="T17" s="24"/>
      <c r="U17" s="24"/>
      <c r="V17" s="24"/>
    </row>
    <row r="18" spans="1:25" s="29" customFormat="1" ht="45" x14ac:dyDescent="0.25">
      <c r="A18" s="29" t="s">
        <v>33</v>
      </c>
      <c r="B18" s="29" t="s">
        <v>100</v>
      </c>
      <c r="C18" s="29" t="s">
        <v>57</v>
      </c>
      <c r="D18" s="29" t="s">
        <v>55</v>
      </c>
      <c r="E18" s="29" t="s">
        <v>56</v>
      </c>
      <c r="F18" s="29" t="s">
        <v>112</v>
      </c>
      <c r="G18" s="25" t="s">
        <v>119</v>
      </c>
      <c r="H18" s="25" t="s">
        <v>118</v>
      </c>
      <c r="I18" s="25" t="s">
        <v>60</v>
      </c>
      <c r="J18" s="25" t="s">
        <v>120</v>
      </c>
      <c r="K18" s="25" t="s">
        <v>121</v>
      </c>
      <c r="L18" s="25" t="s">
        <v>62</v>
      </c>
      <c r="M18" s="35" t="s">
        <v>66</v>
      </c>
      <c r="N18" s="19" t="s">
        <v>59</v>
      </c>
      <c r="O18" s="26" t="s">
        <v>69</v>
      </c>
      <c r="P18" s="26" t="s">
        <v>119</v>
      </c>
      <c r="Q18" s="26" t="s">
        <v>124</v>
      </c>
      <c r="R18" s="26" t="s">
        <v>60</v>
      </c>
      <c r="S18" s="26" t="s">
        <v>120</v>
      </c>
      <c r="T18" s="26" t="s">
        <v>121</v>
      </c>
      <c r="U18" s="26" t="s">
        <v>62</v>
      </c>
      <c r="V18" s="26" t="s">
        <v>66</v>
      </c>
      <c r="W18" s="19" t="s">
        <v>65</v>
      </c>
    </row>
    <row r="19" spans="1:25" x14ac:dyDescent="0.25">
      <c r="A19" t="s">
        <v>34</v>
      </c>
      <c r="B19" s="7">
        <v>436350</v>
      </c>
      <c r="C19" s="7">
        <v>52010</v>
      </c>
      <c r="D19" s="7">
        <v>31159</v>
      </c>
      <c r="E19" s="7">
        <v>17920</v>
      </c>
      <c r="F19" s="7">
        <f>C19*extra_vacc</f>
        <v>0</v>
      </c>
      <c r="G19" s="22">
        <f>lost_wages*D19</f>
        <v>26546458.801619433</v>
      </c>
      <c r="H19" s="22">
        <f>(case_management+case_gp+case_lab)*D19</f>
        <v>55634144.561497323</v>
      </c>
      <c r="I19" s="22">
        <f t="shared" ref="I19:I38" si="0">prop_hospitalised*D19</f>
        <v>5297.0300000000007</v>
      </c>
      <c r="J19" s="22">
        <f t="shared" ref="J19:J38" si="1">hospital_costs*I19</f>
        <v>9942525.3100000005</v>
      </c>
      <c r="K19" s="22">
        <f>D19*contacts_number*contacts_quarantine*contacts_wage_per_day</f>
        <v>81779020.984268814</v>
      </c>
      <c r="L19" s="22">
        <f>G19+H19+J19+K19</f>
        <v>173902149.65738559</v>
      </c>
      <c r="M19" s="33">
        <f t="shared" ref="M19:M38" si="2">L19/disc_years*(1-1/(1+disc_rate)^disc_years)/(1-1/(1+disc_rate))</f>
        <v>152792322.8638711</v>
      </c>
      <c r="N19" s="20">
        <f>vacc_cost*(E19+F19)</f>
        <v>147194880</v>
      </c>
      <c r="O19" s="23">
        <v>82</v>
      </c>
      <c r="P19" s="23">
        <f t="shared" ref="P19:P38" si="3">lost_wages*O19</f>
        <v>69861.344129554651</v>
      </c>
      <c r="Q19" s="23">
        <f>(case_management+case_gp+case_lab)*O19</f>
        <v>146410.3422459893</v>
      </c>
      <c r="R19" s="23">
        <f t="shared" ref="R19:R38" si="4">prop_hospitalised*O19</f>
        <v>13.940000000000001</v>
      </c>
      <c r="S19" s="23">
        <f t="shared" ref="S19:S38" si="5">hospital_costs*R19</f>
        <v>26165.38</v>
      </c>
      <c r="T19" s="23">
        <f>O19*contacts_number*contacts_quarantine*contacts_wage_per_day</f>
        <v>215214.85672550605</v>
      </c>
      <c r="U19" s="23">
        <f>P19+Q19+S19+T19</f>
        <v>457651.92310104996</v>
      </c>
      <c r="V19" s="23">
        <f t="shared" ref="V19:V38" si="6">U19*(1-1/(1+disc_rate)^disc_years)/(1-1/(1+disc_rate))</f>
        <v>4020979.644673266</v>
      </c>
      <c r="W19" s="15">
        <f t="shared" ref="W19:W38" si="7">M19/(N19+V19)</f>
        <v>1.0104252505187101</v>
      </c>
    </row>
    <row r="20" spans="1:25" x14ac:dyDescent="0.25">
      <c r="A20" t="s">
        <v>52</v>
      </c>
      <c r="B20" s="7">
        <v>206000</v>
      </c>
      <c r="C20" s="7">
        <v>20679</v>
      </c>
      <c r="D20" s="7">
        <v>8437</v>
      </c>
      <c r="E20" s="7">
        <v>4585</v>
      </c>
      <c r="F20" s="7">
        <f>C20*extra_vacc</f>
        <v>0</v>
      </c>
      <c r="G20" s="22">
        <f t="shared" ref="G20:G38" si="8">lost_wages*D20</f>
        <v>7188050.7368421052</v>
      </c>
      <c r="H20" s="22">
        <f>(case_management+case_gp+case_lab)*D20</f>
        <v>15064195.823529411</v>
      </c>
      <c r="I20" s="22">
        <f t="shared" si="0"/>
        <v>1434.2900000000002</v>
      </c>
      <c r="J20" s="22">
        <f t="shared" si="1"/>
        <v>2692162.3300000005</v>
      </c>
      <c r="K20" s="22">
        <f>D20*contacts_number*contacts_quarantine*contacts_wage_per_day</f>
        <v>22143509.099915791</v>
      </c>
      <c r="L20" s="22">
        <f t="shared" ref="L20:L40" si="9">G20+H20+J20+K20</f>
        <v>47087917.990287311</v>
      </c>
      <c r="M20" s="33">
        <f t="shared" si="2"/>
        <v>41371957.636717506</v>
      </c>
      <c r="N20" s="20">
        <f>vacc_cost*(E20+F20)</f>
        <v>37661190</v>
      </c>
      <c r="O20" s="23">
        <v>71</v>
      </c>
      <c r="P20" s="23">
        <f t="shared" si="3"/>
        <v>60489.700404858304</v>
      </c>
      <c r="Q20" s="23">
        <f>(case_management+case_gp+case_lab)*O20</f>
        <v>126769.93048128342</v>
      </c>
      <c r="R20" s="23">
        <f t="shared" si="4"/>
        <v>12.07</v>
      </c>
      <c r="S20" s="23">
        <f t="shared" si="5"/>
        <v>22655.39</v>
      </c>
      <c r="T20" s="23">
        <f>O20*contacts_number*contacts_quarantine*contacts_wage_per_day</f>
        <v>186344.5710672065</v>
      </c>
      <c r="U20" s="23">
        <f t="shared" ref="U20:U40" si="10">P20+Q20+S20+T20</f>
        <v>396259.59195334825</v>
      </c>
      <c r="V20" s="23">
        <f t="shared" si="6"/>
        <v>3481579.9362414875</v>
      </c>
      <c r="W20" s="15">
        <f t="shared" si="7"/>
        <v>1.0055705461939288</v>
      </c>
    </row>
    <row r="21" spans="1:25" x14ac:dyDescent="0.25">
      <c r="A21" t="s">
        <v>35</v>
      </c>
      <c r="B21" s="7">
        <v>482180</v>
      </c>
      <c r="C21" s="7">
        <v>51357</v>
      </c>
      <c r="D21" s="7">
        <v>24695</v>
      </c>
      <c r="E21" s="7">
        <v>13687</v>
      </c>
      <c r="F21" s="7">
        <f>C21*extra_vacc</f>
        <v>0</v>
      </c>
      <c r="G21" s="22">
        <f t="shared" si="8"/>
        <v>21039340.16194332</v>
      </c>
      <c r="H21" s="22">
        <f>(case_management+case_gp+case_lab)*D21</f>
        <v>44092724.411764704</v>
      </c>
      <c r="I21" s="22">
        <f t="shared" si="0"/>
        <v>4198.1500000000005</v>
      </c>
      <c r="J21" s="22">
        <f t="shared" si="1"/>
        <v>7879927.5500000007</v>
      </c>
      <c r="K21" s="22">
        <f>D21*contacts_number*contacts_quarantine*contacts_wage_per_day</f>
        <v>64813791.302882589</v>
      </c>
      <c r="L21" s="22">
        <f t="shared" si="9"/>
        <v>137825783.42659062</v>
      </c>
      <c r="M21" s="33">
        <f t="shared" si="2"/>
        <v>121095234.54293452</v>
      </c>
      <c r="N21" s="20">
        <f>vacc_cost*(E21+F21)</f>
        <v>112425018</v>
      </c>
      <c r="O21" s="23">
        <v>62</v>
      </c>
      <c r="P21" s="23">
        <f t="shared" si="3"/>
        <v>52821.991902834008</v>
      </c>
      <c r="Q21" s="23">
        <f>(case_management+case_gp+case_lab)*O21</f>
        <v>110700.50267379679</v>
      </c>
      <c r="R21" s="23">
        <f t="shared" si="4"/>
        <v>10.540000000000001</v>
      </c>
      <c r="S21" s="23">
        <f t="shared" si="5"/>
        <v>19783.580000000002</v>
      </c>
      <c r="T21" s="23">
        <f>O21*contacts_number*contacts_quarantine*contacts_wage_per_day</f>
        <v>162723.42825587044</v>
      </c>
      <c r="U21" s="23">
        <f t="shared" si="10"/>
        <v>346029.5028325012</v>
      </c>
      <c r="V21" s="23">
        <f t="shared" si="6"/>
        <v>3040252.9020700306</v>
      </c>
      <c r="W21" s="15">
        <f t="shared" si="7"/>
        <v>1.0487589350189932</v>
      </c>
      <c r="Y21" s="2"/>
    </row>
    <row r="22" spans="1:25" x14ac:dyDescent="0.25">
      <c r="A22" t="s">
        <v>53</v>
      </c>
      <c r="B22" s="7">
        <v>283700</v>
      </c>
      <c r="C22" s="7">
        <v>32625</v>
      </c>
      <c r="D22" s="7">
        <v>18403</v>
      </c>
      <c r="E22" s="7">
        <v>10461</v>
      </c>
      <c r="F22" s="7">
        <f>C22*extra_vacc</f>
        <v>0</v>
      </c>
      <c r="G22" s="22">
        <f t="shared" si="8"/>
        <v>15678759.951417005</v>
      </c>
      <c r="H22" s="22">
        <f>(case_management+case_gp+case_lab)*D22</f>
        <v>32858408.882352941</v>
      </c>
      <c r="I22" s="22">
        <f t="shared" si="0"/>
        <v>3128.51</v>
      </c>
      <c r="J22" s="22">
        <f t="shared" si="1"/>
        <v>5872213.2700000005</v>
      </c>
      <c r="K22" s="22">
        <f>D22*contacts_number*contacts_quarantine*contacts_wage_per_day</f>
        <v>48299987.906335212</v>
      </c>
      <c r="L22" s="22">
        <f t="shared" si="9"/>
        <v>102709370.01010516</v>
      </c>
      <c r="M22" s="33">
        <f t="shared" si="2"/>
        <v>90241571.220636725</v>
      </c>
      <c r="N22" s="20">
        <f>vacc_cost*(E22+F22)</f>
        <v>85926654</v>
      </c>
      <c r="O22" s="23">
        <v>96</v>
      </c>
      <c r="P22" s="23">
        <f t="shared" si="3"/>
        <v>81788.890688259111</v>
      </c>
      <c r="Q22" s="23">
        <f>(case_management+case_gp+case_lab)*O22</f>
        <v>171407.22994652408</v>
      </c>
      <c r="R22" s="23">
        <f t="shared" si="4"/>
        <v>16.32</v>
      </c>
      <c r="S22" s="23">
        <f t="shared" si="5"/>
        <v>30632.639999999999</v>
      </c>
      <c r="T22" s="23">
        <f>O22*contacts_number*contacts_quarantine*contacts_wage_per_day</f>
        <v>251958.85665425102</v>
      </c>
      <c r="U22" s="23">
        <f t="shared" si="10"/>
        <v>535787.61728903418</v>
      </c>
      <c r="V22" s="23">
        <f t="shared" si="6"/>
        <v>4707488.3644955317</v>
      </c>
      <c r="W22" s="15">
        <f t="shared" si="7"/>
        <v>0.99566861743690327</v>
      </c>
    </row>
    <row r="23" spans="1:25" x14ac:dyDescent="0.25">
      <c r="A23" t="s">
        <v>46</v>
      </c>
      <c r="B23" s="7">
        <v>469300</v>
      </c>
      <c r="C23" s="7">
        <v>55544</v>
      </c>
      <c r="D23" s="7">
        <v>32903</v>
      </c>
      <c r="E23" s="7">
        <v>18880</v>
      </c>
      <c r="F23" s="7">
        <f>C23*extra_vacc</f>
        <v>0</v>
      </c>
      <c r="G23" s="22">
        <f t="shared" si="8"/>
        <v>28032290.315789476</v>
      </c>
      <c r="H23" s="22">
        <f>(case_management+case_gp+case_lab)*D23</f>
        <v>58748042.572192512</v>
      </c>
      <c r="I23" s="22">
        <f t="shared" si="0"/>
        <v>5593.51</v>
      </c>
      <c r="J23" s="22">
        <f t="shared" si="1"/>
        <v>10499018.27</v>
      </c>
      <c r="K23" s="22">
        <f>D23*contacts_number*contacts_quarantine*contacts_wage_per_day</f>
        <v>86356273.546821058</v>
      </c>
      <c r="L23" s="22">
        <f t="shared" si="9"/>
        <v>183635624.70480305</v>
      </c>
      <c r="M23" s="33">
        <f t="shared" si="2"/>
        <v>161344260.05937132</v>
      </c>
      <c r="N23" s="20">
        <f>vacc_cost*(E23+F23)</f>
        <v>155080320</v>
      </c>
      <c r="O23" s="23">
        <v>50</v>
      </c>
      <c r="P23" s="23">
        <f t="shared" si="3"/>
        <v>42598.380566801621</v>
      </c>
      <c r="Q23" s="23">
        <f>(case_management+case_gp+case_lab)*O23</f>
        <v>89274.598930481283</v>
      </c>
      <c r="R23" s="23">
        <f t="shared" si="4"/>
        <v>8.5</v>
      </c>
      <c r="S23" s="23">
        <f t="shared" si="5"/>
        <v>15954.5</v>
      </c>
      <c r="T23" s="23">
        <f>O23*contacts_number*contacts_quarantine*contacts_wage_per_day</f>
        <v>131228.57117408907</v>
      </c>
      <c r="U23" s="23">
        <f t="shared" si="10"/>
        <v>279056.05067137198</v>
      </c>
      <c r="V23" s="23">
        <f t="shared" si="6"/>
        <v>2451816.8565080892</v>
      </c>
      <c r="W23" s="15">
        <f t="shared" si="7"/>
        <v>1.0241990191901962</v>
      </c>
    </row>
    <row r="24" spans="1:25" x14ac:dyDescent="0.25">
      <c r="A24" t="s">
        <v>47</v>
      </c>
      <c r="B24" s="7">
        <v>151700</v>
      </c>
      <c r="C24" s="7">
        <v>15602</v>
      </c>
      <c r="D24" s="7">
        <v>6846</v>
      </c>
      <c r="E24" s="7">
        <v>3751</v>
      </c>
      <c r="F24" s="7">
        <f>C24*extra_vacc</f>
        <v>0</v>
      </c>
      <c r="G24" s="22">
        <f t="shared" si="8"/>
        <v>5832570.2672064779</v>
      </c>
      <c r="H24" s="22">
        <f>(case_management+case_gp+case_lab)*D24</f>
        <v>12223478.085561497</v>
      </c>
      <c r="I24" s="22">
        <f t="shared" si="0"/>
        <v>1163.8200000000002</v>
      </c>
      <c r="J24" s="22">
        <f t="shared" si="1"/>
        <v>2184490.14</v>
      </c>
      <c r="K24" s="22">
        <f>D24*contacts_number*contacts_quarantine*contacts_wage_per_day</f>
        <v>17967815.965156276</v>
      </c>
      <c r="L24" s="22">
        <f t="shared" si="9"/>
        <v>38208354.457924247</v>
      </c>
      <c r="M24" s="33">
        <f t="shared" si="2"/>
        <v>33570276.399308756</v>
      </c>
      <c r="N24" s="20">
        <f>vacc_cost*(E24+F24)</f>
        <v>30810714</v>
      </c>
      <c r="O24" s="23">
        <v>56</v>
      </c>
      <c r="P24" s="23">
        <f t="shared" si="3"/>
        <v>47710.186234817811</v>
      </c>
      <c r="Q24" s="23">
        <f>(case_management+case_gp+case_lab)*O24</f>
        <v>99987.550802139041</v>
      </c>
      <c r="R24" s="23">
        <f t="shared" si="4"/>
        <v>9.5200000000000014</v>
      </c>
      <c r="S24" s="23">
        <f t="shared" si="5"/>
        <v>17869.04</v>
      </c>
      <c r="T24" s="23">
        <f>O24*contacts_number*contacts_quarantine*contacts_wage_per_day</f>
        <v>146975.99971497976</v>
      </c>
      <c r="U24" s="23">
        <f t="shared" si="10"/>
        <v>312542.77675193665</v>
      </c>
      <c r="V24" s="23">
        <f t="shared" si="6"/>
        <v>2746034.8792890604</v>
      </c>
      <c r="W24" s="15">
        <f t="shared" si="7"/>
        <v>1.0004031236776947</v>
      </c>
    </row>
    <row r="25" spans="1:25" x14ac:dyDescent="0.25">
      <c r="A25" t="s">
        <v>48</v>
      </c>
      <c r="B25" s="7">
        <v>138380</v>
      </c>
      <c r="C25" s="7">
        <v>15198</v>
      </c>
      <c r="D25" s="7">
        <v>7836</v>
      </c>
      <c r="E25" s="7">
        <v>4388</v>
      </c>
      <c r="F25" s="7">
        <f>C25*extra_vacc</f>
        <v>0</v>
      </c>
      <c r="G25" s="22">
        <f t="shared" si="8"/>
        <v>6676018.2024291502</v>
      </c>
      <c r="H25" s="22">
        <f>(case_management+case_gp+case_lab)*D25</f>
        <v>13991115.144385027</v>
      </c>
      <c r="I25" s="22">
        <f t="shared" si="0"/>
        <v>1332.1200000000001</v>
      </c>
      <c r="J25" s="22">
        <f t="shared" si="1"/>
        <v>2500389.2400000002</v>
      </c>
      <c r="K25" s="22">
        <f>D25*contacts_number*contacts_quarantine*contacts_wage_per_day</f>
        <v>20566141.674403239</v>
      </c>
      <c r="L25" s="22">
        <f t="shared" si="9"/>
        <v>43733664.261217415</v>
      </c>
      <c r="M25" s="33">
        <f t="shared" si="2"/>
        <v>38424873.775194779</v>
      </c>
      <c r="N25" s="20">
        <f>vacc_cost*(E25+F25)</f>
        <v>36043032</v>
      </c>
      <c r="O25" s="23">
        <v>86</v>
      </c>
      <c r="P25" s="23">
        <f t="shared" si="3"/>
        <v>73269.214574898782</v>
      </c>
      <c r="Q25" s="23">
        <f>(case_management+case_gp+case_lab)*O25</f>
        <v>153552.31016042782</v>
      </c>
      <c r="R25" s="23">
        <f t="shared" si="4"/>
        <v>14.620000000000001</v>
      </c>
      <c r="S25" s="23">
        <f t="shared" si="5"/>
        <v>27441.74</v>
      </c>
      <c r="T25" s="23">
        <f>O25*contacts_number*contacts_quarantine*contacts_wage_per_day</f>
        <v>225713.14241943319</v>
      </c>
      <c r="U25" s="23">
        <f t="shared" si="10"/>
        <v>479976.40715475974</v>
      </c>
      <c r="V25" s="23">
        <f t="shared" si="6"/>
        <v>4217124.9931939133</v>
      </c>
      <c r="W25" s="15">
        <f t="shared" si="7"/>
        <v>0.95441440483430329</v>
      </c>
    </row>
    <row r="26" spans="1:25" x14ac:dyDescent="0.25">
      <c r="A26" t="s">
        <v>36</v>
      </c>
      <c r="B26" s="7">
        <v>98196</v>
      </c>
      <c r="C26" s="7">
        <v>10558</v>
      </c>
      <c r="D26" s="7">
        <v>5192</v>
      </c>
      <c r="E26" s="7">
        <v>2886</v>
      </c>
      <c r="F26" s="7">
        <f>C26*extra_vacc</f>
        <v>0</v>
      </c>
      <c r="G26" s="22">
        <f t="shared" si="8"/>
        <v>4423415.8380566798</v>
      </c>
      <c r="H26" s="22">
        <f>(case_management+case_gp+case_lab)*D26</f>
        <v>9270274.3529411759</v>
      </c>
      <c r="I26" s="22">
        <f t="shared" si="0"/>
        <v>882.6400000000001</v>
      </c>
      <c r="J26" s="22">
        <f t="shared" si="1"/>
        <v>1656715.2800000003</v>
      </c>
      <c r="K26" s="22">
        <f>D26*contacts_number*contacts_quarantine*contacts_wage_per_day</f>
        <v>13626774.830717409</v>
      </c>
      <c r="L26" s="22">
        <f t="shared" si="9"/>
        <v>28977180.301715262</v>
      </c>
      <c r="M26" s="33">
        <f t="shared" si="2"/>
        <v>25459666.237979997</v>
      </c>
      <c r="N26" s="20">
        <f>vacc_cost*(E26+F26)</f>
        <v>23705604</v>
      </c>
      <c r="O26" s="23">
        <v>62</v>
      </c>
      <c r="P26" s="23">
        <f t="shared" si="3"/>
        <v>52821.991902834008</v>
      </c>
      <c r="Q26" s="23">
        <f>(case_management+case_gp+case_lab)*O26</f>
        <v>110700.50267379679</v>
      </c>
      <c r="R26" s="23">
        <f t="shared" si="4"/>
        <v>10.540000000000001</v>
      </c>
      <c r="S26" s="23">
        <f t="shared" si="5"/>
        <v>19783.580000000002</v>
      </c>
      <c r="T26" s="23">
        <f>O26*contacts_number*contacts_quarantine*contacts_wage_per_day</f>
        <v>162723.42825587044</v>
      </c>
      <c r="U26" s="23">
        <f t="shared" si="10"/>
        <v>346029.5028325012</v>
      </c>
      <c r="V26" s="23">
        <f t="shared" si="6"/>
        <v>3040252.9020700306</v>
      </c>
      <c r="W26" s="15">
        <f t="shared" si="7"/>
        <v>0.95191065783386852</v>
      </c>
    </row>
    <row r="27" spans="1:25" x14ac:dyDescent="0.25">
      <c r="A27" t="s">
        <v>37</v>
      </c>
      <c r="B27" s="7">
        <v>162560</v>
      </c>
      <c r="C27" s="7">
        <v>17328</v>
      </c>
      <c r="D27" s="7">
        <v>8348</v>
      </c>
      <c r="E27" s="7">
        <v>4628</v>
      </c>
      <c r="F27" s="7">
        <f>C27*extra_vacc</f>
        <v>0</v>
      </c>
      <c r="G27" s="22">
        <f t="shared" si="8"/>
        <v>7112225.6194331981</v>
      </c>
      <c r="H27" s="22">
        <f>(case_management+case_gp+case_lab)*D27</f>
        <v>14905287.037433155</v>
      </c>
      <c r="I27" s="22">
        <f t="shared" si="0"/>
        <v>1419.16</v>
      </c>
      <c r="J27" s="22">
        <f t="shared" si="1"/>
        <v>2663763.3200000003</v>
      </c>
      <c r="K27" s="22">
        <f>D27*contacts_number*contacts_quarantine*contacts_wage_per_day</f>
        <v>21909922.24322591</v>
      </c>
      <c r="L27" s="22">
        <f t="shared" si="9"/>
        <v>46591198.220092267</v>
      </c>
      <c r="M27" s="33">
        <f t="shared" si="2"/>
        <v>40935534.236259066</v>
      </c>
      <c r="N27" s="20">
        <f>vacc_cost*(E27+F27)</f>
        <v>38014392</v>
      </c>
      <c r="O27" s="23">
        <v>75</v>
      </c>
      <c r="P27" s="23">
        <f t="shared" si="3"/>
        <v>63897.570850202428</v>
      </c>
      <c r="Q27" s="23">
        <f>(case_management+case_gp+case_lab)*O27</f>
        <v>133911.89839572192</v>
      </c>
      <c r="R27" s="23">
        <f t="shared" si="4"/>
        <v>12.750000000000002</v>
      </c>
      <c r="S27" s="23">
        <f t="shared" si="5"/>
        <v>23931.750000000004</v>
      </c>
      <c r="T27" s="23">
        <f>O27*contacts_number*contacts_quarantine*contacts_wage_per_day</f>
        <v>196842.85676113362</v>
      </c>
      <c r="U27" s="23">
        <f t="shared" si="10"/>
        <v>418584.07600705797</v>
      </c>
      <c r="V27" s="23">
        <f t="shared" si="6"/>
        <v>3677725.2847621343</v>
      </c>
      <c r="W27" s="15">
        <f t="shared" si="7"/>
        <v>0.98185309123699527</v>
      </c>
    </row>
    <row r="28" spans="1:25" x14ac:dyDescent="0.25">
      <c r="A28" t="s">
        <v>49</v>
      </c>
      <c r="B28" s="7">
        <v>137000</v>
      </c>
      <c r="C28" s="7">
        <v>13059</v>
      </c>
      <c r="D28" s="7">
        <v>4411</v>
      </c>
      <c r="E28" s="7">
        <v>2356</v>
      </c>
      <c r="F28" s="7">
        <f>C28*extra_vacc</f>
        <v>0</v>
      </c>
      <c r="G28" s="22">
        <f t="shared" si="8"/>
        <v>3758029.133603239</v>
      </c>
      <c r="H28" s="22">
        <f>(case_management+case_gp+case_lab)*D28</f>
        <v>7875805.1176470593</v>
      </c>
      <c r="I28" s="22">
        <f t="shared" si="0"/>
        <v>749.87</v>
      </c>
      <c r="J28" s="22">
        <f t="shared" si="1"/>
        <v>1407505.99</v>
      </c>
      <c r="K28" s="22">
        <f>D28*contacts_number*contacts_quarantine*contacts_wage_per_day</f>
        <v>11576984.548978137</v>
      </c>
      <c r="L28" s="22">
        <f t="shared" si="9"/>
        <v>24618324.790228434</v>
      </c>
      <c r="M28" s="33">
        <f t="shared" si="2"/>
        <v>21629928.308114361</v>
      </c>
      <c r="N28" s="20">
        <f>vacc_cost*(E28+F28)</f>
        <v>19352184</v>
      </c>
      <c r="O28" s="23">
        <v>90</v>
      </c>
      <c r="P28" s="23">
        <f t="shared" si="3"/>
        <v>76677.085020242914</v>
      </c>
      <c r="Q28" s="23">
        <f>(case_management+case_gp+case_lab)*O28</f>
        <v>160694.27807486631</v>
      </c>
      <c r="R28" s="23">
        <f t="shared" si="4"/>
        <v>15.3</v>
      </c>
      <c r="S28" s="23">
        <f t="shared" si="5"/>
        <v>28718.100000000002</v>
      </c>
      <c r="T28" s="23">
        <f>O28*contacts_number*contacts_quarantine*contacts_wage_per_day</f>
        <v>236211.42811336031</v>
      </c>
      <c r="U28" s="23">
        <f t="shared" si="10"/>
        <v>502300.89120846952</v>
      </c>
      <c r="V28" s="23">
        <f t="shared" si="6"/>
        <v>4413270.3417145601</v>
      </c>
      <c r="W28" s="15">
        <f t="shared" si="7"/>
        <v>0.91014158606461837</v>
      </c>
    </row>
    <row r="29" spans="1:25" x14ac:dyDescent="0.25">
      <c r="A29" t="s">
        <v>38</v>
      </c>
      <c r="B29" s="7">
        <v>151690</v>
      </c>
      <c r="C29" s="7">
        <v>14921</v>
      </c>
      <c r="D29" s="7">
        <v>5688</v>
      </c>
      <c r="E29" s="7">
        <v>3071</v>
      </c>
      <c r="F29" s="7">
        <f>C29*extra_vacc</f>
        <v>0</v>
      </c>
      <c r="G29" s="22">
        <f t="shared" si="8"/>
        <v>4845991.7732793521</v>
      </c>
      <c r="H29" s="22">
        <f>(case_management+case_gp+case_lab)*D29</f>
        <v>10155878.374331551</v>
      </c>
      <c r="I29" s="22">
        <f t="shared" si="0"/>
        <v>966.96</v>
      </c>
      <c r="J29" s="22">
        <f t="shared" si="1"/>
        <v>1814983.9200000002</v>
      </c>
      <c r="K29" s="22">
        <f>D29*contacts_number*contacts_quarantine*contacts_wage_per_day</f>
        <v>14928562.256764371</v>
      </c>
      <c r="L29" s="22">
        <f t="shared" si="9"/>
        <v>31745416.324375276</v>
      </c>
      <c r="M29" s="33">
        <f t="shared" si="2"/>
        <v>27891868.559636027</v>
      </c>
      <c r="N29" s="20">
        <f>vacc_cost*(E29+F29)</f>
        <v>25225194</v>
      </c>
      <c r="O29" s="23">
        <v>70</v>
      </c>
      <c r="P29" s="23">
        <f t="shared" si="3"/>
        <v>59637.732793522271</v>
      </c>
      <c r="Q29" s="23">
        <f>(case_management+case_gp+case_lab)*O29</f>
        <v>124984.4385026738</v>
      </c>
      <c r="R29" s="23">
        <f t="shared" si="4"/>
        <v>11.9</v>
      </c>
      <c r="S29" s="23">
        <f t="shared" si="5"/>
        <v>22336.3</v>
      </c>
      <c r="T29" s="23">
        <f>O29*contacts_number*contacts_quarantine*contacts_wage_per_day</f>
        <v>183719.99964372467</v>
      </c>
      <c r="U29" s="23">
        <f t="shared" si="10"/>
        <v>390678.47093992075</v>
      </c>
      <c r="V29" s="23">
        <f t="shared" si="6"/>
        <v>3432543.5991113251</v>
      </c>
      <c r="W29" s="15">
        <f t="shared" si="7"/>
        <v>0.97327531397666756</v>
      </c>
    </row>
    <row r="30" spans="1:25" x14ac:dyDescent="0.25">
      <c r="A30" t="s">
        <v>51</v>
      </c>
      <c r="B30" s="7">
        <v>55620</v>
      </c>
      <c r="C30" s="7">
        <v>5238</v>
      </c>
      <c r="D30" s="7">
        <v>1678</v>
      </c>
      <c r="E30" s="7">
        <v>893</v>
      </c>
      <c r="F30" s="7">
        <f>C30*extra_vacc</f>
        <v>0</v>
      </c>
      <c r="G30" s="22">
        <f t="shared" si="8"/>
        <v>1429601.6518218624</v>
      </c>
      <c r="H30" s="22">
        <f>(case_management+case_gp+case_lab)*D30</f>
        <v>2996055.5401069517</v>
      </c>
      <c r="I30" s="22">
        <f t="shared" si="0"/>
        <v>285.26000000000005</v>
      </c>
      <c r="J30" s="22">
        <f t="shared" si="1"/>
        <v>535433.02000000014</v>
      </c>
      <c r="K30" s="22">
        <f>D30*contacts_number*contacts_quarantine*contacts_wage_per_day</f>
        <v>4404030.84860243</v>
      </c>
      <c r="L30" s="22">
        <f t="shared" si="9"/>
        <v>9365121.0605312437</v>
      </c>
      <c r="M30" s="33">
        <f t="shared" si="2"/>
        <v>8228297.370441149</v>
      </c>
      <c r="N30" s="20">
        <f>vacc_cost*(E30+F30)</f>
        <v>7335102</v>
      </c>
      <c r="O30" s="23">
        <v>72</v>
      </c>
      <c r="P30" s="23">
        <f t="shared" si="3"/>
        <v>61341.668016194337</v>
      </c>
      <c r="Q30" s="23">
        <f>(case_management+case_gp+case_lab)*O30</f>
        <v>128555.42245989305</v>
      </c>
      <c r="R30" s="23">
        <f t="shared" si="4"/>
        <v>12.24</v>
      </c>
      <c r="S30" s="23">
        <f t="shared" si="5"/>
        <v>22974.48</v>
      </c>
      <c r="T30" s="23">
        <f>O30*contacts_number*contacts_quarantine*contacts_wage_per_day</f>
        <v>188969.14249068825</v>
      </c>
      <c r="U30" s="23">
        <f t="shared" si="10"/>
        <v>401840.71296677564</v>
      </c>
      <c r="V30" s="23">
        <f t="shared" si="6"/>
        <v>3530616.2733716485</v>
      </c>
      <c r="W30" s="15">
        <f t="shared" si="7"/>
        <v>0.75727137069309425</v>
      </c>
    </row>
    <row r="31" spans="1:25" x14ac:dyDescent="0.25">
      <c r="A31" t="s">
        <v>39</v>
      </c>
      <c r="B31" s="7">
        <v>297420</v>
      </c>
      <c r="C31" s="7">
        <v>31607</v>
      </c>
      <c r="D31" s="7">
        <v>15115</v>
      </c>
      <c r="E31" s="7">
        <v>8371</v>
      </c>
      <c r="F31" s="7">
        <f>C31*extra_vacc</f>
        <v>0</v>
      </c>
      <c r="G31" s="22">
        <f t="shared" si="8"/>
        <v>12877490.44534413</v>
      </c>
      <c r="H31" s="22">
        <f>(case_management+case_gp+case_lab)*D31</f>
        <v>26987711.256684493</v>
      </c>
      <c r="I31" s="22">
        <f t="shared" si="0"/>
        <v>2569.5500000000002</v>
      </c>
      <c r="J31" s="22">
        <f t="shared" si="1"/>
        <v>4823045.3500000006</v>
      </c>
      <c r="K31" s="22">
        <f>D31*contacts_number*contacts_quarantine*contacts_wage_per_day</f>
        <v>39670397.065927126</v>
      </c>
      <c r="L31" s="22">
        <f t="shared" si="9"/>
        <v>84358644.117955744</v>
      </c>
      <c r="M31" s="33">
        <f t="shared" si="2"/>
        <v>74118423.572239548</v>
      </c>
      <c r="N31" s="20">
        <f>vacc_cost*(E31+F31)</f>
        <v>68759394</v>
      </c>
      <c r="O31" s="23">
        <v>102</v>
      </c>
      <c r="P31" s="23">
        <f t="shared" si="3"/>
        <v>86900.696356275308</v>
      </c>
      <c r="Q31" s="23">
        <f>(case_management+case_gp+case_lab)*O31</f>
        <v>182120.18181818182</v>
      </c>
      <c r="R31" s="23">
        <f t="shared" si="4"/>
        <v>17.34</v>
      </c>
      <c r="S31" s="23">
        <f t="shared" si="5"/>
        <v>32547.18</v>
      </c>
      <c r="T31" s="23">
        <f>O31*contacts_number*contacts_quarantine*contacts_wage_per_day</f>
        <v>267706.28519514174</v>
      </c>
      <c r="U31" s="23">
        <f t="shared" si="10"/>
        <v>569274.34336959885</v>
      </c>
      <c r="V31" s="23">
        <f t="shared" si="6"/>
        <v>5001706.3872765023</v>
      </c>
      <c r="W31" s="15">
        <f t="shared" si="7"/>
        <v>1.0048443309967849</v>
      </c>
    </row>
    <row r="32" spans="1:25" x14ac:dyDescent="0.25">
      <c r="A32" t="s">
        <v>40</v>
      </c>
      <c r="B32" s="7">
        <v>43650</v>
      </c>
      <c r="C32" s="7">
        <v>4769</v>
      </c>
      <c r="D32" s="7">
        <v>2431</v>
      </c>
      <c r="E32" s="7">
        <v>1359</v>
      </c>
      <c r="F32" s="7">
        <f>C32*extra_vacc</f>
        <v>0</v>
      </c>
      <c r="G32" s="22">
        <f t="shared" si="8"/>
        <v>2071133.2631578948</v>
      </c>
      <c r="H32" s="22">
        <f>(case_management+case_gp+case_lab)*D32</f>
        <v>4340531</v>
      </c>
      <c r="I32" s="22">
        <f t="shared" si="0"/>
        <v>413.27000000000004</v>
      </c>
      <c r="J32" s="22">
        <f t="shared" si="1"/>
        <v>775707.79</v>
      </c>
      <c r="K32" s="22">
        <f>D32*contacts_number*contacts_quarantine*contacts_wage_per_day</f>
        <v>6380333.1304842113</v>
      </c>
      <c r="L32" s="22">
        <f t="shared" si="9"/>
        <v>13567705.183642106</v>
      </c>
      <c r="M32" s="33">
        <f t="shared" si="2"/>
        <v>11920733.556342332</v>
      </c>
      <c r="N32" s="20">
        <f>vacc_cost*(E32+F32)</f>
        <v>11162826</v>
      </c>
      <c r="O32" s="23">
        <v>47</v>
      </c>
      <c r="P32" s="23">
        <f t="shared" si="3"/>
        <v>40042.477732793523</v>
      </c>
      <c r="Q32" s="23">
        <f>(case_management+case_gp+case_lab)*O32</f>
        <v>83918.122994652411</v>
      </c>
      <c r="R32" s="23">
        <f t="shared" si="4"/>
        <v>7.99</v>
      </c>
      <c r="S32" s="23">
        <f t="shared" si="5"/>
        <v>14997.23</v>
      </c>
      <c r="T32" s="23">
        <f>O32*contacts_number*contacts_quarantine*contacts_wage_per_day</f>
        <v>123354.85690364373</v>
      </c>
      <c r="U32" s="23">
        <f t="shared" si="10"/>
        <v>262312.68763108971</v>
      </c>
      <c r="V32" s="23">
        <f t="shared" si="6"/>
        <v>2304707.8451176044</v>
      </c>
      <c r="W32" s="15">
        <f t="shared" si="7"/>
        <v>0.88514598837737202</v>
      </c>
    </row>
    <row r="33" spans="1:23" x14ac:dyDescent="0.25">
      <c r="A33" t="s">
        <v>41</v>
      </c>
      <c r="B33" s="7">
        <v>109750</v>
      </c>
      <c r="C33" s="7">
        <v>11473</v>
      </c>
      <c r="D33" s="7">
        <v>5262</v>
      </c>
      <c r="E33" s="7">
        <v>2899</v>
      </c>
      <c r="F33" s="7">
        <f>C33*extra_vacc</f>
        <v>0</v>
      </c>
      <c r="G33" s="22">
        <f t="shared" si="8"/>
        <v>4483053.5708502028</v>
      </c>
      <c r="H33" s="22">
        <f>(case_management+case_gp+case_lab)*D33</f>
        <v>9395258.7914438508</v>
      </c>
      <c r="I33" s="22">
        <f t="shared" si="0"/>
        <v>894.54000000000008</v>
      </c>
      <c r="J33" s="22">
        <f t="shared" si="1"/>
        <v>1679051.58</v>
      </c>
      <c r="K33" s="22">
        <f>D33*contacts_number*contacts_quarantine*contacts_wage_per_day</f>
        <v>13810494.830361133</v>
      </c>
      <c r="L33" s="22">
        <f t="shared" si="9"/>
        <v>29367858.772655189</v>
      </c>
      <c r="M33" s="33">
        <f t="shared" si="2"/>
        <v>25802920.597891137</v>
      </c>
      <c r="N33" s="20">
        <f>vacc_cost*(E33+F33)</f>
        <v>23812386</v>
      </c>
      <c r="O33" s="23">
        <v>68</v>
      </c>
      <c r="P33" s="23">
        <f t="shared" si="3"/>
        <v>57933.797570850205</v>
      </c>
      <c r="Q33" s="23">
        <f>(case_management+case_gp+case_lab)*O33</f>
        <v>121413.45454545454</v>
      </c>
      <c r="R33" s="23">
        <f t="shared" si="4"/>
        <v>11.56</v>
      </c>
      <c r="S33" s="23">
        <f t="shared" si="5"/>
        <v>21698.120000000003</v>
      </c>
      <c r="T33" s="23">
        <f>O33*contacts_number*contacts_quarantine*contacts_wage_per_day</f>
        <v>178470.85679676116</v>
      </c>
      <c r="U33" s="23">
        <f t="shared" si="10"/>
        <v>379516.22891306592</v>
      </c>
      <c r="V33" s="23">
        <f t="shared" si="6"/>
        <v>3334470.9248510017</v>
      </c>
      <c r="W33" s="15">
        <f t="shared" si="7"/>
        <v>0.9504938516204583</v>
      </c>
    </row>
    <row r="34" spans="1:23" x14ac:dyDescent="0.25">
      <c r="A34" t="s">
        <v>42</v>
      </c>
      <c r="B34" s="7">
        <v>359310</v>
      </c>
      <c r="C34" s="7">
        <v>39402</v>
      </c>
      <c r="D34" s="7">
        <v>20248</v>
      </c>
      <c r="E34" s="7">
        <v>11331</v>
      </c>
      <c r="F34" s="7">
        <f>C34*extra_vacc</f>
        <v>0</v>
      </c>
      <c r="G34" s="22">
        <f t="shared" si="8"/>
        <v>17250640.194331985</v>
      </c>
      <c r="H34" s="22">
        <f>(case_management+case_gp+case_lab)*D34</f>
        <v>36152641.582887702</v>
      </c>
      <c r="I34" s="22">
        <f t="shared" si="0"/>
        <v>3442.1600000000003</v>
      </c>
      <c r="J34" s="22">
        <f t="shared" si="1"/>
        <v>6460934.3200000003</v>
      </c>
      <c r="K34" s="22">
        <f>D34*contacts_number*contacts_quarantine*contacts_wage_per_day</f>
        <v>53142322.182659104</v>
      </c>
      <c r="L34" s="22">
        <f t="shared" si="9"/>
        <v>113006538.2798788</v>
      </c>
      <c r="M34" s="33">
        <f t="shared" si="2"/>
        <v>99288775.421151593</v>
      </c>
      <c r="N34" s="20">
        <f>vacc_cost*(E34+F34)</f>
        <v>93072834</v>
      </c>
      <c r="O34" s="23">
        <v>95</v>
      </c>
      <c r="P34" s="23">
        <f t="shared" si="3"/>
        <v>80936.923076923078</v>
      </c>
      <c r="Q34" s="23">
        <f>(case_management+case_gp+case_lab)*O34</f>
        <v>169621.73796791444</v>
      </c>
      <c r="R34" s="23">
        <f t="shared" si="4"/>
        <v>16.150000000000002</v>
      </c>
      <c r="S34" s="23">
        <f t="shared" si="5"/>
        <v>30313.550000000003</v>
      </c>
      <c r="T34" s="23">
        <f>O34*contacts_number*contacts_quarantine*contacts_wage_per_day</f>
        <v>249334.28523076922</v>
      </c>
      <c r="U34" s="23">
        <f t="shared" si="10"/>
        <v>530206.49627560668</v>
      </c>
      <c r="V34" s="23">
        <f t="shared" si="6"/>
        <v>4658452.0273653697</v>
      </c>
      <c r="W34" s="15">
        <f t="shared" si="7"/>
        <v>1.0159364463223182</v>
      </c>
    </row>
    <row r="35" spans="1:23" x14ac:dyDescent="0.25">
      <c r="A35" t="s">
        <v>43</v>
      </c>
      <c r="B35" s="7">
        <v>41112</v>
      </c>
      <c r="C35" s="7">
        <v>3932</v>
      </c>
      <c r="D35" s="7">
        <v>1346</v>
      </c>
      <c r="E35" s="7">
        <v>720</v>
      </c>
      <c r="F35" s="7">
        <f>C35*extra_vacc</f>
        <v>0</v>
      </c>
      <c r="G35" s="22">
        <f t="shared" si="8"/>
        <v>1146748.4048582995</v>
      </c>
      <c r="H35" s="22">
        <f>(case_management+case_gp+case_lab)*D35</f>
        <v>2403272.2032085559</v>
      </c>
      <c r="I35" s="22">
        <f t="shared" si="0"/>
        <v>228.82000000000002</v>
      </c>
      <c r="J35" s="22">
        <f t="shared" si="1"/>
        <v>429495.14</v>
      </c>
      <c r="K35" s="22">
        <f>D35*contacts_number*contacts_quarantine*contacts_wage_per_day</f>
        <v>3532673.1360064778</v>
      </c>
      <c r="L35" s="22">
        <f t="shared" si="9"/>
        <v>7512188.8840733338</v>
      </c>
      <c r="M35" s="33">
        <f t="shared" si="2"/>
        <v>6600290.9777197773</v>
      </c>
      <c r="N35" s="20">
        <f>vacc_cost*(E35+F35)</f>
        <v>5914080</v>
      </c>
      <c r="O35" s="23">
        <v>59</v>
      </c>
      <c r="P35" s="23">
        <f t="shared" si="3"/>
        <v>50266.08906882591</v>
      </c>
      <c r="Q35" s="23">
        <f>(case_management+case_gp+case_lab)*O35</f>
        <v>105344.02673796791</v>
      </c>
      <c r="R35" s="23">
        <f t="shared" si="4"/>
        <v>10.030000000000001</v>
      </c>
      <c r="S35" s="23">
        <f t="shared" si="5"/>
        <v>18826.310000000001</v>
      </c>
      <c r="T35" s="23">
        <f>O35*contacts_number*contacts_quarantine*contacts_wage_per_day</f>
        <v>154849.7139854251</v>
      </c>
      <c r="U35" s="23">
        <f t="shared" si="10"/>
        <v>329286.13979221892</v>
      </c>
      <c r="V35" s="23">
        <f t="shared" si="6"/>
        <v>2893143.8906795452</v>
      </c>
      <c r="W35" s="15">
        <f t="shared" si="7"/>
        <v>0.74941787101661994</v>
      </c>
    </row>
    <row r="36" spans="1:23" x14ac:dyDescent="0.25">
      <c r="A36" t="s">
        <v>44</v>
      </c>
      <c r="B36" s="7">
        <v>525550</v>
      </c>
      <c r="C36" s="7">
        <v>58350</v>
      </c>
      <c r="D36" s="7">
        <v>30774</v>
      </c>
      <c r="E36" s="7">
        <v>17291</v>
      </c>
      <c r="F36" s="7">
        <f>C36*extra_vacc</f>
        <v>0</v>
      </c>
      <c r="G36" s="22">
        <f t="shared" si="8"/>
        <v>26218451.271255061</v>
      </c>
      <c r="H36" s="22">
        <f>(case_management+case_gp+case_lab)*D36</f>
        <v>54946730.14973262</v>
      </c>
      <c r="I36" s="22">
        <f t="shared" si="0"/>
        <v>5231.58</v>
      </c>
      <c r="J36" s="22">
        <f t="shared" si="1"/>
        <v>9819675.6600000001</v>
      </c>
      <c r="K36" s="22">
        <f>D36*contacts_number*contacts_quarantine*contacts_wage_per_day</f>
        <v>80768560.986228347</v>
      </c>
      <c r="L36" s="22">
        <f t="shared" si="9"/>
        <v>171753418.06721604</v>
      </c>
      <c r="M36" s="33">
        <f t="shared" si="2"/>
        <v>150904423.8843599</v>
      </c>
      <c r="N36" s="20">
        <f>vacc_cost*(E36+F36)</f>
        <v>142028274</v>
      </c>
      <c r="O36" s="23">
        <v>70</v>
      </c>
      <c r="P36" s="23">
        <f t="shared" si="3"/>
        <v>59637.732793522271</v>
      </c>
      <c r="Q36" s="23">
        <f>(case_management+case_gp+case_lab)*O36</f>
        <v>124984.4385026738</v>
      </c>
      <c r="R36" s="23">
        <f t="shared" si="4"/>
        <v>11.9</v>
      </c>
      <c r="S36" s="23">
        <f t="shared" si="5"/>
        <v>22336.3</v>
      </c>
      <c r="T36" s="23">
        <f>O36*contacts_number*contacts_quarantine*contacts_wage_per_day</f>
        <v>183719.99964372467</v>
      </c>
      <c r="U36" s="23">
        <f t="shared" si="10"/>
        <v>390678.47093992075</v>
      </c>
      <c r="V36" s="23">
        <f t="shared" si="6"/>
        <v>3432543.5991113251</v>
      </c>
      <c r="W36" s="15">
        <f t="shared" si="7"/>
        <v>1.03742317948639</v>
      </c>
    </row>
    <row r="37" spans="1:23" x14ac:dyDescent="0.25">
      <c r="A37" t="s">
        <v>50</v>
      </c>
      <c r="B37" s="7">
        <v>32151</v>
      </c>
      <c r="C37" s="7">
        <v>3197</v>
      </c>
      <c r="D37" s="7">
        <v>1265</v>
      </c>
      <c r="E37" s="7">
        <v>685</v>
      </c>
      <c r="F37" s="7">
        <f>C37*extra_vacc</f>
        <v>0</v>
      </c>
      <c r="G37" s="22">
        <f t="shared" si="8"/>
        <v>1077739.028340081</v>
      </c>
      <c r="H37" s="22">
        <f>(case_management+case_gp+case_lab)*D37</f>
        <v>2258647.3529411764</v>
      </c>
      <c r="I37" s="22">
        <f t="shared" si="0"/>
        <v>215.05</v>
      </c>
      <c r="J37" s="22">
        <f t="shared" si="1"/>
        <v>403648.85000000003</v>
      </c>
      <c r="K37" s="22">
        <f>D37*contacts_number*contacts_quarantine*contacts_wage_per_day</f>
        <v>3320082.8507044534</v>
      </c>
      <c r="L37" s="22">
        <f t="shared" si="9"/>
        <v>7060118.0819857111</v>
      </c>
      <c r="M37" s="33">
        <f t="shared" si="2"/>
        <v>6203096.6469654664</v>
      </c>
      <c r="N37" s="20">
        <f>vacc_cost*(E37+F37)</f>
        <v>5626590</v>
      </c>
      <c r="O37" s="23">
        <v>50</v>
      </c>
      <c r="P37" s="23">
        <f t="shared" si="3"/>
        <v>42598.380566801621</v>
      </c>
      <c r="Q37" s="23">
        <f>(case_management+case_gp+case_lab)*O37</f>
        <v>89274.598930481283</v>
      </c>
      <c r="R37" s="23">
        <f t="shared" si="4"/>
        <v>8.5</v>
      </c>
      <c r="S37" s="23">
        <f t="shared" si="5"/>
        <v>15954.5</v>
      </c>
      <c r="T37" s="23">
        <f>O37*contacts_number*contacts_quarantine*contacts_wage_per_day</f>
        <v>131228.57117408907</v>
      </c>
      <c r="U37" s="23">
        <f t="shared" si="10"/>
        <v>279056.05067137198</v>
      </c>
      <c r="V37" s="23">
        <f t="shared" si="6"/>
        <v>2451816.8565080892</v>
      </c>
      <c r="W37" s="15">
        <f t="shared" si="7"/>
        <v>0.76786138122867087</v>
      </c>
    </row>
    <row r="38" spans="1:23" x14ac:dyDescent="0.25">
      <c r="A38" t="s">
        <v>45</v>
      </c>
      <c r="B38" s="7">
        <v>60120</v>
      </c>
      <c r="C38" s="7">
        <v>6075</v>
      </c>
      <c r="D38" s="7">
        <v>2530</v>
      </c>
      <c r="E38" s="7">
        <v>1378</v>
      </c>
      <c r="F38" s="7">
        <f>C38*extra_vacc</f>
        <v>0</v>
      </c>
      <c r="G38" s="22">
        <f t="shared" si="8"/>
        <v>2155478.056680162</v>
      </c>
      <c r="H38" s="22">
        <f>(case_management+case_gp+case_lab)*D38</f>
        <v>4517294.7058823528</v>
      </c>
      <c r="I38" s="22">
        <f t="shared" si="0"/>
        <v>430.1</v>
      </c>
      <c r="J38" s="22">
        <f t="shared" si="1"/>
        <v>807297.70000000007</v>
      </c>
      <c r="K38" s="22">
        <f>D38*contacts_number*contacts_quarantine*contacts_wage_per_day</f>
        <v>6640165.7014089068</v>
      </c>
      <c r="L38" s="22">
        <f t="shared" si="9"/>
        <v>14120236.163971422</v>
      </c>
      <c r="M38" s="33">
        <f t="shared" si="2"/>
        <v>12406193.293930933</v>
      </c>
      <c r="N38" s="20">
        <f>vacc_cost*(E38+F38)</f>
        <v>11318892</v>
      </c>
      <c r="O38" s="23">
        <v>58</v>
      </c>
      <c r="P38" s="23">
        <f t="shared" si="3"/>
        <v>49414.121457489877</v>
      </c>
      <c r="Q38" s="23">
        <f>(case_management+case_gp+case_lab)*O38</f>
        <v>103558.53475935828</v>
      </c>
      <c r="R38" s="23">
        <f t="shared" si="4"/>
        <v>9.8600000000000012</v>
      </c>
      <c r="S38" s="23">
        <f t="shared" si="5"/>
        <v>18507.22</v>
      </c>
      <c r="T38" s="23">
        <f>O38*contacts_number*contacts_quarantine*contacts_wage_per_day</f>
        <v>152225.14256194333</v>
      </c>
      <c r="U38" s="23">
        <f t="shared" si="10"/>
        <v>323705.01877879153</v>
      </c>
      <c r="V38" s="23">
        <f t="shared" si="6"/>
        <v>2844107.5535493838</v>
      </c>
      <c r="W38" s="15">
        <f t="shared" si="7"/>
        <v>0.87595803749226431</v>
      </c>
    </row>
    <row r="39" spans="1:23" x14ac:dyDescent="0.25">
      <c r="B39" s="7"/>
      <c r="C39" s="7"/>
      <c r="D39" s="7"/>
      <c r="E39" s="7"/>
      <c r="F39" s="7"/>
      <c r="G39" s="22"/>
      <c r="H39" s="22"/>
      <c r="I39" s="22"/>
      <c r="J39" s="22"/>
      <c r="K39" s="22"/>
      <c r="L39" s="22"/>
      <c r="M39" s="33"/>
      <c r="N39" s="20"/>
      <c r="O39" s="23"/>
      <c r="P39" s="23"/>
      <c r="Q39" s="23"/>
      <c r="R39" s="23"/>
      <c r="S39" s="23"/>
      <c r="T39" s="23"/>
      <c r="U39" s="23"/>
      <c r="V39" s="23"/>
      <c r="W39" s="15"/>
    </row>
    <row r="40" spans="1:23" s="11" customFormat="1" x14ac:dyDescent="0.25">
      <c r="A40" s="11" t="s">
        <v>67</v>
      </c>
      <c r="B40" s="14">
        <f t="shared" ref="B40:C40" si="11">SUM(B19:B38)</f>
        <v>4241739</v>
      </c>
      <c r="C40" s="14">
        <f t="shared" si="11"/>
        <v>462924</v>
      </c>
      <c r="D40" s="14">
        <f>SUM(D19:D38)</f>
        <v>234567</v>
      </c>
      <c r="E40" s="14">
        <f>SUM(E19:E38)</f>
        <v>131540</v>
      </c>
      <c r="F40" s="14">
        <f>SUM(F19:F38)</f>
        <v>0</v>
      </c>
      <c r="G40" s="27">
        <f>lost_wages*D40</f>
        <v>199843486.68825912</v>
      </c>
      <c r="H40" s="27">
        <f>(case_management+case_gp+case_lab)*D40</f>
        <v>418817496.94652408</v>
      </c>
      <c r="I40" s="27">
        <f>prop_hospitalised*D40</f>
        <v>39876.39</v>
      </c>
      <c r="J40" s="27">
        <f>hospital_costs*I40</f>
        <v>74847984.030000001</v>
      </c>
      <c r="K40" s="27">
        <f>D40*contacts_number*contacts_quarantine*contacts_wage_per_day</f>
        <v>615637845.091851</v>
      </c>
      <c r="L40" s="27">
        <f t="shared" si="9"/>
        <v>1309146812.7566342</v>
      </c>
      <c r="M40" s="34">
        <f>L40/disc_years*(1-1/(1+disc_rate)^disc_years)/(1-1/(1+disc_rate))</f>
        <v>1150230649.1610661</v>
      </c>
      <c r="N40" s="21">
        <f>vacc_cost*E40</f>
        <v>1080469560</v>
      </c>
      <c r="O40" s="30">
        <f>SUM(O19:O38)</f>
        <v>1421</v>
      </c>
      <c r="P40" s="28">
        <f>lost_wages*O40</f>
        <v>1210645.9757085021</v>
      </c>
      <c r="Q40" s="28">
        <f>(case_management+case_gp+case_lab)*O40</f>
        <v>2537184.1016042782</v>
      </c>
      <c r="R40" s="28">
        <f>prop_hospitalised*O40</f>
        <v>241.57000000000002</v>
      </c>
      <c r="S40" s="28">
        <f>hospital_costs*R40</f>
        <v>453426.89</v>
      </c>
      <c r="T40" s="28">
        <f>O40*contacts_number*contacts_quarantine*contacts_wage_per_day</f>
        <v>3729515.9927676115</v>
      </c>
      <c r="U40" s="28">
        <f t="shared" si="10"/>
        <v>7930772.9600803917</v>
      </c>
      <c r="V40" s="28">
        <f>U40*(1-1/(1+disc_rate)^disc_years)/(1-1/(1+disc_rate))</f>
        <v>69680635.061959907</v>
      </c>
      <c r="W40" s="18">
        <f>M40/(N40+V40)</f>
        <v>1.0000699509502773</v>
      </c>
    </row>
    <row r="41" spans="1:23" x14ac:dyDescent="0.25">
      <c r="J41" s="7"/>
      <c r="K41" s="7"/>
      <c r="N41" s="8"/>
      <c r="O41"/>
      <c r="R41" s="7"/>
      <c r="V41" s="8"/>
    </row>
    <row r="42" spans="1:23" x14ac:dyDescent="0.25">
      <c r="J42" s="7"/>
      <c r="K42" s="7"/>
      <c r="N42" s="8"/>
      <c r="O42"/>
      <c r="R42" s="7"/>
      <c r="V42" s="8"/>
    </row>
    <row r="43" spans="1:23" x14ac:dyDescent="0.25">
      <c r="J43" s="7"/>
      <c r="K43" s="7"/>
      <c r="N43" s="8"/>
      <c r="O43"/>
      <c r="R43" s="7"/>
      <c r="V43" s="8"/>
    </row>
    <row r="44" spans="1:23" x14ac:dyDescent="0.25">
      <c r="J44" s="7"/>
      <c r="K44" s="7"/>
      <c r="N44" s="8"/>
      <c r="O44"/>
      <c r="R44" s="7"/>
      <c r="V44" s="8"/>
    </row>
    <row r="45" spans="1:23" x14ac:dyDescent="0.25">
      <c r="J45" s="7"/>
      <c r="K45" s="7"/>
      <c r="N45" s="8"/>
      <c r="O45"/>
      <c r="R45" s="7"/>
      <c r="V45" s="8"/>
    </row>
    <row r="46" spans="1:23" x14ac:dyDescent="0.25">
      <c r="J46" s="7"/>
      <c r="K46" s="7"/>
      <c r="N46" s="8"/>
      <c r="O46"/>
      <c r="R46" s="7"/>
      <c r="V46" s="8"/>
    </row>
    <row r="47" spans="1:23" x14ac:dyDescent="0.25">
      <c r="J47" s="7"/>
      <c r="K47" s="7"/>
      <c r="N47" s="8"/>
      <c r="O47"/>
      <c r="R47" s="7"/>
      <c r="V47" s="8"/>
    </row>
    <row r="48" spans="1:23" x14ac:dyDescent="0.25">
      <c r="J48" s="7"/>
      <c r="K48" s="7"/>
      <c r="N48" s="8"/>
      <c r="O48"/>
      <c r="R48" s="7"/>
      <c r="V48" s="8"/>
    </row>
    <row r="49" spans="10:22" x14ac:dyDescent="0.25">
      <c r="J49" s="7"/>
      <c r="K49" s="7"/>
      <c r="N49" s="8"/>
      <c r="O49"/>
      <c r="R49" s="7"/>
      <c r="V49" s="8"/>
    </row>
    <row r="50" spans="10:22" x14ac:dyDescent="0.25">
      <c r="J50" s="7"/>
      <c r="K50" s="7"/>
      <c r="N50" s="8"/>
      <c r="O50"/>
      <c r="R50" s="7"/>
      <c r="V50" s="8"/>
    </row>
    <row r="51" spans="10:22" x14ac:dyDescent="0.25">
      <c r="J51" s="7"/>
      <c r="K51" s="7"/>
      <c r="N51" s="8"/>
      <c r="O51"/>
      <c r="R51" s="7"/>
      <c r="V51" s="8"/>
    </row>
    <row r="52" spans="10:22" x14ac:dyDescent="0.25">
      <c r="J52" s="7"/>
      <c r="K52" s="7"/>
      <c r="N52" s="8"/>
      <c r="O52"/>
      <c r="R52" s="7"/>
      <c r="V52" s="8"/>
    </row>
    <row r="53" spans="10:22" x14ac:dyDescent="0.25">
      <c r="J53" s="7"/>
      <c r="K53" s="7"/>
      <c r="N53" s="8"/>
      <c r="O53"/>
      <c r="R53" s="7"/>
      <c r="V53" s="8"/>
    </row>
    <row r="54" spans="10:22" x14ac:dyDescent="0.25">
      <c r="J54" s="7"/>
      <c r="K54" s="7"/>
      <c r="N54" s="8"/>
      <c r="O54"/>
      <c r="R54" s="7"/>
      <c r="V54" s="8"/>
    </row>
    <row r="55" spans="10:22" x14ac:dyDescent="0.25">
      <c r="J55" s="7"/>
      <c r="K55" s="7"/>
      <c r="N55" s="8"/>
      <c r="O55"/>
      <c r="R55" s="7"/>
      <c r="V55" s="8"/>
    </row>
    <row r="56" spans="10:22" x14ac:dyDescent="0.25">
      <c r="J56" s="7"/>
      <c r="K56" s="7"/>
      <c r="N56" s="8"/>
      <c r="O56"/>
      <c r="R56" s="7"/>
      <c r="V56" s="8"/>
    </row>
    <row r="57" spans="10:22" x14ac:dyDescent="0.25">
      <c r="J57" s="7"/>
      <c r="K57" s="7"/>
      <c r="N57" s="8"/>
      <c r="O57"/>
      <c r="R57" s="7"/>
      <c r="V57" s="8"/>
    </row>
    <row r="58" spans="10:22" x14ac:dyDescent="0.25">
      <c r="J58" s="7"/>
      <c r="K58" s="7"/>
      <c r="N58" s="8"/>
      <c r="O58"/>
      <c r="R58" s="7"/>
      <c r="V58" s="8"/>
    </row>
    <row r="59" spans="10:22" x14ac:dyDescent="0.25">
      <c r="J59" s="7"/>
      <c r="K59" s="7"/>
      <c r="N59" s="8"/>
      <c r="O59"/>
      <c r="R59" s="7"/>
      <c r="V59" s="8"/>
    </row>
    <row r="60" spans="10:22" x14ac:dyDescent="0.25">
      <c r="J60" s="7"/>
      <c r="K60" s="7"/>
      <c r="N60" s="8"/>
      <c r="O60"/>
      <c r="R60" s="7"/>
      <c r="V60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opLeftCell="B1" workbookViewId="0">
      <selection activeCell="C32" sqref="C32"/>
    </sheetView>
  </sheetViews>
  <sheetFormatPr defaultRowHeight="15" x14ac:dyDescent="0.25"/>
  <cols>
    <col min="1" max="1" width="19.42578125" bestFit="1" customWidth="1"/>
    <col min="2" max="2" width="10.7109375" bestFit="1" customWidth="1"/>
    <col min="3" max="3" width="16.7109375" bestFit="1" customWidth="1"/>
    <col min="4" max="4" width="13.42578125" customWidth="1"/>
    <col min="5" max="5" width="7" customWidth="1"/>
    <col min="6" max="6" width="7" bestFit="1" customWidth="1"/>
    <col min="7" max="7" width="22" bestFit="1" customWidth="1"/>
    <col min="8" max="8" width="21" bestFit="1" customWidth="1"/>
    <col min="9" max="9" width="16.28515625" bestFit="1" customWidth="1"/>
    <col min="10" max="10" width="14.5703125" bestFit="1" customWidth="1"/>
    <col min="52" max="53" width="19.7109375" customWidth="1"/>
  </cols>
  <sheetData>
    <row r="1" spans="1:23" x14ac:dyDescent="0.25">
      <c r="A1" s="12" t="s">
        <v>102</v>
      </c>
      <c r="B1" s="12">
        <v>12.8</v>
      </c>
    </row>
    <row r="3" spans="1:23" x14ac:dyDescent="0.25">
      <c r="A3" t="s">
        <v>33</v>
      </c>
      <c r="B3" t="s">
        <v>100</v>
      </c>
      <c r="C3" t="s">
        <v>108</v>
      </c>
      <c r="D3" t="s">
        <v>57</v>
      </c>
      <c r="E3" t="s">
        <v>55</v>
      </c>
      <c r="F3" t="s">
        <v>56</v>
      </c>
      <c r="G3" t="s">
        <v>70</v>
      </c>
      <c r="H3" t="s">
        <v>68</v>
      </c>
      <c r="I3" t="s">
        <v>71</v>
      </c>
      <c r="J3" t="s">
        <v>72</v>
      </c>
      <c r="L3" s="16" t="s">
        <v>103</v>
      </c>
      <c r="M3" s="16" t="s">
        <v>104</v>
      </c>
      <c r="N3" s="16" t="s">
        <v>105</v>
      </c>
      <c r="O3" s="16" t="s">
        <v>106</v>
      </c>
      <c r="P3" s="16" t="s">
        <v>107</v>
      </c>
      <c r="Q3" s="16"/>
      <c r="R3" s="16" t="s">
        <v>109</v>
      </c>
      <c r="S3" s="16" t="s">
        <v>103</v>
      </c>
      <c r="T3" s="16" t="s">
        <v>104</v>
      </c>
      <c r="U3" s="16" t="s">
        <v>105</v>
      </c>
      <c r="V3" s="16" t="s">
        <v>106</v>
      </c>
      <c r="W3" s="16" t="s">
        <v>107</v>
      </c>
    </row>
    <row r="4" spans="1:23" x14ac:dyDescent="0.25">
      <c r="A4" t="s">
        <v>34</v>
      </c>
      <c r="B4">
        <v>436350</v>
      </c>
      <c r="C4">
        <f t="shared" ref="C4:C23" si="0">1-D4/B4</f>
        <v>0.88080669187578775</v>
      </c>
      <c r="D4">
        <v>52010</v>
      </c>
      <c r="E4">
        <f>ROUND(B4*P4,0)</f>
        <v>31159</v>
      </c>
      <c r="F4">
        <f t="shared" ref="F4:F23" si="1">ROUND((1-C4-1/r0)*B4,0)</f>
        <v>17920</v>
      </c>
      <c r="G4" s="10">
        <f t="shared" ref="G4:G24" si="2">F4/D4</f>
        <v>0.34454912516823688</v>
      </c>
      <c r="H4">
        <f t="shared" ref="H4:H23" si="3">D4-F4</f>
        <v>34090</v>
      </c>
      <c r="I4">
        <v>2</v>
      </c>
      <c r="J4">
        <v>82</v>
      </c>
      <c r="L4" s="16">
        <v>1</v>
      </c>
      <c r="M4" s="16">
        <f t="shared" ref="M4:P23" si="4">L4-(L4/(1-EXP(-r0*L4))-(1-$C4))/((1-(1+L4*r0)*EXP(-r0*L4))/((1-EXP(-r0*L4))^2))</f>
        <v>0.11916185201202989</v>
      </c>
      <c r="N4" s="16">
        <f t="shared" si="4"/>
        <v>7.4187042469569309E-2</v>
      </c>
      <c r="O4" s="16">
        <f t="shared" si="4"/>
        <v>7.1418820269757738E-2</v>
      </c>
      <c r="P4" s="16">
        <f t="shared" si="4"/>
        <v>7.1407264076909033E-2</v>
      </c>
      <c r="Q4" s="16"/>
      <c r="R4" s="16">
        <f>1-H4/B4</f>
        <v>0.92187464191589319</v>
      </c>
      <c r="S4">
        <v>1</v>
      </c>
      <c r="T4" s="16">
        <f t="shared" ref="T4:W23" si="5">S4-(S4/(1-EXP(-r0*S4))-(1-$R4))/((1-(1+S4*r0)*EXP(-r0*S4))/((1-EXP(-r0*S4))^2))</f>
        <v>7.8092564045251445E-2</v>
      </c>
      <c r="U4" s="16">
        <f t="shared" si="5"/>
        <v>9.3654862185185428E-3</v>
      </c>
      <c r="V4" s="16">
        <f t="shared" si="5"/>
        <v>1.8049251304174709E-4</v>
      </c>
      <c r="W4" s="16">
        <f t="shared" si="5"/>
        <v>7.8506238529476549E-7</v>
      </c>
    </row>
    <row r="5" spans="1:23" x14ac:dyDescent="0.25">
      <c r="A5" t="s">
        <v>52</v>
      </c>
      <c r="B5">
        <v>206000</v>
      </c>
      <c r="C5">
        <f t="shared" si="0"/>
        <v>0.89961650485436895</v>
      </c>
      <c r="D5">
        <v>20679</v>
      </c>
      <c r="E5">
        <f t="shared" ref="E5:E23" si="6">ROUND(B5*P5,0)</f>
        <v>8437</v>
      </c>
      <c r="F5">
        <f t="shared" si="1"/>
        <v>4585</v>
      </c>
      <c r="G5" s="10">
        <f t="shared" si="2"/>
        <v>0.22172252043135549</v>
      </c>
      <c r="H5">
        <f t="shared" si="3"/>
        <v>16094</v>
      </c>
      <c r="I5">
        <v>2</v>
      </c>
      <c r="J5">
        <v>71</v>
      </c>
      <c r="L5" s="16">
        <v>1</v>
      </c>
      <c r="M5" s="16">
        <f t="shared" si="4"/>
        <v>0.10035142624049276</v>
      </c>
      <c r="N5" s="16">
        <f t="shared" si="4"/>
        <v>4.5761703714020233E-2</v>
      </c>
      <c r="O5" s="16">
        <f t="shared" si="4"/>
        <v>4.0995024026219247E-2</v>
      </c>
      <c r="P5" s="16">
        <f t="shared" si="4"/>
        <v>4.0955008999792104E-2</v>
      </c>
      <c r="Q5" s="16"/>
      <c r="R5" s="16">
        <f t="shared" ref="R5:R23" si="7">1-H5/B5</f>
        <v>0.92187378640776696</v>
      </c>
      <c r="S5">
        <v>1</v>
      </c>
      <c r="T5" s="16">
        <f t="shared" si="5"/>
        <v>7.8093419581248824E-2</v>
      </c>
      <c r="U5" s="16">
        <f t="shared" si="5"/>
        <v>9.3669518303494681E-3</v>
      </c>
      <c r="V5" s="16">
        <f t="shared" si="5"/>
        <v>1.8219296073038703E-4</v>
      </c>
      <c r="W5" s="16">
        <f t="shared" si="5"/>
        <v>2.496058567236887E-6</v>
      </c>
    </row>
    <row r="6" spans="1:23" x14ac:dyDescent="0.25">
      <c r="A6" t="s">
        <v>35</v>
      </c>
      <c r="B6">
        <v>482180</v>
      </c>
      <c r="C6">
        <f t="shared" si="0"/>
        <v>0.8934899829939027</v>
      </c>
      <c r="D6">
        <v>51357</v>
      </c>
      <c r="E6">
        <f t="shared" si="6"/>
        <v>24694</v>
      </c>
      <c r="F6">
        <f t="shared" si="1"/>
        <v>13687</v>
      </c>
      <c r="G6" s="10">
        <f t="shared" si="2"/>
        <v>0.26650700001947153</v>
      </c>
      <c r="H6">
        <f t="shared" si="3"/>
        <v>37670</v>
      </c>
      <c r="I6">
        <v>2</v>
      </c>
      <c r="J6">
        <v>62</v>
      </c>
      <c r="L6" s="16">
        <v>1</v>
      </c>
      <c r="M6" s="16">
        <f t="shared" si="4"/>
        <v>0.10647814769302544</v>
      </c>
      <c r="N6" s="16">
        <f t="shared" si="4"/>
        <v>5.5230796555616878E-2</v>
      </c>
      <c r="O6" s="16">
        <f t="shared" si="4"/>
        <v>5.1240845135995639E-2</v>
      </c>
      <c r="P6" s="16">
        <f t="shared" si="4"/>
        <v>5.1214198677775005E-2</v>
      </c>
      <c r="Q6" s="16"/>
      <c r="R6" s="16">
        <f t="shared" si="7"/>
        <v>0.92187564809822053</v>
      </c>
      <c r="S6">
        <v>1</v>
      </c>
      <c r="T6" s="16">
        <f t="shared" si="5"/>
        <v>7.809155783014432E-2</v>
      </c>
      <c r="U6" s="16">
        <f t="shared" si="5"/>
        <v>9.3637624724041552E-3</v>
      </c>
      <c r="V6" s="16">
        <f t="shared" si="5"/>
        <v>1.7849256314276911E-4</v>
      </c>
      <c r="W6" s="16">
        <f t="shared" si="5"/>
        <v>-1.2272946510230294E-6</v>
      </c>
    </row>
    <row r="7" spans="1:23" x14ac:dyDescent="0.25">
      <c r="A7" t="s">
        <v>53</v>
      </c>
      <c r="B7">
        <v>283700</v>
      </c>
      <c r="C7">
        <f t="shared" si="0"/>
        <v>0.88500176242509698</v>
      </c>
      <c r="D7">
        <v>32625</v>
      </c>
      <c r="E7">
        <f t="shared" si="6"/>
        <v>18404</v>
      </c>
      <c r="F7">
        <f t="shared" si="1"/>
        <v>10461</v>
      </c>
      <c r="G7" s="10">
        <f t="shared" si="2"/>
        <v>0.32064367816091954</v>
      </c>
      <c r="H7">
        <f t="shared" si="3"/>
        <v>22164</v>
      </c>
      <c r="I7">
        <v>3</v>
      </c>
      <c r="J7">
        <v>96</v>
      </c>
      <c r="L7" s="16">
        <v>1</v>
      </c>
      <c r="M7" s="16">
        <f t="shared" si="4"/>
        <v>0.11496664479418039</v>
      </c>
      <c r="N7" s="16">
        <f t="shared" si="4"/>
        <v>6.8008661515238572E-2</v>
      </c>
      <c r="O7" s="16">
        <f t="shared" si="4"/>
        <v>6.4885735722149326E-2</v>
      </c>
      <c r="P7" s="16">
        <f t="shared" si="4"/>
        <v>6.4870513831643592E-2</v>
      </c>
      <c r="Q7" s="16"/>
      <c r="R7" s="16">
        <f t="shared" si="7"/>
        <v>0.92187522030313707</v>
      </c>
      <c r="S7">
        <v>1</v>
      </c>
      <c r="T7" s="16">
        <f t="shared" si="5"/>
        <v>7.8091985639164752E-2</v>
      </c>
      <c r="U7" s="16">
        <f t="shared" si="5"/>
        <v>9.3644953525574698E-3</v>
      </c>
      <c r="V7" s="16">
        <f t="shared" si="5"/>
        <v>1.7934287697437927E-4</v>
      </c>
      <c r="W7" s="16">
        <f t="shared" si="5"/>
        <v>-3.7170560421222556E-7</v>
      </c>
    </row>
    <row r="8" spans="1:23" x14ac:dyDescent="0.25">
      <c r="A8" t="s">
        <v>46</v>
      </c>
      <c r="B8">
        <v>469300</v>
      </c>
      <c r="C8">
        <f t="shared" si="0"/>
        <v>0.88164500319624972</v>
      </c>
      <c r="D8">
        <v>55544</v>
      </c>
      <c r="E8">
        <f t="shared" si="6"/>
        <v>32903</v>
      </c>
      <c r="F8">
        <f t="shared" si="1"/>
        <v>18880</v>
      </c>
      <c r="G8" s="10">
        <f t="shared" si="2"/>
        <v>0.33991070142589658</v>
      </c>
      <c r="H8">
        <f t="shared" si="3"/>
        <v>36664</v>
      </c>
      <c r="I8">
        <v>3</v>
      </c>
      <c r="J8">
        <v>50</v>
      </c>
      <c r="L8" s="16">
        <v>1</v>
      </c>
      <c r="M8" s="16">
        <f t="shared" si="4"/>
        <v>0.11832351338075564</v>
      </c>
      <c r="N8" s="16">
        <f t="shared" si="4"/>
        <v>7.2959325342646514E-2</v>
      </c>
      <c r="O8" s="16">
        <f t="shared" si="4"/>
        <v>7.0123669678284914E-2</v>
      </c>
      <c r="P8" s="16">
        <f t="shared" si="4"/>
        <v>7.0111460091883335E-2</v>
      </c>
      <c r="Q8" s="16"/>
      <c r="R8" s="16">
        <f t="shared" si="7"/>
        <v>0.92187513317707226</v>
      </c>
      <c r="S8">
        <v>1</v>
      </c>
      <c r="T8" s="16">
        <f t="shared" si="5"/>
        <v>7.8092072768067955E-2</v>
      </c>
      <c r="U8" s="16">
        <f t="shared" si="5"/>
        <v>9.3646446130172117E-3</v>
      </c>
      <c r="V8" s="16">
        <f t="shared" si="5"/>
        <v>1.7951605414627363E-4</v>
      </c>
      <c r="W8" s="16">
        <f t="shared" si="5"/>
        <v>-1.9745409086767548E-7</v>
      </c>
    </row>
    <row r="9" spans="1:23" x14ac:dyDescent="0.25">
      <c r="A9" t="s">
        <v>47</v>
      </c>
      <c r="B9">
        <v>151700</v>
      </c>
      <c r="C9">
        <f t="shared" si="0"/>
        <v>0.89715227422544497</v>
      </c>
      <c r="D9">
        <v>15602</v>
      </c>
      <c r="E9">
        <f t="shared" si="6"/>
        <v>6846</v>
      </c>
      <c r="F9">
        <f t="shared" si="1"/>
        <v>3750</v>
      </c>
      <c r="G9" s="10">
        <f t="shared" si="2"/>
        <v>0.2403538007947699</v>
      </c>
      <c r="H9">
        <f t="shared" si="3"/>
        <v>11852</v>
      </c>
      <c r="I9">
        <v>2</v>
      </c>
      <c r="J9">
        <v>56</v>
      </c>
      <c r="L9" s="16">
        <v>1</v>
      </c>
      <c r="M9" s="16">
        <f t="shared" si="4"/>
        <v>0.10281573715002201</v>
      </c>
      <c r="N9" s="16">
        <f t="shared" si="4"/>
        <v>4.9596350704606225E-2</v>
      </c>
      <c r="O9" s="16">
        <f t="shared" si="4"/>
        <v>4.5159291650018453E-2</v>
      </c>
      <c r="P9" s="16">
        <f t="shared" si="4"/>
        <v>4.5125323178003274E-2</v>
      </c>
      <c r="Q9" s="16"/>
      <c r="R9" s="16">
        <f t="shared" si="7"/>
        <v>0.92187211601845753</v>
      </c>
      <c r="S9">
        <v>1</v>
      </c>
      <c r="T9" s="16">
        <f t="shared" si="5"/>
        <v>7.8095090024976721E-2</v>
      </c>
      <c r="U9" s="16">
        <f t="shared" si="5"/>
        <v>9.3698134380329895E-3</v>
      </c>
      <c r="V9" s="16">
        <f t="shared" si="5"/>
        <v>1.8551306993982303E-4</v>
      </c>
      <c r="W9" s="16">
        <f t="shared" si="5"/>
        <v>5.8367620069128942E-6</v>
      </c>
    </row>
    <row r="10" spans="1:23" x14ac:dyDescent="0.25">
      <c r="A10" t="s">
        <v>48</v>
      </c>
      <c r="B10">
        <v>138380</v>
      </c>
      <c r="C10">
        <f t="shared" si="0"/>
        <v>0.89017199017199022</v>
      </c>
      <c r="D10">
        <v>15198</v>
      </c>
      <c r="E10">
        <f t="shared" si="6"/>
        <v>7836</v>
      </c>
      <c r="F10">
        <f t="shared" si="1"/>
        <v>4387</v>
      </c>
      <c r="G10" s="10">
        <f t="shared" si="2"/>
        <v>0.28865640215817873</v>
      </c>
      <c r="H10">
        <f t="shared" si="3"/>
        <v>10811</v>
      </c>
      <c r="I10">
        <v>2</v>
      </c>
      <c r="J10">
        <v>86</v>
      </c>
      <c r="L10" s="16">
        <v>1</v>
      </c>
      <c r="M10" s="16">
        <f t="shared" si="4"/>
        <v>0.10979624860971959</v>
      </c>
      <c r="N10" s="16">
        <f t="shared" si="4"/>
        <v>6.0271185842699374E-2</v>
      </c>
      <c r="O10" s="16">
        <f t="shared" si="4"/>
        <v>5.6646295832684782E-2</v>
      </c>
      <c r="P10" s="16">
        <f t="shared" si="4"/>
        <v>5.6624896562000336E-2</v>
      </c>
      <c r="Q10" s="16"/>
      <c r="R10" s="16">
        <f t="shared" si="7"/>
        <v>0.9218745483451366</v>
      </c>
      <c r="S10">
        <v>1</v>
      </c>
      <c r="T10" s="16">
        <f t="shared" si="5"/>
        <v>7.8092657619056483E-2</v>
      </c>
      <c r="U10" s="16">
        <f t="shared" si="5"/>
        <v>9.3656465193213967E-3</v>
      </c>
      <c r="V10" s="16">
        <f t="shared" si="5"/>
        <v>1.8067849920127242E-4</v>
      </c>
      <c r="W10" s="16">
        <f t="shared" si="5"/>
        <v>9.7220230901780844E-7</v>
      </c>
    </row>
    <row r="11" spans="1:23" x14ac:dyDescent="0.25">
      <c r="A11" t="s">
        <v>36</v>
      </c>
      <c r="B11">
        <v>98196</v>
      </c>
      <c r="C11">
        <f t="shared" si="0"/>
        <v>0.89248034543158583</v>
      </c>
      <c r="D11">
        <v>10558</v>
      </c>
      <c r="E11">
        <f t="shared" si="6"/>
        <v>5192</v>
      </c>
      <c r="F11">
        <f t="shared" si="1"/>
        <v>2886</v>
      </c>
      <c r="G11" s="10">
        <f t="shared" si="2"/>
        <v>0.27334722485319191</v>
      </c>
      <c r="H11">
        <f t="shared" si="3"/>
        <v>7672</v>
      </c>
      <c r="I11">
        <v>2</v>
      </c>
      <c r="J11">
        <v>62</v>
      </c>
      <c r="L11" s="16">
        <v>1</v>
      </c>
      <c r="M11" s="16">
        <f t="shared" si="4"/>
        <v>0.10748781814768349</v>
      </c>
      <c r="N11" s="16">
        <f t="shared" si="4"/>
        <v>5.6770910513008331E-2</v>
      </c>
      <c r="O11" s="16">
        <f t="shared" si="4"/>
        <v>5.2895876933337437E-2</v>
      </c>
      <c r="P11" s="16">
        <f t="shared" si="4"/>
        <v>5.2870952153577865E-2</v>
      </c>
      <c r="Q11" s="16"/>
      <c r="R11" s="16">
        <f t="shared" si="7"/>
        <v>0.9218705446250357</v>
      </c>
      <c r="S11">
        <v>1</v>
      </c>
      <c r="T11" s="16">
        <f t="shared" si="5"/>
        <v>7.8096661469592044E-2</v>
      </c>
      <c r="U11" s="16">
        <f t="shared" si="5"/>
        <v>9.3725054327392643E-3</v>
      </c>
      <c r="V11" s="16">
        <f t="shared" si="5"/>
        <v>1.8863637109782852E-4</v>
      </c>
      <c r="W11" s="16">
        <f t="shared" si="5"/>
        <v>8.9794346783233342E-6</v>
      </c>
    </row>
    <row r="12" spans="1:23" x14ac:dyDescent="0.25">
      <c r="A12" t="s">
        <v>37</v>
      </c>
      <c r="B12">
        <v>162560</v>
      </c>
      <c r="C12">
        <f t="shared" si="0"/>
        <v>0.89340551181102357</v>
      </c>
      <c r="D12">
        <v>17328</v>
      </c>
      <c r="E12">
        <f t="shared" si="6"/>
        <v>8348</v>
      </c>
      <c r="F12">
        <f t="shared" si="1"/>
        <v>4628</v>
      </c>
      <c r="G12" s="10">
        <f t="shared" si="2"/>
        <v>0.26708217913204063</v>
      </c>
      <c r="H12">
        <f t="shared" si="3"/>
        <v>12700</v>
      </c>
      <c r="I12">
        <v>2</v>
      </c>
      <c r="J12">
        <v>75</v>
      </c>
      <c r="L12" s="16">
        <v>1</v>
      </c>
      <c r="M12" s="16">
        <f t="shared" si="4"/>
        <v>0.10656262162783758</v>
      </c>
      <c r="N12" s="16">
        <f t="shared" si="4"/>
        <v>5.5359865948064378E-2</v>
      </c>
      <c r="O12" s="16">
        <f t="shared" si="4"/>
        <v>5.1379661986912392E-2</v>
      </c>
      <c r="P12" s="16">
        <f t="shared" si="4"/>
        <v>5.1353164079113035E-2</v>
      </c>
      <c r="Q12" s="16"/>
      <c r="R12" s="16">
        <f t="shared" si="7"/>
        <v>0.921875</v>
      </c>
      <c r="S12">
        <v>1</v>
      </c>
      <c r="T12" s="16">
        <f t="shared" si="5"/>
        <v>7.8092205949478855E-2</v>
      </c>
      <c r="U12" s="16">
        <f t="shared" si="5"/>
        <v>9.3648727658825481E-3</v>
      </c>
      <c r="V12" s="16">
        <f t="shared" si="5"/>
        <v>1.7978076491922262E-4</v>
      </c>
      <c r="W12" s="16">
        <f t="shared" si="5"/>
        <v>6.8898858826766177E-8</v>
      </c>
    </row>
    <row r="13" spans="1:23" x14ac:dyDescent="0.25">
      <c r="A13" t="s">
        <v>49</v>
      </c>
      <c r="B13">
        <v>137000</v>
      </c>
      <c r="C13">
        <f t="shared" si="0"/>
        <v>0.90467883211678835</v>
      </c>
      <c r="D13">
        <v>13059</v>
      </c>
      <c r="E13">
        <f t="shared" si="6"/>
        <v>4410</v>
      </c>
      <c r="F13">
        <f t="shared" si="1"/>
        <v>2356</v>
      </c>
      <c r="G13" s="10">
        <f t="shared" si="2"/>
        <v>0.18041197641473314</v>
      </c>
      <c r="H13">
        <f t="shared" si="3"/>
        <v>10703</v>
      </c>
      <c r="I13">
        <v>3</v>
      </c>
      <c r="J13">
        <v>90</v>
      </c>
      <c r="L13" s="16">
        <v>1</v>
      </c>
      <c r="M13" s="16">
        <f t="shared" si="4"/>
        <v>9.5288934055727248E-2</v>
      </c>
      <c r="N13" s="16">
        <f t="shared" si="4"/>
        <v>3.7769919922488356E-2</v>
      </c>
      <c r="O13" s="16">
        <f t="shared" si="4"/>
        <v>3.2244356517706789E-2</v>
      </c>
      <c r="P13" s="16">
        <f t="shared" si="4"/>
        <v>3.2188258159955761E-2</v>
      </c>
      <c r="Q13" s="16"/>
      <c r="R13" s="16">
        <f t="shared" si="7"/>
        <v>0.9218759124087591</v>
      </c>
      <c r="S13">
        <v>1</v>
      </c>
      <c r="T13" s="16">
        <f t="shared" si="5"/>
        <v>7.8091293510994975E-2</v>
      </c>
      <c r="U13" s="16">
        <f t="shared" si="5"/>
        <v>9.3633096662530946E-3</v>
      </c>
      <c r="V13" s="16">
        <f t="shared" si="5"/>
        <v>1.7796720053477218E-4</v>
      </c>
      <c r="W13" s="16">
        <f t="shared" si="5"/>
        <v>-1.7559166042334178E-6</v>
      </c>
    </row>
    <row r="14" spans="1:23" x14ac:dyDescent="0.25">
      <c r="A14" t="s">
        <v>38</v>
      </c>
      <c r="B14">
        <v>151690</v>
      </c>
      <c r="C14">
        <f t="shared" si="0"/>
        <v>0.9016349133100402</v>
      </c>
      <c r="D14">
        <v>14921</v>
      </c>
      <c r="E14">
        <f t="shared" si="6"/>
        <v>5687</v>
      </c>
      <c r="F14">
        <f t="shared" si="1"/>
        <v>3070</v>
      </c>
      <c r="G14" s="10">
        <f t="shared" si="2"/>
        <v>0.2057502848334562</v>
      </c>
      <c r="H14">
        <f t="shared" si="3"/>
        <v>11851</v>
      </c>
      <c r="I14">
        <v>3</v>
      </c>
      <c r="J14">
        <v>70</v>
      </c>
      <c r="L14" s="16">
        <v>1</v>
      </c>
      <c r="M14" s="16">
        <f t="shared" si="4"/>
        <v>9.8332952028373777E-2</v>
      </c>
      <c r="N14" s="16">
        <f t="shared" si="4"/>
        <v>4.2594001809803855E-2</v>
      </c>
      <c r="O14" s="16">
        <f t="shared" si="4"/>
        <v>3.7538556157467179E-2</v>
      </c>
      <c r="P14" s="16">
        <f t="shared" si="4"/>
        <v>3.7492781041299862E-2</v>
      </c>
      <c r="Q14" s="16"/>
      <c r="R14" s="16">
        <f t="shared" si="7"/>
        <v>0.92187355791416703</v>
      </c>
      <c r="S14">
        <v>1</v>
      </c>
      <c r="T14" s="16">
        <f t="shared" si="5"/>
        <v>7.8093648082292688E-2</v>
      </c>
      <c r="U14" s="16">
        <f t="shared" si="5"/>
        <v>9.3673432727080091E-3</v>
      </c>
      <c r="V14" s="16">
        <f t="shared" si="5"/>
        <v>1.8264712321686138E-4</v>
      </c>
      <c r="W14" s="16">
        <f t="shared" si="5"/>
        <v>2.9530383020043467E-6</v>
      </c>
    </row>
    <row r="15" spans="1:23" x14ac:dyDescent="0.25">
      <c r="A15" t="s">
        <v>51</v>
      </c>
      <c r="B15">
        <v>55620</v>
      </c>
      <c r="C15">
        <f t="shared" si="0"/>
        <v>0.90582524271844655</v>
      </c>
      <c r="D15">
        <v>5238</v>
      </c>
      <c r="E15">
        <f t="shared" si="6"/>
        <v>1678</v>
      </c>
      <c r="F15">
        <f t="shared" si="1"/>
        <v>893</v>
      </c>
      <c r="G15" s="10">
        <f t="shared" si="2"/>
        <v>0.17048491790759832</v>
      </c>
      <c r="H15">
        <f t="shared" si="3"/>
        <v>4345</v>
      </c>
      <c r="I15">
        <v>3</v>
      </c>
      <c r="J15">
        <v>72</v>
      </c>
      <c r="L15" s="16">
        <v>1</v>
      </c>
      <c r="M15" s="16">
        <f t="shared" si="4"/>
        <v>9.4142486105885825E-2</v>
      </c>
      <c r="N15" s="16">
        <f t="shared" si="4"/>
        <v>3.5938088232440019E-2</v>
      </c>
      <c r="O15" s="16">
        <f t="shared" si="4"/>
        <v>3.022393528569161E-2</v>
      </c>
      <c r="P15" s="16">
        <f t="shared" si="4"/>
        <v>3.016336037601677E-2</v>
      </c>
      <c r="Q15" s="16"/>
      <c r="R15" s="16">
        <f t="shared" si="7"/>
        <v>0.9218806184825602</v>
      </c>
      <c r="S15">
        <v>1</v>
      </c>
      <c r="T15" s="16">
        <f t="shared" si="5"/>
        <v>7.808658728387774E-2</v>
      </c>
      <c r="U15" s="16">
        <f t="shared" si="5"/>
        <v>9.35524732165674E-3</v>
      </c>
      <c r="V15" s="16">
        <f t="shared" si="5"/>
        <v>1.6861288084239756E-4</v>
      </c>
      <c r="W15" s="16">
        <f t="shared" si="5"/>
        <v>-1.1168279213693221E-5</v>
      </c>
    </row>
    <row r="16" spans="1:23" x14ac:dyDescent="0.25">
      <c r="A16" t="s">
        <v>39</v>
      </c>
      <c r="B16">
        <v>297420</v>
      </c>
      <c r="C16">
        <f t="shared" si="0"/>
        <v>0.89372940622688457</v>
      </c>
      <c r="D16">
        <v>31607</v>
      </c>
      <c r="E16">
        <f t="shared" si="6"/>
        <v>15115</v>
      </c>
      <c r="F16">
        <f t="shared" si="1"/>
        <v>8371</v>
      </c>
      <c r="G16" s="10">
        <f t="shared" si="2"/>
        <v>0.26484639478596511</v>
      </c>
      <c r="H16">
        <f t="shared" si="3"/>
        <v>23236</v>
      </c>
      <c r="I16">
        <v>2</v>
      </c>
      <c r="J16">
        <v>102</v>
      </c>
      <c r="L16" s="16">
        <v>1</v>
      </c>
      <c r="M16" s="16">
        <f t="shared" si="4"/>
        <v>0.10623871666002604</v>
      </c>
      <c r="N16" s="16">
        <f t="shared" si="4"/>
        <v>5.4864749861068922E-2</v>
      </c>
      <c r="O16" s="16">
        <f t="shared" si="4"/>
        <v>5.0847036893512866E-2</v>
      </c>
      <c r="P16" s="16">
        <f t="shared" si="4"/>
        <v>5.0819964787276288E-2</v>
      </c>
      <c r="Q16" s="16"/>
      <c r="R16" s="16">
        <f t="shared" si="7"/>
        <v>0.92187478985945803</v>
      </c>
      <c r="S16">
        <v>1</v>
      </c>
      <c r="T16" s="16">
        <f t="shared" si="5"/>
        <v>7.8092416096866901E-2</v>
      </c>
      <c r="U16" s="16">
        <f t="shared" si="5"/>
        <v>9.3652327687679671E-3</v>
      </c>
      <c r="V16" s="16">
        <f t="shared" si="5"/>
        <v>1.801984523380918E-4</v>
      </c>
      <c r="W16" s="16">
        <f t="shared" si="5"/>
        <v>4.8917745269392524E-7</v>
      </c>
    </row>
    <row r="17" spans="1:23" x14ac:dyDescent="0.25">
      <c r="A17" t="s">
        <v>40</v>
      </c>
      <c r="B17">
        <v>43650</v>
      </c>
      <c r="C17">
        <f t="shared" si="0"/>
        <v>0.89074455899198168</v>
      </c>
      <c r="D17">
        <v>4769</v>
      </c>
      <c r="E17">
        <f t="shared" si="6"/>
        <v>2431</v>
      </c>
      <c r="F17">
        <f t="shared" si="1"/>
        <v>1359</v>
      </c>
      <c r="G17" s="10">
        <f t="shared" si="2"/>
        <v>0.28496540155168798</v>
      </c>
      <c r="H17">
        <f t="shared" si="3"/>
        <v>3410</v>
      </c>
      <c r="I17">
        <v>2</v>
      </c>
      <c r="J17">
        <v>47</v>
      </c>
      <c r="L17" s="16">
        <v>1</v>
      </c>
      <c r="M17" s="16">
        <f t="shared" si="4"/>
        <v>0.10922366113637205</v>
      </c>
      <c r="N17" s="16">
        <f t="shared" si="4"/>
        <v>5.9405658301660315E-2</v>
      </c>
      <c r="O17" s="16">
        <f t="shared" si="4"/>
        <v>5.5720310610482555E-2</v>
      </c>
      <c r="P17" s="16">
        <f t="shared" si="4"/>
        <v>5.5698086926369308E-2</v>
      </c>
      <c r="Q17" s="16"/>
      <c r="R17" s="16">
        <f t="shared" si="7"/>
        <v>0.92187857961053843</v>
      </c>
      <c r="S17">
        <v>1</v>
      </c>
      <c r="T17" s="16">
        <f t="shared" si="5"/>
        <v>7.8088626222322599E-2</v>
      </c>
      <c r="U17" s="16">
        <f t="shared" si="5"/>
        <v>9.3587402940809583E-3</v>
      </c>
      <c r="V17" s="16">
        <f t="shared" si="5"/>
        <v>1.7266561541130765E-4</v>
      </c>
      <c r="W17" s="16">
        <f t="shared" si="5"/>
        <v>-7.0903955971979185E-6</v>
      </c>
    </row>
    <row r="18" spans="1:23" x14ac:dyDescent="0.25">
      <c r="A18" t="s">
        <v>41</v>
      </c>
      <c r="B18">
        <v>109750</v>
      </c>
      <c r="C18">
        <f t="shared" si="0"/>
        <v>0.89546241457858766</v>
      </c>
      <c r="D18">
        <v>11473</v>
      </c>
      <c r="E18">
        <f t="shared" si="6"/>
        <v>5263</v>
      </c>
      <c r="F18">
        <f t="shared" si="1"/>
        <v>2899</v>
      </c>
      <c r="G18" s="10">
        <f t="shared" si="2"/>
        <v>0.25268020570033994</v>
      </c>
      <c r="H18">
        <f t="shared" si="3"/>
        <v>8574</v>
      </c>
      <c r="I18">
        <v>3</v>
      </c>
      <c r="J18">
        <v>68</v>
      </c>
      <c r="L18" s="16">
        <v>1</v>
      </c>
      <c r="M18" s="16">
        <f t="shared" si="4"/>
        <v>0.10450565184974403</v>
      </c>
      <c r="N18" s="16">
        <f t="shared" si="4"/>
        <v>5.2205645945961297E-2</v>
      </c>
      <c r="O18" s="16">
        <f t="shared" si="4"/>
        <v>4.7980972010677518E-2</v>
      </c>
      <c r="P18" s="16">
        <f t="shared" si="4"/>
        <v>4.7950606373829925E-2</v>
      </c>
      <c r="Q18" s="16"/>
      <c r="R18" s="16">
        <f t="shared" si="7"/>
        <v>0.92187699316628702</v>
      </c>
      <c r="S18">
        <v>1</v>
      </c>
      <c r="T18" s="16">
        <f t="shared" si="5"/>
        <v>7.8090212718257779E-2</v>
      </c>
      <c r="U18" s="16">
        <f t="shared" si="5"/>
        <v>9.3614581505391259E-3</v>
      </c>
      <c r="V18" s="16">
        <f t="shared" si="5"/>
        <v>1.7581899748566297E-4</v>
      </c>
      <c r="W18" s="16">
        <f t="shared" si="5"/>
        <v>-3.9174475939691413E-6</v>
      </c>
    </row>
    <row r="19" spans="1:23" x14ac:dyDescent="0.25">
      <c r="A19" t="s">
        <v>42</v>
      </c>
      <c r="B19">
        <v>359310</v>
      </c>
      <c r="C19">
        <f t="shared" si="0"/>
        <v>0.89033981798447026</v>
      </c>
      <c r="D19">
        <v>39402</v>
      </c>
      <c r="E19">
        <f t="shared" si="6"/>
        <v>20248</v>
      </c>
      <c r="F19">
        <f t="shared" si="1"/>
        <v>11331</v>
      </c>
      <c r="G19" s="10">
        <f t="shared" si="2"/>
        <v>0.28757423481041572</v>
      </c>
      <c r="H19">
        <f t="shared" si="3"/>
        <v>28071</v>
      </c>
      <c r="I19">
        <v>2</v>
      </c>
      <c r="J19">
        <v>95</v>
      </c>
      <c r="L19" s="16">
        <v>1</v>
      </c>
      <c r="M19" s="16">
        <f t="shared" si="4"/>
        <v>0.10962841532968381</v>
      </c>
      <c r="N19" s="16">
        <f t="shared" si="4"/>
        <v>6.0017670034991318E-2</v>
      </c>
      <c r="O19" s="16">
        <f t="shared" si="4"/>
        <v>5.637516521955354E-2</v>
      </c>
      <c r="P19" s="16">
        <f t="shared" si="4"/>
        <v>5.6353527559745729E-2</v>
      </c>
      <c r="Q19" s="16"/>
      <c r="R19" s="16">
        <f t="shared" si="7"/>
        <v>0.92187526091675709</v>
      </c>
      <c r="S19">
        <v>1</v>
      </c>
      <c r="T19" s="16">
        <f t="shared" si="5"/>
        <v>7.8091945024221565E-2</v>
      </c>
      <c r="U19" s="16">
        <f t="shared" si="5"/>
        <v>9.364425775108598E-3</v>
      </c>
      <c r="V19" s="16">
        <f t="shared" si="5"/>
        <v>1.7926215078174074E-4</v>
      </c>
      <c r="W19" s="16">
        <f t="shared" si="5"/>
        <v>-4.5293260026596244E-7</v>
      </c>
    </row>
    <row r="20" spans="1:23" x14ac:dyDescent="0.25">
      <c r="A20" t="s">
        <v>43</v>
      </c>
      <c r="B20">
        <v>41112</v>
      </c>
      <c r="C20">
        <f t="shared" si="0"/>
        <v>0.90435882467406115</v>
      </c>
      <c r="D20">
        <v>3932</v>
      </c>
      <c r="E20">
        <f t="shared" si="6"/>
        <v>1346</v>
      </c>
      <c r="F20">
        <f t="shared" si="1"/>
        <v>720</v>
      </c>
      <c r="G20" s="10">
        <f t="shared" si="2"/>
        <v>0.18311291963377416</v>
      </c>
      <c r="H20">
        <f t="shared" si="3"/>
        <v>3212</v>
      </c>
      <c r="I20">
        <v>3</v>
      </c>
      <c r="J20">
        <v>59</v>
      </c>
      <c r="L20" s="16">
        <v>1</v>
      </c>
      <c r="M20" s="16">
        <f t="shared" si="4"/>
        <v>9.5608951923773833E-2</v>
      </c>
      <c r="N20" s="16">
        <f t="shared" si="4"/>
        <v>3.8279777807815815E-2</v>
      </c>
      <c r="O20" s="16">
        <f t="shared" si="4"/>
        <v>3.2805697714530735E-2</v>
      </c>
      <c r="P20" s="16">
        <f t="shared" si="4"/>
        <v>3.275078779030046E-2</v>
      </c>
      <c r="Q20" s="16"/>
      <c r="R20" s="16">
        <f t="shared" si="7"/>
        <v>0.9218719595251994</v>
      </c>
      <c r="S20">
        <v>1</v>
      </c>
      <c r="T20" s="16">
        <f t="shared" si="5"/>
        <v>7.8095246523333217E-2</v>
      </c>
      <c r="U20" s="16">
        <f t="shared" si="5"/>
        <v>9.3700815315211489E-3</v>
      </c>
      <c r="V20" s="16">
        <f t="shared" si="5"/>
        <v>1.858241176919545E-4</v>
      </c>
      <c r="W20" s="16">
        <f t="shared" si="5"/>
        <v>6.1497390515311261E-6</v>
      </c>
    </row>
    <row r="21" spans="1:23" x14ac:dyDescent="0.25">
      <c r="A21" t="s">
        <v>44</v>
      </c>
      <c r="B21">
        <v>525550</v>
      </c>
      <c r="C21">
        <f t="shared" si="0"/>
        <v>0.88897345637903147</v>
      </c>
      <c r="D21">
        <v>58350</v>
      </c>
      <c r="E21">
        <f t="shared" si="6"/>
        <v>30774</v>
      </c>
      <c r="F21">
        <f t="shared" si="1"/>
        <v>17291</v>
      </c>
      <c r="G21" s="10">
        <f t="shared" si="2"/>
        <v>0.29633247643530419</v>
      </c>
      <c r="H21">
        <f t="shared" si="3"/>
        <v>41059</v>
      </c>
      <c r="I21">
        <v>2</v>
      </c>
      <c r="J21">
        <v>70</v>
      </c>
      <c r="L21" s="16">
        <v>1</v>
      </c>
      <c r="M21" s="16">
        <f t="shared" si="4"/>
        <v>0.11099482144895001</v>
      </c>
      <c r="N21" s="16">
        <f t="shared" si="4"/>
        <v>6.2077290688062503E-2</v>
      </c>
      <c r="O21" s="16">
        <f t="shared" si="4"/>
        <v>5.8575682459809868E-2</v>
      </c>
      <c r="P21" s="16">
        <f t="shared" si="4"/>
        <v>5.8555910162234957E-2</v>
      </c>
      <c r="Q21" s="16"/>
      <c r="R21" s="16">
        <f t="shared" si="7"/>
        <v>0.92187422700028543</v>
      </c>
      <c r="S21">
        <v>1</v>
      </c>
      <c r="T21" s="16">
        <f t="shared" si="5"/>
        <v>7.8092978974376503E-2</v>
      </c>
      <c r="U21" s="16">
        <f t="shared" si="5"/>
        <v>9.3661970309571602E-3</v>
      </c>
      <c r="V21" s="16">
        <f t="shared" si="5"/>
        <v>1.8131722005616628E-4</v>
      </c>
      <c r="W21" s="16">
        <f t="shared" si="5"/>
        <v>1.6148854339884599E-6</v>
      </c>
    </row>
    <row r="22" spans="1:23" x14ac:dyDescent="0.25">
      <c r="A22" t="s">
        <v>50</v>
      </c>
      <c r="B22">
        <v>32151</v>
      </c>
      <c r="C22">
        <f t="shared" si="0"/>
        <v>0.90056296849242634</v>
      </c>
      <c r="D22">
        <v>3197</v>
      </c>
      <c r="E22">
        <f t="shared" si="6"/>
        <v>1265</v>
      </c>
      <c r="F22">
        <f t="shared" si="1"/>
        <v>685</v>
      </c>
      <c r="G22" s="10">
        <f t="shared" si="2"/>
        <v>0.21426337191116671</v>
      </c>
      <c r="H22">
        <f t="shared" si="3"/>
        <v>2512</v>
      </c>
      <c r="I22">
        <v>2</v>
      </c>
      <c r="J22">
        <v>50</v>
      </c>
      <c r="L22" s="16">
        <v>1</v>
      </c>
      <c r="M22" s="16">
        <f t="shared" si="4"/>
        <v>9.9404931768197424E-2</v>
      </c>
      <c r="N22" s="16">
        <f t="shared" si="4"/>
        <v>4.4279362119249349E-2</v>
      </c>
      <c r="O22" s="16">
        <f t="shared" si="4"/>
        <v>3.9379457673904383E-2</v>
      </c>
      <c r="P22" s="16">
        <f t="shared" si="4"/>
        <v>3.9336839424537487E-2</v>
      </c>
      <c r="Q22" s="16"/>
      <c r="R22" s="16">
        <f t="shared" si="7"/>
        <v>0.92186868215607598</v>
      </c>
      <c r="S22">
        <v>1</v>
      </c>
      <c r="T22" s="16">
        <f t="shared" si="5"/>
        <v>7.8098523999227898E-2</v>
      </c>
      <c r="U22" s="16">
        <f t="shared" si="5"/>
        <v>9.3756960521917121E-3</v>
      </c>
      <c r="V22" s="16">
        <f t="shared" si="5"/>
        <v>1.9233816213166076E-4</v>
      </c>
      <c r="W22" s="16">
        <f t="shared" si="5"/>
        <v>1.2704182682925555E-5</v>
      </c>
    </row>
    <row r="23" spans="1:23" x14ac:dyDescent="0.25">
      <c r="A23" t="s">
        <v>45</v>
      </c>
      <c r="B23">
        <v>60120</v>
      </c>
      <c r="C23">
        <f t="shared" si="0"/>
        <v>0.8989520958083832</v>
      </c>
      <c r="D23">
        <v>6075</v>
      </c>
      <c r="E23">
        <f t="shared" si="6"/>
        <v>2530</v>
      </c>
      <c r="F23">
        <f t="shared" si="1"/>
        <v>1378</v>
      </c>
      <c r="G23" s="10">
        <f t="shared" si="2"/>
        <v>0.22683127572016462</v>
      </c>
      <c r="H23">
        <f t="shared" si="3"/>
        <v>4697</v>
      </c>
      <c r="I23">
        <v>2</v>
      </c>
      <c r="J23">
        <v>58</v>
      </c>
      <c r="L23" s="16">
        <v>1</v>
      </c>
      <c r="M23" s="16">
        <f t="shared" si="4"/>
        <v>0.10101585693183901</v>
      </c>
      <c r="N23" s="16">
        <f t="shared" si="4"/>
        <v>4.6799114679067784E-2</v>
      </c>
      <c r="O23" s="16">
        <f t="shared" si="4"/>
        <v>4.2123719904106377E-2</v>
      </c>
      <c r="P23" s="16">
        <f t="shared" si="4"/>
        <v>4.2085435362081224E-2</v>
      </c>
      <c r="Q23" s="16"/>
      <c r="R23" s="16">
        <f t="shared" si="7"/>
        <v>0.9218729208250166</v>
      </c>
      <c r="S23">
        <v>1</v>
      </c>
      <c r="T23" s="16">
        <f t="shared" si="5"/>
        <v>7.8094285192198409E-2</v>
      </c>
      <c r="U23" s="16">
        <f t="shared" si="5"/>
        <v>9.3684346958430725E-3</v>
      </c>
      <c r="V23" s="16">
        <f t="shared" si="5"/>
        <v>1.8391342114507624E-4</v>
      </c>
      <c r="W23" s="16">
        <f t="shared" si="5"/>
        <v>4.227191056319974E-6</v>
      </c>
    </row>
    <row r="24" spans="1:23" x14ac:dyDescent="0.25">
      <c r="A24" t="s">
        <v>67</v>
      </c>
      <c r="B24">
        <f t="shared" ref="B24:F24" si="8">SUM(B4:B23)</f>
        <v>4241739</v>
      </c>
      <c r="D24">
        <f>SUM(D4:D23)</f>
        <v>462924</v>
      </c>
      <c r="F24">
        <f t="shared" si="8"/>
        <v>131537</v>
      </c>
      <c r="G24" s="10">
        <f t="shared" si="2"/>
        <v>0.28414383354503114</v>
      </c>
      <c r="H24">
        <f>SUM(H4:H23)</f>
        <v>331387</v>
      </c>
      <c r="I24">
        <v>2</v>
      </c>
      <c r="J24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5"/>
  <sheetViews>
    <sheetView workbookViewId="0">
      <selection activeCell="A23" sqref="A23"/>
    </sheetView>
  </sheetViews>
  <sheetFormatPr defaultRowHeight="15" x14ac:dyDescent="0.25"/>
  <cols>
    <col min="1" max="1" width="19.42578125" bestFit="1" customWidth="1"/>
    <col min="2" max="2" width="8.7109375" bestFit="1" customWidth="1"/>
    <col min="3" max="3" width="17.5703125" bestFit="1" customWidth="1"/>
    <col min="4" max="4" width="14.5703125" bestFit="1" customWidth="1"/>
    <col min="5" max="5" width="22.85546875" bestFit="1" customWidth="1"/>
    <col min="6" max="6" width="16.85546875" bestFit="1" customWidth="1"/>
    <col min="7" max="7" width="24.28515625" bestFit="1" customWidth="1"/>
    <col min="8" max="8" width="20.85546875" bestFit="1" customWidth="1"/>
    <col min="9" max="9" width="33.85546875" bestFit="1" customWidth="1"/>
    <col min="10" max="10" width="36.140625" bestFit="1" customWidth="1"/>
    <col min="11" max="11" width="12" bestFit="1" customWidth="1"/>
  </cols>
  <sheetData>
    <row r="1" spans="1:11" x14ac:dyDescent="0.25">
      <c r="A1" t="s">
        <v>33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65</v>
      </c>
    </row>
    <row r="2" spans="1:11" x14ac:dyDescent="0.25">
      <c r="A2" t="s">
        <v>34</v>
      </c>
      <c r="B2" s="7">
        <v>17920</v>
      </c>
      <c r="C2" s="7">
        <v>358400</v>
      </c>
      <c r="D2" s="7">
        <v>26547468</v>
      </c>
      <c r="E2" s="7">
        <v>55010964.561497323</v>
      </c>
      <c r="F2" s="7">
        <v>5297.0300000000007</v>
      </c>
      <c r="G2" s="7">
        <v>9057921.3000000007</v>
      </c>
      <c r="H2" s="7">
        <v>79616515.513065577</v>
      </c>
      <c r="I2" s="7">
        <v>82</v>
      </c>
      <c r="J2" s="7">
        <v>209523.87021635409</v>
      </c>
      <c r="K2" s="10">
        <v>32.448345162986818</v>
      </c>
    </row>
    <row r="3" spans="1:11" x14ac:dyDescent="0.25">
      <c r="A3" t="s">
        <v>52</v>
      </c>
      <c r="B3" s="7">
        <v>4585</v>
      </c>
      <c r="C3" s="7">
        <v>91700</v>
      </c>
      <c r="D3" s="7">
        <v>7188324</v>
      </c>
      <c r="E3" s="7">
        <v>14895455.823529411</v>
      </c>
      <c r="F3" s="7">
        <v>1434.2900000000002</v>
      </c>
      <c r="G3" s="7">
        <v>2452635.9000000004</v>
      </c>
      <c r="H3" s="7">
        <v>21557962.109943651</v>
      </c>
      <c r="I3" s="7">
        <v>71</v>
      </c>
      <c r="J3" s="7">
        <v>181417.00957757491</v>
      </c>
      <c r="K3" s="10">
        <v>11.311349161585374</v>
      </c>
    </row>
    <row r="4" spans="1:11" x14ac:dyDescent="0.25">
      <c r="A4" t="s">
        <v>35</v>
      </c>
      <c r="B4" s="7">
        <v>13687</v>
      </c>
      <c r="C4" s="7">
        <v>273740</v>
      </c>
      <c r="D4" s="7">
        <v>21040140</v>
      </c>
      <c r="E4" s="7">
        <v>43598824.411764704</v>
      </c>
      <c r="F4" s="7">
        <v>4198.1500000000005</v>
      </c>
      <c r="G4" s="7">
        <v>7178836.5000000009</v>
      </c>
      <c r="H4" s="7">
        <v>63099902.13405931</v>
      </c>
      <c r="I4" s="7">
        <v>62</v>
      </c>
      <c r="J4" s="7">
        <v>158420.48723675552</v>
      </c>
      <c r="K4" s="10">
        <v>33.962203654434546</v>
      </c>
    </row>
    <row r="5" spans="1:11" x14ac:dyDescent="0.25">
      <c r="A5" t="s">
        <v>53</v>
      </c>
      <c r="B5" s="7">
        <v>10461</v>
      </c>
      <c r="C5" s="7">
        <v>209220</v>
      </c>
      <c r="D5" s="7">
        <v>15679356</v>
      </c>
      <c r="E5" s="7">
        <v>32490348.882352941</v>
      </c>
      <c r="F5" s="7">
        <v>3128.51</v>
      </c>
      <c r="G5" s="7">
        <v>5349752.1000000006</v>
      </c>
      <c r="H5" s="7">
        <v>47022777.848677605</v>
      </c>
      <c r="I5" s="7">
        <v>96</v>
      </c>
      <c r="J5" s="7">
        <v>245296.23830207309</v>
      </c>
      <c r="K5" s="10">
        <v>17.663244317364047</v>
      </c>
    </row>
    <row r="6" spans="1:11" x14ac:dyDescent="0.25">
      <c r="A6" t="s">
        <v>46</v>
      </c>
      <c r="B6" s="7">
        <v>18880</v>
      </c>
      <c r="C6" s="7">
        <v>377600</v>
      </c>
      <c r="D6" s="7">
        <v>28033356</v>
      </c>
      <c r="E6" s="7">
        <v>58089982.572192512</v>
      </c>
      <c r="F6" s="7">
        <v>5593.51</v>
      </c>
      <c r="G6" s="7">
        <v>9564902.0999999996</v>
      </c>
      <c r="H6" s="7">
        <v>84072730.508886561</v>
      </c>
      <c r="I6" s="7">
        <v>50</v>
      </c>
      <c r="J6" s="7">
        <v>127758.4574489964</v>
      </c>
      <c r="K6" s="10">
        <v>50.793568164319744</v>
      </c>
    </row>
    <row r="7" spans="1:11" x14ac:dyDescent="0.25">
      <c r="A7" t="s">
        <v>47</v>
      </c>
      <c r="B7" s="7">
        <v>3751</v>
      </c>
      <c r="C7" s="7">
        <v>75020</v>
      </c>
      <c r="D7" s="7">
        <v>5832792</v>
      </c>
      <c r="E7" s="7">
        <v>12086558.085561497</v>
      </c>
      <c r="F7" s="7">
        <v>1163.8200000000002</v>
      </c>
      <c r="G7" s="7">
        <v>1990132.2000000002</v>
      </c>
      <c r="H7" s="7">
        <v>17492687.993916586</v>
      </c>
      <c r="I7" s="7">
        <v>56</v>
      </c>
      <c r="J7" s="7">
        <v>143089.47234287599</v>
      </c>
      <c r="K7" s="10">
        <v>11.61598842336049</v>
      </c>
    </row>
    <row r="8" spans="1:11" x14ac:dyDescent="0.25">
      <c r="A8" t="s">
        <v>48</v>
      </c>
      <c r="B8" s="7">
        <v>4388</v>
      </c>
      <c r="C8" s="7">
        <v>87760</v>
      </c>
      <c r="D8" s="7">
        <v>6676272</v>
      </c>
      <c r="E8" s="7">
        <v>13834395.144385027</v>
      </c>
      <c r="F8" s="7">
        <v>1332.1200000000001</v>
      </c>
      <c r="G8" s="7">
        <v>2277925.2000000002</v>
      </c>
      <c r="H8" s="7">
        <v>20022305.45140671</v>
      </c>
      <c r="I8" s="7">
        <v>86</v>
      </c>
      <c r="J8" s="7">
        <v>219744.54681227382</v>
      </c>
      <c r="K8" s="10">
        <v>8.7617090588596955</v>
      </c>
    </row>
    <row r="9" spans="1:11" x14ac:dyDescent="0.25">
      <c r="A9" t="s">
        <v>36</v>
      </c>
      <c r="B9" s="7">
        <v>2886</v>
      </c>
      <c r="C9" s="7">
        <v>57720</v>
      </c>
      <c r="D9" s="7">
        <v>4423584</v>
      </c>
      <c r="E9" s="7">
        <v>9166434.3529411759</v>
      </c>
      <c r="F9" s="7">
        <v>882.6400000000001</v>
      </c>
      <c r="G9" s="7">
        <v>1509314.4000000001</v>
      </c>
      <c r="H9" s="7">
        <v>13266438.221503789</v>
      </c>
      <c r="I9" s="7">
        <v>62</v>
      </c>
      <c r="J9" s="7">
        <v>158420.48723675552</v>
      </c>
      <c r="K9" s="10">
        <v>8.079808305951536</v>
      </c>
    </row>
    <row r="10" spans="1:11" x14ac:dyDescent="0.25">
      <c r="A10" t="s">
        <v>37</v>
      </c>
      <c r="B10" s="7">
        <v>4628</v>
      </c>
      <c r="C10" s="7">
        <v>92560</v>
      </c>
      <c r="D10" s="7">
        <v>7112496</v>
      </c>
      <c r="E10" s="7">
        <v>14738327.037433155</v>
      </c>
      <c r="F10" s="7">
        <v>1419.16</v>
      </c>
      <c r="G10" s="7">
        <v>2426763.6</v>
      </c>
      <c r="H10" s="7">
        <v>21330552.055684444</v>
      </c>
      <c r="I10" s="7">
        <v>75</v>
      </c>
      <c r="J10" s="7">
        <v>191637.68617349459</v>
      </c>
      <c r="K10" s="10">
        <v>10.617830984127135</v>
      </c>
    </row>
    <row r="11" spans="1:11" x14ac:dyDescent="0.25">
      <c r="A11" t="s">
        <v>49</v>
      </c>
      <c r="B11" s="7">
        <v>2356</v>
      </c>
      <c r="C11" s="7">
        <v>47120</v>
      </c>
      <c r="D11" s="7">
        <v>3758172</v>
      </c>
      <c r="E11" s="7">
        <v>7787585.1176470593</v>
      </c>
      <c r="F11" s="7">
        <v>749.87</v>
      </c>
      <c r="G11" s="7">
        <v>1282277.7</v>
      </c>
      <c r="H11" s="7">
        <v>11270851.116150461</v>
      </c>
      <c r="I11" s="7">
        <v>90</v>
      </c>
      <c r="J11" s="7">
        <v>229965.22340819353</v>
      </c>
      <c r="K11" s="10">
        <v>4.8027034547558687</v>
      </c>
    </row>
    <row r="12" spans="1:11" x14ac:dyDescent="0.25">
      <c r="A12" t="s">
        <v>38</v>
      </c>
      <c r="B12" s="7">
        <v>3071</v>
      </c>
      <c r="C12" s="7">
        <v>61420</v>
      </c>
      <c r="D12" s="7">
        <v>4846176</v>
      </c>
      <c r="E12" s="7">
        <v>10042118.374331551</v>
      </c>
      <c r="F12" s="7">
        <v>966.96</v>
      </c>
      <c r="G12" s="7">
        <v>1653501.6</v>
      </c>
      <c r="H12" s="7">
        <v>14533802.119397828</v>
      </c>
      <c r="I12" s="7">
        <v>70</v>
      </c>
      <c r="J12" s="7">
        <v>178861.84042859497</v>
      </c>
      <c r="K12" s="10">
        <v>7.8559461715646748</v>
      </c>
    </row>
    <row r="13" spans="1:11" x14ac:dyDescent="0.25">
      <c r="A13" t="s">
        <v>51</v>
      </c>
      <c r="B13" s="7">
        <v>893</v>
      </c>
      <c r="C13" s="7">
        <v>17860</v>
      </c>
      <c r="D13" s="7">
        <v>1429656</v>
      </c>
      <c r="E13" s="7">
        <v>2962495.5401069517</v>
      </c>
      <c r="F13" s="7">
        <v>285.26000000000005</v>
      </c>
      <c r="G13" s="7">
        <v>487794.60000000009</v>
      </c>
      <c r="H13" s="7">
        <v>4287573.8319883188</v>
      </c>
      <c r="I13" s="7">
        <v>72</v>
      </c>
      <c r="J13" s="7">
        <v>183972.17872655479</v>
      </c>
      <c r="K13" s="10">
        <v>2.3081480779911385</v>
      </c>
    </row>
    <row r="14" spans="1:11" x14ac:dyDescent="0.25">
      <c r="A14" t="s">
        <v>39</v>
      </c>
      <c r="B14" s="7">
        <v>8371</v>
      </c>
      <c r="C14" s="7">
        <v>167420</v>
      </c>
      <c r="D14" s="7">
        <v>12877980</v>
      </c>
      <c r="E14" s="7">
        <v>26685411.256684493</v>
      </c>
      <c r="F14" s="7">
        <v>2569.5500000000002</v>
      </c>
      <c r="G14" s="7">
        <v>4393930.5</v>
      </c>
      <c r="H14" s="7">
        <v>38621381.686831616</v>
      </c>
      <c r="I14" s="7">
        <v>102</v>
      </c>
      <c r="J14" s="7">
        <v>260627.25319595268</v>
      </c>
      <c r="K14" s="10">
        <v>13.924175532010686</v>
      </c>
    </row>
    <row r="15" spans="1:11" x14ac:dyDescent="0.25">
      <c r="A15" t="s">
        <v>40</v>
      </c>
      <c r="B15" s="7">
        <v>1359</v>
      </c>
      <c r="C15" s="7">
        <v>27180</v>
      </c>
      <c r="D15" s="7">
        <v>2071212</v>
      </c>
      <c r="E15" s="7">
        <v>4291911</v>
      </c>
      <c r="F15" s="7">
        <v>413.27000000000004</v>
      </c>
      <c r="G15" s="7">
        <v>706691.70000000007</v>
      </c>
      <c r="H15" s="7">
        <v>6211616.2011702042</v>
      </c>
      <c r="I15" s="7">
        <v>47</v>
      </c>
      <c r="J15" s="7">
        <v>120092.95000205663</v>
      </c>
      <c r="K15" s="10">
        <v>5.0578683749830002</v>
      </c>
    </row>
    <row r="16" spans="1:11" x14ac:dyDescent="0.25">
      <c r="A16" t="s">
        <v>41</v>
      </c>
      <c r="B16" s="7">
        <v>2899</v>
      </c>
      <c r="C16" s="7">
        <v>57980</v>
      </c>
      <c r="D16" s="7">
        <v>4488486</v>
      </c>
      <c r="E16" s="7">
        <v>9290018.7914438508</v>
      </c>
      <c r="F16" s="7">
        <v>894.54000000000008</v>
      </c>
      <c r="G16" s="7">
        <v>1529663.4000000001</v>
      </c>
      <c r="H16" s="7">
        <v>13449923.312447073</v>
      </c>
      <c r="I16" s="7">
        <v>68</v>
      </c>
      <c r="J16" s="7">
        <v>173751.50213063505</v>
      </c>
      <c r="K16" s="10">
        <v>7.4909276566310341</v>
      </c>
    </row>
    <row r="17" spans="1:51" x14ac:dyDescent="0.25">
      <c r="A17" t="s">
        <v>42</v>
      </c>
      <c r="B17" s="7">
        <v>11331</v>
      </c>
      <c r="C17" s="7">
        <v>226620</v>
      </c>
      <c r="D17" s="7">
        <v>17291792</v>
      </c>
      <c r="E17" s="7">
        <v>35747681.582887702</v>
      </c>
      <c r="F17" s="7">
        <v>3442.1600000000003</v>
      </c>
      <c r="G17" s="7">
        <v>5886093.6000000006</v>
      </c>
      <c r="H17" s="7">
        <v>51772645.155235618</v>
      </c>
      <c r="I17" s="7">
        <v>95</v>
      </c>
      <c r="J17" s="7">
        <v>242741.06915309315</v>
      </c>
      <c r="K17" s="10">
        <v>19.507176507205902</v>
      </c>
    </row>
    <row r="18" spans="1:51" x14ac:dyDescent="0.25">
      <c r="A18" t="s">
        <v>43</v>
      </c>
      <c r="B18" s="7">
        <v>720</v>
      </c>
      <c r="C18" s="7">
        <v>14400</v>
      </c>
      <c r="D18" s="7">
        <v>1150830</v>
      </c>
      <c r="E18" s="7">
        <v>2376352.2032085559</v>
      </c>
      <c r="F18" s="7">
        <v>228.82000000000002</v>
      </c>
      <c r="G18" s="7">
        <v>391282.2</v>
      </c>
      <c r="H18" s="7">
        <v>3442805.5053096381</v>
      </c>
      <c r="I18" s="7">
        <v>59</v>
      </c>
      <c r="J18" s="7">
        <v>150754.97978981576</v>
      </c>
      <c r="K18" s="10">
        <v>2.2621018840859408</v>
      </c>
    </row>
    <row r="19" spans="1:51" x14ac:dyDescent="0.25">
      <c r="A19" t="s">
        <v>44</v>
      </c>
      <c r="B19" s="7">
        <v>17291</v>
      </c>
      <c r="C19" s="7">
        <v>345820</v>
      </c>
      <c r="D19" s="7">
        <v>26342544</v>
      </c>
      <c r="E19" s="7">
        <v>54331250.14973262</v>
      </c>
      <c r="F19" s="7">
        <v>5231.58</v>
      </c>
      <c r="G19" s="7">
        <v>8946001.8000000007</v>
      </c>
      <c r="H19" s="7">
        <v>78740928.877093077</v>
      </c>
      <c r="I19" s="7">
        <v>70</v>
      </c>
      <c r="J19" s="7">
        <v>178861.84042859497</v>
      </c>
      <c r="K19" s="10">
        <v>36.890700953928395</v>
      </c>
    </row>
    <row r="20" spans="1:51" x14ac:dyDescent="0.25">
      <c r="A20" t="s">
        <v>50</v>
      </c>
      <c r="B20" s="7">
        <v>685</v>
      </c>
      <c r="C20" s="7">
        <v>13700</v>
      </c>
      <c r="D20" s="7">
        <v>1084105</v>
      </c>
      <c r="E20" s="7">
        <v>2233347.3529411764</v>
      </c>
      <c r="F20" s="7">
        <v>215.05</v>
      </c>
      <c r="G20" s="7">
        <v>367735.5</v>
      </c>
      <c r="H20" s="7">
        <v>3237846.1873526969</v>
      </c>
      <c r="I20" s="7">
        <v>50</v>
      </c>
      <c r="J20" s="7">
        <v>127758.4574489964</v>
      </c>
      <c r="K20" s="10">
        <v>2.5074613693357191</v>
      </c>
    </row>
    <row r="21" spans="1:51" x14ac:dyDescent="0.25">
      <c r="A21" t="s">
        <v>45</v>
      </c>
      <c r="B21" s="7">
        <v>1378</v>
      </c>
      <c r="C21" s="7">
        <v>27560</v>
      </c>
      <c r="D21" s="7">
        <v>2170740</v>
      </c>
      <c r="E21" s="7">
        <v>4466694.7058823528</v>
      </c>
      <c r="F21" s="7">
        <v>430.1</v>
      </c>
      <c r="G21" s="7">
        <v>735471</v>
      </c>
      <c r="H21" s="7">
        <v>6477915.2602626299</v>
      </c>
      <c r="I21" s="7">
        <v>58</v>
      </c>
      <c r="J21" s="7">
        <v>148199.81064083581</v>
      </c>
      <c r="K21" s="10">
        <v>4.2912659226317036</v>
      </c>
    </row>
    <row r="23" spans="1:51" x14ac:dyDescent="0.25">
      <c r="A23" t="s">
        <v>33</v>
      </c>
      <c r="B23" t="s">
        <v>54</v>
      </c>
      <c r="C23" t="s">
        <v>57</v>
      </c>
      <c r="D23" t="s">
        <v>55</v>
      </c>
      <c r="E23" t="s">
        <v>56</v>
      </c>
      <c r="F23" t="s">
        <v>58</v>
      </c>
      <c r="G23" t="s">
        <v>59</v>
      </c>
      <c r="H23" t="s">
        <v>15</v>
      </c>
      <c r="I23" t="s">
        <v>63</v>
      </c>
      <c r="J23" t="s">
        <v>32</v>
      </c>
      <c r="K23" t="s">
        <v>64</v>
      </c>
      <c r="L23" t="s">
        <v>12</v>
      </c>
      <c r="M23" t="s">
        <v>60</v>
      </c>
      <c r="N23" t="s">
        <v>16</v>
      </c>
      <c r="O23" t="s">
        <v>61</v>
      </c>
      <c r="P23" t="s">
        <v>62</v>
      </c>
      <c r="Q23">
        <v>0</v>
      </c>
      <c r="R23">
        <v>1</v>
      </c>
      <c r="S23">
        <v>2</v>
      </c>
      <c r="T23">
        <v>3</v>
      </c>
      <c r="U23">
        <v>4</v>
      </c>
      <c r="V23">
        <v>5</v>
      </c>
      <c r="W23">
        <v>6</v>
      </c>
      <c r="X23">
        <v>7</v>
      </c>
      <c r="Y23">
        <v>8</v>
      </c>
      <c r="Z23">
        <v>9</v>
      </c>
      <c r="AA23" t="s">
        <v>66</v>
      </c>
      <c r="AB23" t="s">
        <v>69</v>
      </c>
      <c r="AC23" t="s">
        <v>58</v>
      </c>
      <c r="AD23" t="s">
        <v>15</v>
      </c>
      <c r="AE23" t="s">
        <v>63</v>
      </c>
      <c r="AF23" t="s">
        <v>32</v>
      </c>
      <c r="AG23" t="s">
        <v>64</v>
      </c>
      <c r="AH23" t="s">
        <v>12</v>
      </c>
      <c r="AI23" t="s">
        <v>60</v>
      </c>
      <c r="AJ23" t="s">
        <v>16</v>
      </c>
      <c r="AK23" t="s">
        <v>61</v>
      </c>
      <c r="AL23" t="s">
        <v>62</v>
      </c>
      <c r="AM23">
        <v>0</v>
      </c>
      <c r="AN23">
        <v>1</v>
      </c>
      <c r="AO23">
        <v>2</v>
      </c>
      <c r="AP23">
        <v>3</v>
      </c>
      <c r="AQ23">
        <v>4</v>
      </c>
      <c r="AR23">
        <v>5</v>
      </c>
      <c r="AS23">
        <v>6</v>
      </c>
      <c r="AT23">
        <v>7</v>
      </c>
      <c r="AU23">
        <v>8</v>
      </c>
      <c r="AV23">
        <v>9</v>
      </c>
      <c r="AW23" t="s">
        <v>66</v>
      </c>
      <c r="AX23" t="s">
        <v>65</v>
      </c>
      <c r="AY23" t="s">
        <v>65</v>
      </c>
    </row>
    <row r="24" spans="1:51" x14ac:dyDescent="0.25">
      <c r="A24" t="s">
        <v>34</v>
      </c>
      <c r="B24">
        <v>436350</v>
      </c>
      <c r="C24">
        <v>52010</v>
      </c>
      <c r="D24">
        <v>31159</v>
      </c>
      <c r="E24">
        <v>17920</v>
      </c>
      <c r="F24">
        <v>20</v>
      </c>
      <c r="G24">
        <v>358400</v>
      </c>
      <c r="H24">
        <v>852</v>
      </c>
      <c r="I24">
        <v>26547468</v>
      </c>
      <c r="J24">
        <v>1765.4919786096257</v>
      </c>
      <c r="K24">
        <v>55010964.561497323</v>
      </c>
      <c r="L24">
        <v>0.17</v>
      </c>
      <c r="M24">
        <v>5297.0300000000007</v>
      </c>
      <c r="N24">
        <v>1877</v>
      </c>
      <c r="O24">
        <v>9942525.3100000005</v>
      </c>
      <c r="P24">
        <v>91500957.871497333</v>
      </c>
      <c r="Q24">
        <v>9150095.7871497329</v>
      </c>
      <c r="R24">
        <v>8883588.1428638194</v>
      </c>
      <c r="S24">
        <v>8624842.8571493383</v>
      </c>
      <c r="T24">
        <v>8373633.8418925619</v>
      </c>
      <c r="U24">
        <v>8129741.5940704485</v>
      </c>
      <c r="V24">
        <v>7892953.0039518923</v>
      </c>
      <c r="W24">
        <v>7663061.1688853325</v>
      </c>
      <c r="X24">
        <v>7439865.2125100307</v>
      </c>
      <c r="Y24">
        <v>7223170.1092330394</v>
      </c>
      <c r="Z24">
        <v>7012786.5138184857</v>
      </c>
      <c r="AA24">
        <v>80393738.231524691</v>
      </c>
      <c r="AB24">
        <v>82</v>
      </c>
      <c r="AC24">
        <v>20</v>
      </c>
      <c r="AD24">
        <v>852</v>
      </c>
      <c r="AE24">
        <v>69864</v>
      </c>
      <c r="AF24">
        <v>1765.4919786096257</v>
      </c>
      <c r="AG24">
        <v>144770.3422459893</v>
      </c>
      <c r="AH24">
        <v>0.17</v>
      </c>
      <c r="AI24">
        <v>13.940000000000001</v>
      </c>
      <c r="AJ24">
        <v>1710</v>
      </c>
      <c r="AK24">
        <v>23837.4</v>
      </c>
      <c r="AL24">
        <v>238471.7422459893</v>
      </c>
      <c r="AM24">
        <v>238471.7422459893</v>
      </c>
      <c r="AN24">
        <v>231525.96334562069</v>
      </c>
      <c r="AO24">
        <v>224782.48868506862</v>
      </c>
      <c r="AP24">
        <v>218235.42590783362</v>
      </c>
      <c r="AQ24">
        <v>211879.05427945012</v>
      </c>
      <c r="AR24">
        <v>205707.81968878655</v>
      </c>
      <c r="AS24">
        <v>199716.32979493839</v>
      </c>
      <c r="AT24">
        <v>193899.34931547416</v>
      </c>
      <c r="AU24">
        <v>188251.79545191664</v>
      </c>
      <c r="AV24">
        <v>182768.73344846276</v>
      </c>
      <c r="AW24">
        <v>2095238.702163541</v>
      </c>
      <c r="AX24">
        <v>32.765108473646116</v>
      </c>
      <c r="AY24">
        <v>224.3128856906381</v>
      </c>
    </row>
    <row r="25" spans="1:51" x14ac:dyDescent="0.25">
      <c r="A25" t="s">
        <v>52</v>
      </c>
      <c r="B25">
        <v>206000</v>
      </c>
      <c r="C25">
        <v>20679</v>
      </c>
      <c r="D25">
        <v>8437</v>
      </c>
      <c r="E25">
        <v>4585</v>
      </c>
      <c r="F25">
        <v>20</v>
      </c>
      <c r="G25">
        <v>91700</v>
      </c>
      <c r="H25">
        <v>852</v>
      </c>
      <c r="I25">
        <v>7188324</v>
      </c>
      <c r="J25">
        <v>1765.4919786096257</v>
      </c>
      <c r="K25">
        <v>14895455.823529411</v>
      </c>
      <c r="L25">
        <v>0.17</v>
      </c>
      <c r="M25">
        <v>1434.2900000000002</v>
      </c>
      <c r="N25">
        <v>1877</v>
      </c>
      <c r="O25">
        <v>2692162.3300000005</v>
      </c>
      <c r="P25">
        <v>24775942.153529413</v>
      </c>
      <c r="Q25">
        <v>2477594.2153529413</v>
      </c>
      <c r="R25">
        <v>2405431.2770416904</v>
      </c>
      <c r="S25">
        <v>2335370.1718851365</v>
      </c>
      <c r="T25">
        <v>2267349.6814418803</v>
      </c>
      <c r="U25">
        <v>2201310.3703319225</v>
      </c>
      <c r="V25">
        <v>2137194.5343028377</v>
      </c>
      <c r="W25">
        <v>2074946.1498085801</v>
      </c>
      <c r="X25">
        <v>2014510.8250568737</v>
      </c>
      <c r="Y25">
        <v>1955835.7524824017</v>
      </c>
      <c r="Z25">
        <v>1898869.6626042735</v>
      </c>
      <c r="AA25">
        <v>21768412.64030854</v>
      </c>
      <c r="AB25">
        <v>71</v>
      </c>
      <c r="AC25">
        <v>20</v>
      </c>
      <c r="AD25">
        <v>852</v>
      </c>
      <c r="AE25">
        <v>60492</v>
      </c>
      <c r="AF25">
        <v>1765.4919786096257</v>
      </c>
      <c r="AG25">
        <v>125349.93048128342</v>
      </c>
      <c r="AH25">
        <v>0.17</v>
      </c>
      <c r="AI25">
        <v>12.07</v>
      </c>
      <c r="AJ25">
        <v>1710</v>
      </c>
      <c r="AK25">
        <v>20639.7</v>
      </c>
      <c r="AL25">
        <v>206481.63048128341</v>
      </c>
      <c r="AM25">
        <v>206481.63048128341</v>
      </c>
      <c r="AN25">
        <v>200467.60240901302</v>
      </c>
      <c r="AO25">
        <v>194628.74020292526</v>
      </c>
      <c r="AP25">
        <v>188959.94194458766</v>
      </c>
      <c r="AQ25">
        <v>183456.25431513364</v>
      </c>
      <c r="AR25">
        <v>178112.86826712004</v>
      </c>
      <c r="AS25">
        <v>172925.11482244666</v>
      </c>
      <c r="AT25">
        <v>167888.46099266663</v>
      </c>
      <c r="AU25">
        <v>162998.50581812294</v>
      </c>
      <c r="AV25">
        <v>158250.97652244946</v>
      </c>
      <c r="AW25">
        <v>1814170.0957757486</v>
      </c>
      <c r="AX25">
        <v>11.421771446310519</v>
      </c>
      <c r="AY25">
        <v>237.38726979616729</v>
      </c>
    </row>
    <row r="26" spans="1:51" x14ac:dyDescent="0.25">
      <c r="A26" t="s">
        <v>35</v>
      </c>
      <c r="B26">
        <v>482180</v>
      </c>
      <c r="C26">
        <v>51357</v>
      </c>
      <c r="D26">
        <v>24695</v>
      </c>
      <c r="E26">
        <v>13687</v>
      </c>
      <c r="F26">
        <v>20</v>
      </c>
      <c r="G26">
        <v>273740</v>
      </c>
      <c r="H26">
        <v>852</v>
      </c>
      <c r="I26">
        <v>21040140</v>
      </c>
      <c r="J26">
        <v>1765.4919786096257</v>
      </c>
      <c r="K26">
        <v>43598824.411764704</v>
      </c>
      <c r="L26">
        <v>0.17</v>
      </c>
      <c r="M26">
        <v>4198.1500000000005</v>
      </c>
      <c r="N26">
        <v>1877</v>
      </c>
      <c r="O26">
        <v>7879927.5500000007</v>
      </c>
      <c r="P26">
        <v>72518891.961764708</v>
      </c>
      <c r="Q26">
        <v>7251889.1961764712</v>
      </c>
      <c r="R26">
        <v>7040669.1225014282</v>
      </c>
      <c r="S26">
        <v>6835601.0898072124</v>
      </c>
      <c r="T26">
        <v>6636505.9124341868</v>
      </c>
      <c r="U26">
        <v>6443209.6237225113</v>
      </c>
      <c r="V26">
        <v>6255543.3240024392</v>
      </c>
      <c r="W26">
        <v>6073343.0330120763</v>
      </c>
      <c r="X26">
        <v>5896449.5466136662</v>
      </c>
      <c r="Y26">
        <v>5724708.297683171</v>
      </c>
      <c r="Z26">
        <v>5557969.2210516222</v>
      </c>
      <c r="AA26">
        <v>63715888.367004782</v>
      </c>
      <c r="AB26">
        <v>62</v>
      </c>
      <c r="AC26">
        <v>20</v>
      </c>
      <c r="AD26">
        <v>852</v>
      </c>
      <c r="AE26">
        <v>52824</v>
      </c>
      <c r="AF26">
        <v>1765.4919786096257</v>
      </c>
      <c r="AG26">
        <v>109460.50267379679</v>
      </c>
      <c r="AH26">
        <v>0.17</v>
      </c>
      <c r="AI26">
        <v>10.540000000000001</v>
      </c>
      <c r="AJ26">
        <v>1710</v>
      </c>
      <c r="AK26">
        <v>18023.400000000001</v>
      </c>
      <c r="AL26">
        <v>180307.90267379678</v>
      </c>
      <c r="AM26">
        <v>180307.90267379678</v>
      </c>
      <c r="AN26">
        <v>175056.2161881522</v>
      </c>
      <c r="AO26">
        <v>169957.49144480797</v>
      </c>
      <c r="AP26">
        <v>165007.27324738639</v>
      </c>
      <c r="AQ26">
        <v>160201.23616251108</v>
      </c>
      <c r="AR26">
        <v>155535.18074030202</v>
      </c>
      <c r="AS26">
        <v>151005.02984495342</v>
      </c>
      <c r="AT26">
        <v>146606.82509218776</v>
      </c>
      <c r="AU26">
        <v>142336.72339047355</v>
      </c>
      <c r="AV26">
        <v>138190.99358298405</v>
      </c>
      <c r="AW26">
        <v>1584204.8723675553</v>
      </c>
      <c r="AX26">
        <v>34.293745371364245</v>
      </c>
      <c r="AY26">
        <v>232.76060629431132</v>
      </c>
    </row>
    <row r="27" spans="1:51" x14ac:dyDescent="0.25">
      <c r="A27" t="s">
        <v>53</v>
      </c>
      <c r="B27">
        <v>283700</v>
      </c>
      <c r="C27">
        <v>32625</v>
      </c>
      <c r="D27">
        <v>18403</v>
      </c>
      <c r="E27">
        <v>10461</v>
      </c>
      <c r="F27">
        <v>20</v>
      </c>
      <c r="G27">
        <v>209220</v>
      </c>
      <c r="H27">
        <v>852</v>
      </c>
      <c r="I27">
        <v>15679356</v>
      </c>
      <c r="J27">
        <v>1765.4919786096257</v>
      </c>
      <c r="K27">
        <v>32490348.882352941</v>
      </c>
      <c r="L27">
        <v>0.17</v>
      </c>
      <c r="M27">
        <v>3128.51</v>
      </c>
      <c r="N27">
        <v>1877</v>
      </c>
      <c r="O27">
        <v>5872213.2700000005</v>
      </c>
      <c r="P27">
        <v>54041918.152352944</v>
      </c>
      <c r="Q27">
        <v>5404191.8152352944</v>
      </c>
      <c r="R27">
        <v>5246788.1701313537</v>
      </c>
      <c r="S27">
        <v>5093969.0972149065</v>
      </c>
      <c r="T27">
        <v>4945601.0652571907</v>
      </c>
      <c r="U27">
        <v>4801554.4322885349</v>
      </c>
      <c r="V27">
        <v>4661703.3323189663</v>
      </c>
      <c r="W27">
        <v>4525925.5653582197</v>
      </c>
      <c r="X27">
        <v>4394102.4906390477</v>
      </c>
      <c r="Y27">
        <v>4266118.9229505323</v>
      </c>
      <c r="Z27">
        <v>4141863.031990808</v>
      </c>
      <c r="AA27">
        <v>47481817.92338486</v>
      </c>
      <c r="AB27">
        <v>96</v>
      </c>
      <c r="AC27">
        <v>20</v>
      </c>
      <c r="AD27">
        <v>852</v>
      </c>
      <c r="AE27">
        <v>81792</v>
      </c>
      <c r="AF27">
        <v>1765.4919786096257</v>
      </c>
      <c r="AG27">
        <v>169487.22994652408</v>
      </c>
      <c r="AH27">
        <v>0.17</v>
      </c>
      <c r="AI27">
        <v>16.32</v>
      </c>
      <c r="AJ27">
        <v>1710</v>
      </c>
      <c r="AK27">
        <v>27907.200000000001</v>
      </c>
      <c r="AL27">
        <v>279186.42994652409</v>
      </c>
      <c r="AM27">
        <v>279186.42994652409</v>
      </c>
      <c r="AN27">
        <v>271054.78635584866</v>
      </c>
      <c r="AO27">
        <v>263159.98675325111</v>
      </c>
      <c r="AP27">
        <v>255495.13277014671</v>
      </c>
      <c r="AQ27">
        <v>248053.52696130751</v>
      </c>
      <c r="AR27">
        <v>240828.66695272573</v>
      </c>
      <c r="AS27">
        <v>233814.23975992791</v>
      </c>
      <c r="AT27">
        <v>227004.11627177463</v>
      </c>
      <c r="AU27">
        <v>220392.34589492684</v>
      </c>
      <c r="AV27">
        <v>213973.15135429791</v>
      </c>
      <c r="AW27">
        <v>2452962.3830207312</v>
      </c>
      <c r="AX27">
        <v>17.835674304743947</v>
      </c>
      <c r="AY27">
        <v>226.94684028001558</v>
      </c>
    </row>
    <row r="28" spans="1:51" x14ac:dyDescent="0.25">
      <c r="A28" t="s">
        <v>46</v>
      </c>
      <c r="B28">
        <v>469300</v>
      </c>
      <c r="C28">
        <v>55544</v>
      </c>
      <c r="D28">
        <v>32903</v>
      </c>
      <c r="E28">
        <v>18880</v>
      </c>
      <c r="F28">
        <v>20</v>
      </c>
      <c r="G28">
        <v>377600</v>
      </c>
      <c r="H28">
        <v>852</v>
      </c>
      <c r="I28">
        <v>28033356</v>
      </c>
      <c r="J28">
        <v>1765.4919786096257</v>
      </c>
      <c r="K28">
        <v>58089982.572192512</v>
      </c>
      <c r="L28">
        <v>0.17</v>
      </c>
      <c r="M28">
        <v>5593.51</v>
      </c>
      <c r="N28">
        <v>1877</v>
      </c>
      <c r="O28">
        <v>10499018.27</v>
      </c>
      <c r="P28">
        <v>96622356.842192516</v>
      </c>
      <c r="Q28">
        <v>9662235.6842192523</v>
      </c>
      <c r="R28">
        <v>9380811.3439021874</v>
      </c>
      <c r="S28">
        <v>9107583.8290312495</v>
      </c>
      <c r="T28">
        <v>8842314.3971177172</v>
      </c>
      <c r="U28">
        <v>8584771.259337591</v>
      </c>
      <c r="V28">
        <v>8334729.377997661</v>
      </c>
      <c r="W28">
        <v>8091970.2699006423</v>
      </c>
      <c r="X28">
        <v>7856281.8154375162</v>
      </c>
      <c r="Y28">
        <v>7627458.0732403072</v>
      </c>
      <c r="Z28">
        <v>7405299.100233308</v>
      </c>
      <c r="AA28">
        <v>84893455.150417432</v>
      </c>
      <c r="AB28">
        <v>50</v>
      </c>
      <c r="AC28">
        <v>20</v>
      </c>
      <c r="AD28">
        <v>852</v>
      </c>
      <c r="AE28">
        <v>42600</v>
      </c>
      <c r="AF28">
        <v>1765.4919786096257</v>
      </c>
      <c r="AG28">
        <v>88274.598930481283</v>
      </c>
      <c r="AH28">
        <v>0.17</v>
      </c>
      <c r="AI28">
        <v>8.5</v>
      </c>
      <c r="AJ28">
        <v>1710</v>
      </c>
      <c r="AK28">
        <v>14535</v>
      </c>
      <c r="AL28">
        <v>145409.5989304813</v>
      </c>
      <c r="AM28">
        <v>145409.5989304813</v>
      </c>
      <c r="AN28">
        <v>141174.36789367115</v>
      </c>
      <c r="AO28">
        <v>137062.49310065163</v>
      </c>
      <c r="AP28">
        <v>133070.38165111808</v>
      </c>
      <c r="AQ28">
        <v>129194.54529234766</v>
      </c>
      <c r="AR28">
        <v>125431.59737121132</v>
      </c>
      <c r="AS28">
        <v>121778.24987496245</v>
      </c>
      <c r="AT28">
        <v>118231.31055821596</v>
      </c>
      <c r="AU28">
        <v>114787.68015360773</v>
      </c>
      <c r="AV28">
        <v>111444.34966369683</v>
      </c>
      <c r="AW28">
        <v>1277584.5744899642</v>
      </c>
      <c r="AX28">
        <v>51.289418992185134</v>
      </c>
      <c r="AY28">
        <v>224.82376893648686</v>
      </c>
    </row>
    <row r="29" spans="1:51" x14ac:dyDescent="0.25">
      <c r="A29" t="s">
        <v>47</v>
      </c>
      <c r="B29">
        <v>151700</v>
      </c>
      <c r="C29">
        <v>15602</v>
      </c>
      <c r="D29">
        <v>6846</v>
      </c>
      <c r="E29">
        <v>3751</v>
      </c>
      <c r="F29">
        <v>20</v>
      </c>
      <c r="G29">
        <v>75020</v>
      </c>
      <c r="H29">
        <v>852</v>
      </c>
      <c r="I29">
        <v>5832792</v>
      </c>
      <c r="J29">
        <v>1765.4919786096257</v>
      </c>
      <c r="K29">
        <v>12086558.085561497</v>
      </c>
      <c r="L29">
        <v>0.17</v>
      </c>
      <c r="M29">
        <v>1163.8200000000002</v>
      </c>
      <c r="N29">
        <v>1877</v>
      </c>
      <c r="O29">
        <v>2184490.14</v>
      </c>
      <c r="P29">
        <v>20103840.2255615</v>
      </c>
      <c r="Q29">
        <v>2010384.0225561499</v>
      </c>
      <c r="R29">
        <v>1951829.1481127669</v>
      </c>
      <c r="S29">
        <v>1894979.7554492883</v>
      </c>
      <c r="T29">
        <v>1839786.1703391147</v>
      </c>
      <c r="U29">
        <v>1786200.1653777815</v>
      </c>
      <c r="V29">
        <v>1734174.9178425064</v>
      </c>
      <c r="W29">
        <v>1683664.9687791325</v>
      </c>
      <c r="X29">
        <v>1634626.1832807108</v>
      </c>
      <c r="Y29">
        <v>1587015.7119230204</v>
      </c>
      <c r="Z29">
        <v>1540791.9533233207</v>
      </c>
      <c r="AA29">
        <v>17663452.996983793</v>
      </c>
      <c r="AB29">
        <v>56</v>
      </c>
      <c r="AC29">
        <v>20</v>
      </c>
      <c r="AD29">
        <v>852</v>
      </c>
      <c r="AE29">
        <v>47712</v>
      </c>
      <c r="AF29">
        <v>1765.4919786096257</v>
      </c>
      <c r="AG29">
        <v>98867.550802139041</v>
      </c>
      <c r="AH29">
        <v>0.17</v>
      </c>
      <c r="AI29">
        <v>9.5200000000000014</v>
      </c>
      <c r="AJ29">
        <v>1710</v>
      </c>
      <c r="AK29">
        <v>16279.200000000003</v>
      </c>
      <c r="AL29">
        <v>162858.75080213905</v>
      </c>
      <c r="AM29">
        <v>162858.75080213905</v>
      </c>
      <c r="AN29">
        <v>158115.29204091171</v>
      </c>
      <c r="AO29">
        <v>153509.99227272981</v>
      </c>
      <c r="AP29">
        <v>149038.82744925225</v>
      </c>
      <c r="AQ29">
        <v>144697.89072742939</v>
      </c>
      <c r="AR29">
        <v>140483.38905575668</v>
      </c>
      <c r="AS29">
        <v>136391.63985995794</v>
      </c>
      <c r="AT29">
        <v>132419.06782520187</v>
      </c>
      <c r="AU29">
        <v>128562.20177204066</v>
      </c>
      <c r="AV29">
        <v>124817.67162334044</v>
      </c>
      <c r="AW29">
        <v>1430894.7234287597</v>
      </c>
      <c r="AX29">
        <v>11.729384620642097</v>
      </c>
      <c r="AY29">
        <v>235.44991998112226</v>
      </c>
    </row>
    <row r="30" spans="1:51" x14ac:dyDescent="0.25">
      <c r="A30" t="s">
        <v>48</v>
      </c>
      <c r="B30">
        <v>138380</v>
      </c>
      <c r="C30">
        <v>15198</v>
      </c>
      <c r="D30">
        <v>7836</v>
      </c>
      <c r="E30">
        <v>4388</v>
      </c>
      <c r="F30">
        <v>20</v>
      </c>
      <c r="G30">
        <v>87760</v>
      </c>
      <c r="H30">
        <v>852</v>
      </c>
      <c r="I30">
        <v>6676272</v>
      </c>
      <c r="J30">
        <v>1765.4919786096257</v>
      </c>
      <c r="K30">
        <v>13834395.144385027</v>
      </c>
      <c r="L30">
        <v>0.17</v>
      </c>
      <c r="M30">
        <v>1332.1200000000001</v>
      </c>
      <c r="N30">
        <v>1877</v>
      </c>
      <c r="O30">
        <v>2500389.2400000002</v>
      </c>
      <c r="P30">
        <v>23011056.384385027</v>
      </c>
      <c r="Q30">
        <v>2301105.6384385028</v>
      </c>
      <c r="R30">
        <v>2234083.1441150513</v>
      </c>
      <c r="S30">
        <v>2169012.761276749</v>
      </c>
      <c r="T30">
        <v>2105837.6323075234</v>
      </c>
      <c r="U30">
        <v>2044502.5556383722</v>
      </c>
      <c r="V30">
        <v>1984953.9375129826</v>
      </c>
      <c r="W30">
        <v>1927139.7451582355</v>
      </c>
      <c r="X30">
        <v>1871009.4613186752</v>
      </c>
      <c r="Y30">
        <v>1816514.0401152186</v>
      </c>
      <c r="Z30">
        <v>1763605.8641895328</v>
      </c>
      <c r="AA30">
        <v>20217764.780070841</v>
      </c>
      <c r="AB30">
        <v>86</v>
      </c>
      <c r="AC30">
        <v>20</v>
      </c>
      <c r="AD30">
        <v>852</v>
      </c>
      <c r="AE30">
        <v>73272</v>
      </c>
      <c r="AF30">
        <v>1765.4919786096257</v>
      </c>
      <c r="AG30">
        <v>151832.31016042782</v>
      </c>
      <c r="AH30">
        <v>0.17</v>
      </c>
      <c r="AI30">
        <v>14.620000000000001</v>
      </c>
      <c r="AJ30">
        <v>1710</v>
      </c>
      <c r="AK30">
        <v>25000.2</v>
      </c>
      <c r="AL30">
        <v>250104.51016042783</v>
      </c>
      <c r="AM30">
        <v>250104.51016042783</v>
      </c>
      <c r="AN30">
        <v>242819.9127771144</v>
      </c>
      <c r="AO30">
        <v>235747.48813312079</v>
      </c>
      <c r="AP30">
        <v>228881.05643992309</v>
      </c>
      <c r="AQ30">
        <v>222214.61790283796</v>
      </c>
      <c r="AR30">
        <v>215742.34747848348</v>
      </c>
      <c r="AS30">
        <v>209458.58978493541</v>
      </c>
      <c r="AT30">
        <v>203357.85416013145</v>
      </c>
      <c r="AU30">
        <v>197434.80986420528</v>
      </c>
      <c r="AV30">
        <v>191684.28142155855</v>
      </c>
      <c r="AW30">
        <v>2197445.4681227384</v>
      </c>
      <c r="AX30">
        <v>8.8472415553422543</v>
      </c>
      <c r="AY30">
        <v>230.37562420317732</v>
      </c>
    </row>
    <row r="31" spans="1:51" x14ac:dyDescent="0.25">
      <c r="A31" t="s">
        <v>36</v>
      </c>
      <c r="B31">
        <v>98196</v>
      </c>
      <c r="C31">
        <v>10558</v>
      </c>
      <c r="D31">
        <v>5192</v>
      </c>
      <c r="E31">
        <v>2886</v>
      </c>
      <c r="F31">
        <v>20</v>
      </c>
      <c r="G31">
        <v>57720</v>
      </c>
      <c r="H31">
        <v>852</v>
      </c>
      <c r="I31">
        <v>4423584</v>
      </c>
      <c r="J31">
        <v>1765.4919786096257</v>
      </c>
      <c r="K31">
        <v>9166434.3529411759</v>
      </c>
      <c r="L31">
        <v>0.17</v>
      </c>
      <c r="M31">
        <v>882.6400000000001</v>
      </c>
      <c r="N31">
        <v>1877</v>
      </c>
      <c r="O31">
        <v>1656715.2800000003</v>
      </c>
      <c r="P31">
        <v>15246733.632941175</v>
      </c>
      <c r="Q31">
        <v>1524673.3632941176</v>
      </c>
      <c r="R31">
        <v>1480265.4012564248</v>
      </c>
      <c r="S31">
        <v>1437150.8750062378</v>
      </c>
      <c r="T31">
        <v>1395292.1116565415</v>
      </c>
      <c r="U31">
        <v>1354652.5355888754</v>
      </c>
      <c r="V31">
        <v>1315196.6364940538</v>
      </c>
      <c r="W31">
        <v>1276889.9383437415</v>
      </c>
      <c r="X31">
        <v>1239698.9692657683</v>
      </c>
      <c r="Y31">
        <v>1203591.2322968626</v>
      </c>
      <c r="Z31">
        <v>1168535.1769872452</v>
      </c>
      <c r="AA31">
        <v>13395946.240189869</v>
      </c>
      <c r="AB31">
        <v>62</v>
      </c>
      <c r="AC31">
        <v>20</v>
      </c>
      <c r="AD31">
        <v>852</v>
      </c>
      <c r="AE31">
        <v>52824</v>
      </c>
      <c r="AF31">
        <v>1765.4919786096257</v>
      </c>
      <c r="AG31">
        <v>109460.50267379679</v>
      </c>
      <c r="AH31">
        <v>0.17</v>
      </c>
      <c r="AI31">
        <v>10.540000000000001</v>
      </c>
      <c r="AJ31">
        <v>1710</v>
      </c>
      <c r="AK31">
        <v>18023.400000000001</v>
      </c>
      <c r="AL31">
        <v>180307.90267379678</v>
      </c>
      <c r="AM31">
        <v>180307.90267379678</v>
      </c>
      <c r="AN31">
        <v>175056.2161881522</v>
      </c>
      <c r="AO31">
        <v>169957.49144480797</v>
      </c>
      <c r="AP31">
        <v>165007.27324738639</v>
      </c>
      <c r="AQ31">
        <v>160201.23616251108</v>
      </c>
      <c r="AR31">
        <v>155535.18074030202</v>
      </c>
      <c r="AS31">
        <v>151005.02984495342</v>
      </c>
      <c r="AT31">
        <v>146606.82509218776</v>
      </c>
      <c r="AU31">
        <v>142336.72339047355</v>
      </c>
      <c r="AV31">
        <v>138190.99358298405</v>
      </c>
      <c r="AW31">
        <v>1584204.8723675553</v>
      </c>
      <c r="AX31">
        <v>8.158684033377078</v>
      </c>
      <c r="AY31">
        <v>232.08500069629017</v>
      </c>
    </row>
    <row r="32" spans="1:51" x14ac:dyDescent="0.25">
      <c r="A32" t="s">
        <v>37</v>
      </c>
      <c r="B32">
        <v>162560</v>
      </c>
      <c r="C32">
        <v>17328</v>
      </c>
      <c r="D32">
        <v>8348</v>
      </c>
      <c r="E32">
        <v>4628</v>
      </c>
      <c r="F32">
        <v>20</v>
      </c>
      <c r="G32">
        <v>92560</v>
      </c>
      <c r="H32">
        <v>852</v>
      </c>
      <c r="I32">
        <v>7112496</v>
      </c>
      <c r="J32">
        <v>1765.4919786096257</v>
      </c>
      <c r="K32">
        <v>14738327.037433155</v>
      </c>
      <c r="L32">
        <v>0.17</v>
      </c>
      <c r="M32">
        <v>1419.16</v>
      </c>
      <c r="N32">
        <v>1877</v>
      </c>
      <c r="O32">
        <v>2663763.3200000003</v>
      </c>
      <c r="P32">
        <v>24514586.357433155</v>
      </c>
      <c r="Q32">
        <v>2451458.6357433153</v>
      </c>
      <c r="R32">
        <v>2380056.9279061314</v>
      </c>
      <c r="S32">
        <v>2310734.8814622634</v>
      </c>
      <c r="T32">
        <v>2243431.9237497705</v>
      </c>
      <c r="U32">
        <v>2178089.2463590004</v>
      </c>
      <c r="V32">
        <v>2114649.7537466027</v>
      </c>
      <c r="W32">
        <v>2053058.0133462159</v>
      </c>
      <c r="X32">
        <v>1993260.2071322484</v>
      </c>
      <c r="Y32">
        <v>1935204.084594416</v>
      </c>
      <c r="Z32">
        <v>1878838.9170819575</v>
      </c>
      <c r="AA32">
        <v>21538782.591121923</v>
      </c>
      <c r="AB32">
        <v>75</v>
      </c>
      <c r="AC32">
        <v>20</v>
      </c>
      <c r="AD32">
        <v>852</v>
      </c>
      <c r="AE32">
        <v>63900</v>
      </c>
      <c r="AF32">
        <v>1765.4919786096257</v>
      </c>
      <c r="AG32">
        <v>132411.89839572192</v>
      </c>
      <c r="AH32">
        <v>0.17</v>
      </c>
      <c r="AI32">
        <v>12.750000000000002</v>
      </c>
      <c r="AJ32">
        <v>1710</v>
      </c>
      <c r="AK32">
        <v>21802.500000000004</v>
      </c>
      <c r="AL32">
        <v>218114.39839572192</v>
      </c>
      <c r="AM32">
        <v>218114.39839572192</v>
      </c>
      <c r="AN32">
        <v>211761.55184050673</v>
      </c>
      <c r="AO32">
        <v>205593.7396509774</v>
      </c>
      <c r="AP32">
        <v>199605.5724766771</v>
      </c>
      <c r="AQ32">
        <v>193791.81793852145</v>
      </c>
      <c r="AR32">
        <v>188147.39605681694</v>
      </c>
      <c r="AS32">
        <v>182667.37481244365</v>
      </c>
      <c r="AT32">
        <v>177346.96583732392</v>
      </c>
      <c r="AU32">
        <v>172181.52023041158</v>
      </c>
      <c r="AV32">
        <v>167166.52449554522</v>
      </c>
      <c r="AW32">
        <v>1916376.8617349463</v>
      </c>
      <c r="AX32">
        <v>10.721483089578399</v>
      </c>
      <c r="AY32">
        <v>232.70076265257049</v>
      </c>
    </row>
    <row r="33" spans="1:51" x14ac:dyDescent="0.25">
      <c r="A33" t="s">
        <v>49</v>
      </c>
      <c r="B33">
        <v>137000</v>
      </c>
      <c r="C33">
        <v>13059</v>
      </c>
      <c r="D33">
        <v>4411</v>
      </c>
      <c r="E33">
        <v>2356</v>
      </c>
      <c r="F33">
        <v>20</v>
      </c>
      <c r="G33">
        <v>47120</v>
      </c>
      <c r="H33">
        <v>852</v>
      </c>
      <c r="I33">
        <v>3758172</v>
      </c>
      <c r="J33">
        <v>1765.4919786096257</v>
      </c>
      <c r="K33">
        <v>7787585.1176470593</v>
      </c>
      <c r="L33">
        <v>0.17</v>
      </c>
      <c r="M33">
        <v>749.87</v>
      </c>
      <c r="N33">
        <v>1877</v>
      </c>
      <c r="O33">
        <v>1407505.99</v>
      </c>
      <c r="P33">
        <v>12953263.107647059</v>
      </c>
      <c r="Q33">
        <v>1295326.310764706</v>
      </c>
      <c r="R33">
        <v>1257598.359965734</v>
      </c>
      <c r="S33">
        <v>1220969.2815201301</v>
      </c>
      <c r="T33">
        <v>1185407.0694370195</v>
      </c>
      <c r="U33">
        <v>1150880.6499388539</v>
      </c>
      <c r="V33">
        <v>1117359.854309567</v>
      </c>
      <c r="W33">
        <v>1084815.3925335603</v>
      </c>
      <c r="X33">
        <v>1053218.8277024855</v>
      </c>
      <c r="Y33">
        <v>1022542.5511674617</v>
      </c>
      <c r="Z33">
        <v>992759.75841501146</v>
      </c>
      <c r="AA33">
        <v>11380878.055754529</v>
      </c>
      <c r="AB33">
        <v>90</v>
      </c>
      <c r="AC33">
        <v>20</v>
      </c>
      <c r="AD33">
        <v>852</v>
      </c>
      <c r="AE33">
        <v>76680</v>
      </c>
      <c r="AF33">
        <v>1765.4919786096257</v>
      </c>
      <c r="AG33">
        <v>158894.27807486631</v>
      </c>
      <c r="AH33">
        <v>0.17</v>
      </c>
      <c r="AI33">
        <v>15.3</v>
      </c>
      <c r="AJ33">
        <v>1710</v>
      </c>
      <c r="AK33">
        <v>26163</v>
      </c>
      <c r="AL33">
        <v>261737.27807486631</v>
      </c>
      <c r="AM33">
        <v>261737.27807486631</v>
      </c>
      <c r="AN33">
        <v>254113.86220860807</v>
      </c>
      <c r="AO33">
        <v>246712.48758117287</v>
      </c>
      <c r="AP33">
        <v>239526.68697201251</v>
      </c>
      <c r="AQ33">
        <v>232550.18152622576</v>
      </c>
      <c r="AR33">
        <v>225776.87526818036</v>
      </c>
      <c r="AS33">
        <v>219200.84977493237</v>
      </c>
      <c r="AT33">
        <v>212816.35900478871</v>
      </c>
      <c r="AU33">
        <v>206617.82427649389</v>
      </c>
      <c r="AV33">
        <v>200599.82939465425</v>
      </c>
      <c r="AW33">
        <v>2299652.2340819356</v>
      </c>
      <c r="AX33">
        <v>4.8495878255551128</v>
      </c>
      <c r="AY33">
        <v>241.52967011363603</v>
      </c>
    </row>
    <row r="34" spans="1:51" x14ac:dyDescent="0.25">
      <c r="A34" t="s">
        <v>38</v>
      </c>
      <c r="B34">
        <v>151690</v>
      </c>
      <c r="C34">
        <v>14921</v>
      </c>
      <c r="D34">
        <v>5688</v>
      </c>
      <c r="E34">
        <v>3071</v>
      </c>
      <c r="F34">
        <v>20</v>
      </c>
      <c r="G34">
        <v>61420</v>
      </c>
      <c r="H34">
        <v>852</v>
      </c>
      <c r="I34">
        <v>4846176</v>
      </c>
      <c r="J34">
        <v>1765.4919786096257</v>
      </c>
      <c r="K34">
        <v>10042118.374331551</v>
      </c>
      <c r="L34">
        <v>0.17</v>
      </c>
      <c r="M34">
        <v>966.96</v>
      </c>
      <c r="N34">
        <v>1877</v>
      </c>
      <c r="O34">
        <v>1814983.9200000002</v>
      </c>
      <c r="P34">
        <v>16703278.294331551</v>
      </c>
      <c r="Q34">
        <v>1670327.829433155</v>
      </c>
      <c r="R34">
        <v>1621677.5043040339</v>
      </c>
      <c r="S34">
        <v>1574444.1789359553</v>
      </c>
      <c r="T34">
        <v>1528586.5814912189</v>
      </c>
      <c r="U34">
        <v>1484064.6422244844</v>
      </c>
      <c r="V34">
        <v>1440839.4584703732</v>
      </c>
      <c r="W34">
        <v>1398873.2606508478</v>
      </c>
      <c r="X34">
        <v>1358129.3792726677</v>
      </c>
      <c r="Y34">
        <v>1318572.212886085</v>
      </c>
      <c r="Z34">
        <v>1280167.1969767818</v>
      </c>
      <c r="AA34">
        <v>14675682.244645603</v>
      </c>
      <c r="AB34">
        <v>70</v>
      </c>
      <c r="AC34">
        <v>20</v>
      </c>
      <c r="AD34">
        <v>852</v>
      </c>
      <c r="AE34">
        <v>59640</v>
      </c>
      <c r="AF34">
        <v>1765.4919786096257</v>
      </c>
      <c r="AG34">
        <v>123584.4385026738</v>
      </c>
      <c r="AH34">
        <v>0.17</v>
      </c>
      <c r="AI34">
        <v>11.9</v>
      </c>
      <c r="AJ34">
        <v>1710</v>
      </c>
      <c r="AK34">
        <v>20349</v>
      </c>
      <c r="AL34">
        <v>203573.43850267382</v>
      </c>
      <c r="AM34">
        <v>203573.43850267382</v>
      </c>
      <c r="AN34">
        <v>197644.11505113964</v>
      </c>
      <c r="AO34">
        <v>191887.49034091225</v>
      </c>
      <c r="AP34">
        <v>186298.53431156531</v>
      </c>
      <c r="AQ34">
        <v>180872.36340928671</v>
      </c>
      <c r="AR34">
        <v>175604.23631969586</v>
      </c>
      <c r="AS34">
        <v>170489.54982494743</v>
      </c>
      <c r="AT34">
        <v>165523.83478150234</v>
      </c>
      <c r="AU34">
        <v>160702.75221505083</v>
      </c>
      <c r="AV34">
        <v>156022.08952917557</v>
      </c>
      <c r="AW34">
        <v>1788618.4042859499</v>
      </c>
      <c r="AX34">
        <v>7.9326365391370901</v>
      </c>
      <c r="AY34">
        <v>238.93979558198637</v>
      </c>
    </row>
    <row r="35" spans="1:51" x14ac:dyDescent="0.25">
      <c r="A35" t="s">
        <v>51</v>
      </c>
      <c r="B35">
        <v>55620</v>
      </c>
      <c r="C35">
        <v>5238</v>
      </c>
      <c r="D35">
        <v>1678</v>
      </c>
      <c r="E35">
        <v>893</v>
      </c>
      <c r="F35">
        <v>20</v>
      </c>
      <c r="G35">
        <v>17860</v>
      </c>
      <c r="H35">
        <v>852</v>
      </c>
      <c r="I35">
        <v>1429656</v>
      </c>
      <c r="J35">
        <v>1765.4919786096257</v>
      </c>
      <c r="K35">
        <v>2962495.5401069517</v>
      </c>
      <c r="L35">
        <v>0.17</v>
      </c>
      <c r="M35">
        <v>285.26000000000005</v>
      </c>
      <c r="N35">
        <v>1877</v>
      </c>
      <c r="O35">
        <v>535433.02000000014</v>
      </c>
      <c r="P35">
        <v>4927584.5601069527</v>
      </c>
      <c r="Q35">
        <v>492758.45601069526</v>
      </c>
      <c r="R35">
        <v>478406.26797154878</v>
      </c>
      <c r="S35">
        <v>464472.10482674639</v>
      </c>
      <c r="T35">
        <v>450943.79109392856</v>
      </c>
      <c r="U35">
        <v>437809.5059164355</v>
      </c>
      <c r="V35">
        <v>425057.77273440344</v>
      </c>
      <c r="W35">
        <v>412677.44925670233</v>
      </c>
      <c r="X35">
        <v>400657.71772495372</v>
      </c>
      <c r="Y35">
        <v>388988.07546112011</v>
      </c>
      <c r="Z35">
        <v>377658.32569040789</v>
      </c>
      <c r="AA35">
        <v>4329429.4666869426</v>
      </c>
      <c r="AB35">
        <v>72</v>
      </c>
      <c r="AC35">
        <v>20</v>
      </c>
      <c r="AD35">
        <v>852</v>
      </c>
      <c r="AE35">
        <v>61344</v>
      </c>
      <c r="AF35">
        <v>1765.4919786096257</v>
      </c>
      <c r="AG35">
        <v>127115.42245989305</v>
      </c>
      <c r="AH35">
        <v>0.17</v>
      </c>
      <c r="AI35">
        <v>12.24</v>
      </c>
      <c r="AJ35">
        <v>1710</v>
      </c>
      <c r="AK35">
        <v>20930.400000000001</v>
      </c>
      <c r="AL35">
        <v>209389.82245989304</v>
      </c>
      <c r="AM35">
        <v>209389.82245989304</v>
      </c>
      <c r="AN35">
        <v>203291.08976688643</v>
      </c>
      <c r="AO35">
        <v>197369.99006493829</v>
      </c>
      <c r="AP35">
        <v>191621.34957761</v>
      </c>
      <c r="AQ35">
        <v>186040.1452209806</v>
      </c>
      <c r="AR35">
        <v>180621.50021454427</v>
      </c>
      <c r="AS35">
        <v>175360.67981994589</v>
      </c>
      <c r="AT35">
        <v>170253.08720383095</v>
      </c>
      <c r="AU35">
        <v>165294.25942119511</v>
      </c>
      <c r="AV35">
        <v>160479.86351572341</v>
      </c>
      <c r="AW35">
        <v>1839721.7872655482</v>
      </c>
      <c r="AX35">
        <v>2.3306804019973062</v>
      </c>
      <c r="AY35">
        <v>242.40926465212445</v>
      </c>
    </row>
    <row r="36" spans="1:51" x14ac:dyDescent="0.25">
      <c r="A36" t="s">
        <v>39</v>
      </c>
      <c r="B36">
        <v>297420</v>
      </c>
      <c r="C36">
        <v>31607</v>
      </c>
      <c r="D36">
        <v>15115</v>
      </c>
      <c r="E36">
        <v>8371</v>
      </c>
      <c r="F36">
        <v>20</v>
      </c>
      <c r="G36">
        <v>167420</v>
      </c>
      <c r="H36">
        <v>852</v>
      </c>
      <c r="I36">
        <v>12877980</v>
      </c>
      <c r="J36">
        <v>1765.4919786096257</v>
      </c>
      <c r="K36">
        <v>26685411.256684493</v>
      </c>
      <c r="L36">
        <v>0.17</v>
      </c>
      <c r="M36">
        <v>2569.5500000000002</v>
      </c>
      <c r="N36">
        <v>1877</v>
      </c>
      <c r="O36">
        <v>4823045.3500000006</v>
      </c>
      <c r="P36">
        <v>44386436.606684498</v>
      </c>
      <c r="Q36">
        <v>4438643.6606684495</v>
      </c>
      <c r="R36">
        <v>4309362.7773480089</v>
      </c>
      <c r="S36">
        <v>4183847.3566485527</v>
      </c>
      <c r="T36">
        <v>4061987.7249015076</v>
      </c>
      <c r="U36">
        <v>3943677.4028169978</v>
      </c>
      <c r="V36">
        <v>3828813.0124436873</v>
      </c>
      <c r="W36">
        <v>3717294.1868385314</v>
      </c>
      <c r="X36">
        <v>3609023.4823675058</v>
      </c>
      <c r="Y36">
        <v>3503906.2935606856</v>
      </c>
      <c r="Z36">
        <v>3401850.7704472677</v>
      </c>
      <c r="AA36">
        <v>38998406.668041192</v>
      </c>
      <c r="AB36">
        <v>102</v>
      </c>
      <c r="AC36">
        <v>20</v>
      </c>
      <c r="AD36">
        <v>852</v>
      </c>
      <c r="AE36">
        <v>86904</v>
      </c>
      <c r="AF36">
        <v>1765.4919786096257</v>
      </c>
      <c r="AG36">
        <v>180080.18181818182</v>
      </c>
      <c r="AH36">
        <v>0.17</v>
      </c>
      <c r="AI36">
        <v>17.34</v>
      </c>
      <c r="AJ36">
        <v>1710</v>
      </c>
      <c r="AK36">
        <v>29651.4</v>
      </c>
      <c r="AL36">
        <v>296635.58181818185</v>
      </c>
      <c r="AM36">
        <v>296635.58181818185</v>
      </c>
      <c r="AN36">
        <v>287995.71050308918</v>
      </c>
      <c r="AO36">
        <v>279607.48592532927</v>
      </c>
      <c r="AP36">
        <v>271463.57856828085</v>
      </c>
      <c r="AQ36">
        <v>263556.8723963892</v>
      </c>
      <c r="AR36">
        <v>255880.45863727111</v>
      </c>
      <c r="AS36">
        <v>248427.62974492338</v>
      </c>
      <c r="AT36">
        <v>241191.87353876056</v>
      </c>
      <c r="AU36">
        <v>234166.86751335976</v>
      </c>
      <c r="AV36">
        <v>227346.47331394153</v>
      </c>
      <c r="AW36">
        <v>2606272.5319595272</v>
      </c>
      <c r="AX36">
        <v>14.060104434318838</v>
      </c>
      <c r="AY36">
        <v>232.93756222698119</v>
      </c>
    </row>
    <row r="37" spans="1:51" x14ac:dyDescent="0.25">
      <c r="A37" t="s">
        <v>40</v>
      </c>
      <c r="B37">
        <v>43650</v>
      </c>
      <c r="C37">
        <v>4769</v>
      </c>
      <c r="D37">
        <v>2431</v>
      </c>
      <c r="E37">
        <v>1359</v>
      </c>
      <c r="F37">
        <v>20</v>
      </c>
      <c r="G37">
        <v>27180</v>
      </c>
      <c r="H37">
        <v>852</v>
      </c>
      <c r="I37">
        <v>2071212</v>
      </c>
      <c r="J37">
        <v>1765.4919786096257</v>
      </c>
      <c r="K37">
        <v>4291911</v>
      </c>
      <c r="L37">
        <v>0.17</v>
      </c>
      <c r="M37">
        <v>413.27000000000004</v>
      </c>
      <c r="N37">
        <v>1877</v>
      </c>
      <c r="O37">
        <v>775707.79</v>
      </c>
      <c r="P37">
        <v>7138830.79</v>
      </c>
      <c r="Q37">
        <v>713883.07900000003</v>
      </c>
      <c r="R37">
        <v>693090.36796116503</v>
      </c>
      <c r="S37">
        <v>672903.26986520877</v>
      </c>
      <c r="T37">
        <v>653304.14550020278</v>
      </c>
      <c r="U37">
        <v>634275.86941767263</v>
      </c>
      <c r="V37">
        <v>615801.81496861426</v>
      </c>
      <c r="W37">
        <v>597865.83977535355</v>
      </c>
      <c r="X37">
        <v>580452.27162655687</v>
      </c>
      <c r="Y37">
        <v>563545.89478306496</v>
      </c>
      <c r="Z37">
        <v>547131.93668258726</v>
      </c>
      <c r="AA37">
        <v>6272254.4895804264</v>
      </c>
      <c r="AB37">
        <v>47</v>
      </c>
      <c r="AC37">
        <v>20</v>
      </c>
      <c r="AD37">
        <v>852</v>
      </c>
      <c r="AE37">
        <v>40044</v>
      </c>
      <c r="AF37">
        <v>1765.4919786096257</v>
      </c>
      <c r="AG37">
        <v>82978.122994652411</v>
      </c>
      <c r="AH37">
        <v>0.17</v>
      </c>
      <c r="AI37">
        <v>7.99</v>
      </c>
      <c r="AJ37">
        <v>1710</v>
      </c>
      <c r="AK37">
        <v>13662.9</v>
      </c>
      <c r="AL37">
        <v>136685.02299465242</v>
      </c>
      <c r="AM37">
        <v>136685.02299465242</v>
      </c>
      <c r="AN37">
        <v>132703.90582005089</v>
      </c>
      <c r="AO37">
        <v>128838.74351461252</v>
      </c>
      <c r="AP37">
        <v>125086.15875205099</v>
      </c>
      <c r="AQ37">
        <v>121442.8725748068</v>
      </c>
      <c r="AR37">
        <v>117905.70152893865</v>
      </c>
      <c r="AS37">
        <v>114471.5548824647</v>
      </c>
      <c r="AT37">
        <v>111137.431924723</v>
      </c>
      <c r="AU37">
        <v>107900.41934439127</v>
      </c>
      <c r="AV37">
        <v>104757.68868387502</v>
      </c>
      <c r="AW37">
        <v>1200929.5000205659</v>
      </c>
      <c r="AX37">
        <v>5.1072436859053623</v>
      </c>
      <c r="AY37">
        <v>230.76727334732988</v>
      </c>
    </row>
    <row r="38" spans="1:51" x14ac:dyDescent="0.25">
      <c r="A38" t="s">
        <v>41</v>
      </c>
      <c r="B38">
        <v>109750</v>
      </c>
      <c r="C38">
        <v>11473</v>
      </c>
      <c r="D38">
        <v>5262</v>
      </c>
      <c r="E38">
        <v>2899</v>
      </c>
      <c r="F38">
        <v>20</v>
      </c>
      <c r="G38">
        <v>57980</v>
      </c>
      <c r="H38">
        <v>853</v>
      </c>
      <c r="I38">
        <v>4488486</v>
      </c>
      <c r="J38">
        <v>1765.4919786096257</v>
      </c>
      <c r="K38">
        <v>9290018.7914438508</v>
      </c>
      <c r="L38">
        <v>0.17</v>
      </c>
      <c r="M38">
        <v>894.54000000000008</v>
      </c>
      <c r="N38">
        <v>1877</v>
      </c>
      <c r="O38">
        <v>1679051.58</v>
      </c>
      <c r="P38">
        <v>15457556.371443851</v>
      </c>
      <c r="Q38">
        <v>1545755.6371443851</v>
      </c>
      <c r="R38">
        <v>1500733.6282955196</v>
      </c>
      <c r="S38">
        <v>1457022.9400927373</v>
      </c>
      <c r="T38">
        <v>1414585.378730813</v>
      </c>
      <c r="U38">
        <v>1373383.8628454497</v>
      </c>
      <c r="V38">
        <v>1333382.3911120871</v>
      </c>
      <c r="W38">
        <v>1294546.0107884342</v>
      </c>
      <c r="X38">
        <v>1256840.787173237</v>
      </c>
      <c r="Y38">
        <v>1220233.7739545989</v>
      </c>
      <c r="Z38">
        <v>1184692.9844219408</v>
      </c>
      <c r="AA38">
        <v>13581177.394559201</v>
      </c>
      <c r="AB38">
        <v>68</v>
      </c>
      <c r="AC38">
        <v>20</v>
      </c>
      <c r="AD38">
        <v>852</v>
      </c>
      <c r="AE38">
        <v>57936</v>
      </c>
      <c r="AF38">
        <v>1765.4919786096257</v>
      </c>
      <c r="AG38">
        <v>120053.45454545454</v>
      </c>
      <c r="AH38">
        <v>0.17</v>
      </c>
      <c r="AI38">
        <v>11.56</v>
      </c>
      <c r="AJ38">
        <v>1710</v>
      </c>
      <c r="AK38">
        <v>19767.600000000002</v>
      </c>
      <c r="AL38">
        <v>197757.05454545454</v>
      </c>
      <c r="AM38">
        <v>197757.05454545454</v>
      </c>
      <c r="AN38">
        <v>191997.14033539276</v>
      </c>
      <c r="AO38">
        <v>186404.99061688618</v>
      </c>
      <c r="AP38">
        <v>180975.71904552056</v>
      </c>
      <c r="AQ38">
        <v>175704.5815975928</v>
      </c>
      <c r="AR38">
        <v>170586.97242484736</v>
      </c>
      <c r="AS38">
        <v>165618.41982994889</v>
      </c>
      <c r="AT38">
        <v>160794.58235917368</v>
      </c>
      <c r="AU38">
        <v>156111.2450089065</v>
      </c>
      <c r="AV38">
        <v>151564.31554262765</v>
      </c>
      <c r="AW38">
        <v>1737515.0213063511</v>
      </c>
      <c r="AX38">
        <v>7.5640295480618613</v>
      </c>
      <c r="AY38">
        <v>234.23900301067957</v>
      </c>
    </row>
    <row r="39" spans="1:51" x14ac:dyDescent="0.25">
      <c r="A39" t="s">
        <v>42</v>
      </c>
      <c r="B39">
        <v>359310</v>
      </c>
      <c r="C39">
        <v>39402</v>
      </c>
      <c r="D39">
        <v>20248</v>
      </c>
      <c r="E39">
        <v>11331</v>
      </c>
      <c r="F39">
        <v>20</v>
      </c>
      <c r="G39">
        <v>226620</v>
      </c>
      <c r="H39">
        <v>854</v>
      </c>
      <c r="I39">
        <v>17291792</v>
      </c>
      <c r="J39">
        <v>1765.4919786096257</v>
      </c>
      <c r="K39">
        <v>35747681.582887702</v>
      </c>
      <c r="L39">
        <v>0.17</v>
      </c>
      <c r="M39">
        <v>3442.1600000000003</v>
      </c>
      <c r="N39">
        <v>1877</v>
      </c>
      <c r="O39">
        <v>6460934.3200000003</v>
      </c>
      <c r="P39">
        <v>59500407.902887702</v>
      </c>
      <c r="Q39">
        <v>5950040.7902887706</v>
      </c>
      <c r="R39">
        <v>5776738.6313483212</v>
      </c>
      <c r="S39">
        <v>5608484.1081051659</v>
      </c>
      <c r="T39">
        <v>5445130.2020438509</v>
      </c>
      <c r="U39">
        <v>5286534.1767416028</v>
      </c>
      <c r="V39">
        <v>5132557.4531471878</v>
      </c>
      <c r="W39">
        <v>4983065.4884924153</v>
      </c>
      <c r="X39">
        <v>4837927.6587304994</v>
      </c>
      <c r="Y39">
        <v>4697017.1443985431</v>
      </c>
      <c r="Z39">
        <v>4560210.8198044114</v>
      </c>
      <c r="AA39">
        <v>52277706.473100767</v>
      </c>
      <c r="AB39">
        <v>95</v>
      </c>
      <c r="AC39">
        <v>20</v>
      </c>
      <c r="AD39">
        <v>852</v>
      </c>
      <c r="AE39">
        <v>80940</v>
      </c>
      <c r="AF39">
        <v>1765.4919786096257</v>
      </c>
      <c r="AG39">
        <v>167721.73796791444</v>
      </c>
      <c r="AH39">
        <v>0.17</v>
      </c>
      <c r="AI39">
        <v>16.150000000000002</v>
      </c>
      <c r="AJ39">
        <v>1710</v>
      </c>
      <c r="AK39">
        <v>27616.500000000004</v>
      </c>
      <c r="AL39">
        <v>276278.23796791444</v>
      </c>
      <c r="AM39">
        <v>276278.23796791444</v>
      </c>
      <c r="AN39">
        <v>268231.29899797519</v>
      </c>
      <c r="AO39">
        <v>260418.73689123805</v>
      </c>
      <c r="AP39">
        <v>252833.72513712433</v>
      </c>
      <c r="AQ39">
        <v>245469.63605546052</v>
      </c>
      <c r="AR39">
        <v>238320.0350053015</v>
      </c>
      <c r="AS39">
        <v>231378.67476242862</v>
      </c>
      <c r="AT39">
        <v>224639.49006061029</v>
      </c>
      <c r="AU39">
        <v>218096.59229185467</v>
      </c>
      <c r="AV39">
        <v>211744.26436102396</v>
      </c>
      <c r="AW39">
        <v>2427410.6915309313</v>
      </c>
      <c r="AX39">
        <v>19.697476234890594</v>
      </c>
      <c r="AY39">
        <v>230.68443417659856</v>
      </c>
    </row>
    <row r="40" spans="1:51" x14ac:dyDescent="0.25">
      <c r="A40" t="s">
        <v>43</v>
      </c>
      <c r="B40">
        <v>41112</v>
      </c>
      <c r="C40">
        <v>3932</v>
      </c>
      <c r="D40">
        <v>1346</v>
      </c>
      <c r="E40">
        <v>720</v>
      </c>
      <c r="F40">
        <v>20</v>
      </c>
      <c r="G40">
        <v>14400</v>
      </c>
      <c r="H40">
        <v>855</v>
      </c>
      <c r="I40">
        <v>1150830</v>
      </c>
      <c r="J40">
        <v>1765.4919786096257</v>
      </c>
      <c r="K40">
        <v>2376352.2032085559</v>
      </c>
      <c r="L40">
        <v>0.17</v>
      </c>
      <c r="M40">
        <v>228.82000000000002</v>
      </c>
      <c r="N40">
        <v>1877</v>
      </c>
      <c r="O40">
        <v>429495.14</v>
      </c>
      <c r="P40">
        <v>3956677.3432085561</v>
      </c>
      <c r="Q40">
        <v>395667.73432085558</v>
      </c>
      <c r="R40">
        <v>384143.43137947144</v>
      </c>
      <c r="S40">
        <v>372954.78774705966</v>
      </c>
      <c r="T40">
        <v>362092.0269388929</v>
      </c>
      <c r="U40">
        <v>351545.65722222615</v>
      </c>
      <c r="V40">
        <v>341306.46332254965</v>
      </c>
      <c r="W40">
        <v>331365.49837140739</v>
      </c>
      <c r="X40">
        <v>321714.07608874503</v>
      </c>
      <c r="Y40">
        <v>312343.76319295634</v>
      </c>
      <c r="Z40">
        <v>303246.37203199649</v>
      </c>
      <c r="AA40">
        <v>3476379.8106161607</v>
      </c>
      <c r="AB40">
        <v>59</v>
      </c>
      <c r="AC40">
        <v>20</v>
      </c>
      <c r="AD40">
        <v>852</v>
      </c>
      <c r="AE40">
        <v>50268</v>
      </c>
      <c r="AF40">
        <v>1765.4919786096257</v>
      </c>
      <c r="AG40">
        <v>104164.02673796791</v>
      </c>
      <c r="AH40">
        <v>0.17</v>
      </c>
      <c r="AI40">
        <v>10.030000000000001</v>
      </c>
      <c r="AJ40">
        <v>1710</v>
      </c>
      <c r="AK40">
        <v>17151.300000000003</v>
      </c>
      <c r="AL40">
        <v>171583.3267379679</v>
      </c>
      <c r="AM40">
        <v>171583.3267379679</v>
      </c>
      <c r="AN40">
        <v>166585.75411453194</v>
      </c>
      <c r="AO40">
        <v>161733.74185876889</v>
      </c>
      <c r="AP40">
        <v>157023.05034831932</v>
      </c>
      <c r="AQ40">
        <v>152449.5634449702</v>
      </c>
      <c r="AR40">
        <v>148009.28489802932</v>
      </c>
      <c r="AS40">
        <v>143698.33485245565</v>
      </c>
      <c r="AT40">
        <v>139512.94645869482</v>
      </c>
      <c r="AU40">
        <v>135449.4625812571</v>
      </c>
      <c r="AV40">
        <v>131504.33260316224</v>
      </c>
      <c r="AW40">
        <v>1507549.797898157</v>
      </c>
      <c r="AX40">
        <v>2.2841619450372872</v>
      </c>
      <c r="AY40">
        <v>241.41526462612228</v>
      </c>
    </row>
    <row r="41" spans="1:51" x14ac:dyDescent="0.25">
      <c r="A41" t="s">
        <v>44</v>
      </c>
      <c r="B41">
        <v>525550</v>
      </c>
      <c r="C41">
        <v>58350</v>
      </c>
      <c r="D41">
        <v>30774</v>
      </c>
      <c r="E41">
        <v>17291</v>
      </c>
      <c r="F41">
        <v>20</v>
      </c>
      <c r="G41">
        <v>345820</v>
      </c>
      <c r="H41">
        <v>856</v>
      </c>
      <c r="I41">
        <v>26342544</v>
      </c>
      <c r="J41">
        <v>1765.4919786096257</v>
      </c>
      <c r="K41">
        <v>54331250.14973262</v>
      </c>
      <c r="L41">
        <v>0.17</v>
      </c>
      <c r="M41">
        <v>5231.58</v>
      </c>
      <c r="N41">
        <v>1877</v>
      </c>
      <c r="O41">
        <v>9819675.6600000001</v>
      </c>
      <c r="P41">
        <v>90493469.809732616</v>
      </c>
      <c r="Q41">
        <v>9049346.9809732623</v>
      </c>
      <c r="R41">
        <v>8785773.7679352071</v>
      </c>
      <c r="S41">
        <v>8529877.4445972871</v>
      </c>
      <c r="T41">
        <v>8281434.4122303762</v>
      </c>
      <c r="U41">
        <v>8040227.5846896861</v>
      </c>
      <c r="V41">
        <v>7806046.1987278508</v>
      </c>
      <c r="W41">
        <v>7578685.6298328647</v>
      </c>
      <c r="X41">
        <v>7357947.213429966</v>
      </c>
      <c r="Y41">
        <v>7143638.0712912288</v>
      </c>
      <c r="Z41">
        <v>6935570.943001193</v>
      </c>
      <c r="AA41">
        <v>79508548.24670893</v>
      </c>
      <c r="AB41">
        <v>70</v>
      </c>
      <c r="AC41">
        <v>20</v>
      </c>
      <c r="AD41">
        <v>852</v>
      </c>
      <c r="AE41">
        <v>59640</v>
      </c>
      <c r="AF41">
        <v>1765.4919786096257</v>
      </c>
      <c r="AG41">
        <v>123584.4385026738</v>
      </c>
      <c r="AH41">
        <v>0.17</v>
      </c>
      <c r="AI41">
        <v>11.9</v>
      </c>
      <c r="AJ41">
        <v>1710</v>
      </c>
      <c r="AK41">
        <v>20349</v>
      </c>
      <c r="AL41">
        <v>203573.43850267382</v>
      </c>
      <c r="AM41">
        <v>203573.43850267382</v>
      </c>
      <c r="AN41">
        <v>197644.11505113964</v>
      </c>
      <c r="AO41">
        <v>191887.49034091225</v>
      </c>
      <c r="AP41">
        <v>186298.53431156531</v>
      </c>
      <c r="AQ41">
        <v>180872.36340928671</v>
      </c>
      <c r="AR41">
        <v>175604.23631969586</v>
      </c>
      <c r="AS41">
        <v>170489.54982494743</v>
      </c>
      <c r="AT41">
        <v>165523.83478150234</v>
      </c>
      <c r="AU41">
        <v>160702.75221505083</v>
      </c>
      <c r="AV41">
        <v>156022.08952917557</v>
      </c>
      <c r="AW41">
        <v>1788618.4042859499</v>
      </c>
      <c r="AX41">
        <v>37.250336241634272</v>
      </c>
      <c r="AY41">
        <v>229.91310001361671</v>
      </c>
    </row>
    <row r="42" spans="1:51" x14ac:dyDescent="0.25">
      <c r="A42" t="s">
        <v>50</v>
      </c>
      <c r="B42">
        <v>32151</v>
      </c>
      <c r="C42">
        <v>3197</v>
      </c>
      <c r="D42">
        <v>1265</v>
      </c>
      <c r="E42">
        <v>685</v>
      </c>
      <c r="F42">
        <v>20</v>
      </c>
      <c r="G42">
        <v>13700</v>
      </c>
      <c r="H42">
        <v>857</v>
      </c>
      <c r="I42">
        <v>1084105</v>
      </c>
      <c r="J42">
        <v>1765.4919786096257</v>
      </c>
      <c r="K42">
        <v>2233347.3529411764</v>
      </c>
      <c r="L42">
        <v>0.17</v>
      </c>
      <c r="M42">
        <v>215.05</v>
      </c>
      <c r="N42">
        <v>1877</v>
      </c>
      <c r="O42">
        <v>403648.85000000003</v>
      </c>
      <c r="P42">
        <v>3721101.2029411765</v>
      </c>
      <c r="Q42">
        <v>372110.12029411766</v>
      </c>
      <c r="R42">
        <v>361271.96145059966</v>
      </c>
      <c r="S42">
        <v>350749.47713650455</v>
      </c>
      <c r="T42">
        <v>340533.47294806264</v>
      </c>
      <c r="U42">
        <v>330615.0222796725</v>
      </c>
      <c r="V42">
        <v>320985.45852395392</v>
      </c>
      <c r="W42">
        <v>311636.36749898439</v>
      </c>
      <c r="X42">
        <v>302559.58009610133</v>
      </c>
      <c r="Y42">
        <v>293747.16514184594</v>
      </c>
      <c r="Z42">
        <v>285191.42246781162</v>
      </c>
      <c r="AA42">
        <v>3269400.0478376546</v>
      </c>
      <c r="AB42">
        <v>50</v>
      </c>
      <c r="AC42">
        <v>20</v>
      </c>
      <c r="AD42">
        <v>852</v>
      </c>
      <c r="AE42">
        <v>42600</v>
      </c>
      <c r="AF42">
        <v>1765.4919786096257</v>
      </c>
      <c r="AG42">
        <v>88274.598930481283</v>
      </c>
      <c r="AH42">
        <v>0.17</v>
      </c>
      <c r="AI42">
        <v>8.5</v>
      </c>
      <c r="AJ42">
        <v>1710</v>
      </c>
      <c r="AK42">
        <v>14535</v>
      </c>
      <c r="AL42">
        <v>145409.5989304813</v>
      </c>
      <c r="AM42">
        <v>145409.5989304813</v>
      </c>
      <c r="AN42">
        <v>141174.36789367115</v>
      </c>
      <c r="AO42">
        <v>137062.49310065163</v>
      </c>
      <c r="AP42">
        <v>133070.38165111808</v>
      </c>
      <c r="AQ42">
        <v>129194.54529234766</v>
      </c>
      <c r="AR42">
        <v>125431.59737121132</v>
      </c>
      <c r="AS42">
        <v>121778.24987496245</v>
      </c>
      <c r="AT42">
        <v>118231.31055821596</v>
      </c>
      <c r="AU42">
        <v>114787.68015360773</v>
      </c>
      <c r="AV42">
        <v>111444.34966369683</v>
      </c>
      <c r="AW42">
        <v>1277584.5744899642</v>
      </c>
      <c r="AX42">
        <v>2.5318973930506474</v>
      </c>
      <c r="AY42">
        <v>238.64233925822296</v>
      </c>
    </row>
    <row r="43" spans="1:51" x14ac:dyDescent="0.25">
      <c r="A43" t="s">
        <v>45</v>
      </c>
      <c r="B43">
        <v>60120</v>
      </c>
      <c r="C43">
        <v>6075</v>
      </c>
      <c r="D43">
        <v>2530</v>
      </c>
      <c r="E43">
        <v>1378</v>
      </c>
      <c r="F43">
        <v>20</v>
      </c>
      <c r="G43">
        <v>27560</v>
      </c>
      <c r="H43">
        <v>858</v>
      </c>
      <c r="I43">
        <v>2170740</v>
      </c>
      <c r="J43">
        <v>1765.4919786096257</v>
      </c>
      <c r="K43">
        <v>4466694.7058823528</v>
      </c>
      <c r="L43">
        <v>0.17</v>
      </c>
      <c r="M43">
        <v>430.1</v>
      </c>
      <c r="N43">
        <v>1877</v>
      </c>
      <c r="O43">
        <v>807297.70000000007</v>
      </c>
      <c r="P43">
        <v>7444732.405882353</v>
      </c>
      <c r="Q43">
        <v>744473.24058823532</v>
      </c>
      <c r="R43">
        <v>722789.55396916054</v>
      </c>
      <c r="S43">
        <v>701737.43103801995</v>
      </c>
      <c r="T43">
        <v>681298.47673594172</v>
      </c>
      <c r="U43">
        <v>661454.83178246766</v>
      </c>
      <c r="V43">
        <v>642189.157070357</v>
      </c>
      <c r="W43">
        <v>623484.61851490976</v>
      </c>
      <c r="X43">
        <v>605324.87234457245</v>
      </c>
      <c r="Y43">
        <v>587694.05081997334</v>
      </c>
      <c r="Z43">
        <v>570576.74836890609</v>
      </c>
      <c r="AA43">
        <v>6541022.9812325425</v>
      </c>
      <c r="AB43">
        <v>58</v>
      </c>
      <c r="AC43">
        <v>20</v>
      </c>
      <c r="AD43">
        <v>852</v>
      </c>
      <c r="AE43">
        <v>49416</v>
      </c>
      <c r="AF43">
        <v>1765.4919786096257</v>
      </c>
      <c r="AG43">
        <v>102398.53475935828</v>
      </c>
      <c r="AH43">
        <v>0.17</v>
      </c>
      <c r="AI43">
        <v>9.8600000000000012</v>
      </c>
      <c r="AJ43">
        <v>1710</v>
      </c>
      <c r="AK43">
        <v>16860.600000000002</v>
      </c>
      <c r="AL43">
        <v>168675.13475935828</v>
      </c>
      <c r="AM43">
        <v>168675.13475935828</v>
      </c>
      <c r="AN43">
        <v>163762.26675665853</v>
      </c>
      <c r="AO43">
        <v>158992.49199675585</v>
      </c>
      <c r="AP43">
        <v>154361.64271529694</v>
      </c>
      <c r="AQ43">
        <v>149865.67253912325</v>
      </c>
      <c r="AR43">
        <v>145500.65295060512</v>
      </c>
      <c r="AS43">
        <v>141262.76985495642</v>
      </c>
      <c r="AT43">
        <v>137148.3202475305</v>
      </c>
      <c r="AU43">
        <v>133153.70897818494</v>
      </c>
      <c r="AV43">
        <v>129275.44560988829</v>
      </c>
      <c r="AW43">
        <v>1481998.1064083581</v>
      </c>
      <c r="AX43">
        <v>4.3330713494662243</v>
      </c>
      <c r="AY43">
        <v>237.33755374573812</v>
      </c>
    </row>
    <row r="45" spans="1:51" x14ac:dyDescent="0.25">
      <c r="A45" t="s">
        <v>33</v>
      </c>
      <c r="B45" t="s">
        <v>54</v>
      </c>
      <c r="C45" t="s">
        <v>57</v>
      </c>
      <c r="D45" t="s">
        <v>55</v>
      </c>
      <c r="E45" t="s">
        <v>56</v>
      </c>
      <c r="F45" t="s">
        <v>58</v>
      </c>
      <c r="G45" t="s">
        <v>59</v>
      </c>
      <c r="H45" t="s">
        <v>15</v>
      </c>
      <c r="I45" t="s">
        <v>63</v>
      </c>
      <c r="J45" t="s">
        <v>32</v>
      </c>
      <c r="K45" t="s">
        <v>64</v>
      </c>
      <c r="L45" t="s">
        <v>12</v>
      </c>
      <c r="M45" t="s">
        <v>60</v>
      </c>
      <c r="N45" t="s">
        <v>16</v>
      </c>
      <c r="O45" t="s">
        <v>61</v>
      </c>
      <c r="P45" t="s">
        <v>62</v>
      </c>
      <c r="AB45" t="s">
        <v>69</v>
      </c>
      <c r="AC45" t="s">
        <v>58</v>
      </c>
      <c r="AD45" t="s">
        <v>15</v>
      </c>
      <c r="AE45" t="s">
        <v>63</v>
      </c>
      <c r="AF45" t="s">
        <v>32</v>
      </c>
      <c r="AG45" t="s">
        <v>64</v>
      </c>
      <c r="AH45" t="s">
        <v>12</v>
      </c>
      <c r="AI45" t="s">
        <v>60</v>
      </c>
      <c r="AJ45" t="s">
        <v>16</v>
      </c>
      <c r="AK45" t="s">
        <v>61</v>
      </c>
      <c r="AL45" t="s">
        <v>62</v>
      </c>
      <c r="AX45" t="s">
        <v>65</v>
      </c>
      <c r="AY45" t="s">
        <v>65</v>
      </c>
    </row>
    <row r="46" spans="1:51" x14ac:dyDescent="0.25">
      <c r="A46" t="s">
        <v>34</v>
      </c>
      <c r="B46">
        <v>436350</v>
      </c>
      <c r="C46">
        <v>52010</v>
      </c>
      <c r="D46">
        <v>31159</v>
      </c>
      <c r="E46">
        <v>17920</v>
      </c>
      <c r="F46">
        <v>50</v>
      </c>
      <c r="G46">
        <v>896000</v>
      </c>
      <c r="H46">
        <v>852</v>
      </c>
      <c r="I46">
        <v>26547468</v>
      </c>
      <c r="J46">
        <v>1765.4919786096257</v>
      </c>
      <c r="K46">
        <v>55010964.561497323</v>
      </c>
      <c r="L46">
        <v>0.17</v>
      </c>
      <c r="M46">
        <v>5297.0300000000007</v>
      </c>
      <c r="N46">
        <v>1877</v>
      </c>
      <c r="O46">
        <v>9942525.3100000005</v>
      </c>
      <c r="P46">
        <v>91500957.871497333</v>
      </c>
      <c r="Q46">
        <v>9150095.7871497329</v>
      </c>
      <c r="R46">
        <v>8883588.1428638194</v>
      </c>
      <c r="S46">
        <v>8624842.8571493383</v>
      </c>
      <c r="T46">
        <v>8373633.8418925619</v>
      </c>
      <c r="U46">
        <v>8129741.5940704485</v>
      </c>
      <c r="V46">
        <v>7892953.0039518923</v>
      </c>
      <c r="W46">
        <v>7663061.1688853325</v>
      </c>
      <c r="X46">
        <v>7439865.2125100307</v>
      </c>
      <c r="Y46">
        <v>7223170.1092330394</v>
      </c>
      <c r="Z46">
        <v>7012786.5138184857</v>
      </c>
      <c r="AA46">
        <v>80393738.231524691</v>
      </c>
      <c r="AB46">
        <v>82</v>
      </c>
      <c r="AC46">
        <v>50</v>
      </c>
      <c r="AD46">
        <v>852</v>
      </c>
      <c r="AE46">
        <v>69864</v>
      </c>
      <c r="AF46">
        <v>1765.4919786096257</v>
      </c>
      <c r="AG46">
        <v>144770.3422459893</v>
      </c>
      <c r="AH46">
        <v>0.17</v>
      </c>
      <c r="AI46">
        <v>13.940000000000001</v>
      </c>
      <c r="AJ46">
        <v>1710</v>
      </c>
      <c r="AK46">
        <v>23837.4</v>
      </c>
      <c r="AL46">
        <v>238471.7422459893</v>
      </c>
      <c r="AM46">
        <v>238471.7422459893</v>
      </c>
      <c r="AN46">
        <v>231525.96334562069</v>
      </c>
      <c r="AO46">
        <v>224782.48868506862</v>
      </c>
      <c r="AP46">
        <v>218235.42590783362</v>
      </c>
      <c r="AQ46">
        <v>211879.05427945012</v>
      </c>
      <c r="AR46">
        <v>205707.81968878655</v>
      </c>
      <c r="AS46">
        <v>199716.32979493839</v>
      </c>
      <c r="AT46">
        <v>193899.34931547416</v>
      </c>
      <c r="AU46">
        <v>188251.79545191664</v>
      </c>
      <c r="AV46">
        <v>182768.73344846276</v>
      </c>
      <c r="AW46">
        <v>2095238.702163541</v>
      </c>
      <c r="AX46">
        <v>26.876403469029903</v>
      </c>
      <c r="AY46">
        <v>89.725154276255239</v>
      </c>
    </row>
    <row r="47" spans="1:51" x14ac:dyDescent="0.25">
      <c r="A47" t="s">
        <v>52</v>
      </c>
      <c r="B47">
        <v>206000</v>
      </c>
      <c r="C47">
        <v>20679</v>
      </c>
      <c r="D47">
        <v>8437</v>
      </c>
      <c r="E47">
        <v>4585</v>
      </c>
      <c r="F47">
        <v>50</v>
      </c>
      <c r="G47">
        <v>229250</v>
      </c>
      <c r="H47">
        <v>852</v>
      </c>
      <c r="I47">
        <v>7188324</v>
      </c>
      <c r="J47">
        <v>1765.4919786096257</v>
      </c>
      <c r="K47">
        <v>14895455.823529411</v>
      </c>
      <c r="L47">
        <v>0.17</v>
      </c>
      <c r="M47">
        <v>1434.2900000000002</v>
      </c>
      <c r="N47">
        <v>1877</v>
      </c>
      <c r="O47">
        <v>2692162.3300000005</v>
      </c>
      <c r="P47">
        <v>24775942.153529413</v>
      </c>
      <c r="Q47">
        <v>2477594.2153529413</v>
      </c>
      <c r="R47">
        <v>2405431.2770416904</v>
      </c>
      <c r="S47">
        <v>2335370.1718851365</v>
      </c>
      <c r="T47">
        <v>2267349.6814418803</v>
      </c>
      <c r="U47">
        <v>2201310.3703319225</v>
      </c>
      <c r="V47">
        <v>2137194.5343028377</v>
      </c>
      <c r="W47">
        <v>2074946.1498085801</v>
      </c>
      <c r="X47">
        <v>2014510.8250568737</v>
      </c>
      <c r="Y47">
        <v>1955835.7524824017</v>
      </c>
      <c r="Z47">
        <v>1898869.6626042735</v>
      </c>
      <c r="AA47">
        <v>21768412.64030854</v>
      </c>
      <c r="AB47">
        <v>71</v>
      </c>
      <c r="AC47">
        <v>50</v>
      </c>
      <c r="AD47">
        <v>852</v>
      </c>
      <c r="AE47">
        <v>60492</v>
      </c>
      <c r="AF47">
        <v>1765.4919786096257</v>
      </c>
      <c r="AG47">
        <v>125349.93048128342</v>
      </c>
      <c r="AH47">
        <v>0.17</v>
      </c>
      <c r="AI47">
        <v>12.07</v>
      </c>
      <c r="AJ47">
        <v>1710</v>
      </c>
      <c r="AK47">
        <v>20639.7</v>
      </c>
      <c r="AL47">
        <v>206481.63048128341</v>
      </c>
      <c r="AM47">
        <v>206481.63048128341</v>
      </c>
      <c r="AN47">
        <v>200467.60240901302</v>
      </c>
      <c r="AO47">
        <v>194628.74020292526</v>
      </c>
      <c r="AP47">
        <v>188959.94194458766</v>
      </c>
      <c r="AQ47">
        <v>183456.25431513364</v>
      </c>
      <c r="AR47">
        <v>178112.86826712004</v>
      </c>
      <c r="AS47">
        <v>172925.11482244666</v>
      </c>
      <c r="AT47">
        <v>167888.46099266663</v>
      </c>
      <c r="AU47">
        <v>162998.50581812294</v>
      </c>
      <c r="AV47">
        <v>158250.97652244946</v>
      </c>
      <c r="AW47">
        <v>1814170.0957757486</v>
      </c>
      <c r="AX47">
        <v>10.652930684840184</v>
      </c>
      <c r="AY47">
        <v>94.954907918466915</v>
      </c>
    </row>
    <row r="48" spans="1:51" x14ac:dyDescent="0.25">
      <c r="A48" t="s">
        <v>35</v>
      </c>
      <c r="B48">
        <v>482180</v>
      </c>
      <c r="C48">
        <v>51357</v>
      </c>
      <c r="D48">
        <v>24695</v>
      </c>
      <c r="E48">
        <v>13687</v>
      </c>
      <c r="F48">
        <v>50</v>
      </c>
      <c r="G48">
        <v>684350</v>
      </c>
      <c r="H48">
        <v>852</v>
      </c>
      <c r="I48">
        <v>21040140</v>
      </c>
      <c r="J48">
        <v>1765.4919786096257</v>
      </c>
      <c r="K48">
        <v>43598824.411764704</v>
      </c>
      <c r="L48">
        <v>0.17</v>
      </c>
      <c r="M48">
        <v>4198.1500000000005</v>
      </c>
      <c r="N48">
        <v>1877</v>
      </c>
      <c r="O48">
        <v>7879927.5500000007</v>
      </c>
      <c r="P48">
        <v>72518891.961764708</v>
      </c>
      <c r="Q48">
        <v>7251889.1961764712</v>
      </c>
      <c r="R48">
        <v>7040669.1225014282</v>
      </c>
      <c r="S48">
        <v>6835601.0898072124</v>
      </c>
      <c r="T48">
        <v>6636505.9124341868</v>
      </c>
      <c r="U48">
        <v>6443209.6237225113</v>
      </c>
      <c r="V48">
        <v>6255543.3240024392</v>
      </c>
      <c r="W48">
        <v>6073343.0330120763</v>
      </c>
      <c r="X48">
        <v>5896449.5466136662</v>
      </c>
      <c r="Y48">
        <v>5724708.297683171</v>
      </c>
      <c r="Z48">
        <v>5557969.2210516222</v>
      </c>
      <c r="AA48">
        <v>63715888.367004782</v>
      </c>
      <c r="AB48">
        <v>62</v>
      </c>
      <c r="AC48">
        <v>50</v>
      </c>
      <c r="AD48">
        <v>852</v>
      </c>
      <c r="AE48">
        <v>52824</v>
      </c>
      <c r="AF48">
        <v>1765.4919786096257</v>
      </c>
      <c r="AG48">
        <v>109460.50267379679</v>
      </c>
      <c r="AH48">
        <v>0.17</v>
      </c>
      <c r="AI48">
        <v>10.540000000000001</v>
      </c>
      <c r="AJ48">
        <v>1710</v>
      </c>
      <c r="AK48">
        <v>18023.400000000001</v>
      </c>
      <c r="AL48">
        <v>180307.90267379678</v>
      </c>
      <c r="AM48">
        <v>180307.90267379678</v>
      </c>
      <c r="AN48">
        <v>175056.2161881522</v>
      </c>
      <c r="AO48">
        <v>169957.49144480797</v>
      </c>
      <c r="AP48">
        <v>165007.27324738639</v>
      </c>
      <c r="AQ48">
        <v>160201.23616251108</v>
      </c>
      <c r="AR48">
        <v>155535.18074030202</v>
      </c>
      <c r="AS48">
        <v>151005.02984495342</v>
      </c>
      <c r="AT48">
        <v>146606.82509218776</v>
      </c>
      <c r="AU48">
        <v>142336.72339047355</v>
      </c>
      <c r="AV48">
        <v>138190.99358298405</v>
      </c>
      <c r="AW48">
        <v>1584204.8723675553</v>
      </c>
      <c r="AX48">
        <v>28.086553754156412</v>
      </c>
      <c r="AY48">
        <v>93.104242517724529</v>
      </c>
    </row>
    <row r="49" spans="1:51" x14ac:dyDescent="0.25">
      <c r="A49" t="s">
        <v>53</v>
      </c>
      <c r="B49">
        <v>283700</v>
      </c>
      <c r="C49">
        <v>32625</v>
      </c>
      <c r="D49">
        <v>18403</v>
      </c>
      <c r="E49">
        <v>10461</v>
      </c>
      <c r="F49">
        <v>50</v>
      </c>
      <c r="G49">
        <v>523050</v>
      </c>
      <c r="H49">
        <v>852</v>
      </c>
      <c r="I49">
        <v>15679356</v>
      </c>
      <c r="J49">
        <v>1765.4919786096257</v>
      </c>
      <c r="K49">
        <v>32490348.882352941</v>
      </c>
      <c r="L49">
        <v>0.17</v>
      </c>
      <c r="M49">
        <v>3128.51</v>
      </c>
      <c r="N49">
        <v>1877</v>
      </c>
      <c r="O49">
        <v>5872213.2700000005</v>
      </c>
      <c r="P49">
        <v>54041918.152352944</v>
      </c>
      <c r="Q49">
        <v>5404191.8152352944</v>
      </c>
      <c r="R49">
        <v>5246788.1701313537</v>
      </c>
      <c r="S49">
        <v>5093969.0972149065</v>
      </c>
      <c r="T49">
        <v>4945601.0652571907</v>
      </c>
      <c r="U49">
        <v>4801554.4322885349</v>
      </c>
      <c r="V49">
        <v>4661703.3323189663</v>
      </c>
      <c r="W49">
        <v>4525925.5653582197</v>
      </c>
      <c r="X49">
        <v>4394102.4906390477</v>
      </c>
      <c r="Y49">
        <v>4266118.9229505323</v>
      </c>
      <c r="Z49">
        <v>4141863.031990808</v>
      </c>
      <c r="AA49">
        <v>47481817.92338486</v>
      </c>
      <c r="AB49">
        <v>96</v>
      </c>
      <c r="AC49">
        <v>50</v>
      </c>
      <c r="AD49">
        <v>852</v>
      </c>
      <c r="AE49">
        <v>81792</v>
      </c>
      <c r="AF49">
        <v>1765.4919786096257</v>
      </c>
      <c r="AG49">
        <v>169487.22994652408</v>
      </c>
      <c r="AH49">
        <v>0.17</v>
      </c>
      <c r="AI49">
        <v>16.32</v>
      </c>
      <c r="AJ49">
        <v>1710</v>
      </c>
      <c r="AK49">
        <v>27907.200000000001</v>
      </c>
      <c r="AL49">
        <v>279186.42994652409</v>
      </c>
      <c r="AM49">
        <v>279186.42994652409</v>
      </c>
      <c r="AN49">
        <v>271054.78635584866</v>
      </c>
      <c r="AO49">
        <v>263159.98675325111</v>
      </c>
      <c r="AP49">
        <v>255495.13277014671</v>
      </c>
      <c r="AQ49">
        <v>248053.52696130751</v>
      </c>
      <c r="AR49">
        <v>240828.66695272573</v>
      </c>
      <c r="AS49">
        <v>233814.23975992791</v>
      </c>
      <c r="AT49">
        <v>227004.11627177463</v>
      </c>
      <c r="AU49">
        <v>220392.34589492684</v>
      </c>
      <c r="AV49">
        <v>213973.15135429791</v>
      </c>
      <c r="AW49">
        <v>2452962.3830207312</v>
      </c>
      <c r="AX49">
        <v>15.954845549126903</v>
      </c>
      <c r="AY49">
        <v>90.778736112006229</v>
      </c>
    </row>
    <row r="50" spans="1:51" x14ac:dyDescent="0.25">
      <c r="A50" t="s">
        <v>46</v>
      </c>
      <c r="B50">
        <v>469300</v>
      </c>
      <c r="C50">
        <v>55544</v>
      </c>
      <c r="D50">
        <v>32903</v>
      </c>
      <c r="E50">
        <v>18880</v>
      </c>
      <c r="F50">
        <v>50</v>
      </c>
      <c r="G50">
        <v>944000</v>
      </c>
      <c r="H50">
        <v>852</v>
      </c>
      <c r="I50">
        <v>28033356</v>
      </c>
      <c r="J50">
        <v>1765.4919786096257</v>
      </c>
      <c r="K50">
        <v>58089982.572192512</v>
      </c>
      <c r="L50">
        <v>0.17</v>
      </c>
      <c r="M50">
        <v>5593.51</v>
      </c>
      <c r="N50">
        <v>1877</v>
      </c>
      <c r="O50">
        <v>10499018.27</v>
      </c>
      <c r="P50">
        <v>96622356.842192516</v>
      </c>
      <c r="Q50">
        <v>9662235.6842192523</v>
      </c>
      <c r="R50">
        <v>9380811.3439021874</v>
      </c>
      <c r="S50">
        <v>9107583.8290312495</v>
      </c>
      <c r="T50">
        <v>8842314.3971177172</v>
      </c>
      <c r="U50">
        <v>8584771.259337591</v>
      </c>
      <c r="V50">
        <v>8334729.377997661</v>
      </c>
      <c r="W50">
        <v>8091970.2699006423</v>
      </c>
      <c r="X50">
        <v>7856281.8154375162</v>
      </c>
      <c r="Y50">
        <v>7627458.0732403072</v>
      </c>
      <c r="Z50">
        <v>7405299.100233308</v>
      </c>
      <c r="AA50">
        <v>84893455.150417432</v>
      </c>
      <c r="AB50">
        <v>50</v>
      </c>
      <c r="AC50">
        <v>50</v>
      </c>
      <c r="AD50">
        <v>852</v>
      </c>
      <c r="AE50">
        <v>42600</v>
      </c>
      <c r="AF50">
        <v>1765.4919786096257</v>
      </c>
      <c r="AG50">
        <v>88274.598930481283</v>
      </c>
      <c r="AH50">
        <v>0.17</v>
      </c>
      <c r="AI50">
        <v>8.5</v>
      </c>
      <c r="AJ50">
        <v>1710</v>
      </c>
      <c r="AK50">
        <v>14535</v>
      </c>
      <c r="AL50">
        <v>145409.5989304813</v>
      </c>
      <c r="AM50">
        <v>145409.5989304813</v>
      </c>
      <c r="AN50">
        <v>141174.36789367115</v>
      </c>
      <c r="AO50">
        <v>137062.49310065163</v>
      </c>
      <c r="AP50">
        <v>133070.38165111808</v>
      </c>
      <c r="AQ50">
        <v>129194.54529234766</v>
      </c>
      <c r="AR50">
        <v>125431.59737121132</v>
      </c>
      <c r="AS50">
        <v>121778.24987496245</v>
      </c>
      <c r="AT50">
        <v>118231.31055821596</v>
      </c>
      <c r="AU50">
        <v>114787.68015360773</v>
      </c>
      <c r="AV50">
        <v>111444.34966369683</v>
      </c>
      <c r="AW50">
        <v>1277584.5744899642</v>
      </c>
      <c r="AX50">
        <v>38.213019718102537</v>
      </c>
      <c r="AY50">
        <v>89.929507574594737</v>
      </c>
    </row>
    <row r="51" spans="1:51" x14ac:dyDescent="0.25">
      <c r="A51" t="s">
        <v>47</v>
      </c>
      <c r="B51">
        <v>151700</v>
      </c>
      <c r="C51">
        <v>15602</v>
      </c>
      <c r="D51">
        <v>6846</v>
      </c>
      <c r="E51">
        <v>3751</v>
      </c>
      <c r="F51">
        <v>50</v>
      </c>
      <c r="G51">
        <v>187550</v>
      </c>
      <c r="H51">
        <v>852</v>
      </c>
      <c r="I51">
        <v>5832792</v>
      </c>
      <c r="J51">
        <v>1765.4919786096257</v>
      </c>
      <c r="K51">
        <v>12086558.085561497</v>
      </c>
      <c r="L51">
        <v>0.17</v>
      </c>
      <c r="M51">
        <v>1163.8200000000002</v>
      </c>
      <c r="N51">
        <v>1877</v>
      </c>
      <c r="O51">
        <v>2184490.14</v>
      </c>
      <c r="P51">
        <v>20103840.2255615</v>
      </c>
      <c r="Q51">
        <v>2010384.0225561499</v>
      </c>
      <c r="R51">
        <v>1951829.1481127669</v>
      </c>
      <c r="S51">
        <v>1894979.7554492883</v>
      </c>
      <c r="T51">
        <v>1839786.1703391147</v>
      </c>
      <c r="U51">
        <v>1786200.1653777815</v>
      </c>
      <c r="V51">
        <v>1734174.9178425064</v>
      </c>
      <c r="W51">
        <v>1683664.9687791325</v>
      </c>
      <c r="X51">
        <v>1634626.1832807108</v>
      </c>
      <c r="Y51">
        <v>1587015.7119230204</v>
      </c>
      <c r="Z51">
        <v>1540791.9533233207</v>
      </c>
      <c r="AA51">
        <v>17663452.996983793</v>
      </c>
      <c r="AB51">
        <v>56</v>
      </c>
      <c r="AC51">
        <v>50</v>
      </c>
      <c r="AD51">
        <v>852</v>
      </c>
      <c r="AE51">
        <v>47712</v>
      </c>
      <c r="AF51">
        <v>1765.4919786096257</v>
      </c>
      <c r="AG51">
        <v>98867.550802139041</v>
      </c>
      <c r="AH51">
        <v>0.17</v>
      </c>
      <c r="AI51">
        <v>9.5200000000000014</v>
      </c>
      <c r="AJ51">
        <v>1710</v>
      </c>
      <c r="AK51">
        <v>16279.200000000003</v>
      </c>
      <c r="AL51">
        <v>162858.75080213905</v>
      </c>
      <c r="AM51">
        <v>162858.75080213905</v>
      </c>
      <c r="AN51">
        <v>158115.29204091171</v>
      </c>
      <c r="AO51">
        <v>153509.99227272981</v>
      </c>
      <c r="AP51">
        <v>149038.82744925225</v>
      </c>
      <c r="AQ51">
        <v>144697.89072742939</v>
      </c>
      <c r="AR51">
        <v>140483.38905575668</v>
      </c>
      <c r="AS51">
        <v>136391.63985995794</v>
      </c>
      <c r="AT51">
        <v>132419.06782520187</v>
      </c>
      <c r="AU51">
        <v>128562.20177204066</v>
      </c>
      <c r="AV51">
        <v>124817.67162334044</v>
      </c>
      <c r="AW51">
        <v>1430894.7234287597</v>
      </c>
      <c r="AX51">
        <v>10.913843853476099</v>
      </c>
      <c r="AY51">
        <v>94.179967992448908</v>
      </c>
    </row>
    <row r="52" spans="1:51" x14ac:dyDescent="0.25">
      <c r="A52" t="s">
        <v>48</v>
      </c>
      <c r="B52">
        <v>138380</v>
      </c>
      <c r="C52">
        <v>15198</v>
      </c>
      <c r="D52">
        <v>7836</v>
      </c>
      <c r="E52">
        <v>4388</v>
      </c>
      <c r="F52">
        <v>50</v>
      </c>
      <c r="G52">
        <v>219400</v>
      </c>
      <c r="H52">
        <v>852</v>
      </c>
      <c r="I52">
        <v>6676272</v>
      </c>
      <c r="J52">
        <v>1765.4919786096257</v>
      </c>
      <c r="K52">
        <v>13834395.144385027</v>
      </c>
      <c r="L52">
        <v>0.17</v>
      </c>
      <c r="M52">
        <v>1332.1200000000001</v>
      </c>
      <c r="N52">
        <v>1877</v>
      </c>
      <c r="O52">
        <v>2500389.2400000002</v>
      </c>
      <c r="P52">
        <v>23011056.384385027</v>
      </c>
      <c r="Q52">
        <v>2301105.6384385028</v>
      </c>
      <c r="R52">
        <v>2234083.1441150513</v>
      </c>
      <c r="S52">
        <v>2169012.761276749</v>
      </c>
      <c r="T52">
        <v>2105837.6323075234</v>
      </c>
      <c r="U52">
        <v>2044502.5556383722</v>
      </c>
      <c r="V52">
        <v>1984953.9375129826</v>
      </c>
      <c r="W52">
        <v>1927139.7451582355</v>
      </c>
      <c r="X52">
        <v>1871009.4613186752</v>
      </c>
      <c r="Y52">
        <v>1816514.0401152186</v>
      </c>
      <c r="Z52">
        <v>1763605.8641895328</v>
      </c>
      <c r="AA52">
        <v>20217764.780070841</v>
      </c>
      <c r="AB52">
        <v>86</v>
      </c>
      <c r="AC52">
        <v>50</v>
      </c>
      <c r="AD52">
        <v>852</v>
      </c>
      <c r="AE52">
        <v>73272</v>
      </c>
      <c r="AF52">
        <v>1765.4919786096257</v>
      </c>
      <c r="AG52">
        <v>151832.31016042782</v>
      </c>
      <c r="AH52">
        <v>0.17</v>
      </c>
      <c r="AI52">
        <v>14.620000000000001</v>
      </c>
      <c r="AJ52">
        <v>1710</v>
      </c>
      <c r="AK52">
        <v>25000.2</v>
      </c>
      <c r="AL52">
        <v>250104.51016042783</v>
      </c>
      <c r="AM52">
        <v>250104.51016042783</v>
      </c>
      <c r="AN52">
        <v>242819.9127771144</v>
      </c>
      <c r="AO52">
        <v>235747.48813312079</v>
      </c>
      <c r="AP52">
        <v>228881.05643992309</v>
      </c>
      <c r="AQ52">
        <v>222214.61790283796</v>
      </c>
      <c r="AR52">
        <v>215742.34747848348</v>
      </c>
      <c r="AS52">
        <v>209458.58978493541</v>
      </c>
      <c r="AT52">
        <v>203357.85416013145</v>
      </c>
      <c r="AU52">
        <v>197434.80986420528</v>
      </c>
      <c r="AV52">
        <v>191684.28142155855</v>
      </c>
      <c r="AW52">
        <v>2197445.4681227384</v>
      </c>
      <c r="AX52">
        <v>8.3653527073763616</v>
      </c>
      <c r="AY52">
        <v>92.150249681270921</v>
      </c>
    </row>
    <row r="53" spans="1:51" x14ac:dyDescent="0.25">
      <c r="A53" t="s">
        <v>36</v>
      </c>
      <c r="B53">
        <v>98196</v>
      </c>
      <c r="C53">
        <v>10558</v>
      </c>
      <c r="D53">
        <v>5192</v>
      </c>
      <c r="E53">
        <v>2886</v>
      </c>
      <c r="F53">
        <v>50</v>
      </c>
      <c r="G53">
        <v>144300</v>
      </c>
      <c r="H53">
        <v>852</v>
      </c>
      <c r="I53">
        <v>4423584</v>
      </c>
      <c r="J53">
        <v>1765.4919786096257</v>
      </c>
      <c r="K53">
        <v>9166434.3529411759</v>
      </c>
      <c r="L53">
        <v>0.17</v>
      </c>
      <c r="M53">
        <v>882.6400000000001</v>
      </c>
      <c r="N53">
        <v>1877</v>
      </c>
      <c r="O53">
        <v>1656715.2800000003</v>
      </c>
      <c r="P53">
        <v>15246733.632941175</v>
      </c>
      <c r="Q53">
        <v>1524673.3632941176</v>
      </c>
      <c r="R53">
        <v>1480265.4012564248</v>
      </c>
      <c r="S53">
        <v>1437150.8750062378</v>
      </c>
      <c r="T53">
        <v>1395292.1116565415</v>
      </c>
      <c r="U53">
        <v>1354652.5355888754</v>
      </c>
      <c r="V53">
        <v>1315196.6364940538</v>
      </c>
      <c r="W53">
        <v>1276889.9383437415</v>
      </c>
      <c r="X53">
        <v>1239698.9692657683</v>
      </c>
      <c r="Y53">
        <v>1203591.2322968626</v>
      </c>
      <c r="Z53">
        <v>1168535.1769872452</v>
      </c>
      <c r="AA53">
        <v>13395946.240189869</v>
      </c>
      <c r="AB53">
        <v>62</v>
      </c>
      <c r="AC53">
        <v>50</v>
      </c>
      <c r="AD53">
        <v>852</v>
      </c>
      <c r="AE53">
        <v>52824</v>
      </c>
      <c r="AF53">
        <v>1765.4919786096257</v>
      </c>
      <c r="AG53">
        <v>109460.50267379679</v>
      </c>
      <c r="AH53">
        <v>0.17</v>
      </c>
      <c r="AI53">
        <v>10.540000000000001</v>
      </c>
      <c r="AJ53">
        <v>1710</v>
      </c>
      <c r="AK53">
        <v>18023.400000000001</v>
      </c>
      <c r="AL53">
        <v>180307.90267379678</v>
      </c>
      <c r="AM53">
        <v>180307.90267379678</v>
      </c>
      <c r="AN53">
        <v>175056.2161881522</v>
      </c>
      <c r="AO53">
        <v>169957.49144480797</v>
      </c>
      <c r="AP53">
        <v>165007.27324738639</v>
      </c>
      <c r="AQ53">
        <v>160201.23616251108</v>
      </c>
      <c r="AR53">
        <v>155535.18074030202</v>
      </c>
      <c r="AS53">
        <v>151005.02984495342</v>
      </c>
      <c r="AT53">
        <v>146606.82509218776</v>
      </c>
      <c r="AU53">
        <v>142336.72339047355</v>
      </c>
      <c r="AV53">
        <v>138190.99358298405</v>
      </c>
      <c r="AW53">
        <v>1584204.8723675553</v>
      </c>
      <c r="AX53">
        <v>7.7500193689597587</v>
      </c>
      <c r="AY53">
        <v>92.834000278516072</v>
      </c>
    </row>
    <row r="54" spans="1:51" x14ac:dyDescent="0.25">
      <c r="A54" t="s">
        <v>37</v>
      </c>
      <c r="B54">
        <v>162560</v>
      </c>
      <c r="C54">
        <v>17328</v>
      </c>
      <c r="D54">
        <v>8348</v>
      </c>
      <c r="E54">
        <v>4628</v>
      </c>
      <c r="F54">
        <v>50</v>
      </c>
      <c r="G54">
        <v>231400</v>
      </c>
      <c r="H54">
        <v>852</v>
      </c>
      <c r="I54">
        <v>7112496</v>
      </c>
      <c r="J54">
        <v>1765.4919786096257</v>
      </c>
      <c r="K54">
        <v>14738327.037433155</v>
      </c>
      <c r="L54">
        <v>0.17</v>
      </c>
      <c r="M54">
        <v>1419.16</v>
      </c>
      <c r="N54">
        <v>1877</v>
      </c>
      <c r="O54">
        <v>2663763.3200000003</v>
      </c>
      <c r="P54">
        <v>24514586.357433155</v>
      </c>
      <c r="Q54">
        <v>2451458.6357433153</v>
      </c>
      <c r="R54">
        <v>2380056.9279061314</v>
      </c>
      <c r="S54">
        <v>2310734.8814622634</v>
      </c>
      <c r="T54">
        <v>2243431.9237497705</v>
      </c>
      <c r="U54">
        <v>2178089.2463590004</v>
      </c>
      <c r="V54">
        <v>2114649.7537466027</v>
      </c>
      <c r="W54">
        <v>2053058.0133462159</v>
      </c>
      <c r="X54">
        <v>1993260.2071322484</v>
      </c>
      <c r="Y54">
        <v>1935204.084594416</v>
      </c>
      <c r="Z54">
        <v>1878838.9170819575</v>
      </c>
      <c r="AA54">
        <v>21538782.591121923</v>
      </c>
      <c r="AB54">
        <v>75</v>
      </c>
      <c r="AC54">
        <v>50</v>
      </c>
      <c r="AD54">
        <v>852</v>
      </c>
      <c r="AE54">
        <v>63900</v>
      </c>
      <c r="AF54">
        <v>1765.4919786096257</v>
      </c>
      <c r="AG54">
        <v>132411.89839572192</v>
      </c>
      <c r="AH54">
        <v>0.17</v>
      </c>
      <c r="AI54">
        <v>12.750000000000002</v>
      </c>
      <c r="AJ54">
        <v>1710</v>
      </c>
      <c r="AK54">
        <v>21802.500000000004</v>
      </c>
      <c r="AL54">
        <v>218114.39839572192</v>
      </c>
      <c r="AM54">
        <v>218114.39839572192</v>
      </c>
      <c r="AN54">
        <v>211761.55184050673</v>
      </c>
      <c r="AO54">
        <v>205593.7396509774</v>
      </c>
      <c r="AP54">
        <v>199605.5724766771</v>
      </c>
      <c r="AQ54">
        <v>193791.81793852145</v>
      </c>
      <c r="AR54">
        <v>188147.39605681694</v>
      </c>
      <c r="AS54">
        <v>182667.37481244365</v>
      </c>
      <c r="AT54">
        <v>177346.96583732392</v>
      </c>
      <c r="AU54">
        <v>172181.52023041158</v>
      </c>
      <c r="AV54">
        <v>167166.52449554522</v>
      </c>
      <c r="AW54">
        <v>1916376.8617349463</v>
      </c>
      <c r="AX54">
        <v>10.028407966795569</v>
      </c>
      <c r="AY54">
        <v>93.080305061028184</v>
      </c>
    </row>
    <row r="55" spans="1:51" x14ac:dyDescent="0.25">
      <c r="A55" t="s">
        <v>49</v>
      </c>
      <c r="B55">
        <v>137000</v>
      </c>
      <c r="C55">
        <v>13059</v>
      </c>
      <c r="D55">
        <v>4411</v>
      </c>
      <c r="E55">
        <v>2356</v>
      </c>
      <c r="F55">
        <v>50</v>
      </c>
      <c r="G55">
        <v>117800</v>
      </c>
      <c r="H55">
        <v>852</v>
      </c>
      <c r="I55">
        <v>3758172</v>
      </c>
      <c r="J55">
        <v>1765.4919786096257</v>
      </c>
      <c r="K55">
        <v>7787585.1176470593</v>
      </c>
      <c r="L55">
        <v>0.17</v>
      </c>
      <c r="M55">
        <v>749.87</v>
      </c>
      <c r="N55">
        <v>1877</v>
      </c>
      <c r="O55">
        <v>1407505.99</v>
      </c>
      <c r="P55">
        <v>12953263.107647059</v>
      </c>
      <c r="Q55">
        <v>1295326.310764706</v>
      </c>
      <c r="R55">
        <v>1257598.359965734</v>
      </c>
      <c r="S55">
        <v>1220969.2815201301</v>
      </c>
      <c r="T55">
        <v>1185407.0694370195</v>
      </c>
      <c r="U55">
        <v>1150880.6499388539</v>
      </c>
      <c r="V55">
        <v>1117359.854309567</v>
      </c>
      <c r="W55">
        <v>1084815.3925335603</v>
      </c>
      <c r="X55">
        <v>1053218.8277024855</v>
      </c>
      <c r="Y55">
        <v>1022542.5511674617</v>
      </c>
      <c r="Z55">
        <v>992759.75841501146</v>
      </c>
      <c r="AA55">
        <v>11380878.055754529</v>
      </c>
      <c r="AB55">
        <v>90</v>
      </c>
      <c r="AC55">
        <v>50</v>
      </c>
      <c r="AD55">
        <v>852</v>
      </c>
      <c r="AE55">
        <v>76680</v>
      </c>
      <c r="AF55">
        <v>1765.4919786096257</v>
      </c>
      <c r="AG55">
        <v>158894.27807486631</v>
      </c>
      <c r="AH55">
        <v>0.17</v>
      </c>
      <c r="AI55">
        <v>15.3</v>
      </c>
      <c r="AJ55">
        <v>1710</v>
      </c>
      <c r="AK55">
        <v>26163</v>
      </c>
      <c r="AL55">
        <v>261737.27807486631</v>
      </c>
      <c r="AM55">
        <v>261737.27807486631</v>
      </c>
      <c r="AN55">
        <v>254113.86220860807</v>
      </c>
      <c r="AO55">
        <v>246712.48758117287</v>
      </c>
      <c r="AP55">
        <v>239526.68697201251</v>
      </c>
      <c r="AQ55">
        <v>232550.18152622576</v>
      </c>
      <c r="AR55">
        <v>225776.87526818036</v>
      </c>
      <c r="AS55">
        <v>219200.84977493237</v>
      </c>
      <c r="AT55">
        <v>212816.35900478871</v>
      </c>
      <c r="AU55">
        <v>206617.82427649389</v>
      </c>
      <c r="AV55">
        <v>200599.82939465425</v>
      </c>
      <c r="AW55">
        <v>2299652.2340819356</v>
      </c>
      <c r="AX55">
        <v>4.7077985224707417</v>
      </c>
      <c r="AY55">
        <v>96.611868045454415</v>
      </c>
    </row>
    <row r="56" spans="1:51" x14ac:dyDescent="0.25">
      <c r="A56" t="s">
        <v>38</v>
      </c>
      <c r="B56">
        <v>151690</v>
      </c>
      <c r="C56">
        <v>14921</v>
      </c>
      <c r="D56">
        <v>5688</v>
      </c>
      <c r="E56">
        <v>3071</v>
      </c>
      <c r="F56">
        <v>50</v>
      </c>
      <c r="G56">
        <v>153550</v>
      </c>
      <c r="H56">
        <v>852</v>
      </c>
      <c r="I56">
        <v>4846176</v>
      </c>
      <c r="J56">
        <v>1765.4919786096257</v>
      </c>
      <c r="K56">
        <v>10042118.374331551</v>
      </c>
      <c r="L56">
        <v>0.17</v>
      </c>
      <c r="M56">
        <v>966.96</v>
      </c>
      <c r="N56">
        <v>1877</v>
      </c>
      <c r="O56">
        <v>1814983.9200000002</v>
      </c>
      <c r="P56">
        <v>16703278.294331551</v>
      </c>
      <c r="Q56">
        <v>1670327.829433155</v>
      </c>
      <c r="R56">
        <v>1621677.5043040339</v>
      </c>
      <c r="S56">
        <v>1574444.1789359553</v>
      </c>
      <c r="T56">
        <v>1528586.5814912189</v>
      </c>
      <c r="U56">
        <v>1484064.6422244844</v>
      </c>
      <c r="V56">
        <v>1440839.4584703732</v>
      </c>
      <c r="W56">
        <v>1398873.2606508478</v>
      </c>
      <c r="X56">
        <v>1358129.3792726677</v>
      </c>
      <c r="Y56">
        <v>1318572.212886085</v>
      </c>
      <c r="Z56">
        <v>1280167.1969767818</v>
      </c>
      <c r="AA56">
        <v>14675682.244645603</v>
      </c>
      <c r="AB56">
        <v>70</v>
      </c>
      <c r="AC56">
        <v>50</v>
      </c>
      <c r="AD56">
        <v>852</v>
      </c>
      <c r="AE56">
        <v>59640</v>
      </c>
      <c r="AF56">
        <v>1765.4919786096257</v>
      </c>
      <c r="AG56">
        <v>123584.4385026738</v>
      </c>
      <c r="AH56">
        <v>0.17</v>
      </c>
      <c r="AI56">
        <v>11.9</v>
      </c>
      <c r="AJ56">
        <v>1710</v>
      </c>
      <c r="AK56">
        <v>20349</v>
      </c>
      <c r="AL56">
        <v>203573.43850267382</v>
      </c>
      <c r="AM56">
        <v>203573.43850267382</v>
      </c>
      <c r="AN56">
        <v>197644.11505113964</v>
      </c>
      <c r="AO56">
        <v>191887.49034091225</v>
      </c>
      <c r="AP56">
        <v>186298.53431156531</v>
      </c>
      <c r="AQ56">
        <v>180872.36340928671</v>
      </c>
      <c r="AR56">
        <v>175604.23631969586</v>
      </c>
      <c r="AS56">
        <v>170489.54982494743</v>
      </c>
      <c r="AT56">
        <v>165523.83478150234</v>
      </c>
      <c r="AU56">
        <v>160702.75221505083</v>
      </c>
      <c r="AV56">
        <v>156022.08952917557</v>
      </c>
      <c r="AW56">
        <v>1788618.4042859499</v>
      </c>
      <c r="AX56">
        <v>7.5563386842559659</v>
      </c>
      <c r="AY56">
        <v>95.57591823279455</v>
      </c>
    </row>
    <row r="57" spans="1:51" x14ac:dyDescent="0.25">
      <c r="A57" t="s">
        <v>51</v>
      </c>
      <c r="B57">
        <v>55620</v>
      </c>
      <c r="C57">
        <v>5238</v>
      </c>
      <c r="D57">
        <v>1678</v>
      </c>
      <c r="E57">
        <v>893</v>
      </c>
      <c r="F57">
        <v>50</v>
      </c>
      <c r="G57">
        <v>44650</v>
      </c>
      <c r="H57">
        <v>852</v>
      </c>
      <c r="I57">
        <v>1429656</v>
      </c>
      <c r="J57">
        <v>1765.4919786096257</v>
      </c>
      <c r="K57">
        <v>2962495.5401069517</v>
      </c>
      <c r="L57">
        <v>0.17</v>
      </c>
      <c r="M57">
        <v>285.26000000000005</v>
      </c>
      <c r="N57">
        <v>1877</v>
      </c>
      <c r="O57">
        <v>535433.02000000014</v>
      </c>
      <c r="P57">
        <v>4927584.5601069527</v>
      </c>
      <c r="Q57">
        <v>492758.45601069526</v>
      </c>
      <c r="R57">
        <v>478406.26797154878</v>
      </c>
      <c r="S57">
        <v>464472.10482674639</v>
      </c>
      <c r="T57">
        <v>450943.79109392856</v>
      </c>
      <c r="U57">
        <v>437809.5059164355</v>
      </c>
      <c r="V57">
        <v>425057.77273440344</v>
      </c>
      <c r="W57">
        <v>412677.44925670233</v>
      </c>
      <c r="X57">
        <v>400657.71772495372</v>
      </c>
      <c r="Y57">
        <v>388988.07546112011</v>
      </c>
      <c r="Z57">
        <v>377658.32569040789</v>
      </c>
      <c r="AA57">
        <v>4329429.4666869426</v>
      </c>
      <c r="AB57">
        <v>72</v>
      </c>
      <c r="AC57">
        <v>50</v>
      </c>
      <c r="AD57">
        <v>852</v>
      </c>
      <c r="AE57">
        <v>61344</v>
      </c>
      <c r="AF57">
        <v>1765.4919786096257</v>
      </c>
      <c r="AG57">
        <v>127115.42245989305</v>
      </c>
      <c r="AH57">
        <v>0.17</v>
      </c>
      <c r="AI57">
        <v>12.24</v>
      </c>
      <c r="AJ57">
        <v>1710</v>
      </c>
      <c r="AK57">
        <v>20930.400000000001</v>
      </c>
      <c r="AL57">
        <v>209389.82245989304</v>
      </c>
      <c r="AM57">
        <v>209389.82245989304</v>
      </c>
      <c r="AN57">
        <v>203291.08976688643</v>
      </c>
      <c r="AO57">
        <v>197369.99006493829</v>
      </c>
      <c r="AP57">
        <v>191621.34957761</v>
      </c>
      <c r="AQ57">
        <v>186040.1452209806</v>
      </c>
      <c r="AR57">
        <v>180621.50021454427</v>
      </c>
      <c r="AS57">
        <v>175360.67981994589</v>
      </c>
      <c r="AT57">
        <v>170253.08720383095</v>
      </c>
      <c r="AU57">
        <v>165294.25942119511</v>
      </c>
      <c r="AV57">
        <v>160479.86351572341</v>
      </c>
      <c r="AW57">
        <v>1839721.7872655482</v>
      </c>
      <c r="AX57">
        <v>2.2975452593511121</v>
      </c>
      <c r="AY57">
        <v>96.963705860849785</v>
      </c>
    </row>
    <row r="58" spans="1:51" x14ac:dyDescent="0.25">
      <c r="A58" t="s">
        <v>39</v>
      </c>
      <c r="B58">
        <v>297420</v>
      </c>
      <c r="C58">
        <v>31607</v>
      </c>
      <c r="D58">
        <v>15115</v>
      </c>
      <c r="E58">
        <v>8371</v>
      </c>
      <c r="F58">
        <v>50</v>
      </c>
      <c r="G58">
        <v>418550</v>
      </c>
      <c r="H58">
        <v>852</v>
      </c>
      <c r="I58">
        <v>12877980</v>
      </c>
      <c r="J58">
        <v>1765.4919786096257</v>
      </c>
      <c r="K58">
        <v>26685411.256684493</v>
      </c>
      <c r="L58">
        <v>0.17</v>
      </c>
      <c r="M58">
        <v>2569.5500000000002</v>
      </c>
      <c r="N58">
        <v>1877</v>
      </c>
      <c r="O58">
        <v>4823045.3500000006</v>
      </c>
      <c r="P58">
        <v>44386436.606684498</v>
      </c>
      <c r="Q58">
        <v>4438643.6606684495</v>
      </c>
      <c r="R58">
        <v>4309362.7773480089</v>
      </c>
      <c r="S58">
        <v>4183847.3566485527</v>
      </c>
      <c r="T58">
        <v>4061987.7249015076</v>
      </c>
      <c r="U58">
        <v>3943677.4028169978</v>
      </c>
      <c r="V58">
        <v>3828813.0124436873</v>
      </c>
      <c r="W58">
        <v>3717294.1868385314</v>
      </c>
      <c r="X58">
        <v>3609023.4823675058</v>
      </c>
      <c r="Y58">
        <v>3503906.2935606856</v>
      </c>
      <c r="Z58">
        <v>3401850.7704472677</v>
      </c>
      <c r="AA58">
        <v>38998406.668041192</v>
      </c>
      <c r="AB58">
        <v>102</v>
      </c>
      <c r="AC58">
        <v>50</v>
      </c>
      <c r="AD58">
        <v>852</v>
      </c>
      <c r="AE58">
        <v>86904</v>
      </c>
      <c r="AF58">
        <v>1765.4919786096257</v>
      </c>
      <c r="AG58">
        <v>180080.18181818182</v>
      </c>
      <c r="AH58">
        <v>0.17</v>
      </c>
      <c r="AI58">
        <v>17.34</v>
      </c>
      <c r="AJ58">
        <v>1710</v>
      </c>
      <c r="AK58">
        <v>29651.4</v>
      </c>
      <c r="AL58">
        <v>296635.58181818185</v>
      </c>
      <c r="AM58">
        <v>296635.58181818185</v>
      </c>
      <c r="AN58">
        <v>287995.71050308918</v>
      </c>
      <c r="AO58">
        <v>279607.48592532927</v>
      </c>
      <c r="AP58">
        <v>271463.57856828085</v>
      </c>
      <c r="AQ58">
        <v>263556.8723963892</v>
      </c>
      <c r="AR58">
        <v>255880.45863727111</v>
      </c>
      <c r="AS58">
        <v>248427.62974492338</v>
      </c>
      <c r="AT58">
        <v>241191.87353876056</v>
      </c>
      <c r="AU58">
        <v>234166.86751335976</v>
      </c>
      <c r="AV58">
        <v>227346.47331394153</v>
      </c>
      <c r="AW58">
        <v>2606272.5319595272</v>
      </c>
      <c r="AX58">
        <v>12.892791645127497</v>
      </c>
      <c r="AY58">
        <v>93.175024890792486</v>
      </c>
    </row>
    <row r="59" spans="1:51" x14ac:dyDescent="0.25">
      <c r="A59" t="s">
        <v>40</v>
      </c>
      <c r="B59">
        <v>43650</v>
      </c>
      <c r="C59">
        <v>4769</v>
      </c>
      <c r="D59">
        <v>2431</v>
      </c>
      <c r="E59">
        <v>1359</v>
      </c>
      <c r="F59">
        <v>50</v>
      </c>
      <c r="G59">
        <v>67950</v>
      </c>
      <c r="H59">
        <v>852</v>
      </c>
      <c r="I59">
        <v>2071212</v>
      </c>
      <c r="J59">
        <v>1765.4919786096257</v>
      </c>
      <c r="K59">
        <v>4291911</v>
      </c>
      <c r="L59">
        <v>0.17</v>
      </c>
      <c r="M59">
        <v>413.27000000000004</v>
      </c>
      <c r="N59">
        <v>1877</v>
      </c>
      <c r="O59">
        <v>775707.79</v>
      </c>
      <c r="P59">
        <v>7138830.79</v>
      </c>
      <c r="Q59">
        <v>713883.07900000003</v>
      </c>
      <c r="R59">
        <v>693090.36796116503</v>
      </c>
      <c r="S59">
        <v>672903.26986520877</v>
      </c>
      <c r="T59">
        <v>653304.14550020278</v>
      </c>
      <c r="U59">
        <v>634275.86941767263</v>
      </c>
      <c r="V59">
        <v>615801.81496861426</v>
      </c>
      <c r="W59">
        <v>597865.83977535355</v>
      </c>
      <c r="X59">
        <v>580452.27162655687</v>
      </c>
      <c r="Y59">
        <v>563545.89478306496</v>
      </c>
      <c r="Z59">
        <v>547131.93668258726</v>
      </c>
      <c r="AA59">
        <v>6272254.4895804264</v>
      </c>
      <c r="AB59">
        <v>47</v>
      </c>
      <c r="AC59">
        <v>50</v>
      </c>
      <c r="AD59">
        <v>852</v>
      </c>
      <c r="AE59">
        <v>40044</v>
      </c>
      <c r="AF59">
        <v>1765.4919786096257</v>
      </c>
      <c r="AG59">
        <v>82978.122994652411</v>
      </c>
      <c r="AH59">
        <v>0.17</v>
      </c>
      <c r="AI59">
        <v>7.99</v>
      </c>
      <c r="AJ59">
        <v>1710</v>
      </c>
      <c r="AK59">
        <v>13662.9</v>
      </c>
      <c r="AL59">
        <v>136685.02299465242</v>
      </c>
      <c r="AM59">
        <v>136685.02299465242</v>
      </c>
      <c r="AN59">
        <v>132703.90582005089</v>
      </c>
      <c r="AO59">
        <v>128838.74351461252</v>
      </c>
      <c r="AP59">
        <v>125086.15875205099</v>
      </c>
      <c r="AQ59">
        <v>121442.8725748068</v>
      </c>
      <c r="AR59">
        <v>117905.70152893865</v>
      </c>
      <c r="AS59">
        <v>114471.5548824647</v>
      </c>
      <c r="AT59">
        <v>111137.431924723</v>
      </c>
      <c r="AU59">
        <v>107900.41934439127</v>
      </c>
      <c r="AV59">
        <v>104757.68868387502</v>
      </c>
      <c r="AW59">
        <v>1200929.5000205659</v>
      </c>
      <c r="AX59">
        <v>4.9431443170756291</v>
      </c>
      <c r="AY59">
        <v>92.306909338931959</v>
      </c>
    </row>
    <row r="60" spans="1:51" x14ac:dyDescent="0.25">
      <c r="A60" t="s">
        <v>41</v>
      </c>
      <c r="B60">
        <v>109750</v>
      </c>
      <c r="C60">
        <v>11473</v>
      </c>
      <c r="D60">
        <v>5262</v>
      </c>
      <c r="E60">
        <v>2899</v>
      </c>
      <c r="F60">
        <v>50</v>
      </c>
      <c r="G60">
        <v>144950</v>
      </c>
      <c r="H60">
        <v>853</v>
      </c>
      <c r="I60">
        <v>4488486</v>
      </c>
      <c r="J60">
        <v>1765.4919786096257</v>
      </c>
      <c r="K60">
        <v>9290018.7914438508</v>
      </c>
      <c r="L60">
        <v>0.17</v>
      </c>
      <c r="M60">
        <v>894.54000000000008</v>
      </c>
      <c r="N60">
        <v>1877</v>
      </c>
      <c r="O60">
        <v>1679051.58</v>
      </c>
      <c r="P60">
        <v>15457556.371443851</v>
      </c>
      <c r="Q60">
        <v>1545755.6371443851</v>
      </c>
      <c r="R60">
        <v>1500733.6282955196</v>
      </c>
      <c r="S60">
        <v>1457022.9400927373</v>
      </c>
      <c r="T60">
        <v>1414585.378730813</v>
      </c>
      <c r="U60">
        <v>1373383.8628454497</v>
      </c>
      <c r="V60">
        <v>1333382.3911120871</v>
      </c>
      <c r="W60">
        <v>1294546.0107884342</v>
      </c>
      <c r="X60">
        <v>1256840.787173237</v>
      </c>
      <c r="Y60">
        <v>1220233.7739545989</v>
      </c>
      <c r="Z60">
        <v>1184692.9844219408</v>
      </c>
      <c r="AA60">
        <v>13581177.394559201</v>
      </c>
      <c r="AB60">
        <v>68</v>
      </c>
      <c r="AC60">
        <v>50</v>
      </c>
      <c r="AD60">
        <v>852</v>
      </c>
      <c r="AE60">
        <v>57936</v>
      </c>
      <c r="AF60">
        <v>1765.4919786096257</v>
      </c>
      <c r="AG60">
        <v>120053.45454545454</v>
      </c>
      <c r="AH60">
        <v>0.17</v>
      </c>
      <c r="AI60">
        <v>11.56</v>
      </c>
      <c r="AJ60">
        <v>1710</v>
      </c>
      <c r="AK60">
        <v>19767.600000000002</v>
      </c>
      <c r="AL60">
        <v>197757.05454545454</v>
      </c>
      <c r="AM60">
        <v>197757.05454545454</v>
      </c>
      <c r="AN60">
        <v>191997.14033539276</v>
      </c>
      <c r="AO60">
        <v>186404.99061688618</v>
      </c>
      <c r="AP60">
        <v>180975.71904552056</v>
      </c>
      <c r="AQ60">
        <v>175704.5815975928</v>
      </c>
      <c r="AR60">
        <v>170586.97242484736</v>
      </c>
      <c r="AS60">
        <v>165618.41982994889</v>
      </c>
      <c r="AT60">
        <v>160794.58235917368</v>
      </c>
      <c r="AU60">
        <v>156111.2450089065</v>
      </c>
      <c r="AV60">
        <v>151564.31554262765</v>
      </c>
      <c r="AW60">
        <v>1737515.0213063511</v>
      </c>
      <c r="AX60">
        <v>7.2145709167729652</v>
      </c>
      <c r="AY60">
        <v>93.695601204271824</v>
      </c>
    </row>
    <row r="61" spans="1:51" x14ac:dyDescent="0.25">
      <c r="A61" t="s">
        <v>42</v>
      </c>
      <c r="B61">
        <v>359310</v>
      </c>
      <c r="C61">
        <v>39402</v>
      </c>
      <c r="D61">
        <v>20248</v>
      </c>
      <c r="E61">
        <v>11331</v>
      </c>
      <c r="F61">
        <v>50</v>
      </c>
      <c r="G61">
        <v>566550</v>
      </c>
      <c r="H61">
        <v>854</v>
      </c>
      <c r="I61">
        <v>17291792</v>
      </c>
      <c r="J61">
        <v>1765.4919786096257</v>
      </c>
      <c r="K61">
        <v>35747681.582887702</v>
      </c>
      <c r="L61">
        <v>0.17</v>
      </c>
      <c r="M61">
        <v>3442.1600000000003</v>
      </c>
      <c r="N61">
        <v>1877</v>
      </c>
      <c r="O61">
        <v>6460934.3200000003</v>
      </c>
      <c r="P61">
        <v>59500407.902887702</v>
      </c>
      <c r="Q61">
        <v>5950040.7902887706</v>
      </c>
      <c r="R61">
        <v>5776738.6313483212</v>
      </c>
      <c r="S61">
        <v>5608484.1081051659</v>
      </c>
      <c r="T61">
        <v>5445130.2020438509</v>
      </c>
      <c r="U61">
        <v>5286534.1767416028</v>
      </c>
      <c r="V61">
        <v>5132557.4531471878</v>
      </c>
      <c r="W61">
        <v>4983065.4884924153</v>
      </c>
      <c r="X61">
        <v>4837927.6587304994</v>
      </c>
      <c r="Y61">
        <v>4697017.1443985431</v>
      </c>
      <c r="Z61">
        <v>4560210.8198044114</v>
      </c>
      <c r="AA61">
        <v>52277706.473100767</v>
      </c>
      <c r="AB61">
        <v>95</v>
      </c>
      <c r="AC61">
        <v>50</v>
      </c>
      <c r="AD61">
        <v>852</v>
      </c>
      <c r="AE61">
        <v>80940</v>
      </c>
      <c r="AF61">
        <v>1765.4919786096257</v>
      </c>
      <c r="AG61">
        <v>167721.73796791444</v>
      </c>
      <c r="AH61">
        <v>0.17</v>
      </c>
      <c r="AI61">
        <v>16.150000000000002</v>
      </c>
      <c r="AJ61">
        <v>1710</v>
      </c>
      <c r="AK61">
        <v>27616.500000000004</v>
      </c>
      <c r="AL61">
        <v>276278.23796791444</v>
      </c>
      <c r="AM61">
        <v>276278.23796791444</v>
      </c>
      <c r="AN61">
        <v>268231.29899797519</v>
      </c>
      <c r="AO61">
        <v>260418.73689123805</v>
      </c>
      <c r="AP61">
        <v>252833.72513712433</v>
      </c>
      <c r="AQ61">
        <v>245469.63605546052</v>
      </c>
      <c r="AR61">
        <v>238320.0350053015</v>
      </c>
      <c r="AS61">
        <v>231378.67476242862</v>
      </c>
      <c r="AT61">
        <v>224639.49006061029</v>
      </c>
      <c r="AU61">
        <v>218096.59229185467</v>
      </c>
      <c r="AV61">
        <v>211744.26436102396</v>
      </c>
      <c r="AW61">
        <v>2427410.6915309313</v>
      </c>
      <c r="AX61">
        <v>17.461053052893988</v>
      </c>
      <c r="AY61">
        <v>92.273773670639429</v>
      </c>
    </row>
    <row r="62" spans="1:51" x14ac:dyDescent="0.25">
      <c r="A62" t="s">
        <v>43</v>
      </c>
      <c r="B62">
        <v>41112</v>
      </c>
      <c r="C62">
        <v>3932</v>
      </c>
      <c r="D62">
        <v>1346</v>
      </c>
      <c r="E62">
        <v>720</v>
      </c>
      <c r="F62">
        <v>50</v>
      </c>
      <c r="G62">
        <v>36000</v>
      </c>
      <c r="H62">
        <v>855</v>
      </c>
      <c r="I62">
        <v>1150830</v>
      </c>
      <c r="J62">
        <v>1765.4919786096257</v>
      </c>
      <c r="K62">
        <v>2376352.2032085559</v>
      </c>
      <c r="L62">
        <v>0.17</v>
      </c>
      <c r="M62">
        <v>228.82000000000002</v>
      </c>
      <c r="N62">
        <v>1877</v>
      </c>
      <c r="O62">
        <v>429495.14</v>
      </c>
      <c r="P62">
        <v>3956677.3432085561</v>
      </c>
      <c r="Q62">
        <v>395667.73432085558</v>
      </c>
      <c r="R62">
        <v>384143.43137947144</v>
      </c>
      <c r="S62">
        <v>372954.78774705966</v>
      </c>
      <c r="T62">
        <v>362092.0269388929</v>
      </c>
      <c r="U62">
        <v>351545.65722222615</v>
      </c>
      <c r="V62">
        <v>341306.46332254965</v>
      </c>
      <c r="W62">
        <v>331365.49837140739</v>
      </c>
      <c r="X62">
        <v>321714.07608874503</v>
      </c>
      <c r="Y62">
        <v>312343.76319295634</v>
      </c>
      <c r="Z62">
        <v>303246.37203199649</v>
      </c>
      <c r="AA62">
        <v>3476379.8106161607</v>
      </c>
      <c r="AB62">
        <v>59</v>
      </c>
      <c r="AC62">
        <v>50</v>
      </c>
      <c r="AD62">
        <v>852</v>
      </c>
      <c r="AE62">
        <v>50268</v>
      </c>
      <c r="AF62">
        <v>1765.4919786096257</v>
      </c>
      <c r="AG62">
        <v>104164.02673796791</v>
      </c>
      <c r="AH62">
        <v>0.17</v>
      </c>
      <c r="AI62">
        <v>10.030000000000001</v>
      </c>
      <c r="AJ62">
        <v>1710</v>
      </c>
      <c r="AK62">
        <v>17151.300000000003</v>
      </c>
      <c r="AL62">
        <v>171583.3267379679</v>
      </c>
      <c r="AM62">
        <v>171583.3267379679</v>
      </c>
      <c r="AN62">
        <v>166585.75411453194</v>
      </c>
      <c r="AO62">
        <v>161733.74185876889</v>
      </c>
      <c r="AP62">
        <v>157023.05034831932</v>
      </c>
      <c r="AQ62">
        <v>152449.5634449702</v>
      </c>
      <c r="AR62">
        <v>148009.28489802932</v>
      </c>
      <c r="AS62">
        <v>143698.33485245565</v>
      </c>
      <c r="AT62">
        <v>139512.94645869482</v>
      </c>
      <c r="AU62">
        <v>135449.4625812571</v>
      </c>
      <c r="AV62">
        <v>131504.33260316224</v>
      </c>
      <c r="AW62">
        <v>1507549.797898157</v>
      </c>
      <c r="AX62">
        <v>2.2521980277862932</v>
      </c>
      <c r="AY62">
        <v>96.566105850448906</v>
      </c>
    </row>
    <row r="63" spans="1:51" x14ac:dyDescent="0.25">
      <c r="A63" t="s">
        <v>44</v>
      </c>
      <c r="B63">
        <v>525550</v>
      </c>
      <c r="C63">
        <v>58350</v>
      </c>
      <c r="D63">
        <v>30774</v>
      </c>
      <c r="E63">
        <v>17291</v>
      </c>
      <c r="F63">
        <v>50</v>
      </c>
      <c r="G63">
        <v>864550</v>
      </c>
      <c r="H63">
        <v>856</v>
      </c>
      <c r="I63">
        <v>26342544</v>
      </c>
      <c r="J63">
        <v>1765.4919786096257</v>
      </c>
      <c r="K63">
        <v>54331250.14973262</v>
      </c>
      <c r="L63">
        <v>0.17</v>
      </c>
      <c r="M63">
        <v>5231.58</v>
      </c>
      <c r="N63">
        <v>1877</v>
      </c>
      <c r="O63">
        <v>9819675.6600000001</v>
      </c>
      <c r="P63">
        <v>90493469.809732616</v>
      </c>
      <c r="Q63">
        <v>9049346.9809732623</v>
      </c>
      <c r="R63">
        <v>8785773.7679352071</v>
      </c>
      <c r="S63">
        <v>8529877.4445972871</v>
      </c>
      <c r="T63">
        <v>8281434.4122303762</v>
      </c>
      <c r="U63">
        <v>8040227.5846896861</v>
      </c>
      <c r="V63">
        <v>7806046.1987278508</v>
      </c>
      <c r="W63">
        <v>7578685.6298328647</v>
      </c>
      <c r="X63">
        <v>7357947.213429966</v>
      </c>
      <c r="Y63">
        <v>7143638.0712912288</v>
      </c>
      <c r="Z63">
        <v>6935570.943001193</v>
      </c>
      <c r="AA63">
        <v>79508548.24670893</v>
      </c>
      <c r="AB63">
        <v>70</v>
      </c>
      <c r="AC63">
        <v>50</v>
      </c>
      <c r="AD63">
        <v>852</v>
      </c>
      <c r="AE63">
        <v>59640</v>
      </c>
      <c r="AF63">
        <v>1765.4919786096257</v>
      </c>
      <c r="AG63">
        <v>123584.4385026738</v>
      </c>
      <c r="AH63">
        <v>0.17</v>
      </c>
      <c r="AI63">
        <v>11.9</v>
      </c>
      <c r="AJ63">
        <v>1710</v>
      </c>
      <c r="AK63">
        <v>20349</v>
      </c>
      <c r="AL63">
        <v>203573.43850267382</v>
      </c>
      <c r="AM63">
        <v>203573.43850267382</v>
      </c>
      <c r="AN63">
        <v>197644.11505113964</v>
      </c>
      <c r="AO63">
        <v>191887.49034091225</v>
      </c>
      <c r="AP63">
        <v>186298.53431156531</v>
      </c>
      <c r="AQ63">
        <v>180872.36340928671</v>
      </c>
      <c r="AR63">
        <v>175604.23631969586</v>
      </c>
      <c r="AS63">
        <v>170489.54982494743</v>
      </c>
      <c r="AT63">
        <v>165523.83478150234</v>
      </c>
      <c r="AU63">
        <v>160702.75221505083</v>
      </c>
      <c r="AV63">
        <v>156022.08952917557</v>
      </c>
      <c r="AW63">
        <v>1788618.4042859499</v>
      </c>
      <c r="AX63">
        <v>29.967396007833571</v>
      </c>
      <c r="AY63">
        <v>91.965240005446688</v>
      </c>
    </row>
    <row r="64" spans="1:51" x14ac:dyDescent="0.25">
      <c r="A64" t="s">
        <v>50</v>
      </c>
      <c r="B64">
        <v>32151</v>
      </c>
      <c r="C64">
        <v>3197</v>
      </c>
      <c r="D64">
        <v>1265</v>
      </c>
      <c r="E64">
        <v>685</v>
      </c>
      <c r="F64">
        <v>50</v>
      </c>
      <c r="G64">
        <v>34250</v>
      </c>
      <c r="H64">
        <v>857</v>
      </c>
      <c r="I64">
        <v>1084105</v>
      </c>
      <c r="J64">
        <v>1765.4919786096257</v>
      </c>
      <c r="K64">
        <v>2233347.3529411764</v>
      </c>
      <c r="L64">
        <v>0.17</v>
      </c>
      <c r="M64">
        <v>215.05</v>
      </c>
      <c r="N64">
        <v>1877</v>
      </c>
      <c r="O64">
        <v>403648.85000000003</v>
      </c>
      <c r="P64">
        <v>3721101.2029411765</v>
      </c>
      <c r="Q64">
        <v>372110.12029411766</v>
      </c>
      <c r="R64">
        <v>361271.96145059966</v>
      </c>
      <c r="S64">
        <v>350749.47713650455</v>
      </c>
      <c r="T64">
        <v>340533.47294806264</v>
      </c>
      <c r="U64">
        <v>330615.0222796725</v>
      </c>
      <c r="V64">
        <v>320985.45852395392</v>
      </c>
      <c r="W64">
        <v>311636.36749898439</v>
      </c>
      <c r="X64">
        <v>302559.58009610133</v>
      </c>
      <c r="Y64">
        <v>293747.16514184594</v>
      </c>
      <c r="Z64">
        <v>285191.42246781162</v>
      </c>
      <c r="AA64">
        <v>3269400.0478376546</v>
      </c>
      <c r="AB64">
        <v>50</v>
      </c>
      <c r="AC64">
        <v>50</v>
      </c>
      <c r="AD64">
        <v>852</v>
      </c>
      <c r="AE64">
        <v>42600</v>
      </c>
      <c r="AF64">
        <v>1765.4919786096257</v>
      </c>
      <c r="AG64">
        <v>88274.598930481283</v>
      </c>
      <c r="AH64">
        <v>0.17</v>
      </c>
      <c r="AI64">
        <v>8.5</v>
      </c>
      <c r="AJ64">
        <v>1710</v>
      </c>
      <c r="AK64">
        <v>14535</v>
      </c>
      <c r="AL64">
        <v>145409.5989304813</v>
      </c>
      <c r="AM64">
        <v>145409.5989304813</v>
      </c>
      <c r="AN64">
        <v>141174.36789367115</v>
      </c>
      <c r="AO64">
        <v>137062.49310065163</v>
      </c>
      <c r="AP64">
        <v>133070.38165111808</v>
      </c>
      <c r="AQ64">
        <v>129194.54529234766</v>
      </c>
      <c r="AR64">
        <v>125431.59737121132</v>
      </c>
      <c r="AS64">
        <v>121778.24987496245</v>
      </c>
      <c r="AT64">
        <v>118231.31055821596</v>
      </c>
      <c r="AU64">
        <v>114787.68015360773</v>
      </c>
      <c r="AV64">
        <v>111444.34966369683</v>
      </c>
      <c r="AW64">
        <v>1277584.5744899642</v>
      </c>
      <c r="AX64">
        <v>2.4922350053998108</v>
      </c>
      <c r="AY64">
        <v>95.45693570328919</v>
      </c>
    </row>
    <row r="65" spans="1:51" x14ac:dyDescent="0.25">
      <c r="A65" t="s">
        <v>45</v>
      </c>
      <c r="B65">
        <v>60120</v>
      </c>
      <c r="C65">
        <v>6075</v>
      </c>
      <c r="D65">
        <v>2530</v>
      </c>
      <c r="E65">
        <v>1378</v>
      </c>
      <c r="F65">
        <v>50</v>
      </c>
      <c r="G65">
        <v>68900</v>
      </c>
      <c r="H65">
        <v>858</v>
      </c>
      <c r="I65">
        <v>2170740</v>
      </c>
      <c r="J65">
        <v>1765.4919786096257</v>
      </c>
      <c r="K65">
        <v>4466694.7058823528</v>
      </c>
      <c r="L65">
        <v>0.17</v>
      </c>
      <c r="M65">
        <v>430.1</v>
      </c>
      <c r="N65">
        <v>1877</v>
      </c>
      <c r="O65">
        <v>807297.70000000007</v>
      </c>
      <c r="P65">
        <v>7444732.405882353</v>
      </c>
      <c r="Q65">
        <v>744473.24058823532</v>
      </c>
      <c r="R65">
        <v>722789.55396916054</v>
      </c>
      <c r="S65">
        <v>701737.43103801995</v>
      </c>
      <c r="T65">
        <v>681298.47673594172</v>
      </c>
      <c r="U65">
        <v>661454.83178246766</v>
      </c>
      <c r="V65">
        <v>642189.157070357</v>
      </c>
      <c r="W65">
        <v>623484.61851490976</v>
      </c>
      <c r="X65">
        <v>605324.87234457245</v>
      </c>
      <c r="Y65">
        <v>587694.05081997334</v>
      </c>
      <c r="Z65">
        <v>570576.74836890609</v>
      </c>
      <c r="AA65">
        <v>6541022.9812325425</v>
      </c>
      <c r="AB65">
        <v>58</v>
      </c>
      <c r="AC65">
        <v>50</v>
      </c>
      <c r="AD65">
        <v>852</v>
      </c>
      <c r="AE65">
        <v>49416</v>
      </c>
      <c r="AF65">
        <v>1765.4919786096257</v>
      </c>
      <c r="AG65">
        <v>102398.53475935828</v>
      </c>
      <c r="AH65">
        <v>0.17</v>
      </c>
      <c r="AI65">
        <v>9.8600000000000012</v>
      </c>
      <c r="AJ65">
        <v>1710</v>
      </c>
      <c r="AK65">
        <v>16860.600000000002</v>
      </c>
      <c r="AL65">
        <v>168675.13475935828</v>
      </c>
      <c r="AM65">
        <v>168675.13475935828</v>
      </c>
      <c r="AN65">
        <v>163762.26675665853</v>
      </c>
      <c r="AO65">
        <v>158992.49199675585</v>
      </c>
      <c r="AP65">
        <v>154361.64271529694</v>
      </c>
      <c r="AQ65">
        <v>149865.67253912325</v>
      </c>
      <c r="AR65">
        <v>145500.65295060512</v>
      </c>
      <c r="AS65">
        <v>141262.76985495642</v>
      </c>
      <c r="AT65">
        <v>137148.3202475305</v>
      </c>
      <c r="AU65">
        <v>133153.70897818494</v>
      </c>
      <c r="AV65">
        <v>129275.44560988829</v>
      </c>
      <c r="AW65">
        <v>1481998.1064083581</v>
      </c>
      <c r="AX65">
        <v>4.2175710668578654</v>
      </c>
      <c r="AY65">
        <v>94.935021498295242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>
      <pane ySplit="765" activePane="bottomLeft"/>
      <selection pane="bottomLeft" activeCell="D23" sqref="D23:D43"/>
    </sheetView>
  </sheetViews>
  <sheetFormatPr defaultRowHeight="15" x14ac:dyDescent="0.25"/>
  <cols>
    <col min="1" max="1" width="19.42578125" bestFit="1" customWidth="1"/>
    <col min="2" max="2" width="8.7109375" bestFit="1" customWidth="1"/>
    <col min="3" max="3" width="17.5703125" bestFit="1" customWidth="1"/>
    <col min="4" max="4" width="14.5703125" bestFit="1" customWidth="1"/>
    <col min="5" max="5" width="22.85546875" bestFit="1" customWidth="1"/>
    <col min="6" max="6" width="16.85546875" bestFit="1" customWidth="1"/>
    <col min="7" max="7" width="24.28515625" bestFit="1" customWidth="1"/>
    <col min="8" max="8" width="20.85546875" bestFit="1" customWidth="1"/>
    <col min="9" max="9" width="33.85546875" bestFit="1" customWidth="1"/>
    <col min="10" max="10" width="36.140625" bestFit="1" customWidth="1"/>
    <col min="11" max="11" width="12" bestFit="1" customWidth="1"/>
  </cols>
  <sheetData>
    <row r="1" spans="1:11" x14ac:dyDescent="0.25">
      <c r="A1" t="s">
        <v>33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65</v>
      </c>
    </row>
    <row r="2" spans="1:11" x14ac:dyDescent="0.25">
      <c r="A2" t="s">
        <v>34</v>
      </c>
      <c r="B2" s="7">
        <v>17920</v>
      </c>
      <c r="C2" s="7">
        <v>896000</v>
      </c>
      <c r="D2" s="7">
        <v>26547468</v>
      </c>
      <c r="E2" s="7">
        <v>55010964.561497323</v>
      </c>
      <c r="F2" s="7">
        <v>5297.0300000000007</v>
      </c>
      <c r="G2" s="7">
        <v>9057921.3000000007</v>
      </c>
      <c r="H2" s="7">
        <v>79616515.513065577</v>
      </c>
      <c r="I2" s="7">
        <v>82</v>
      </c>
      <c r="J2" s="7">
        <v>2095238.702163541</v>
      </c>
      <c r="K2" s="10">
        <v>26.616570404588419</v>
      </c>
    </row>
    <row r="3" spans="1:11" x14ac:dyDescent="0.25">
      <c r="A3" t="s">
        <v>52</v>
      </c>
      <c r="B3" s="7">
        <v>4585</v>
      </c>
      <c r="C3" s="7">
        <v>229250</v>
      </c>
      <c r="D3" s="7">
        <v>7188324</v>
      </c>
      <c r="E3" s="7">
        <v>14895455.823529411</v>
      </c>
      <c r="F3" s="7">
        <v>1434.2900000000002</v>
      </c>
      <c r="G3" s="7">
        <v>2452635.9000000004</v>
      </c>
      <c r="H3" s="7">
        <v>21557962.109943651</v>
      </c>
      <c r="I3" s="7">
        <v>71</v>
      </c>
      <c r="J3" s="7">
        <v>1814170.0957757486</v>
      </c>
      <c r="K3" s="10">
        <v>10.549941323621734</v>
      </c>
    </row>
    <row r="4" spans="1:11" x14ac:dyDescent="0.25">
      <c r="A4" t="s">
        <v>35</v>
      </c>
      <c r="B4" s="7">
        <v>13687</v>
      </c>
      <c r="C4" s="7">
        <v>684350</v>
      </c>
      <c r="D4" s="7">
        <v>21040140</v>
      </c>
      <c r="E4" s="7">
        <v>43598824.411764704</v>
      </c>
      <c r="F4" s="7">
        <v>4198.1500000000005</v>
      </c>
      <c r="G4" s="7">
        <v>7178836.5000000009</v>
      </c>
      <c r="H4" s="7">
        <v>63099902.13405931</v>
      </c>
      <c r="I4" s="7">
        <v>62</v>
      </c>
      <c r="J4" s="7">
        <v>1584204.8723675553</v>
      </c>
      <c r="K4" s="10">
        <v>27.815021317163779</v>
      </c>
    </row>
    <row r="5" spans="1:11" x14ac:dyDescent="0.25">
      <c r="A5" t="s">
        <v>53</v>
      </c>
      <c r="B5" s="7">
        <v>10461</v>
      </c>
      <c r="C5" s="7">
        <v>523050</v>
      </c>
      <c r="D5" s="7">
        <v>15679356</v>
      </c>
      <c r="E5" s="7">
        <v>32490348.882352941</v>
      </c>
      <c r="F5" s="7">
        <v>3128.51</v>
      </c>
      <c r="G5" s="7">
        <v>5349752.1000000006</v>
      </c>
      <c r="H5" s="7">
        <v>47022777.848677605</v>
      </c>
      <c r="I5" s="7">
        <v>96</v>
      </c>
      <c r="J5" s="7">
        <v>2452962.3830207312</v>
      </c>
      <c r="K5" s="10">
        <v>15.800598854010225</v>
      </c>
    </row>
    <row r="6" spans="1:11" x14ac:dyDescent="0.25">
      <c r="A6" t="s">
        <v>46</v>
      </c>
      <c r="B6" s="7">
        <v>18880</v>
      </c>
      <c r="C6" s="7">
        <v>944000</v>
      </c>
      <c r="D6" s="7">
        <v>28033356</v>
      </c>
      <c r="E6" s="7">
        <v>58089982.572192512</v>
      </c>
      <c r="F6" s="7">
        <v>5593.51</v>
      </c>
      <c r="G6" s="7">
        <v>9564902.0999999996</v>
      </c>
      <c r="H6" s="7">
        <v>84072730.508886561</v>
      </c>
      <c r="I6" s="7">
        <v>50</v>
      </c>
      <c r="J6" s="7">
        <v>1277584.5744899642</v>
      </c>
      <c r="K6" s="10">
        <v>37.843587624021986</v>
      </c>
    </row>
    <row r="7" spans="1:11" x14ac:dyDescent="0.25">
      <c r="A7" t="s">
        <v>47</v>
      </c>
      <c r="B7" s="7">
        <v>3751</v>
      </c>
      <c r="C7" s="7">
        <v>187550</v>
      </c>
      <c r="D7" s="7">
        <v>5832792</v>
      </c>
      <c r="E7" s="7">
        <v>12086558.085561497</v>
      </c>
      <c r="F7" s="7">
        <v>1163.8200000000002</v>
      </c>
      <c r="G7" s="7">
        <v>1990132.2000000002</v>
      </c>
      <c r="H7" s="7">
        <v>17492687.993916586</v>
      </c>
      <c r="I7" s="7">
        <v>56</v>
      </c>
      <c r="J7" s="7">
        <v>1430894.7234287597</v>
      </c>
      <c r="K7" s="10">
        <v>10.808332061448112</v>
      </c>
    </row>
    <row r="8" spans="1:11" x14ac:dyDescent="0.25">
      <c r="A8" t="s">
        <v>48</v>
      </c>
      <c r="B8" s="7">
        <v>4388</v>
      </c>
      <c r="C8" s="7">
        <v>219400</v>
      </c>
      <c r="D8" s="7">
        <v>6676272</v>
      </c>
      <c r="E8" s="7">
        <v>13834395.144385027</v>
      </c>
      <c r="F8" s="7">
        <v>1332.1200000000001</v>
      </c>
      <c r="G8" s="7">
        <v>2277925.2000000002</v>
      </c>
      <c r="H8" s="7">
        <v>20022305.45140671</v>
      </c>
      <c r="I8" s="7">
        <v>86</v>
      </c>
      <c r="J8" s="7">
        <v>2197445.4681227384</v>
      </c>
      <c r="K8" s="10">
        <v>8.2844789687603999</v>
      </c>
    </row>
    <row r="9" spans="1:11" x14ac:dyDescent="0.25">
      <c r="A9" t="s">
        <v>36</v>
      </c>
      <c r="B9" s="7">
        <v>2886</v>
      </c>
      <c r="C9" s="7">
        <v>144300</v>
      </c>
      <c r="D9" s="7">
        <v>4423584</v>
      </c>
      <c r="E9" s="7">
        <v>9166434.3529411759</v>
      </c>
      <c r="F9" s="7">
        <v>882.6400000000001</v>
      </c>
      <c r="G9" s="7">
        <v>1509314.4000000001</v>
      </c>
      <c r="H9" s="7">
        <v>13266438.221503789</v>
      </c>
      <c r="I9" s="7">
        <v>62</v>
      </c>
      <c r="J9" s="7">
        <v>1584204.8723675553</v>
      </c>
      <c r="K9" s="10">
        <v>7.6750944898018005</v>
      </c>
    </row>
    <row r="10" spans="1:11" x14ac:dyDescent="0.25">
      <c r="A10" t="s">
        <v>37</v>
      </c>
      <c r="B10" s="7">
        <v>4628</v>
      </c>
      <c r="C10" s="7">
        <v>231400</v>
      </c>
      <c r="D10" s="7">
        <v>7112496</v>
      </c>
      <c r="E10" s="7">
        <v>14738327.037433155</v>
      </c>
      <c r="F10" s="7">
        <v>1419.16</v>
      </c>
      <c r="G10" s="7">
        <v>2426763.6</v>
      </c>
      <c r="H10" s="7">
        <v>21330552.055684444</v>
      </c>
      <c r="I10" s="7">
        <v>75</v>
      </c>
      <c r="J10" s="7">
        <v>1916376.8617349463</v>
      </c>
      <c r="K10" s="10">
        <v>9.9314563052205997</v>
      </c>
    </row>
    <row r="11" spans="1:11" x14ac:dyDescent="0.25">
      <c r="A11" t="s">
        <v>49</v>
      </c>
      <c r="B11" s="7">
        <v>2356</v>
      </c>
      <c r="C11" s="7">
        <v>117800</v>
      </c>
      <c r="D11" s="7">
        <v>3758172</v>
      </c>
      <c r="E11" s="7">
        <v>7787585.1176470593</v>
      </c>
      <c r="F11" s="7">
        <v>749.87</v>
      </c>
      <c r="G11" s="7">
        <v>1282277.7</v>
      </c>
      <c r="H11" s="7">
        <v>11270851.116150461</v>
      </c>
      <c r="I11" s="7">
        <v>90</v>
      </c>
      <c r="J11" s="7">
        <v>2299652.2340819356</v>
      </c>
      <c r="K11" s="10">
        <v>4.6622849284262031</v>
      </c>
    </row>
    <row r="12" spans="1:11" x14ac:dyDescent="0.25">
      <c r="A12" t="s">
        <v>38</v>
      </c>
      <c r="B12" s="7">
        <v>3071</v>
      </c>
      <c r="C12" s="7">
        <v>153550</v>
      </c>
      <c r="D12" s="7">
        <v>4846176</v>
      </c>
      <c r="E12" s="7">
        <v>10042118.374331551</v>
      </c>
      <c r="F12" s="7">
        <v>966.96</v>
      </c>
      <c r="G12" s="7">
        <v>1653501.6</v>
      </c>
      <c r="H12" s="7">
        <v>14533802.119397828</v>
      </c>
      <c r="I12" s="7">
        <v>70</v>
      </c>
      <c r="J12" s="7">
        <v>1788618.4042859499</v>
      </c>
      <c r="K12" s="10">
        <v>7.4832862522759811</v>
      </c>
    </row>
    <row r="13" spans="1:11" x14ac:dyDescent="0.25">
      <c r="A13" t="s">
        <v>51</v>
      </c>
      <c r="B13" s="7">
        <v>893</v>
      </c>
      <c r="C13" s="7">
        <v>44650</v>
      </c>
      <c r="D13" s="7">
        <v>1429656</v>
      </c>
      <c r="E13" s="7">
        <v>2962495.5401069517</v>
      </c>
      <c r="F13" s="7">
        <v>285.26000000000005</v>
      </c>
      <c r="G13" s="7">
        <v>487794.60000000009</v>
      </c>
      <c r="H13" s="7">
        <v>4287573.8319883188</v>
      </c>
      <c r="I13" s="7">
        <v>72</v>
      </c>
      <c r="J13" s="7">
        <v>1839721.7872655482</v>
      </c>
      <c r="K13" s="10">
        <v>2.2753332760357807</v>
      </c>
    </row>
    <row r="14" spans="1:11" x14ac:dyDescent="0.25">
      <c r="A14" t="s">
        <v>39</v>
      </c>
      <c r="B14" s="7">
        <v>8371</v>
      </c>
      <c r="C14" s="7">
        <v>418550</v>
      </c>
      <c r="D14" s="7">
        <v>12877980</v>
      </c>
      <c r="E14" s="7">
        <v>26685411.256684493</v>
      </c>
      <c r="F14" s="7">
        <v>2569.5500000000002</v>
      </c>
      <c r="G14" s="7">
        <v>4393930.5</v>
      </c>
      <c r="H14" s="7">
        <v>38621381.686831616</v>
      </c>
      <c r="I14" s="7">
        <v>102</v>
      </c>
      <c r="J14" s="7">
        <v>2606272.5319595272</v>
      </c>
      <c r="K14" s="10">
        <v>12.768147975217602</v>
      </c>
    </row>
    <row r="15" spans="1:11" x14ac:dyDescent="0.25">
      <c r="A15" t="s">
        <v>40</v>
      </c>
      <c r="B15" s="7">
        <v>1359</v>
      </c>
      <c r="C15" s="7">
        <v>67950</v>
      </c>
      <c r="D15" s="7">
        <v>2071212</v>
      </c>
      <c r="E15" s="7">
        <v>4291911</v>
      </c>
      <c r="F15" s="7">
        <v>413.27000000000004</v>
      </c>
      <c r="G15" s="7">
        <v>706691.70000000007</v>
      </c>
      <c r="H15" s="7">
        <v>6211616.2011702042</v>
      </c>
      <c r="I15" s="7">
        <v>47</v>
      </c>
      <c r="J15" s="7">
        <v>1200929.5000205659</v>
      </c>
      <c r="K15" s="10">
        <v>4.8953554699792425</v>
      </c>
    </row>
    <row r="16" spans="1:11" x14ac:dyDescent="0.25">
      <c r="A16" t="s">
        <v>41</v>
      </c>
      <c r="B16" s="7">
        <v>2899</v>
      </c>
      <c r="C16" s="7">
        <v>144950</v>
      </c>
      <c r="D16" s="7">
        <v>4488486</v>
      </c>
      <c r="E16" s="7">
        <v>9290018.7914438508</v>
      </c>
      <c r="F16" s="7">
        <v>894.54000000000008</v>
      </c>
      <c r="G16" s="7">
        <v>1529663.4000000001</v>
      </c>
      <c r="H16" s="7">
        <v>13449923.312447073</v>
      </c>
      <c r="I16" s="7">
        <v>68</v>
      </c>
      <c r="J16" s="7">
        <v>1737515.0213063511</v>
      </c>
      <c r="K16" s="10">
        <v>7.1448463372314857</v>
      </c>
    </row>
    <row r="17" spans="1:47" x14ac:dyDescent="0.25">
      <c r="A17" t="s">
        <v>42</v>
      </c>
      <c r="B17" s="7">
        <v>11331</v>
      </c>
      <c r="C17" s="7">
        <v>566550</v>
      </c>
      <c r="D17" s="7">
        <v>17291792</v>
      </c>
      <c r="E17" s="7">
        <v>35747681.582887702</v>
      </c>
      <c r="F17" s="7">
        <v>3442.1600000000003</v>
      </c>
      <c r="G17" s="7">
        <v>5886093.6000000006</v>
      </c>
      <c r="H17" s="7">
        <v>51772645.155235618</v>
      </c>
      <c r="I17" s="7">
        <v>95</v>
      </c>
      <c r="J17" s="7">
        <v>2427410.6915309313</v>
      </c>
      <c r="K17" s="10">
        <v>17.292359683173462</v>
      </c>
    </row>
    <row r="18" spans="1:47" x14ac:dyDescent="0.25">
      <c r="A18" t="s">
        <v>43</v>
      </c>
      <c r="B18" s="7">
        <v>720</v>
      </c>
      <c r="C18" s="7">
        <v>36000</v>
      </c>
      <c r="D18" s="7">
        <v>1150830</v>
      </c>
      <c r="E18" s="7">
        <v>2376352.2032085559</v>
      </c>
      <c r="F18" s="7">
        <v>228.82000000000002</v>
      </c>
      <c r="G18" s="7">
        <v>391282.2</v>
      </c>
      <c r="H18" s="7">
        <v>3442805.5053096381</v>
      </c>
      <c r="I18" s="7">
        <v>59</v>
      </c>
      <c r="J18" s="7">
        <v>1507549.797898157</v>
      </c>
      <c r="K18" s="10">
        <v>2.2304466690985199</v>
      </c>
    </row>
    <row r="19" spans="1:47" x14ac:dyDescent="0.25">
      <c r="A19" t="s">
        <v>44</v>
      </c>
      <c r="B19" s="7">
        <v>17291</v>
      </c>
      <c r="C19" s="7">
        <v>864550</v>
      </c>
      <c r="D19" s="7">
        <v>26342544</v>
      </c>
      <c r="E19" s="7">
        <v>54331250.14973262</v>
      </c>
      <c r="F19" s="7">
        <v>5231.58</v>
      </c>
      <c r="G19" s="7">
        <v>8946001.8000000007</v>
      </c>
      <c r="H19" s="7">
        <v>78740928.877093077</v>
      </c>
      <c r="I19" s="7">
        <v>70</v>
      </c>
      <c r="J19" s="7">
        <v>1788618.4042859499</v>
      </c>
      <c r="K19" s="10">
        <v>29.678074241308749</v>
      </c>
    </row>
    <row r="20" spans="1:47" x14ac:dyDescent="0.25">
      <c r="A20" t="s">
        <v>50</v>
      </c>
      <c r="B20" s="7">
        <v>685</v>
      </c>
      <c r="C20" s="7">
        <v>34250</v>
      </c>
      <c r="D20" s="7">
        <v>1084105</v>
      </c>
      <c r="E20" s="7">
        <v>2233347.3529411764</v>
      </c>
      <c r="F20" s="7">
        <v>215.05</v>
      </c>
      <c r="G20" s="7">
        <v>367735.5</v>
      </c>
      <c r="H20" s="7">
        <v>3237846.1873526969</v>
      </c>
      <c r="I20" s="7">
        <v>50</v>
      </c>
      <c r="J20" s="7">
        <v>1277584.5744899642</v>
      </c>
      <c r="K20" s="10">
        <v>2.468181774071291</v>
      </c>
    </row>
    <row r="21" spans="1:47" x14ac:dyDescent="0.25">
      <c r="A21" t="s">
        <v>45</v>
      </c>
      <c r="B21" s="7">
        <v>1378</v>
      </c>
      <c r="C21" s="7">
        <v>68900</v>
      </c>
      <c r="D21" s="7">
        <v>2170740</v>
      </c>
      <c r="E21" s="7">
        <v>4466694.7058823528</v>
      </c>
      <c r="F21" s="7">
        <v>430.1</v>
      </c>
      <c r="G21" s="7">
        <v>735471</v>
      </c>
      <c r="H21" s="7">
        <v>6477915.2602626299</v>
      </c>
      <c r="I21" s="7">
        <v>58</v>
      </c>
      <c r="J21" s="7">
        <v>1481998.1064083581</v>
      </c>
      <c r="K21" s="10">
        <v>4.1768799855359209</v>
      </c>
    </row>
    <row r="23" spans="1:47" x14ac:dyDescent="0.25">
      <c r="A23" t="s">
        <v>33</v>
      </c>
      <c r="B23" t="s">
        <v>56</v>
      </c>
      <c r="C23" t="s">
        <v>59</v>
      </c>
      <c r="D23" t="s">
        <v>15</v>
      </c>
      <c r="E23" t="s">
        <v>63</v>
      </c>
      <c r="F23" t="s">
        <v>32</v>
      </c>
      <c r="G23" t="s">
        <v>64</v>
      </c>
      <c r="H23" t="s">
        <v>12</v>
      </c>
      <c r="I23" t="s">
        <v>60</v>
      </c>
      <c r="J23" t="s">
        <v>16</v>
      </c>
      <c r="K23" t="s">
        <v>61</v>
      </c>
      <c r="L23" t="s">
        <v>62</v>
      </c>
      <c r="M23">
        <v>0</v>
      </c>
      <c r="N23">
        <v>1</v>
      </c>
      <c r="O23">
        <v>2</v>
      </c>
      <c r="P23">
        <v>3</v>
      </c>
      <c r="Q23">
        <v>4</v>
      </c>
      <c r="R23">
        <v>5</v>
      </c>
      <c r="S23">
        <v>6</v>
      </c>
      <c r="T23">
        <v>7</v>
      </c>
      <c r="U23">
        <v>8</v>
      </c>
      <c r="V23">
        <v>9</v>
      </c>
      <c r="W23" t="s">
        <v>66</v>
      </c>
      <c r="X23" t="s">
        <v>69</v>
      </c>
      <c r="Y23" t="s">
        <v>58</v>
      </c>
      <c r="Z23" t="s">
        <v>15</v>
      </c>
      <c r="AA23" t="s">
        <v>63</v>
      </c>
      <c r="AB23" t="s">
        <v>32</v>
      </c>
      <c r="AC23" t="s">
        <v>64</v>
      </c>
      <c r="AD23" t="s">
        <v>12</v>
      </c>
      <c r="AE23" t="s">
        <v>60</v>
      </c>
      <c r="AF23" t="s">
        <v>16</v>
      </c>
      <c r="AG23" t="s">
        <v>61</v>
      </c>
      <c r="AH23" t="s">
        <v>62</v>
      </c>
      <c r="AI23">
        <v>0</v>
      </c>
      <c r="AJ23">
        <v>1</v>
      </c>
      <c r="AK23">
        <v>2</v>
      </c>
      <c r="AL23">
        <v>3</v>
      </c>
      <c r="AM23">
        <v>4</v>
      </c>
      <c r="AN23">
        <v>5</v>
      </c>
      <c r="AO23">
        <v>6</v>
      </c>
      <c r="AP23">
        <v>7</v>
      </c>
      <c r="AQ23">
        <v>8</v>
      </c>
      <c r="AR23">
        <v>9</v>
      </c>
      <c r="AS23" t="s">
        <v>66</v>
      </c>
      <c r="AT23" t="s">
        <v>65</v>
      </c>
      <c r="AU23" t="s">
        <v>65</v>
      </c>
    </row>
    <row r="24" spans="1:47" x14ac:dyDescent="0.25">
      <c r="A24" t="s">
        <v>34</v>
      </c>
      <c r="B24">
        <v>17920</v>
      </c>
      <c r="C24">
        <v>896000</v>
      </c>
      <c r="D24">
        <v>852</v>
      </c>
      <c r="E24">
        <v>26547468</v>
      </c>
      <c r="F24">
        <v>1765.4919786096257</v>
      </c>
      <c r="G24">
        <v>55010964.561497323</v>
      </c>
      <c r="H24">
        <v>0.17</v>
      </c>
      <c r="I24">
        <v>5297.0300000000007</v>
      </c>
      <c r="J24">
        <v>1877</v>
      </c>
      <c r="K24">
        <v>9942525.3100000005</v>
      </c>
      <c r="L24">
        <v>91500957.871497333</v>
      </c>
      <c r="M24">
        <v>9150095.7871497329</v>
      </c>
      <c r="N24">
        <v>8883588.1428638194</v>
      </c>
      <c r="O24">
        <v>8624842.8571493383</v>
      </c>
      <c r="P24">
        <v>8373633.8418925619</v>
      </c>
      <c r="Q24">
        <v>8129741.5940704485</v>
      </c>
      <c r="R24">
        <v>7892953.0039518923</v>
      </c>
      <c r="S24">
        <v>7663061.1688853325</v>
      </c>
      <c r="T24">
        <v>7439865.2125100307</v>
      </c>
      <c r="U24">
        <v>7223170.1092330394</v>
      </c>
      <c r="V24">
        <v>7012786.5138184857</v>
      </c>
      <c r="W24">
        <v>80393738.231524691</v>
      </c>
      <c r="X24">
        <v>82</v>
      </c>
      <c r="Y24">
        <v>50</v>
      </c>
      <c r="Z24">
        <v>852</v>
      </c>
      <c r="AA24">
        <v>69864</v>
      </c>
      <c r="AB24">
        <v>1765.4919786096257</v>
      </c>
      <c r="AC24">
        <v>144770.3422459893</v>
      </c>
      <c r="AD24">
        <v>0.17</v>
      </c>
      <c r="AE24">
        <v>13.940000000000001</v>
      </c>
      <c r="AF24">
        <v>1710</v>
      </c>
      <c r="AG24">
        <v>23837.4</v>
      </c>
      <c r="AH24">
        <v>238471.7422459893</v>
      </c>
      <c r="AI24">
        <v>238471.7422459893</v>
      </c>
      <c r="AJ24">
        <v>231525.96334562069</v>
      </c>
      <c r="AK24">
        <v>224782.48868506862</v>
      </c>
      <c r="AL24">
        <v>218235.42590783362</v>
      </c>
      <c r="AM24">
        <v>211879.05427945012</v>
      </c>
      <c r="AN24">
        <v>205707.81968878655</v>
      </c>
      <c r="AO24">
        <v>199716.32979493839</v>
      </c>
      <c r="AP24">
        <v>193899.34931547416</v>
      </c>
      <c r="AQ24">
        <v>188251.79545191664</v>
      </c>
      <c r="AR24">
        <v>182768.73344846276</v>
      </c>
      <c r="AS24">
        <v>2095238.702163541</v>
      </c>
      <c r="AT24">
        <v>26.876403469029903</v>
      </c>
      <c r="AU24">
        <v>89.725154276255239</v>
      </c>
    </row>
    <row r="25" spans="1:47" x14ac:dyDescent="0.25">
      <c r="A25" t="s">
        <v>52</v>
      </c>
      <c r="B25">
        <v>4585</v>
      </c>
      <c r="C25">
        <v>229250</v>
      </c>
      <c r="D25">
        <v>852</v>
      </c>
      <c r="E25">
        <v>7188324</v>
      </c>
      <c r="F25">
        <v>1765.4919786096257</v>
      </c>
      <c r="G25">
        <v>14895455.823529411</v>
      </c>
      <c r="H25">
        <v>0.17</v>
      </c>
      <c r="I25">
        <v>1434.2900000000002</v>
      </c>
      <c r="J25">
        <v>1877</v>
      </c>
      <c r="K25">
        <v>2692162.3300000005</v>
      </c>
      <c r="L25">
        <v>24775942.153529413</v>
      </c>
      <c r="M25">
        <v>2477594.2153529413</v>
      </c>
      <c r="N25">
        <v>2405431.2770416904</v>
      </c>
      <c r="O25">
        <v>2335370.1718851365</v>
      </c>
      <c r="P25">
        <v>2267349.6814418803</v>
      </c>
      <c r="Q25">
        <v>2201310.3703319225</v>
      </c>
      <c r="R25">
        <v>2137194.5343028377</v>
      </c>
      <c r="S25">
        <v>2074946.1498085801</v>
      </c>
      <c r="T25">
        <v>2014510.8250568737</v>
      </c>
      <c r="U25">
        <v>1955835.7524824017</v>
      </c>
      <c r="V25">
        <v>1898869.6626042735</v>
      </c>
      <c r="W25">
        <v>21768412.64030854</v>
      </c>
      <c r="X25">
        <v>71</v>
      </c>
      <c r="Y25">
        <v>50</v>
      </c>
      <c r="Z25">
        <v>852</v>
      </c>
      <c r="AA25">
        <v>60492</v>
      </c>
      <c r="AB25">
        <v>1765.4919786096257</v>
      </c>
      <c r="AC25">
        <v>125349.93048128342</v>
      </c>
      <c r="AD25">
        <v>0.17</v>
      </c>
      <c r="AE25">
        <v>12.07</v>
      </c>
      <c r="AF25">
        <v>1710</v>
      </c>
      <c r="AG25">
        <v>20639.7</v>
      </c>
      <c r="AH25">
        <v>206481.63048128341</v>
      </c>
      <c r="AI25">
        <v>206481.63048128341</v>
      </c>
      <c r="AJ25">
        <v>200467.60240901302</v>
      </c>
      <c r="AK25">
        <v>194628.74020292526</v>
      </c>
      <c r="AL25">
        <v>188959.94194458766</v>
      </c>
      <c r="AM25">
        <v>183456.25431513364</v>
      </c>
      <c r="AN25">
        <v>178112.86826712004</v>
      </c>
      <c r="AO25">
        <v>172925.11482244666</v>
      </c>
      <c r="AP25">
        <v>167888.46099266663</v>
      </c>
      <c r="AQ25">
        <v>162998.50581812294</v>
      </c>
      <c r="AR25">
        <v>158250.97652244946</v>
      </c>
      <c r="AS25">
        <v>1814170.0957757486</v>
      </c>
      <c r="AT25">
        <v>10.652930684840184</v>
      </c>
      <c r="AU25">
        <v>94.954907918466915</v>
      </c>
    </row>
    <row r="26" spans="1:47" x14ac:dyDescent="0.25">
      <c r="A26" t="s">
        <v>35</v>
      </c>
      <c r="B26">
        <v>13687</v>
      </c>
      <c r="C26">
        <v>684350</v>
      </c>
      <c r="D26">
        <v>852</v>
      </c>
      <c r="E26">
        <v>21040140</v>
      </c>
      <c r="F26">
        <v>1765.4919786096257</v>
      </c>
      <c r="G26">
        <v>43598824.411764704</v>
      </c>
      <c r="H26">
        <v>0.17</v>
      </c>
      <c r="I26">
        <v>4198.1500000000005</v>
      </c>
      <c r="J26">
        <v>1877</v>
      </c>
      <c r="K26">
        <v>7879927.5500000007</v>
      </c>
      <c r="L26">
        <v>72518891.961764708</v>
      </c>
      <c r="M26">
        <v>7251889.1961764712</v>
      </c>
      <c r="N26">
        <v>7040669.1225014282</v>
      </c>
      <c r="O26">
        <v>6835601.0898072124</v>
      </c>
      <c r="P26">
        <v>6636505.9124341868</v>
      </c>
      <c r="Q26">
        <v>6443209.6237225113</v>
      </c>
      <c r="R26">
        <v>6255543.3240024392</v>
      </c>
      <c r="S26">
        <v>6073343.0330120763</v>
      </c>
      <c r="T26">
        <v>5896449.5466136662</v>
      </c>
      <c r="U26">
        <v>5724708.297683171</v>
      </c>
      <c r="V26">
        <v>5557969.2210516222</v>
      </c>
      <c r="W26">
        <v>63715888.367004782</v>
      </c>
      <c r="X26">
        <v>62</v>
      </c>
      <c r="Y26">
        <v>50</v>
      </c>
      <c r="Z26">
        <v>852</v>
      </c>
      <c r="AA26">
        <v>52824</v>
      </c>
      <c r="AB26">
        <v>1765.4919786096257</v>
      </c>
      <c r="AC26">
        <v>109460.50267379679</v>
      </c>
      <c r="AD26">
        <v>0.17</v>
      </c>
      <c r="AE26">
        <v>10.540000000000001</v>
      </c>
      <c r="AF26">
        <v>1710</v>
      </c>
      <c r="AG26">
        <v>18023.400000000001</v>
      </c>
      <c r="AH26">
        <v>180307.90267379678</v>
      </c>
      <c r="AI26">
        <v>180307.90267379678</v>
      </c>
      <c r="AJ26">
        <v>175056.2161881522</v>
      </c>
      <c r="AK26">
        <v>169957.49144480797</v>
      </c>
      <c r="AL26">
        <v>165007.27324738639</v>
      </c>
      <c r="AM26">
        <v>160201.23616251108</v>
      </c>
      <c r="AN26">
        <v>155535.18074030202</v>
      </c>
      <c r="AO26">
        <v>151005.02984495342</v>
      </c>
      <c r="AP26">
        <v>146606.82509218776</v>
      </c>
      <c r="AQ26">
        <v>142336.72339047355</v>
      </c>
      <c r="AR26">
        <v>138190.99358298405</v>
      </c>
      <c r="AS26">
        <v>1584204.8723675553</v>
      </c>
      <c r="AT26">
        <v>28.086553754156412</v>
      </c>
      <c r="AU26">
        <v>93.104242517724529</v>
      </c>
    </row>
    <row r="27" spans="1:47" x14ac:dyDescent="0.25">
      <c r="A27" t="s">
        <v>53</v>
      </c>
      <c r="B27">
        <v>10461</v>
      </c>
      <c r="C27">
        <v>523050</v>
      </c>
      <c r="D27">
        <v>852</v>
      </c>
      <c r="E27">
        <v>15679356</v>
      </c>
      <c r="F27">
        <v>1765.4919786096257</v>
      </c>
      <c r="G27">
        <v>32490348.882352941</v>
      </c>
      <c r="H27">
        <v>0.17</v>
      </c>
      <c r="I27">
        <v>3128.51</v>
      </c>
      <c r="J27">
        <v>1877</v>
      </c>
      <c r="K27">
        <v>5872213.2700000005</v>
      </c>
      <c r="L27">
        <v>54041918.152352944</v>
      </c>
      <c r="M27">
        <v>5404191.8152352944</v>
      </c>
      <c r="N27">
        <v>5246788.1701313537</v>
      </c>
      <c r="O27">
        <v>5093969.0972149065</v>
      </c>
      <c r="P27">
        <v>4945601.0652571907</v>
      </c>
      <c r="Q27">
        <v>4801554.4322885349</v>
      </c>
      <c r="R27">
        <v>4661703.3323189663</v>
      </c>
      <c r="S27">
        <v>4525925.5653582197</v>
      </c>
      <c r="T27">
        <v>4394102.4906390477</v>
      </c>
      <c r="U27">
        <v>4266118.9229505323</v>
      </c>
      <c r="V27">
        <v>4141863.031990808</v>
      </c>
      <c r="W27">
        <v>47481817.92338486</v>
      </c>
      <c r="X27">
        <v>96</v>
      </c>
      <c r="Y27">
        <v>50</v>
      </c>
      <c r="Z27">
        <v>852</v>
      </c>
      <c r="AA27">
        <v>81792</v>
      </c>
      <c r="AB27">
        <v>1765.4919786096257</v>
      </c>
      <c r="AC27">
        <v>169487.22994652408</v>
      </c>
      <c r="AD27">
        <v>0.17</v>
      </c>
      <c r="AE27">
        <v>16.32</v>
      </c>
      <c r="AF27">
        <v>1710</v>
      </c>
      <c r="AG27">
        <v>27907.200000000001</v>
      </c>
      <c r="AH27">
        <v>279186.42994652409</v>
      </c>
      <c r="AI27">
        <v>279186.42994652409</v>
      </c>
      <c r="AJ27">
        <v>271054.78635584866</v>
      </c>
      <c r="AK27">
        <v>263159.98675325111</v>
      </c>
      <c r="AL27">
        <v>255495.13277014671</v>
      </c>
      <c r="AM27">
        <v>248053.52696130751</v>
      </c>
      <c r="AN27">
        <v>240828.66695272573</v>
      </c>
      <c r="AO27">
        <v>233814.23975992791</v>
      </c>
      <c r="AP27">
        <v>227004.11627177463</v>
      </c>
      <c r="AQ27">
        <v>220392.34589492684</v>
      </c>
      <c r="AR27">
        <v>213973.15135429791</v>
      </c>
      <c r="AS27">
        <v>2452962.3830207312</v>
      </c>
      <c r="AT27">
        <v>15.954845549126903</v>
      </c>
      <c r="AU27">
        <v>90.778736112006229</v>
      </c>
    </row>
    <row r="28" spans="1:47" x14ac:dyDescent="0.25">
      <c r="A28" t="s">
        <v>46</v>
      </c>
      <c r="B28">
        <v>18880</v>
      </c>
      <c r="C28">
        <v>944000</v>
      </c>
      <c r="D28">
        <v>852</v>
      </c>
      <c r="E28">
        <v>28033356</v>
      </c>
      <c r="F28">
        <v>1765.4919786096257</v>
      </c>
      <c r="G28">
        <v>58089982.572192512</v>
      </c>
      <c r="H28">
        <v>0.17</v>
      </c>
      <c r="I28">
        <v>5593.51</v>
      </c>
      <c r="J28">
        <v>1877</v>
      </c>
      <c r="K28">
        <v>10499018.27</v>
      </c>
      <c r="L28">
        <v>96622356.842192516</v>
      </c>
      <c r="M28">
        <v>9662235.6842192523</v>
      </c>
      <c r="N28">
        <v>9380811.3439021874</v>
      </c>
      <c r="O28">
        <v>9107583.8290312495</v>
      </c>
      <c r="P28">
        <v>8842314.3971177172</v>
      </c>
      <c r="Q28">
        <v>8584771.259337591</v>
      </c>
      <c r="R28">
        <v>8334729.377997661</v>
      </c>
      <c r="S28">
        <v>8091970.2699006423</v>
      </c>
      <c r="T28">
        <v>7856281.8154375162</v>
      </c>
      <c r="U28">
        <v>7627458.0732403072</v>
      </c>
      <c r="V28">
        <v>7405299.100233308</v>
      </c>
      <c r="W28">
        <v>84893455.150417432</v>
      </c>
      <c r="X28">
        <v>50</v>
      </c>
      <c r="Y28">
        <v>50</v>
      </c>
      <c r="Z28">
        <v>852</v>
      </c>
      <c r="AA28">
        <v>42600</v>
      </c>
      <c r="AB28">
        <v>1765.4919786096257</v>
      </c>
      <c r="AC28">
        <v>88274.598930481283</v>
      </c>
      <c r="AD28">
        <v>0.17</v>
      </c>
      <c r="AE28">
        <v>8.5</v>
      </c>
      <c r="AF28">
        <v>1710</v>
      </c>
      <c r="AG28">
        <v>14535</v>
      </c>
      <c r="AH28">
        <v>145409.5989304813</v>
      </c>
      <c r="AI28">
        <v>145409.5989304813</v>
      </c>
      <c r="AJ28">
        <v>141174.36789367115</v>
      </c>
      <c r="AK28">
        <v>137062.49310065163</v>
      </c>
      <c r="AL28">
        <v>133070.38165111808</v>
      </c>
      <c r="AM28">
        <v>129194.54529234766</v>
      </c>
      <c r="AN28">
        <v>125431.59737121132</v>
      </c>
      <c r="AO28">
        <v>121778.24987496245</v>
      </c>
      <c r="AP28">
        <v>118231.31055821596</v>
      </c>
      <c r="AQ28">
        <v>114787.68015360773</v>
      </c>
      <c r="AR28">
        <v>111444.34966369683</v>
      </c>
      <c r="AS28">
        <v>1277584.5744899642</v>
      </c>
      <c r="AT28">
        <v>38.213019718102537</v>
      </c>
      <c r="AU28">
        <v>89.929507574594737</v>
      </c>
    </row>
    <row r="29" spans="1:47" x14ac:dyDescent="0.25">
      <c r="A29" t="s">
        <v>47</v>
      </c>
      <c r="B29">
        <v>3751</v>
      </c>
      <c r="C29">
        <v>187550</v>
      </c>
      <c r="D29">
        <v>852</v>
      </c>
      <c r="E29">
        <v>5832792</v>
      </c>
      <c r="F29">
        <v>1765.4919786096257</v>
      </c>
      <c r="G29">
        <v>12086558.085561497</v>
      </c>
      <c r="H29">
        <v>0.17</v>
      </c>
      <c r="I29">
        <v>1163.8200000000002</v>
      </c>
      <c r="J29">
        <v>1877</v>
      </c>
      <c r="K29">
        <v>2184490.14</v>
      </c>
      <c r="L29">
        <v>20103840.2255615</v>
      </c>
      <c r="M29">
        <v>2010384.0225561499</v>
      </c>
      <c r="N29">
        <v>1951829.1481127669</v>
      </c>
      <c r="O29">
        <v>1894979.7554492883</v>
      </c>
      <c r="P29">
        <v>1839786.1703391147</v>
      </c>
      <c r="Q29">
        <v>1786200.1653777815</v>
      </c>
      <c r="R29">
        <v>1734174.9178425064</v>
      </c>
      <c r="S29">
        <v>1683664.9687791325</v>
      </c>
      <c r="T29">
        <v>1634626.1832807108</v>
      </c>
      <c r="U29">
        <v>1587015.7119230204</v>
      </c>
      <c r="V29">
        <v>1540791.9533233207</v>
      </c>
      <c r="W29">
        <v>17663452.996983793</v>
      </c>
      <c r="X29">
        <v>56</v>
      </c>
      <c r="Y29">
        <v>50</v>
      </c>
      <c r="Z29">
        <v>852</v>
      </c>
      <c r="AA29">
        <v>47712</v>
      </c>
      <c r="AB29">
        <v>1765.4919786096257</v>
      </c>
      <c r="AC29">
        <v>98867.550802139041</v>
      </c>
      <c r="AD29">
        <v>0.17</v>
      </c>
      <c r="AE29">
        <v>9.5200000000000014</v>
      </c>
      <c r="AF29">
        <v>1710</v>
      </c>
      <c r="AG29">
        <v>16279.200000000003</v>
      </c>
      <c r="AH29">
        <v>162858.75080213905</v>
      </c>
      <c r="AI29">
        <v>162858.75080213905</v>
      </c>
      <c r="AJ29">
        <v>158115.29204091171</v>
      </c>
      <c r="AK29">
        <v>153509.99227272981</v>
      </c>
      <c r="AL29">
        <v>149038.82744925225</v>
      </c>
      <c r="AM29">
        <v>144697.89072742939</v>
      </c>
      <c r="AN29">
        <v>140483.38905575668</v>
      </c>
      <c r="AO29">
        <v>136391.63985995794</v>
      </c>
      <c r="AP29">
        <v>132419.06782520187</v>
      </c>
      <c r="AQ29">
        <v>128562.20177204066</v>
      </c>
      <c r="AR29">
        <v>124817.67162334044</v>
      </c>
      <c r="AS29">
        <v>1430894.7234287597</v>
      </c>
      <c r="AT29">
        <v>10.913843853476099</v>
      </c>
      <c r="AU29">
        <v>94.179967992448908</v>
      </c>
    </row>
    <row r="30" spans="1:47" x14ac:dyDescent="0.25">
      <c r="A30" t="s">
        <v>48</v>
      </c>
      <c r="B30">
        <v>4388</v>
      </c>
      <c r="C30">
        <v>219400</v>
      </c>
      <c r="D30">
        <v>852</v>
      </c>
      <c r="E30">
        <v>6676272</v>
      </c>
      <c r="F30">
        <v>1765.4919786096257</v>
      </c>
      <c r="G30">
        <v>13834395.144385027</v>
      </c>
      <c r="H30">
        <v>0.17</v>
      </c>
      <c r="I30">
        <v>1332.1200000000001</v>
      </c>
      <c r="J30">
        <v>1877</v>
      </c>
      <c r="K30">
        <v>2500389.2400000002</v>
      </c>
      <c r="L30">
        <v>23011056.384385027</v>
      </c>
      <c r="M30">
        <v>2301105.6384385028</v>
      </c>
      <c r="N30">
        <v>2234083.1441150513</v>
      </c>
      <c r="O30">
        <v>2169012.761276749</v>
      </c>
      <c r="P30">
        <v>2105837.6323075234</v>
      </c>
      <c r="Q30">
        <v>2044502.5556383722</v>
      </c>
      <c r="R30">
        <v>1984953.9375129826</v>
      </c>
      <c r="S30">
        <v>1927139.7451582355</v>
      </c>
      <c r="T30">
        <v>1871009.4613186752</v>
      </c>
      <c r="U30">
        <v>1816514.0401152186</v>
      </c>
      <c r="V30">
        <v>1763605.8641895328</v>
      </c>
      <c r="W30">
        <v>20217764.780070841</v>
      </c>
      <c r="X30">
        <v>86</v>
      </c>
      <c r="Y30">
        <v>50</v>
      </c>
      <c r="Z30">
        <v>852</v>
      </c>
      <c r="AA30">
        <v>73272</v>
      </c>
      <c r="AB30">
        <v>1765.4919786096257</v>
      </c>
      <c r="AC30">
        <v>151832.31016042782</v>
      </c>
      <c r="AD30">
        <v>0.17</v>
      </c>
      <c r="AE30">
        <v>14.620000000000001</v>
      </c>
      <c r="AF30">
        <v>1710</v>
      </c>
      <c r="AG30">
        <v>25000.2</v>
      </c>
      <c r="AH30">
        <v>250104.51016042783</v>
      </c>
      <c r="AI30">
        <v>250104.51016042783</v>
      </c>
      <c r="AJ30">
        <v>242819.9127771144</v>
      </c>
      <c r="AK30">
        <v>235747.48813312079</v>
      </c>
      <c r="AL30">
        <v>228881.05643992309</v>
      </c>
      <c r="AM30">
        <v>222214.61790283796</v>
      </c>
      <c r="AN30">
        <v>215742.34747848348</v>
      </c>
      <c r="AO30">
        <v>209458.58978493541</v>
      </c>
      <c r="AP30">
        <v>203357.85416013145</v>
      </c>
      <c r="AQ30">
        <v>197434.80986420528</v>
      </c>
      <c r="AR30">
        <v>191684.28142155855</v>
      </c>
      <c r="AS30">
        <v>2197445.4681227384</v>
      </c>
      <c r="AT30">
        <v>8.3653527073763616</v>
      </c>
      <c r="AU30">
        <v>92.150249681270921</v>
      </c>
    </row>
    <row r="31" spans="1:47" x14ac:dyDescent="0.25">
      <c r="A31" t="s">
        <v>36</v>
      </c>
      <c r="B31">
        <v>2886</v>
      </c>
      <c r="C31">
        <v>144300</v>
      </c>
      <c r="D31">
        <v>852</v>
      </c>
      <c r="E31">
        <v>4423584</v>
      </c>
      <c r="F31">
        <v>1765.4919786096257</v>
      </c>
      <c r="G31">
        <v>9166434.3529411759</v>
      </c>
      <c r="H31">
        <v>0.17</v>
      </c>
      <c r="I31">
        <v>882.6400000000001</v>
      </c>
      <c r="J31">
        <v>1877</v>
      </c>
      <c r="K31">
        <v>1656715.2800000003</v>
      </c>
      <c r="L31">
        <v>15246733.632941175</v>
      </c>
      <c r="M31">
        <v>1524673.3632941176</v>
      </c>
      <c r="N31">
        <v>1480265.4012564248</v>
      </c>
      <c r="O31">
        <v>1437150.8750062378</v>
      </c>
      <c r="P31">
        <v>1395292.1116565415</v>
      </c>
      <c r="Q31">
        <v>1354652.5355888754</v>
      </c>
      <c r="R31">
        <v>1315196.6364940538</v>
      </c>
      <c r="S31">
        <v>1276889.9383437415</v>
      </c>
      <c r="T31">
        <v>1239698.9692657683</v>
      </c>
      <c r="U31">
        <v>1203591.2322968626</v>
      </c>
      <c r="V31">
        <v>1168535.1769872452</v>
      </c>
      <c r="W31">
        <v>13395946.240189869</v>
      </c>
      <c r="X31">
        <v>62</v>
      </c>
      <c r="Y31">
        <v>50</v>
      </c>
      <c r="Z31">
        <v>852</v>
      </c>
      <c r="AA31">
        <v>52824</v>
      </c>
      <c r="AB31">
        <v>1765.4919786096257</v>
      </c>
      <c r="AC31">
        <v>109460.50267379679</v>
      </c>
      <c r="AD31">
        <v>0.17</v>
      </c>
      <c r="AE31">
        <v>10.540000000000001</v>
      </c>
      <c r="AF31">
        <v>1710</v>
      </c>
      <c r="AG31">
        <v>18023.400000000001</v>
      </c>
      <c r="AH31">
        <v>180307.90267379678</v>
      </c>
      <c r="AI31">
        <v>180307.90267379678</v>
      </c>
      <c r="AJ31">
        <v>175056.2161881522</v>
      </c>
      <c r="AK31">
        <v>169957.49144480797</v>
      </c>
      <c r="AL31">
        <v>165007.27324738639</v>
      </c>
      <c r="AM31">
        <v>160201.23616251108</v>
      </c>
      <c r="AN31">
        <v>155535.18074030202</v>
      </c>
      <c r="AO31">
        <v>151005.02984495342</v>
      </c>
      <c r="AP31">
        <v>146606.82509218776</v>
      </c>
      <c r="AQ31">
        <v>142336.72339047355</v>
      </c>
      <c r="AR31">
        <v>138190.99358298405</v>
      </c>
      <c r="AS31">
        <v>1584204.8723675553</v>
      </c>
      <c r="AT31">
        <v>7.7500193689597587</v>
      </c>
      <c r="AU31">
        <v>92.834000278516072</v>
      </c>
    </row>
    <row r="32" spans="1:47" x14ac:dyDescent="0.25">
      <c r="A32" t="s">
        <v>37</v>
      </c>
      <c r="B32">
        <v>4628</v>
      </c>
      <c r="C32">
        <v>231400</v>
      </c>
      <c r="D32">
        <v>852</v>
      </c>
      <c r="E32">
        <v>7112496</v>
      </c>
      <c r="F32">
        <v>1765.4919786096257</v>
      </c>
      <c r="G32">
        <v>14738327.037433155</v>
      </c>
      <c r="H32">
        <v>0.17</v>
      </c>
      <c r="I32">
        <v>1419.16</v>
      </c>
      <c r="J32">
        <v>1877</v>
      </c>
      <c r="K32">
        <v>2663763.3200000003</v>
      </c>
      <c r="L32">
        <v>24514586.357433155</v>
      </c>
      <c r="M32">
        <v>2451458.6357433153</v>
      </c>
      <c r="N32">
        <v>2380056.9279061314</v>
      </c>
      <c r="O32">
        <v>2310734.8814622634</v>
      </c>
      <c r="P32">
        <v>2243431.9237497705</v>
      </c>
      <c r="Q32">
        <v>2178089.2463590004</v>
      </c>
      <c r="R32">
        <v>2114649.7537466027</v>
      </c>
      <c r="S32">
        <v>2053058.0133462159</v>
      </c>
      <c r="T32">
        <v>1993260.2071322484</v>
      </c>
      <c r="U32">
        <v>1935204.084594416</v>
      </c>
      <c r="V32">
        <v>1878838.9170819575</v>
      </c>
      <c r="W32">
        <v>21538782.591121923</v>
      </c>
      <c r="X32">
        <v>75</v>
      </c>
      <c r="Y32">
        <v>50</v>
      </c>
      <c r="Z32">
        <v>852</v>
      </c>
      <c r="AA32">
        <v>63900</v>
      </c>
      <c r="AB32">
        <v>1765.4919786096257</v>
      </c>
      <c r="AC32">
        <v>132411.89839572192</v>
      </c>
      <c r="AD32">
        <v>0.17</v>
      </c>
      <c r="AE32">
        <v>12.750000000000002</v>
      </c>
      <c r="AF32">
        <v>1710</v>
      </c>
      <c r="AG32">
        <v>21802.500000000004</v>
      </c>
      <c r="AH32">
        <v>218114.39839572192</v>
      </c>
      <c r="AI32">
        <v>218114.39839572192</v>
      </c>
      <c r="AJ32">
        <v>211761.55184050673</v>
      </c>
      <c r="AK32">
        <v>205593.7396509774</v>
      </c>
      <c r="AL32">
        <v>199605.5724766771</v>
      </c>
      <c r="AM32">
        <v>193791.81793852145</v>
      </c>
      <c r="AN32">
        <v>188147.39605681694</v>
      </c>
      <c r="AO32">
        <v>182667.37481244365</v>
      </c>
      <c r="AP32">
        <v>177346.96583732392</v>
      </c>
      <c r="AQ32">
        <v>172181.52023041158</v>
      </c>
      <c r="AR32">
        <v>167166.52449554522</v>
      </c>
      <c r="AS32">
        <v>1916376.8617349463</v>
      </c>
      <c r="AT32">
        <v>10.028407966795569</v>
      </c>
      <c r="AU32">
        <v>93.080305061028184</v>
      </c>
    </row>
    <row r="33" spans="1:47" x14ac:dyDescent="0.25">
      <c r="A33" t="s">
        <v>49</v>
      </c>
      <c r="B33">
        <v>2356</v>
      </c>
      <c r="C33">
        <v>117800</v>
      </c>
      <c r="D33">
        <v>852</v>
      </c>
      <c r="E33">
        <v>3758172</v>
      </c>
      <c r="F33">
        <v>1765.4919786096257</v>
      </c>
      <c r="G33">
        <v>7787585.1176470593</v>
      </c>
      <c r="H33">
        <v>0.17</v>
      </c>
      <c r="I33">
        <v>749.87</v>
      </c>
      <c r="J33">
        <v>1877</v>
      </c>
      <c r="K33">
        <v>1407505.99</v>
      </c>
      <c r="L33">
        <v>12953263.107647059</v>
      </c>
      <c r="M33">
        <v>1295326.310764706</v>
      </c>
      <c r="N33">
        <v>1257598.359965734</v>
      </c>
      <c r="O33">
        <v>1220969.2815201301</v>
      </c>
      <c r="P33">
        <v>1185407.0694370195</v>
      </c>
      <c r="Q33">
        <v>1150880.6499388539</v>
      </c>
      <c r="R33">
        <v>1117359.854309567</v>
      </c>
      <c r="S33">
        <v>1084815.3925335603</v>
      </c>
      <c r="T33">
        <v>1053218.8277024855</v>
      </c>
      <c r="U33">
        <v>1022542.5511674617</v>
      </c>
      <c r="V33">
        <v>992759.75841501146</v>
      </c>
      <c r="W33">
        <v>11380878.055754529</v>
      </c>
      <c r="X33">
        <v>90</v>
      </c>
      <c r="Y33">
        <v>50</v>
      </c>
      <c r="Z33">
        <v>852</v>
      </c>
      <c r="AA33">
        <v>76680</v>
      </c>
      <c r="AB33">
        <v>1765.4919786096257</v>
      </c>
      <c r="AC33">
        <v>158894.27807486631</v>
      </c>
      <c r="AD33">
        <v>0.17</v>
      </c>
      <c r="AE33">
        <v>15.3</v>
      </c>
      <c r="AF33">
        <v>1710</v>
      </c>
      <c r="AG33">
        <v>26163</v>
      </c>
      <c r="AH33">
        <v>261737.27807486631</v>
      </c>
      <c r="AI33">
        <v>261737.27807486631</v>
      </c>
      <c r="AJ33">
        <v>254113.86220860807</v>
      </c>
      <c r="AK33">
        <v>246712.48758117287</v>
      </c>
      <c r="AL33">
        <v>239526.68697201251</v>
      </c>
      <c r="AM33">
        <v>232550.18152622576</v>
      </c>
      <c r="AN33">
        <v>225776.87526818036</v>
      </c>
      <c r="AO33">
        <v>219200.84977493237</v>
      </c>
      <c r="AP33">
        <v>212816.35900478871</v>
      </c>
      <c r="AQ33">
        <v>206617.82427649389</v>
      </c>
      <c r="AR33">
        <v>200599.82939465425</v>
      </c>
      <c r="AS33">
        <v>2299652.2340819356</v>
      </c>
      <c r="AT33">
        <v>4.7077985224707417</v>
      </c>
      <c r="AU33">
        <v>96.611868045454415</v>
      </c>
    </row>
    <row r="34" spans="1:47" x14ac:dyDescent="0.25">
      <c r="A34" t="s">
        <v>38</v>
      </c>
      <c r="B34">
        <v>3071</v>
      </c>
      <c r="C34">
        <v>153550</v>
      </c>
      <c r="D34">
        <v>852</v>
      </c>
      <c r="E34">
        <v>4846176</v>
      </c>
      <c r="F34">
        <v>1765.4919786096257</v>
      </c>
      <c r="G34">
        <v>10042118.374331551</v>
      </c>
      <c r="H34">
        <v>0.17</v>
      </c>
      <c r="I34">
        <v>966.96</v>
      </c>
      <c r="J34">
        <v>1877</v>
      </c>
      <c r="K34">
        <v>1814983.9200000002</v>
      </c>
      <c r="L34">
        <v>16703278.294331551</v>
      </c>
      <c r="M34">
        <v>1670327.829433155</v>
      </c>
      <c r="N34">
        <v>1621677.5043040339</v>
      </c>
      <c r="O34">
        <v>1574444.1789359553</v>
      </c>
      <c r="P34">
        <v>1528586.5814912189</v>
      </c>
      <c r="Q34">
        <v>1484064.6422244844</v>
      </c>
      <c r="R34">
        <v>1440839.4584703732</v>
      </c>
      <c r="S34">
        <v>1398873.2606508478</v>
      </c>
      <c r="T34">
        <v>1358129.3792726677</v>
      </c>
      <c r="U34">
        <v>1318572.212886085</v>
      </c>
      <c r="V34">
        <v>1280167.1969767818</v>
      </c>
      <c r="W34">
        <v>14675682.244645603</v>
      </c>
      <c r="X34">
        <v>70</v>
      </c>
      <c r="Y34">
        <v>50</v>
      </c>
      <c r="Z34">
        <v>852</v>
      </c>
      <c r="AA34">
        <v>59640</v>
      </c>
      <c r="AB34">
        <v>1765.4919786096257</v>
      </c>
      <c r="AC34">
        <v>123584.4385026738</v>
      </c>
      <c r="AD34">
        <v>0.17</v>
      </c>
      <c r="AE34">
        <v>11.9</v>
      </c>
      <c r="AF34">
        <v>1710</v>
      </c>
      <c r="AG34">
        <v>20349</v>
      </c>
      <c r="AH34">
        <v>203573.43850267382</v>
      </c>
      <c r="AI34">
        <v>203573.43850267382</v>
      </c>
      <c r="AJ34">
        <v>197644.11505113964</v>
      </c>
      <c r="AK34">
        <v>191887.49034091225</v>
      </c>
      <c r="AL34">
        <v>186298.53431156531</v>
      </c>
      <c r="AM34">
        <v>180872.36340928671</v>
      </c>
      <c r="AN34">
        <v>175604.23631969586</v>
      </c>
      <c r="AO34">
        <v>170489.54982494743</v>
      </c>
      <c r="AP34">
        <v>165523.83478150234</v>
      </c>
      <c r="AQ34">
        <v>160702.75221505083</v>
      </c>
      <c r="AR34">
        <v>156022.08952917557</v>
      </c>
      <c r="AS34">
        <v>1788618.4042859499</v>
      </c>
      <c r="AT34">
        <v>7.5563386842559659</v>
      </c>
      <c r="AU34">
        <v>95.57591823279455</v>
      </c>
    </row>
    <row r="35" spans="1:47" x14ac:dyDescent="0.25">
      <c r="A35" t="s">
        <v>51</v>
      </c>
      <c r="B35">
        <v>893</v>
      </c>
      <c r="C35">
        <v>44650</v>
      </c>
      <c r="D35">
        <v>852</v>
      </c>
      <c r="E35">
        <v>1429656</v>
      </c>
      <c r="F35">
        <v>1765.4919786096257</v>
      </c>
      <c r="G35">
        <v>2962495.5401069517</v>
      </c>
      <c r="H35">
        <v>0.17</v>
      </c>
      <c r="I35">
        <v>285.26000000000005</v>
      </c>
      <c r="J35">
        <v>1877</v>
      </c>
      <c r="K35">
        <v>535433.02000000014</v>
      </c>
      <c r="L35">
        <v>4927584.5601069527</v>
      </c>
      <c r="M35">
        <v>492758.45601069526</v>
      </c>
      <c r="N35">
        <v>478406.26797154878</v>
      </c>
      <c r="O35">
        <v>464472.10482674639</v>
      </c>
      <c r="P35">
        <v>450943.79109392856</v>
      </c>
      <c r="Q35">
        <v>437809.5059164355</v>
      </c>
      <c r="R35">
        <v>425057.77273440344</v>
      </c>
      <c r="S35">
        <v>412677.44925670233</v>
      </c>
      <c r="T35">
        <v>400657.71772495372</v>
      </c>
      <c r="U35">
        <v>388988.07546112011</v>
      </c>
      <c r="V35">
        <v>377658.32569040789</v>
      </c>
      <c r="W35">
        <v>4329429.4666869426</v>
      </c>
      <c r="X35">
        <v>72</v>
      </c>
      <c r="Y35">
        <v>50</v>
      </c>
      <c r="Z35">
        <v>852</v>
      </c>
      <c r="AA35">
        <v>61344</v>
      </c>
      <c r="AB35">
        <v>1765.4919786096257</v>
      </c>
      <c r="AC35">
        <v>127115.42245989305</v>
      </c>
      <c r="AD35">
        <v>0.17</v>
      </c>
      <c r="AE35">
        <v>12.24</v>
      </c>
      <c r="AF35">
        <v>1710</v>
      </c>
      <c r="AG35">
        <v>20930.400000000001</v>
      </c>
      <c r="AH35">
        <v>209389.82245989304</v>
      </c>
      <c r="AI35">
        <v>209389.82245989304</v>
      </c>
      <c r="AJ35">
        <v>203291.08976688643</v>
      </c>
      <c r="AK35">
        <v>197369.99006493829</v>
      </c>
      <c r="AL35">
        <v>191621.34957761</v>
      </c>
      <c r="AM35">
        <v>186040.1452209806</v>
      </c>
      <c r="AN35">
        <v>180621.50021454427</v>
      </c>
      <c r="AO35">
        <v>175360.67981994589</v>
      </c>
      <c r="AP35">
        <v>170253.08720383095</v>
      </c>
      <c r="AQ35">
        <v>165294.25942119511</v>
      </c>
      <c r="AR35">
        <v>160479.86351572341</v>
      </c>
      <c r="AS35">
        <v>1839721.7872655482</v>
      </c>
      <c r="AT35">
        <v>2.2975452593511121</v>
      </c>
      <c r="AU35">
        <v>96.963705860849785</v>
      </c>
    </row>
    <row r="36" spans="1:47" x14ac:dyDescent="0.25">
      <c r="A36" t="s">
        <v>39</v>
      </c>
      <c r="B36">
        <v>8371</v>
      </c>
      <c r="C36">
        <v>418550</v>
      </c>
      <c r="D36">
        <v>852</v>
      </c>
      <c r="E36">
        <v>12877980</v>
      </c>
      <c r="F36">
        <v>1765.4919786096257</v>
      </c>
      <c r="G36">
        <v>26685411.256684493</v>
      </c>
      <c r="H36">
        <v>0.17</v>
      </c>
      <c r="I36">
        <v>2569.5500000000002</v>
      </c>
      <c r="J36">
        <v>1877</v>
      </c>
      <c r="K36">
        <v>4823045.3500000006</v>
      </c>
      <c r="L36">
        <v>44386436.606684498</v>
      </c>
      <c r="M36">
        <v>4438643.6606684495</v>
      </c>
      <c r="N36">
        <v>4309362.7773480089</v>
      </c>
      <c r="O36">
        <v>4183847.3566485527</v>
      </c>
      <c r="P36">
        <v>4061987.7249015076</v>
      </c>
      <c r="Q36">
        <v>3943677.4028169978</v>
      </c>
      <c r="R36">
        <v>3828813.0124436873</v>
      </c>
      <c r="S36">
        <v>3717294.1868385314</v>
      </c>
      <c r="T36">
        <v>3609023.4823675058</v>
      </c>
      <c r="U36">
        <v>3503906.2935606856</v>
      </c>
      <c r="V36">
        <v>3401850.7704472677</v>
      </c>
      <c r="W36">
        <v>38998406.668041192</v>
      </c>
      <c r="X36">
        <v>102</v>
      </c>
      <c r="Y36">
        <v>50</v>
      </c>
      <c r="Z36">
        <v>852</v>
      </c>
      <c r="AA36">
        <v>86904</v>
      </c>
      <c r="AB36">
        <v>1765.4919786096257</v>
      </c>
      <c r="AC36">
        <v>180080.18181818182</v>
      </c>
      <c r="AD36">
        <v>0.17</v>
      </c>
      <c r="AE36">
        <v>17.34</v>
      </c>
      <c r="AF36">
        <v>1710</v>
      </c>
      <c r="AG36">
        <v>29651.4</v>
      </c>
      <c r="AH36">
        <v>296635.58181818185</v>
      </c>
      <c r="AI36">
        <v>296635.58181818185</v>
      </c>
      <c r="AJ36">
        <v>287995.71050308918</v>
      </c>
      <c r="AK36">
        <v>279607.48592532927</v>
      </c>
      <c r="AL36">
        <v>271463.57856828085</v>
      </c>
      <c r="AM36">
        <v>263556.8723963892</v>
      </c>
      <c r="AN36">
        <v>255880.45863727111</v>
      </c>
      <c r="AO36">
        <v>248427.62974492338</v>
      </c>
      <c r="AP36">
        <v>241191.87353876056</v>
      </c>
      <c r="AQ36">
        <v>234166.86751335976</v>
      </c>
      <c r="AR36">
        <v>227346.47331394153</v>
      </c>
      <c r="AS36">
        <v>2606272.5319595272</v>
      </c>
      <c r="AT36">
        <v>12.892791645127497</v>
      </c>
      <c r="AU36">
        <v>93.175024890792486</v>
      </c>
    </row>
    <row r="37" spans="1:47" x14ac:dyDescent="0.25">
      <c r="A37" t="s">
        <v>40</v>
      </c>
      <c r="B37">
        <v>1359</v>
      </c>
      <c r="C37">
        <v>67950</v>
      </c>
      <c r="D37">
        <v>852</v>
      </c>
      <c r="E37">
        <v>2071212</v>
      </c>
      <c r="F37">
        <v>1765.4919786096257</v>
      </c>
      <c r="G37">
        <v>4291911</v>
      </c>
      <c r="H37">
        <v>0.17</v>
      </c>
      <c r="I37">
        <v>413.27000000000004</v>
      </c>
      <c r="J37">
        <v>1877</v>
      </c>
      <c r="K37">
        <v>775707.79</v>
      </c>
      <c r="L37">
        <v>7138830.79</v>
      </c>
      <c r="M37">
        <v>713883.07900000003</v>
      </c>
      <c r="N37">
        <v>693090.36796116503</v>
      </c>
      <c r="O37">
        <v>672903.26986520877</v>
      </c>
      <c r="P37">
        <v>653304.14550020278</v>
      </c>
      <c r="Q37">
        <v>634275.86941767263</v>
      </c>
      <c r="R37">
        <v>615801.81496861426</v>
      </c>
      <c r="S37">
        <v>597865.83977535355</v>
      </c>
      <c r="T37">
        <v>580452.27162655687</v>
      </c>
      <c r="U37">
        <v>563545.89478306496</v>
      </c>
      <c r="V37">
        <v>547131.93668258726</v>
      </c>
      <c r="W37">
        <v>6272254.4895804264</v>
      </c>
      <c r="X37">
        <v>47</v>
      </c>
      <c r="Y37">
        <v>50</v>
      </c>
      <c r="Z37">
        <v>852</v>
      </c>
      <c r="AA37">
        <v>40044</v>
      </c>
      <c r="AB37">
        <v>1765.4919786096257</v>
      </c>
      <c r="AC37">
        <v>82978.122994652411</v>
      </c>
      <c r="AD37">
        <v>0.17</v>
      </c>
      <c r="AE37">
        <v>7.99</v>
      </c>
      <c r="AF37">
        <v>1710</v>
      </c>
      <c r="AG37">
        <v>13662.9</v>
      </c>
      <c r="AH37">
        <v>136685.02299465242</v>
      </c>
      <c r="AI37">
        <v>136685.02299465242</v>
      </c>
      <c r="AJ37">
        <v>132703.90582005089</v>
      </c>
      <c r="AK37">
        <v>128838.74351461252</v>
      </c>
      <c r="AL37">
        <v>125086.15875205099</v>
      </c>
      <c r="AM37">
        <v>121442.8725748068</v>
      </c>
      <c r="AN37">
        <v>117905.70152893865</v>
      </c>
      <c r="AO37">
        <v>114471.5548824647</v>
      </c>
      <c r="AP37">
        <v>111137.431924723</v>
      </c>
      <c r="AQ37">
        <v>107900.41934439127</v>
      </c>
      <c r="AR37">
        <v>104757.68868387502</v>
      </c>
      <c r="AS37">
        <v>1200929.5000205659</v>
      </c>
      <c r="AT37">
        <v>4.9431443170756291</v>
      </c>
      <c r="AU37">
        <v>92.306909338931959</v>
      </c>
    </row>
    <row r="38" spans="1:47" x14ac:dyDescent="0.25">
      <c r="A38" t="s">
        <v>41</v>
      </c>
      <c r="B38">
        <v>2899</v>
      </c>
      <c r="C38">
        <v>144950</v>
      </c>
      <c r="D38">
        <v>853</v>
      </c>
      <c r="E38">
        <v>4488486</v>
      </c>
      <c r="F38">
        <v>1765.4919786096257</v>
      </c>
      <c r="G38">
        <v>9290018.7914438508</v>
      </c>
      <c r="H38">
        <v>0.17</v>
      </c>
      <c r="I38">
        <v>894.54000000000008</v>
      </c>
      <c r="J38">
        <v>1877</v>
      </c>
      <c r="K38">
        <v>1679051.58</v>
      </c>
      <c r="L38">
        <v>15457556.371443851</v>
      </c>
      <c r="M38">
        <v>1545755.6371443851</v>
      </c>
      <c r="N38">
        <v>1500733.6282955196</v>
      </c>
      <c r="O38">
        <v>1457022.9400927373</v>
      </c>
      <c r="P38">
        <v>1414585.378730813</v>
      </c>
      <c r="Q38">
        <v>1373383.8628454497</v>
      </c>
      <c r="R38">
        <v>1333382.3911120871</v>
      </c>
      <c r="S38">
        <v>1294546.0107884342</v>
      </c>
      <c r="T38">
        <v>1256840.787173237</v>
      </c>
      <c r="U38">
        <v>1220233.7739545989</v>
      </c>
      <c r="V38">
        <v>1184692.9844219408</v>
      </c>
      <c r="W38">
        <v>13581177.394559201</v>
      </c>
      <c r="X38">
        <v>68</v>
      </c>
      <c r="Y38">
        <v>50</v>
      </c>
      <c r="Z38">
        <v>852</v>
      </c>
      <c r="AA38">
        <v>57936</v>
      </c>
      <c r="AB38">
        <v>1765.4919786096257</v>
      </c>
      <c r="AC38">
        <v>120053.45454545454</v>
      </c>
      <c r="AD38">
        <v>0.17</v>
      </c>
      <c r="AE38">
        <v>11.56</v>
      </c>
      <c r="AF38">
        <v>1710</v>
      </c>
      <c r="AG38">
        <v>19767.600000000002</v>
      </c>
      <c r="AH38">
        <v>197757.05454545454</v>
      </c>
      <c r="AI38">
        <v>197757.05454545454</v>
      </c>
      <c r="AJ38">
        <v>191997.14033539276</v>
      </c>
      <c r="AK38">
        <v>186404.99061688618</v>
      </c>
      <c r="AL38">
        <v>180975.71904552056</v>
      </c>
      <c r="AM38">
        <v>175704.5815975928</v>
      </c>
      <c r="AN38">
        <v>170586.97242484736</v>
      </c>
      <c r="AO38">
        <v>165618.41982994889</v>
      </c>
      <c r="AP38">
        <v>160794.58235917368</v>
      </c>
      <c r="AQ38">
        <v>156111.2450089065</v>
      </c>
      <c r="AR38">
        <v>151564.31554262765</v>
      </c>
      <c r="AS38">
        <v>1737515.0213063511</v>
      </c>
      <c r="AT38">
        <v>7.2145709167729652</v>
      </c>
      <c r="AU38">
        <v>93.695601204271824</v>
      </c>
    </row>
    <row r="39" spans="1:47" x14ac:dyDescent="0.25">
      <c r="A39" t="s">
        <v>42</v>
      </c>
      <c r="B39">
        <v>11331</v>
      </c>
      <c r="C39">
        <v>566550</v>
      </c>
      <c r="D39">
        <v>854</v>
      </c>
      <c r="E39">
        <v>17291792</v>
      </c>
      <c r="F39">
        <v>1765.4919786096257</v>
      </c>
      <c r="G39">
        <v>35747681.582887702</v>
      </c>
      <c r="H39">
        <v>0.17</v>
      </c>
      <c r="I39">
        <v>3442.1600000000003</v>
      </c>
      <c r="J39">
        <v>1877</v>
      </c>
      <c r="K39">
        <v>6460934.3200000003</v>
      </c>
      <c r="L39">
        <v>59500407.902887702</v>
      </c>
      <c r="M39">
        <v>5950040.7902887706</v>
      </c>
      <c r="N39">
        <v>5776738.6313483212</v>
      </c>
      <c r="O39">
        <v>5608484.1081051659</v>
      </c>
      <c r="P39">
        <v>5445130.2020438509</v>
      </c>
      <c r="Q39">
        <v>5286534.1767416028</v>
      </c>
      <c r="R39">
        <v>5132557.4531471878</v>
      </c>
      <c r="S39">
        <v>4983065.4884924153</v>
      </c>
      <c r="T39">
        <v>4837927.6587304994</v>
      </c>
      <c r="U39">
        <v>4697017.1443985431</v>
      </c>
      <c r="V39">
        <v>4560210.8198044114</v>
      </c>
      <c r="W39">
        <v>52277706.473100767</v>
      </c>
      <c r="X39">
        <v>95</v>
      </c>
      <c r="Y39">
        <v>50</v>
      </c>
      <c r="Z39">
        <v>852</v>
      </c>
      <c r="AA39">
        <v>80940</v>
      </c>
      <c r="AB39">
        <v>1765.4919786096257</v>
      </c>
      <c r="AC39">
        <v>167721.73796791444</v>
      </c>
      <c r="AD39">
        <v>0.17</v>
      </c>
      <c r="AE39">
        <v>16.150000000000002</v>
      </c>
      <c r="AF39">
        <v>1710</v>
      </c>
      <c r="AG39">
        <v>27616.500000000004</v>
      </c>
      <c r="AH39">
        <v>276278.23796791444</v>
      </c>
      <c r="AI39">
        <v>276278.23796791444</v>
      </c>
      <c r="AJ39">
        <v>268231.29899797519</v>
      </c>
      <c r="AK39">
        <v>260418.73689123805</v>
      </c>
      <c r="AL39">
        <v>252833.72513712433</v>
      </c>
      <c r="AM39">
        <v>245469.63605546052</v>
      </c>
      <c r="AN39">
        <v>238320.0350053015</v>
      </c>
      <c r="AO39">
        <v>231378.67476242862</v>
      </c>
      <c r="AP39">
        <v>224639.49006061029</v>
      </c>
      <c r="AQ39">
        <v>218096.59229185467</v>
      </c>
      <c r="AR39">
        <v>211744.26436102396</v>
      </c>
      <c r="AS39">
        <v>2427410.6915309313</v>
      </c>
      <c r="AT39">
        <v>17.461053052893988</v>
      </c>
      <c r="AU39">
        <v>92.273773670639429</v>
      </c>
    </row>
    <row r="40" spans="1:47" x14ac:dyDescent="0.25">
      <c r="A40" t="s">
        <v>43</v>
      </c>
      <c r="B40">
        <v>720</v>
      </c>
      <c r="C40">
        <v>36000</v>
      </c>
      <c r="D40">
        <v>855</v>
      </c>
      <c r="E40">
        <v>1150830</v>
      </c>
      <c r="F40">
        <v>1765.4919786096257</v>
      </c>
      <c r="G40">
        <v>2376352.2032085559</v>
      </c>
      <c r="H40">
        <v>0.17</v>
      </c>
      <c r="I40">
        <v>228.82000000000002</v>
      </c>
      <c r="J40">
        <v>1877</v>
      </c>
      <c r="K40">
        <v>429495.14</v>
      </c>
      <c r="L40">
        <v>3956677.3432085561</v>
      </c>
      <c r="M40">
        <v>395667.73432085558</v>
      </c>
      <c r="N40">
        <v>384143.43137947144</v>
      </c>
      <c r="O40">
        <v>372954.78774705966</v>
      </c>
      <c r="P40">
        <v>362092.0269388929</v>
      </c>
      <c r="Q40">
        <v>351545.65722222615</v>
      </c>
      <c r="R40">
        <v>341306.46332254965</v>
      </c>
      <c r="S40">
        <v>331365.49837140739</v>
      </c>
      <c r="T40">
        <v>321714.07608874503</v>
      </c>
      <c r="U40">
        <v>312343.76319295634</v>
      </c>
      <c r="V40">
        <v>303246.37203199649</v>
      </c>
      <c r="W40">
        <v>3476379.8106161607</v>
      </c>
      <c r="X40">
        <v>59</v>
      </c>
      <c r="Y40">
        <v>50</v>
      </c>
      <c r="Z40">
        <v>852</v>
      </c>
      <c r="AA40">
        <v>50268</v>
      </c>
      <c r="AB40">
        <v>1765.4919786096257</v>
      </c>
      <c r="AC40">
        <v>104164.02673796791</v>
      </c>
      <c r="AD40">
        <v>0.17</v>
      </c>
      <c r="AE40">
        <v>10.030000000000001</v>
      </c>
      <c r="AF40">
        <v>1710</v>
      </c>
      <c r="AG40">
        <v>17151.300000000003</v>
      </c>
      <c r="AH40">
        <v>171583.3267379679</v>
      </c>
      <c r="AI40">
        <v>171583.3267379679</v>
      </c>
      <c r="AJ40">
        <v>166585.75411453194</v>
      </c>
      <c r="AK40">
        <v>161733.74185876889</v>
      </c>
      <c r="AL40">
        <v>157023.05034831932</v>
      </c>
      <c r="AM40">
        <v>152449.5634449702</v>
      </c>
      <c r="AN40">
        <v>148009.28489802932</v>
      </c>
      <c r="AO40">
        <v>143698.33485245565</v>
      </c>
      <c r="AP40">
        <v>139512.94645869482</v>
      </c>
      <c r="AQ40">
        <v>135449.4625812571</v>
      </c>
      <c r="AR40">
        <v>131504.33260316224</v>
      </c>
      <c r="AS40">
        <v>1507549.797898157</v>
      </c>
      <c r="AT40">
        <v>2.2521980277862932</v>
      </c>
      <c r="AU40">
        <v>96.566105850448906</v>
      </c>
    </row>
    <row r="41" spans="1:47" x14ac:dyDescent="0.25">
      <c r="A41" t="s">
        <v>44</v>
      </c>
      <c r="B41">
        <v>17291</v>
      </c>
      <c r="C41">
        <v>864550</v>
      </c>
      <c r="D41">
        <v>856</v>
      </c>
      <c r="E41">
        <v>26342544</v>
      </c>
      <c r="F41">
        <v>1765.4919786096257</v>
      </c>
      <c r="G41">
        <v>54331250.14973262</v>
      </c>
      <c r="H41">
        <v>0.17</v>
      </c>
      <c r="I41">
        <v>5231.58</v>
      </c>
      <c r="J41">
        <v>1877</v>
      </c>
      <c r="K41">
        <v>9819675.6600000001</v>
      </c>
      <c r="L41">
        <v>90493469.809732616</v>
      </c>
      <c r="M41">
        <v>9049346.9809732623</v>
      </c>
      <c r="N41">
        <v>8785773.7679352071</v>
      </c>
      <c r="O41">
        <v>8529877.4445972871</v>
      </c>
      <c r="P41">
        <v>8281434.4122303762</v>
      </c>
      <c r="Q41">
        <v>8040227.5846896861</v>
      </c>
      <c r="R41">
        <v>7806046.1987278508</v>
      </c>
      <c r="S41">
        <v>7578685.6298328647</v>
      </c>
      <c r="T41">
        <v>7357947.213429966</v>
      </c>
      <c r="U41">
        <v>7143638.0712912288</v>
      </c>
      <c r="V41">
        <v>6935570.943001193</v>
      </c>
      <c r="W41">
        <v>79508548.24670893</v>
      </c>
      <c r="X41">
        <v>70</v>
      </c>
      <c r="Y41">
        <v>50</v>
      </c>
      <c r="Z41">
        <v>852</v>
      </c>
      <c r="AA41">
        <v>59640</v>
      </c>
      <c r="AB41">
        <v>1765.4919786096257</v>
      </c>
      <c r="AC41">
        <v>123584.4385026738</v>
      </c>
      <c r="AD41">
        <v>0.17</v>
      </c>
      <c r="AE41">
        <v>11.9</v>
      </c>
      <c r="AF41">
        <v>1710</v>
      </c>
      <c r="AG41">
        <v>20349</v>
      </c>
      <c r="AH41">
        <v>203573.43850267382</v>
      </c>
      <c r="AI41">
        <v>203573.43850267382</v>
      </c>
      <c r="AJ41">
        <v>197644.11505113964</v>
      </c>
      <c r="AK41">
        <v>191887.49034091225</v>
      </c>
      <c r="AL41">
        <v>186298.53431156531</v>
      </c>
      <c r="AM41">
        <v>180872.36340928671</v>
      </c>
      <c r="AN41">
        <v>175604.23631969586</v>
      </c>
      <c r="AO41">
        <v>170489.54982494743</v>
      </c>
      <c r="AP41">
        <v>165523.83478150234</v>
      </c>
      <c r="AQ41">
        <v>160702.75221505083</v>
      </c>
      <c r="AR41">
        <v>156022.08952917557</v>
      </c>
      <c r="AS41">
        <v>1788618.4042859499</v>
      </c>
      <c r="AT41">
        <v>29.967396007833571</v>
      </c>
      <c r="AU41">
        <v>91.965240005446688</v>
      </c>
    </row>
    <row r="42" spans="1:47" x14ac:dyDescent="0.25">
      <c r="A42" t="s">
        <v>50</v>
      </c>
      <c r="B42">
        <v>685</v>
      </c>
      <c r="C42">
        <v>34250</v>
      </c>
      <c r="D42">
        <v>857</v>
      </c>
      <c r="E42">
        <v>1084105</v>
      </c>
      <c r="F42">
        <v>1765.4919786096257</v>
      </c>
      <c r="G42">
        <v>2233347.3529411764</v>
      </c>
      <c r="H42">
        <v>0.17</v>
      </c>
      <c r="I42">
        <v>215.05</v>
      </c>
      <c r="J42">
        <v>1877</v>
      </c>
      <c r="K42">
        <v>403648.85000000003</v>
      </c>
      <c r="L42">
        <v>3721101.2029411765</v>
      </c>
      <c r="M42">
        <v>372110.12029411766</v>
      </c>
      <c r="N42">
        <v>361271.96145059966</v>
      </c>
      <c r="O42">
        <v>350749.47713650455</v>
      </c>
      <c r="P42">
        <v>340533.47294806264</v>
      </c>
      <c r="Q42">
        <v>330615.0222796725</v>
      </c>
      <c r="R42">
        <v>320985.45852395392</v>
      </c>
      <c r="S42">
        <v>311636.36749898439</v>
      </c>
      <c r="T42">
        <v>302559.58009610133</v>
      </c>
      <c r="U42">
        <v>293747.16514184594</v>
      </c>
      <c r="V42">
        <v>285191.42246781162</v>
      </c>
      <c r="W42">
        <v>3269400.0478376546</v>
      </c>
      <c r="X42">
        <v>50</v>
      </c>
      <c r="Y42">
        <v>50</v>
      </c>
      <c r="Z42">
        <v>852</v>
      </c>
      <c r="AA42">
        <v>42600</v>
      </c>
      <c r="AB42">
        <v>1765.4919786096257</v>
      </c>
      <c r="AC42">
        <v>88274.598930481283</v>
      </c>
      <c r="AD42">
        <v>0.17</v>
      </c>
      <c r="AE42">
        <v>8.5</v>
      </c>
      <c r="AF42">
        <v>1710</v>
      </c>
      <c r="AG42">
        <v>14535</v>
      </c>
      <c r="AH42">
        <v>145409.5989304813</v>
      </c>
      <c r="AI42">
        <v>145409.5989304813</v>
      </c>
      <c r="AJ42">
        <v>141174.36789367115</v>
      </c>
      <c r="AK42">
        <v>137062.49310065163</v>
      </c>
      <c r="AL42">
        <v>133070.38165111808</v>
      </c>
      <c r="AM42">
        <v>129194.54529234766</v>
      </c>
      <c r="AN42">
        <v>125431.59737121132</v>
      </c>
      <c r="AO42">
        <v>121778.24987496245</v>
      </c>
      <c r="AP42">
        <v>118231.31055821596</v>
      </c>
      <c r="AQ42">
        <v>114787.68015360773</v>
      </c>
      <c r="AR42">
        <v>111444.34966369683</v>
      </c>
      <c r="AS42">
        <v>1277584.5744899642</v>
      </c>
      <c r="AT42">
        <v>2.4922350053998108</v>
      </c>
      <c r="AU42">
        <v>95.45693570328919</v>
      </c>
    </row>
    <row r="43" spans="1:47" x14ac:dyDescent="0.25">
      <c r="A43" t="s">
        <v>45</v>
      </c>
      <c r="B43">
        <v>1378</v>
      </c>
      <c r="C43">
        <v>68900</v>
      </c>
      <c r="D43">
        <v>858</v>
      </c>
      <c r="E43">
        <v>2170740</v>
      </c>
      <c r="F43">
        <v>1765.4919786096257</v>
      </c>
      <c r="G43">
        <v>4466694.7058823528</v>
      </c>
      <c r="H43">
        <v>0.17</v>
      </c>
      <c r="I43">
        <v>430.1</v>
      </c>
      <c r="J43">
        <v>1877</v>
      </c>
      <c r="K43">
        <v>807297.70000000007</v>
      </c>
      <c r="L43">
        <v>7444732.405882353</v>
      </c>
      <c r="M43">
        <v>744473.24058823532</v>
      </c>
      <c r="N43">
        <v>722789.55396916054</v>
      </c>
      <c r="O43">
        <v>701737.43103801995</v>
      </c>
      <c r="P43">
        <v>681298.47673594172</v>
      </c>
      <c r="Q43">
        <v>661454.83178246766</v>
      </c>
      <c r="R43">
        <v>642189.157070357</v>
      </c>
      <c r="S43">
        <v>623484.61851490976</v>
      </c>
      <c r="T43">
        <v>605324.87234457245</v>
      </c>
      <c r="U43">
        <v>587694.05081997334</v>
      </c>
      <c r="V43">
        <v>570576.74836890609</v>
      </c>
      <c r="W43">
        <v>6541022.9812325425</v>
      </c>
      <c r="X43">
        <v>58</v>
      </c>
      <c r="Y43">
        <v>50</v>
      </c>
      <c r="Z43">
        <v>852</v>
      </c>
      <c r="AA43">
        <v>49416</v>
      </c>
      <c r="AB43">
        <v>1765.4919786096257</v>
      </c>
      <c r="AC43">
        <v>102398.53475935828</v>
      </c>
      <c r="AD43">
        <v>0.17</v>
      </c>
      <c r="AE43">
        <v>9.8600000000000012</v>
      </c>
      <c r="AF43">
        <v>1710</v>
      </c>
      <c r="AG43">
        <v>16860.600000000002</v>
      </c>
      <c r="AH43">
        <v>168675.13475935828</v>
      </c>
      <c r="AI43">
        <v>168675.13475935828</v>
      </c>
      <c r="AJ43">
        <v>163762.26675665853</v>
      </c>
      <c r="AK43">
        <v>158992.49199675585</v>
      </c>
      <c r="AL43">
        <v>154361.64271529694</v>
      </c>
      <c r="AM43">
        <v>149865.67253912325</v>
      </c>
      <c r="AN43">
        <v>145500.65295060512</v>
      </c>
      <c r="AO43">
        <v>141262.76985495642</v>
      </c>
      <c r="AP43">
        <v>137148.3202475305</v>
      </c>
      <c r="AQ43">
        <v>133153.70897818494</v>
      </c>
      <c r="AR43">
        <v>129275.44560988829</v>
      </c>
      <c r="AS43">
        <v>1481998.1064083581</v>
      </c>
      <c r="AT43">
        <v>4.2175710668578654</v>
      </c>
      <c r="AU43">
        <v>94.935021498295242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discounting</vt:lpstr>
      <vt:lpstr>micks</vt:lpstr>
      <vt:lpstr>DHB summary</vt:lpstr>
      <vt:lpstr>20dollar</vt:lpstr>
      <vt:lpstr>50dollar</vt:lpstr>
      <vt:lpstr>case_gp</vt:lpstr>
      <vt:lpstr>case_lab</vt:lpstr>
      <vt:lpstr>case_management</vt:lpstr>
      <vt:lpstr>contacts_number</vt:lpstr>
      <vt:lpstr>contacts_quarantine</vt:lpstr>
      <vt:lpstr>contacts_wage_per_day</vt:lpstr>
      <vt:lpstr>disc_rate</vt:lpstr>
      <vt:lpstr>disc_years</vt:lpstr>
      <vt:lpstr>discount_rate</vt:lpstr>
      <vt:lpstr>extra_vacc</vt:lpstr>
      <vt:lpstr>gp_costs</vt:lpstr>
      <vt:lpstr>hospital_costs</vt:lpstr>
      <vt:lpstr>lost_wages</vt:lpstr>
      <vt:lpstr>prop_hospitalised</vt:lpstr>
      <vt:lpstr>r0</vt:lpstr>
      <vt:lpstr>vacc_cost</vt:lpstr>
    </vt:vector>
  </TitlesOfParts>
  <Company>Massey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Hayman, David</dc:creator>
  <cp:lastModifiedBy>Marshall, Jonathan</cp:lastModifiedBy>
  <dcterms:created xsi:type="dcterms:W3CDTF">2014-08-21T01:10:27Z</dcterms:created>
  <dcterms:modified xsi:type="dcterms:W3CDTF">2015-02-24T21:10:43Z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ospitalised" linkTarget="prop_hospitalised">
    <vt:r8>0.17</vt:r8>
  </property>
</Properties>
</file>