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measles_costs" sheetId="1" r:id="rId1"/>
  </sheets>
  <definedNames>
    <definedName name="_AtRisk_SimSetting_AutomaticallyGenerateReports">0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1</definedName>
    <definedName name="_AtRisk_SimSetting_ConvergencePerformPercentileTest">0</definedName>
    <definedName name="_AtRisk_SimSetting_ConvergencePerformStdDeviationTest">0</definedName>
    <definedName name="_AtRisk_SimSetting_ConvergenceTestAllOutputs">1</definedName>
    <definedName name="_AtRisk_SimSetting_ConvergenceTestingPeriod">100</definedName>
    <definedName name="_AtRisk_SimSetting_ConvergenceTolerance">0.03</definedName>
    <definedName name="_AtRisk_SimSetting_LiveUpdate">1</definedName>
    <definedName name="_AtRisk_SimSetting_LiveUpdatePeriod">-1</definedName>
    <definedName name="_AtRisk_SimSetting_MacroRecalculationBehavior">0</definedName>
    <definedName name="_AtRisk_SimSetting_RandomNumberGenerator">0</definedName>
    <definedName name="_AtRisk_SimSetting_ReportsList">0</definedName>
    <definedName name="_AtRisk_SimSetting_ShowSimulationProgressWindow">1</definedName>
    <definedName name="_AtRisk_SimSetting_SimNameCount">0</definedName>
    <definedName name="_AtRisk_SimSetting_SmartSensitivityAnalysisEnabled">1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case_gp">measles_costs!$B$4</definedName>
    <definedName name="case_lab">measles_costs!$B$5</definedName>
    <definedName name="case_management">measles_costs!$B$3</definedName>
    <definedName name="contacts_number">measles_costs!$B$6</definedName>
    <definedName name="contacts_quarantine">measles_costs!$B$7</definedName>
    <definedName name="contacts_wage_per_day">measles_costs!$B$8</definedName>
    <definedName name="disc_rate">measles_costs!$B$12</definedName>
    <definedName name="disc_years">measles_costs!$B$13</definedName>
    <definedName name="discount_rate">#REF!</definedName>
    <definedName name="extra_vacc">measles_costs!$B$15</definedName>
    <definedName name="f">#REF!</definedName>
    <definedName name="gp_costs">measles_costs!$B$4</definedName>
    <definedName name="hospital_costs">measles_costs!$B$10</definedName>
    <definedName name="lost_wages">measles_costs!$B$2</definedName>
    <definedName name="prop_hospitalised">measles_costs!$B$9</definedName>
    <definedName name="r0">#REF!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55</definedName>
    <definedName name="RiskHasSettings">6</definedName>
    <definedName name="RiskMinimizeOnStart">0</definedName>
    <definedName name="RiskMonitorConvergence">0</definedName>
    <definedName name="RiskMultipleCPUSupportEnabled">1</definedName>
    <definedName name="RiskNumIterations">1000</definedName>
    <definedName name="RiskNumSimulations">1</definedName>
    <definedName name="RiskPauseOnError">0</definedName>
    <definedName name="RiskRunAfterRecalcMacro">0</definedName>
    <definedName name="RiskRunAfterSimMacro">0</definedName>
    <definedName name="RiskRunBeforeRecalcMacro">0</definedName>
    <definedName name="RiskRunBeforeSimMacro">0</definedName>
    <definedName name="RiskSamplingType">3</definedName>
    <definedName name="RiskStandardRecalc">1</definedName>
    <definedName name="RiskUpdateDisplay">0</definedName>
    <definedName name="RiskUseDifferentSeedForEachSim">0</definedName>
    <definedName name="RiskUseFixedSeed">1</definedName>
    <definedName name="RiskUseMultipleCPUs">1</definedName>
    <definedName name="vacc_cost">measles_costs!$B$14</definedName>
  </definedNames>
  <calcPr calcId="145621" concurrentCalc="0"/>
</workbook>
</file>

<file path=xl/calcChain.xml><?xml version="1.0" encoding="utf-8"?>
<calcChain xmlns="http://schemas.openxmlformats.org/spreadsheetml/2006/main">
  <c r="F19" i="1" l="1"/>
  <c r="N19" i="1"/>
  <c r="F20" i="1"/>
  <c r="N20" i="1"/>
  <c r="F21" i="1"/>
  <c r="N21" i="1"/>
  <c r="F22" i="1"/>
  <c r="N22" i="1"/>
  <c r="F23" i="1"/>
  <c r="N23" i="1"/>
  <c r="F24" i="1"/>
  <c r="N24" i="1"/>
  <c r="F25" i="1"/>
  <c r="N25" i="1"/>
  <c r="F26" i="1"/>
  <c r="N26" i="1"/>
  <c r="F27" i="1"/>
  <c r="N27" i="1"/>
  <c r="F28" i="1"/>
  <c r="N28" i="1"/>
  <c r="F29" i="1"/>
  <c r="N29" i="1"/>
  <c r="F30" i="1"/>
  <c r="N30" i="1"/>
  <c r="F31" i="1"/>
  <c r="N31" i="1"/>
  <c r="F32" i="1"/>
  <c r="N32" i="1"/>
  <c r="F33" i="1"/>
  <c r="N33" i="1"/>
  <c r="F34" i="1"/>
  <c r="N34" i="1"/>
  <c r="F35" i="1"/>
  <c r="N35" i="1"/>
  <c r="F36" i="1"/>
  <c r="N36" i="1"/>
  <c r="F37" i="1"/>
  <c r="N37" i="1"/>
  <c r="F38" i="1"/>
  <c r="N38" i="1"/>
  <c r="O40" i="1"/>
  <c r="E40" i="1"/>
  <c r="N40" i="1"/>
  <c r="D40" i="1"/>
  <c r="C40" i="1"/>
  <c r="B40" i="1"/>
  <c r="R38" i="1"/>
  <c r="S38" i="1"/>
  <c r="I38" i="1"/>
  <c r="J38" i="1"/>
  <c r="R37" i="1"/>
  <c r="S37" i="1"/>
  <c r="I37" i="1"/>
  <c r="J37" i="1"/>
  <c r="R36" i="1"/>
  <c r="S36" i="1"/>
  <c r="I36" i="1"/>
  <c r="J36" i="1"/>
  <c r="R35" i="1"/>
  <c r="S35" i="1"/>
  <c r="I35" i="1"/>
  <c r="J35" i="1"/>
  <c r="R34" i="1"/>
  <c r="S34" i="1"/>
  <c r="I34" i="1"/>
  <c r="J34" i="1"/>
  <c r="R33" i="1"/>
  <c r="S33" i="1"/>
  <c r="I33" i="1"/>
  <c r="J33" i="1"/>
  <c r="R32" i="1"/>
  <c r="S32" i="1"/>
  <c r="I32" i="1"/>
  <c r="J32" i="1"/>
  <c r="R31" i="1"/>
  <c r="S31" i="1"/>
  <c r="I31" i="1"/>
  <c r="J31" i="1"/>
  <c r="R30" i="1"/>
  <c r="S30" i="1"/>
  <c r="I30" i="1"/>
  <c r="J30" i="1"/>
  <c r="R29" i="1"/>
  <c r="S29" i="1"/>
  <c r="I29" i="1"/>
  <c r="J29" i="1"/>
  <c r="R28" i="1"/>
  <c r="S28" i="1"/>
  <c r="I28" i="1"/>
  <c r="J28" i="1"/>
  <c r="R27" i="1"/>
  <c r="S27" i="1"/>
  <c r="I27" i="1"/>
  <c r="J27" i="1"/>
  <c r="R26" i="1"/>
  <c r="S26" i="1"/>
  <c r="I26" i="1"/>
  <c r="J26" i="1"/>
  <c r="R25" i="1"/>
  <c r="S25" i="1"/>
  <c r="I25" i="1"/>
  <c r="J25" i="1"/>
  <c r="R24" i="1"/>
  <c r="S24" i="1"/>
  <c r="I24" i="1"/>
  <c r="J24" i="1"/>
  <c r="R23" i="1"/>
  <c r="S23" i="1"/>
  <c r="I23" i="1"/>
  <c r="J23" i="1"/>
  <c r="R22" i="1"/>
  <c r="S22" i="1"/>
  <c r="I22" i="1"/>
  <c r="J22" i="1"/>
  <c r="R21" i="1"/>
  <c r="S21" i="1"/>
  <c r="I21" i="1"/>
  <c r="J21" i="1"/>
  <c r="R20" i="1"/>
  <c r="S20" i="1"/>
  <c r="I20" i="1"/>
  <c r="J20" i="1"/>
  <c r="R19" i="1"/>
  <c r="S19" i="1"/>
  <c r="I19" i="1"/>
  <c r="J19" i="1"/>
  <c r="F40" i="1"/>
  <c r="B8" i="1"/>
  <c r="B3" i="1"/>
  <c r="B2" i="1"/>
  <c r="P40" i="1"/>
  <c r="G40" i="1"/>
  <c r="P38" i="1"/>
  <c r="G38" i="1"/>
  <c r="P37" i="1"/>
  <c r="G37" i="1"/>
  <c r="P36" i="1"/>
  <c r="G36" i="1"/>
  <c r="P35" i="1"/>
  <c r="G35" i="1"/>
  <c r="P34" i="1"/>
  <c r="G34" i="1"/>
  <c r="P33" i="1"/>
  <c r="G33" i="1"/>
  <c r="P32" i="1"/>
  <c r="G32" i="1"/>
  <c r="P31" i="1"/>
  <c r="G31" i="1"/>
  <c r="P30" i="1"/>
  <c r="G30" i="1"/>
  <c r="P29" i="1"/>
  <c r="G29" i="1"/>
  <c r="P28" i="1"/>
  <c r="G28" i="1"/>
  <c r="P27" i="1"/>
  <c r="G27" i="1"/>
  <c r="P26" i="1"/>
  <c r="G26" i="1"/>
  <c r="P25" i="1"/>
  <c r="G25" i="1"/>
  <c r="P24" i="1"/>
  <c r="G24" i="1"/>
  <c r="P23" i="1"/>
  <c r="G23" i="1"/>
  <c r="P22" i="1"/>
  <c r="Q40" i="1"/>
  <c r="H40" i="1"/>
  <c r="Q38" i="1"/>
  <c r="H38" i="1"/>
  <c r="Q37" i="1"/>
  <c r="H37" i="1"/>
  <c r="Q36" i="1"/>
  <c r="H36" i="1"/>
  <c r="Q35" i="1"/>
  <c r="H35" i="1"/>
  <c r="Q34" i="1"/>
  <c r="H34" i="1"/>
  <c r="Q33" i="1"/>
  <c r="H33" i="1"/>
  <c r="Q32" i="1"/>
  <c r="H32" i="1"/>
  <c r="Q31" i="1"/>
  <c r="H31" i="1"/>
  <c r="Q30" i="1"/>
  <c r="H30" i="1"/>
  <c r="Q29" i="1"/>
  <c r="H29" i="1"/>
  <c r="Q28" i="1"/>
  <c r="H28" i="1"/>
  <c r="Q27" i="1"/>
  <c r="H27" i="1"/>
  <c r="Q26" i="1"/>
  <c r="H26" i="1"/>
  <c r="Q25" i="1"/>
  <c r="H25" i="1"/>
  <c r="Q24" i="1"/>
  <c r="H24" i="1"/>
  <c r="Q23" i="1"/>
  <c r="H23" i="1"/>
  <c r="Q22" i="1"/>
  <c r="T38" i="1"/>
  <c r="K38" i="1"/>
  <c r="T37" i="1"/>
  <c r="K37" i="1"/>
  <c r="T36" i="1"/>
  <c r="K36" i="1"/>
  <c r="T35" i="1"/>
  <c r="K35" i="1"/>
  <c r="T34" i="1"/>
  <c r="K34" i="1"/>
  <c r="T33" i="1"/>
  <c r="K33" i="1"/>
  <c r="T32" i="1"/>
  <c r="K32" i="1"/>
  <c r="T31" i="1"/>
  <c r="K31" i="1"/>
  <c r="T30" i="1"/>
  <c r="K30" i="1"/>
  <c r="T29" i="1"/>
  <c r="K29" i="1"/>
  <c r="T28" i="1"/>
  <c r="K28" i="1"/>
  <c r="T27" i="1"/>
  <c r="K27" i="1"/>
  <c r="T26" i="1"/>
  <c r="K26" i="1"/>
  <c r="T25" i="1"/>
  <c r="K25" i="1"/>
  <c r="T24" i="1"/>
  <c r="K24" i="1"/>
  <c r="T23" i="1"/>
  <c r="K23" i="1"/>
  <c r="T22" i="1"/>
  <c r="K22" i="1"/>
  <c r="G19" i="1"/>
  <c r="H19" i="1"/>
  <c r="K19" i="1"/>
  <c r="P19" i="1"/>
  <c r="Q19" i="1"/>
  <c r="T19" i="1"/>
  <c r="G20" i="1"/>
  <c r="H20" i="1"/>
  <c r="K20" i="1"/>
  <c r="P20" i="1"/>
  <c r="Q20" i="1"/>
  <c r="T20" i="1"/>
  <c r="G21" i="1"/>
  <c r="H21" i="1"/>
  <c r="K21" i="1"/>
  <c r="P21" i="1"/>
  <c r="Q21" i="1"/>
  <c r="T21" i="1"/>
  <c r="G22" i="1"/>
  <c r="H22" i="1"/>
  <c r="K40" i="1"/>
  <c r="T40" i="1"/>
  <c r="I40" i="1"/>
  <c r="J40" i="1"/>
  <c r="R40" i="1"/>
  <c r="S40" i="1"/>
  <c r="L22" i="1"/>
  <c r="M22" i="1"/>
  <c r="U21" i="1"/>
  <c r="V21" i="1"/>
  <c r="L21" i="1"/>
  <c r="M21" i="1"/>
  <c r="W21" i="1"/>
  <c r="U20" i="1"/>
  <c r="V20" i="1"/>
  <c r="L20" i="1"/>
  <c r="M20" i="1"/>
  <c r="W20" i="1"/>
  <c r="U19" i="1"/>
  <c r="V19" i="1"/>
  <c r="L19" i="1"/>
  <c r="M19" i="1"/>
  <c r="W19" i="1"/>
  <c r="U22" i="1"/>
  <c r="V22" i="1"/>
  <c r="L23" i="1"/>
  <c r="M23" i="1"/>
  <c r="U23" i="1"/>
  <c r="V23" i="1"/>
  <c r="L24" i="1"/>
  <c r="M24" i="1"/>
  <c r="U24" i="1"/>
  <c r="V24" i="1"/>
  <c r="L25" i="1"/>
  <c r="M25" i="1"/>
  <c r="U25" i="1"/>
  <c r="V25" i="1"/>
  <c r="L26" i="1"/>
  <c r="M26" i="1"/>
  <c r="U26" i="1"/>
  <c r="V26" i="1"/>
  <c r="L27" i="1"/>
  <c r="M27" i="1"/>
  <c r="U27" i="1"/>
  <c r="V27" i="1"/>
  <c r="L28" i="1"/>
  <c r="M28" i="1"/>
  <c r="U28" i="1"/>
  <c r="V28" i="1"/>
  <c r="L29" i="1"/>
  <c r="M29" i="1"/>
  <c r="U29" i="1"/>
  <c r="V29" i="1"/>
  <c r="L30" i="1"/>
  <c r="M30" i="1"/>
  <c r="U30" i="1"/>
  <c r="V30" i="1"/>
  <c r="L31" i="1"/>
  <c r="M31" i="1"/>
  <c r="U31" i="1"/>
  <c r="V31" i="1"/>
  <c r="L32" i="1"/>
  <c r="M32" i="1"/>
  <c r="U32" i="1"/>
  <c r="V32" i="1"/>
  <c r="L33" i="1"/>
  <c r="M33" i="1"/>
  <c r="U33" i="1"/>
  <c r="V33" i="1"/>
  <c r="L34" i="1"/>
  <c r="M34" i="1"/>
  <c r="U34" i="1"/>
  <c r="V34" i="1"/>
  <c r="L35" i="1"/>
  <c r="M35" i="1"/>
  <c r="U35" i="1"/>
  <c r="V35" i="1"/>
  <c r="L36" i="1"/>
  <c r="M36" i="1"/>
  <c r="U36" i="1"/>
  <c r="V36" i="1"/>
  <c r="L37" i="1"/>
  <c r="M37" i="1"/>
  <c r="U37" i="1"/>
  <c r="V37" i="1"/>
  <c r="L38" i="1"/>
  <c r="M38" i="1"/>
  <c r="U38" i="1"/>
  <c r="V38" i="1"/>
  <c r="L40" i="1"/>
  <c r="M40" i="1"/>
  <c r="U40" i="1"/>
  <c r="V40" i="1"/>
  <c r="W40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</calcChain>
</file>

<file path=xl/sharedStrings.xml><?xml version="1.0" encoding="utf-8"?>
<sst xmlns="http://schemas.openxmlformats.org/spreadsheetml/2006/main" count="73" uniqueCount="67">
  <si>
    <t>Costs per case</t>
  </si>
  <si>
    <t>lost wages</t>
  </si>
  <si>
    <t>Lost wages for a case (5 days)</t>
  </si>
  <si>
    <t>case management costs</t>
  </si>
  <si>
    <t>Management costs per case</t>
  </si>
  <si>
    <t>GP costs</t>
  </si>
  <si>
    <t>GP costs per case</t>
  </si>
  <si>
    <t>Lab costs</t>
  </si>
  <si>
    <t>Lab costs per case</t>
  </si>
  <si>
    <t>Contacts quarantined</t>
  </si>
  <si>
    <t>Average number of contacts quarantined per case</t>
  </si>
  <si>
    <t>Quarantine length</t>
  </si>
  <si>
    <t>Average number of days a contact is quarantined</t>
  </si>
  <si>
    <t>Contact wage</t>
  </si>
  <si>
    <t>Average wage of a contact per day</t>
  </si>
  <si>
    <t>proportion hospitalised</t>
  </si>
  <si>
    <t>Proportion of cases that will be hospitalised</t>
  </si>
  <si>
    <t>hospital costs</t>
  </si>
  <si>
    <t>Costs of a hospitalised case</t>
  </si>
  <si>
    <t>discount rate</t>
  </si>
  <si>
    <t>Discount rate to use to adjust for cost in future vs present</t>
  </si>
  <si>
    <t>discount years</t>
  </si>
  <si>
    <t>Number of years to project for cost/benefit analysis</t>
  </si>
  <si>
    <t>vaccine cost</t>
  </si>
  <si>
    <t>Vaccine cost per person</t>
  </si>
  <si>
    <t>extra vaccination proportion</t>
  </si>
  <si>
    <t>Additional vaccination over and above the 0.28 required.</t>
  </si>
  <si>
    <t>Benefits from outbreaks avoided</t>
  </si>
  <si>
    <t>Post-vaccination outbreak costs</t>
  </si>
  <si>
    <t>DHB</t>
  </si>
  <si>
    <t>Population</t>
  </si>
  <si>
    <t>Naïve</t>
  </si>
  <si>
    <t>Attack</t>
  </si>
  <si>
    <t>Vacc</t>
  </si>
  <si>
    <t>Additional Vacc</t>
  </si>
  <si>
    <t>Case wage loss</t>
  </si>
  <si>
    <t>Management, GP, Lab costs</t>
  </si>
  <si>
    <t>Total hospitalised</t>
  </si>
  <si>
    <t>Hospitalisation costs</t>
  </si>
  <si>
    <t>Wage loss for contacts</t>
  </si>
  <si>
    <t>Total undiscounted costs</t>
  </si>
  <si>
    <t>Total discounted costs</t>
  </si>
  <si>
    <t>Total vaccine costs</t>
  </si>
  <si>
    <t>Outbreak size post vaccination</t>
  </si>
  <si>
    <t>Management , GP, Lab costs</t>
  </si>
  <si>
    <t>Benefit/cost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</si>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</sst>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FFFCC"/>
        <bgColor rgb="FFFFFFFF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5" borderId="2" applyProtection="0"/>
    <xf numFmtId="0" fontId="1" fillId="6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2" fillId="2" borderId="1" xfId="1" applyFont="1" applyFill="1" applyBorder="1" applyAlignment="1" applyProtection="1"/>
    <xf numFmtId="0" fontId="3" fillId="2" borderId="1" xfId="1" applyFont="1" applyFill="1" applyBorder="1" applyAlignment="1" applyProtection="1"/>
    <xf numFmtId="0" fontId="4" fillId="0" borderId="0" xfId="0" applyFont="1"/>
    <xf numFmtId="0" fontId="5" fillId="3" borderId="0" xfId="1" applyFont="1" applyFill="1" applyBorder="1" applyAlignment="1" applyProtection="1"/>
    <xf numFmtId="0" fontId="6" fillId="3" borderId="0" xfId="1" applyFont="1" applyFill="1" applyBorder="1" applyAlignment="1" applyProtection="1"/>
    <xf numFmtId="0" fontId="5" fillId="4" borderId="0" xfId="1" applyFont="1" applyFill="1" applyBorder="1" applyAlignment="1" applyProtection="1"/>
    <xf numFmtId="0" fontId="4" fillId="4" borderId="0" xfId="1" applyFont="1" applyFill="1" applyBorder="1" applyAlignment="1" applyProtection="1"/>
    <xf numFmtId="0" fontId="4" fillId="0" borderId="0" xfId="0" applyFont="1" applyAlignment="1">
      <alignment wrapText="1"/>
    </xf>
    <xf numFmtId="0" fontId="4" fillId="3" borderId="0" xfId="1" applyFont="1" applyFill="1" applyBorder="1" applyAlignment="1" applyProtection="1">
      <alignment wrapText="1"/>
    </xf>
    <xf numFmtId="0" fontId="4" fillId="5" borderId="2" xfId="1" applyFont="1" applyAlignment="1" applyProtection="1">
      <alignment wrapText="1"/>
    </xf>
    <xf numFmtId="0" fontId="4" fillId="4" borderId="0" xfId="1" applyFont="1" applyFill="1" applyBorder="1" applyAlignment="1" applyProtection="1">
      <alignment wrapText="1"/>
    </xf>
    <xf numFmtId="1" fontId="0" fillId="0" borderId="0" xfId="0" applyNumberFormat="1"/>
    <xf numFmtId="1" fontId="6" fillId="3" borderId="0" xfId="1" applyNumberFormat="1" applyFont="1" applyFill="1" applyBorder="1" applyAlignment="1" applyProtection="1"/>
    <xf numFmtId="1" fontId="0" fillId="5" borderId="2" xfId="1" applyNumberFormat="1" applyFont="1" applyAlignment="1" applyProtection="1"/>
    <xf numFmtId="1" fontId="6" fillId="4" borderId="0" xfId="1" applyNumberFormat="1" applyFont="1" applyFill="1" applyBorder="1" applyAlignment="1" applyProtection="1"/>
    <xf numFmtId="0" fontId="0" fillId="5" borderId="2" xfId="1" applyFont="1" applyAlignment="1" applyProtection="1"/>
    <xf numFmtId="1" fontId="0" fillId="0" borderId="0" xfId="0" applyNumberFormat="1" applyAlignment="1">
      <alignment wrapText="1"/>
    </xf>
    <xf numFmtId="1" fontId="4" fillId="0" borderId="0" xfId="0" applyNumberFormat="1" applyFont="1"/>
    <xf numFmtId="1" fontId="4" fillId="3" borderId="0" xfId="1" applyNumberFormat="1" applyFont="1" applyFill="1" applyBorder="1" applyAlignment="1" applyProtection="1"/>
    <xf numFmtId="1" fontId="4" fillId="5" borderId="2" xfId="1" applyNumberFormat="1" applyFont="1" applyAlignment="1" applyProtection="1"/>
    <xf numFmtId="1" fontId="4" fillId="4" borderId="0" xfId="1" applyNumberFormat="1" applyFont="1" applyFill="1" applyBorder="1" applyAlignment="1" applyProtection="1">
      <alignment wrapText="1"/>
    </xf>
    <xf numFmtId="1" fontId="4" fillId="4" borderId="0" xfId="1" applyNumberFormat="1" applyFont="1" applyFill="1" applyBorder="1" applyAlignment="1" applyProtection="1"/>
    <xf numFmtId="0" fontId="4" fillId="5" borderId="2" xfId="1" applyFont="1" applyAlignment="1" applyProtection="1"/>
    <xf numFmtId="0" fontId="1" fillId="6" borderId="0" xfId="2"/>
  </cellXfs>
  <cellStyles count="3">
    <cellStyle name="20% - Accent5" xfId="2" builtinId="46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10" zoomScaleNormal="100" workbookViewId="0">
      <selection activeCell="G42" sqref="G42"/>
    </sheetView>
  </sheetViews>
  <sheetFormatPr defaultRowHeight="15" x14ac:dyDescent="0.25"/>
  <cols>
    <col min="1" max="1" width="29"/>
    <col min="2" max="2" width="12"/>
    <col min="3" max="3" width="7.140625"/>
    <col min="4" max="6" width="7"/>
    <col min="7" max="7" width="17.5703125"/>
    <col min="8" max="8" width="10"/>
    <col min="9" max="9" width="13.85546875"/>
    <col min="10" max="11" width="11.85546875"/>
    <col min="12" max="12" width="14.28515625"/>
    <col min="13" max="13" width="16.140625"/>
    <col min="14" max="14" width="10.85546875" style="1"/>
    <col min="15" max="15" width="13.28515625" style="1"/>
    <col min="16" max="16" width="14.7109375"/>
    <col min="17" max="17" width="12.7109375"/>
    <col min="18" max="18" width="11.85546875"/>
    <col min="19" max="20" width="14.28515625"/>
    <col min="21" max="21" width="13.28515625"/>
    <col min="22" max="22" width="13.28515625" style="1"/>
    <col min="23" max="1025" width="15.28515625"/>
  </cols>
  <sheetData>
    <row r="1" spans="1:22" ht="21" x14ac:dyDescent="0.35">
      <c r="A1" s="2" t="s">
        <v>0</v>
      </c>
      <c r="B1" s="3"/>
      <c r="N1"/>
      <c r="O1"/>
      <c r="V1"/>
    </row>
    <row r="2" spans="1:22" x14ac:dyDescent="0.25">
      <c r="A2" s="3" t="s">
        <v>1</v>
      </c>
      <c r="B2" s="3">
        <f>207155/247</f>
        <v>838.68421052631584</v>
      </c>
      <c r="C2" t="s">
        <v>2</v>
      </c>
      <c r="N2"/>
      <c r="O2"/>
      <c r="V2"/>
    </row>
    <row r="3" spans="1:22" x14ac:dyDescent="0.25">
      <c r="A3" s="3" t="s">
        <v>3</v>
      </c>
      <c r="B3" s="3">
        <f>330147/187</f>
        <v>1765.4919786096257</v>
      </c>
      <c r="C3" t="s">
        <v>4</v>
      </c>
      <c r="N3"/>
      <c r="O3"/>
      <c r="V3"/>
    </row>
    <row r="4" spans="1:22" x14ac:dyDescent="0.25">
      <c r="A4" s="3" t="s">
        <v>5</v>
      </c>
      <c r="B4" s="3">
        <v>20</v>
      </c>
      <c r="C4" t="s">
        <v>6</v>
      </c>
      <c r="N4"/>
      <c r="O4"/>
      <c r="V4"/>
    </row>
    <row r="5" spans="1:22" x14ac:dyDescent="0.25">
      <c r="A5" s="3" t="s">
        <v>7</v>
      </c>
      <c r="B5" s="3">
        <v>0</v>
      </c>
      <c r="C5" t="s">
        <v>8</v>
      </c>
      <c r="N5"/>
      <c r="O5"/>
      <c r="V5"/>
    </row>
    <row r="6" spans="1:22" x14ac:dyDescent="0.25">
      <c r="A6" s="3" t="s">
        <v>9</v>
      </c>
      <c r="B6" s="3">
        <v>2.11</v>
      </c>
      <c r="C6" t="s">
        <v>10</v>
      </c>
      <c r="N6"/>
      <c r="O6"/>
      <c r="V6"/>
    </row>
    <row r="7" spans="1:22" x14ac:dyDescent="0.25">
      <c r="A7" s="3" t="s">
        <v>11</v>
      </c>
      <c r="B7" s="3">
        <v>7.3</v>
      </c>
      <c r="C7" t="s">
        <v>12</v>
      </c>
      <c r="N7"/>
      <c r="O7"/>
      <c r="V7"/>
    </row>
    <row r="8" spans="1:22" x14ac:dyDescent="0.25">
      <c r="A8" s="3" t="s">
        <v>13</v>
      </c>
      <c r="B8" s="3">
        <f>210436/247/5</f>
        <v>170.39352226720649</v>
      </c>
      <c r="C8" t="s">
        <v>14</v>
      </c>
      <c r="N8"/>
      <c r="O8"/>
      <c r="V8"/>
    </row>
    <row r="9" spans="1:22" x14ac:dyDescent="0.25">
      <c r="A9" s="3" t="s">
        <v>15</v>
      </c>
      <c r="B9" s="3">
        <v>0.17</v>
      </c>
      <c r="C9" t="s">
        <v>16</v>
      </c>
      <c r="N9"/>
      <c r="O9"/>
      <c r="V9"/>
    </row>
    <row r="10" spans="1:22" x14ac:dyDescent="0.25">
      <c r="A10" s="3" t="s">
        <v>17</v>
      </c>
      <c r="B10" s="3">
        <v>1877</v>
      </c>
      <c r="C10" t="s">
        <v>18</v>
      </c>
      <c r="N10"/>
      <c r="O10"/>
      <c r="V10"/>
    </row>
    <row r="12" spans="1:22" x14ac:dyDescent="0.25">
      <c r="A12" s="3" t="s">
        <v>19</v>
      </c>
      <c r="B12" s="3">
        <v>0.03</v>
      </c>
      <c r="C12" t="s">
        <v>20</v>
      </c>
      <c r="N12"/>
      <c r="O12"/>
      <c r="V12"/>
    </row>
    <row r="13" spans="1:22" x14ac:dyDescent="0.25">
      <c r="A13" s="3" t="s">
        <v>21</v>
      </c>
      <c r="B13" s="3">
        <v>10</v>
      </c>
      <c r="C13" t="s">
        <v>22</v>
      </c>
      <c r="N13"/>
      <c r="O13"/>
      <c r="V13"/>
    </row>
    <row r="14" spans="1:22" x14ac:dyDescent="0.25">
      <c r="A14" s="3" t="s">
        <v>23</v>
      </c>
      <c r="B14" s="3">
        <v>50</v>
      </c>
      <c r="C14" t="s">
        <v>24</v>
      </c>
      <c r="N14"/>
      <c r="O14"/>
      <c r="V14"/>
    </row>
    <row r="15" spans="1:22" x14ac:dyDescent="0.25">
      <c r="A15" s="3" t="s">
        <v>25</v>
      </c>
      <c r="B15" s="3">
        <v>0</v>
      </c>
      <c r="C15" t="s">
        <v>26</v>
      </c>
      <c r="N15"/>
      <c r="O15"/>
      <c r="V15"/>
    </row>
    <row r="17" spans="1:25" s="4" customFormat="1" ht="21" x14ac:dyDescent="0.35">
      <c r="G17" s="5" t="s">
        <v>27</v>
      </c>
      <c r="H17" s="5"/>
      <c r="I17" s="5"/>
      <c r="J17" s="5"/>
      <c r="K17" s="5"/>
      <c r="L17" s="5"/>
      <c r="M17" s="6"/>
      <c r="O17" s="7" t="s">
        <v>28</v>
      </c>
      <c r="P17" s="8"/>
      <c r="Q17" s="8"/>
      <c r="R17" s="8"/>
      <c r="S17" s="8"/>
      <c r="T17" s="8"/>
      <c r="U17" s="8"/>
      <c r="V17" s="8"/>
    </row>
    <row r="18" spans="1:25" s="9" customFormat="1" ht="45" x14ac:dyDescent="0.25">
      <c r="A18" s="9" t="s">
        <v>29</v>
      </c>
      <c r="B18" s="9" t="s">
        <v>30</v>
      </c>
      <c r="C18" s="9" t="s">
        <v>31</v>
      </c>
      <c r="D18" s="9" t="s">
        <v>32</v>
      </c>
      <c r="E18" s="9" t="s">
        <v>33</v>
      </c>
      <c r="F18" s="9" t="s">
        <v>34</v>
      </c>
      <c r="G18" s="10" t="s">
        <v>35</v>
      </c>
      <c r="H18" s="10" t="s">
        <v>36</v>
      </c>
      <c r="I18" s="10" t="s">
        <v>37</v>
      </c>
      <c r="J18" s="10" t="s">
        <v>38</v>
      </c>
      <c r="K18" s="10" t="s">
        <v>39</v>
      </c>
      <c r="L18" s="10" t="s">
        <v>40</v>
      </c>
      <c r="M18" s="10" t="s">
        <v>41</v>
      </c>
      <c r="N18" s="11" t="s">
        <v>42</v>
      </c>
      <c r="O18" s="12" t="s">
        <v>43</v>
      </c>
      <c r="P18" s="12" t="s">
        <v>35</v>
      </c>
      <c r="Q18" s="12" t="s">
        <v>44</v>
      </c>
      <c r="R18" s="12" t="s">
        <v>37</v>
      </c>
      <c r="S18" s="12" t="s">
        <v>38</v>
      </c>
      <c r="T18" s="12" t="s">
        <v>39</v>
      </c>
      <c r="U18" s="12" t="s">
        <v>40</v>
      </c>
      <c r="V18" s="12" t="s">
        <v>41</v>
      </c>
      <c r="W18" s="11" t="s">
        <v>45</v>
      </c>
    </row>
    <row r="19" spans="1:25" x14ac:dyDescent="0.25">
      <c r="A19" t="s">
        <v>46</v>
      </c>
      <c r="B19" s="1">
        <v>436347</v>
      </c>
      <c r="C19" s="1">
        <v>47930</v>
      </c>
      <c r="D19" s="1">
        <v>24719</v>
      </c>
      <c r="E19" s="1">
        <v>13840</v>
      </c>
      <c r="F19" s="13">
        <f t="shared" ref="F19:F38" si="0">C19*extra_vacc</f>
        <v>0</v>
      </c>
      <c r="G19" s="14">
        <f t="shared" ref="G19:G38" si="1">lost_wages*D19</f>
        <v>20731435</v>
      </c>
      <c r="H19" s="14">
        <f t="shared" ref="H19:H38" si="2">(case_management+case_gp+case_lab)*D19</f>
        <v>44135576.219251335</v>
      </c>
      <c r="I19" s="14">
        <f t="shared" ref="I19:I38" si="3">prop_hospitalised*D19</f>
        <v>4202.2300000000005</v>
      </c>
      <c r="J19" s="14">
        <f t="shared" ref="J19:J38" si="4">hospital_costs*I19</f>
        <v>7887585.7100000009</v>
      </c>
      <c r="K19" s="14">
        <f t="shared" ref="K19:K38" si="5">D19*contacts_number*contacts_quarantine*contacts_wage_per_day</f>
        <v>64876781.017046154</v>
      </c>
      <c r="L19" s="14">
        <f t="shared" ref="L19:L38" si="6">G19+H19+J19+K19</f>
        <v>137631377.9462975</v>
      </c>
      <c r="M19" s="14">
        <f t="shared" ref="M19:M38" si="7">L19/disc_years*(1-1/(1+disc_rate)^disc_years)/(1-1/(1+disc_rate))</f>
        <v>120924427.77044797</v>
      </c>
      <c r="N19" s="15">
        <f t="shared" ref="N19:N38" si="8">vacc_cost*(E19+F19)</f>
        <v>692000</v>
      </c>
      <c r="O19" s="25">
        <v>2</v>
      </c>
      <c r="P19" s="16">
        <f t="shared" ref="P19:P38" si="9">lost_wages*O19</f>
        <v>1677.3684210526317</v>
      </c>
      <c r="Q19" s="16">
        <f t="shared" ref="Q19:Q38" si="10">(case_management+case_gp+case_lab)*O19</f>
        <v>3570.9839572192514</v>
      </c>
      <c r="R19" s="16">
        <f t="shared" ref="R19:R38" si="11">prop_hospitalised*O19</f>
        <v>0.34</v>
      </c>
      <c r="S19" s="16">
        <f t="shared" ref="S19:S38" si="12">hospital_costs*R19</f>
        <v>638.18000000000006</v>
      </c>
      <c r="T19" s="16">
        <f t="shared" ref="T19:T38" si="13">O19*contacts_number*contacts_quarantine*contacts_wage_per_day</f>
        <v>5249.142846963563</v>
      </c>
      <c r="U19" s="16">
        <f t="shared" ref="U19:U38" si="14">P19+Q19+S19+T19</f>
        <v>11135.675225235445</v>
      </c>
      <c r="V19" s="16">
        <f t="shared" ref="V19:V38" si="15">U19*(1-1/(1+disc_rate)^disc_years)/(1-1/(1+disc_rate))</f>
        <v>97839.255447589268</v>
      </c>
      <c r="W19" s="17">
        <f t="shared" ref="W19:W38" si="16">M19/(N19+V19)</f>
        <v>153.10004780899629</v>
      </c>
    </row>
    <row r="20" spans="1:25" x14ac:dyDescent="0.25">
      <c r="A20" t="s">
        <v>47</v>
      </c>
      <c r="B20" s="1">
        <v>205998</v>
      </c>
      <c r="C20" s="1">
        <v>19642</v>
      </c>
      <c r="D20" s="1">
        <v>6641</v>
      </c>
      <c r="E20" s="1">
        <v>3548</v>
      </c>
      <c r="F20" s="13">
        <f t="shared" si="0"/>
        <v>0</v>
      </c>
      <c r="G20" s="14">
        <f t="shared" si="1"/>
        <v>5569701.8421052638</v>
      </c>
      <c r="H20" s="14">
        <f t="shared" si="2"/>
        <v>11857452.229946524</v>
      </c>
      <c r="I20" s="14">
        <f t="shared" si="3"/>
        <v>1128.97</v>
      </c>
      <c r="J20" s="14">
        <f t="shared" si="4"/>
        <v>2119076.69</v>
      </c>
      <c r="K20" s="14">
        <f t="shared" si="5"/>
        <v>17429778.82334251</v>
      </c>
      <c r="L20" s="14">
        <f t="shared" si="6"/>
        <v>36976009.585394293</v>
      </c>
      <c r="M20" s="14">
        <f t="shared" si="7"/>
        <v>32487524.771372017</v>
      </c>
      <c r="N20" s="15">
        <f t="shared" si="8"/>
        <v>177400</v>
      </c>
      <c r="O20" s="25">
        <v>2</v>
      </c>
      <c r="P20" s="16">
        <f t="shared" si="9"/>
        <v>1677.3684210526317</v>
      </c>
      <c r="Q20" s="16">
        <f t="shared" si="10"/>
        <v>3570.9839572192514</v>
      </c>
      <c r="R20" s="16">
        <f t="shared" si="11"/>
        <v>0.34</v>
      </c>
      <c r="S20" s="16">
        <f t="shared" si="12"/>
        <v>638.18000000000006</v>
      </c>
      <c r="T20" s="16">
        <f t="shared" si="13"/>
        <v>5249.142846963563</v>
      </c>
      <c r="U20" s="16">
        <f t="shared" si="14"/>
        <v>11135.675225235445</v>
      </c>
      <c r="V20" s="16">
        <f t="shared" si="15"/>
        <v>97839.255447589268</v>
      </c>
      <c r="W20" s="17">
        <f t="shared" si="16"/>
        <v>118.03376200295764</v>
      </c>
    </row>
    <row r="21" spans="1:25" x14ac:dyDescent="0.25">
      <c r="A21" t="s">
        <v>48</v>
      </c>
      <c r="B21" s="1">
        <v>482178</v>
      </c>
      <c r="C21" s="1">
        <v>48190</v>
      </c>
      <c r="D21" s="1">
        <v>19384</v>
      </c>
      <c r="E21" s="1">
        <v>10520</v>
      </c>
      <c r="F21" s="13">
        <f t="shared" si="0"/>
        <v>0</v>
      </c>
      <c r="G21" s="14">
        <f t="shared" si="1"/>
        <v>16257054.736842107</v>
      </c>
      <c r="H21" s="14">
        <f t="shared" si="2"/>
        <v>34609976.513368987</v>
      </c>
      <c r="I21" s="14">
        <f t="shared" si="3"/>
        <v>3295.28</v>
      </c>
      <c r="J21" s="14">
        <f t="shared" si="4"/>
        <v>6185240.5600000005</v>
      </c>
      <c r="K21" s="14">
        <f t="shared" si="5"/>
        <v>50874692.472770847</v>
      </c>
      <c r="L21" s="14">
        <f t="shared" si="6"/>
        <v>107926964.28298193</v>
      </c>
      <c r="M21" s="14">
        <f t="shared" si="7"/>
        <v>94825806.379803538</v>
      </c>
      <c r="N21" s="15">
        <f t="shared" si="8"/>
        <v>526000</v>
      </c>
      <c r="O21" s="25">
        <v>2</v>
      </c>
      <c r="P21" s="16">
        <f t="shared" si="9"/>
        <v>1677.3684210526317</v>
      </c>
      <c r="Q21" s="16">
        <f t="shared" si="10"/>
        <v>3570.9839572192514</v>
      </c>
      <c r="R21" s="16">
        <f t="shared" si="11"/>
        <v>0.34</v>
      </c>
      <c r="S21" s="16">
        <f t="shared" si="12"/>
        <v>638.18000000000006</v>
      </c>
      <c r="T21" s="16">
        <f t="shared" si="13"/>
        <v>5249.142846963563</v>
      </c>
      <c r="U21" s="16">
        <f t="shared" si="14"/>
        <v>11135.675225235445</v>
      </c>
      <c r="V21" s="16">
        <f t="shared" si="15"/>
        <v>97839.255447589268</v>
      </c>
      <c r="W21" s="17">
        <f t="shared" si="16"/>
        <v>152.0035899500559</v>
      </c>
      <c r="Y21" s="18"/>
    </row>
    <row r="22" spans="1:25" x14ac:dyDescent="0.25">
      <c r="A22" t="s">
        <v>49</v>
      </c>
      <c r="B22" s="1">
        <v>283704</v>
      </c>
      <c r="C22" s="1">
        <v>30414</v>
      </c>
      <c r="D22" s="1">
        <v>14853</v>
      </c>
      <c r="E22" s="1">
        <v>8250</v>
      </c>
      <c r="F22" s="13">
        <f t="shared" si="0"/>
        <v>0</v>
      </c>
      <c r="G22" s="14">
        <f t="shared" si="1"/>
        <v>12456976.578947369</v>
      </c>
      <c r="H22" s="14">
        <f t="shared" si="2"/>
        <v>26519912.358288769</v>
      </c>
      <c r="I22" s="14">
        <f t="shared" si="3"/>
        <v>2525.0100000000002</v>
      </c>
      <c r="J22" s="14">
        <f t="shared" si="4"/>
        <v>4739443.7700000005</v>
      </c>
      <c r="K22" s="14">
        <f t="shared" si="5"/>
        <v>38982759.352974899</v>
      </c>
      <c r="L22" s="14">
        <f t="shared" si="6"/>
        <v>82699092.060211033</v>
      </c>
      <c r="M22" s="14">
        <f t="shared" si="7"/>
        <v>72660323.058152169</v>
      </c>
      <c r="N22" s="15">
        <f t="shared" si="8"/>
        <v>412500</v>
      </c>
      <c r="O22" s="25">
        <v>3</v>
      </c>
      <c r="P22" s="16">
        <f t="shared" si="9"/>
        <v>2516.0526315789475</v>
      </c>
      <c r="Q22" s="16">
        <f t="shared" si="10"/>
        <v>5356.4759358288775</v>
      </c>
      <c r="R22" s="16">
        <f t="shared" si="11"/>
        <v>0.51</v>
      </c>
      <c r="S22" s="16">
        <f t="shared" si="12"/>
        <v>957.27</v>
      </c>
      <c r="T22" s="16">
        <f t="shared" si="13"/>
        <v>7873.7142704453445</v>
      </c>
      <c r="U22" s="16">
        <f t="shared" si="14"/>
        <v>16703.51283785317</v>
      </c>
      <c r="V22" s="16">
        <f t="shared" si="15"/>
        <v>146758.88317138393</v>
      </c>
      <c r="W22" s="17">
        <f t="shared" si="16"/>
        <v>129.92251932793266</v>
      </c>
    </row>
    <row r="23" spans="1:25" x14ac:dyDescent="0.25">
      <c r="A23" t="s">
        <v>50</v>
      </c>
      <c r="B23" s="1">
        <v>469299</v>
      </c>
      <c r="C23" s="1">
        <v>52672</v>
      </c>
      <c r="D23" s="1">
        <v>28389</v>
      </c>
      <c r="E23" s="1">
        <v>16008</v>
      </c>
      <c r="F23" s="13">
        <f t="shared" si="0"/>
        <v>0</v>
      </c>
      <c r="G23" s="14">
        <f t="shared" si="1"/>
        <v>23809406.052631579</v>
      </c>
      <c r="H23" s="14">
        <f t="shared" si="2"/>
        <v>50688331.780748665</v>
      </c>
      <c r="I23" s="14">
        <f t="shared" si="3"/>
        <v>4826.13</v>
      </c>
      <c r="J23" s="14">
        <f t="shared" si="4"/>
        <v>9058646.0099999998</v>
      </c>
      <c r="K23" s="14">
        <f t="shared" si="5"/>
        <v>74508958.14122428</v>
      </c>
      <c r="L23" s="14">
        <f t="shared" si="6"/>
        <v>158065341.98460454</v>
      </c>
      <c r="M23" s="14">
        <f t="shared" si="7"/>
        <v>138877931.1450806</v>
      </c>
      <c r="N23" s="15">
        <f t="shared" si="8"/>
        <v>800400</v>
      </c>
      <c r="O23" s="25">
        <v>3</v>
      </c>
      <c r="P23" s="16">
        <f t="shared" si="9"/>
        <v>2516.0526315789475</v>
      </c>
      <c r="Q23" s="16">
        <f t="shared" si="10"/>
        <v>5356.4759358288775</v>
      </c>
      <c r="R23" s="16">
        <f t="shared" si="11"/>
        <v>0.51</v>
      </c>
      <c r="S23" s="16">
        <f t="shared" si="12"/>
        <v>957.27</v>
      </c>
      <c r="T23" s="16">
        <f t="shared" si="13"/>
        <v>7873.7142704453445</v>
      </c>
      <c r="U23" s="16">
        <f t="shared" si="14"/>
        <v>16703.51283785317</v>
      </c>
      <c r="V23" s="16">
        <f t="shared" si="15"/>
        <v>146758.88317138393</v>
      </c>
      <c r="W23" s="17">
        <f t="shared" si="16"/>
        <v>146.62580229419785</v>
      </c>
    </row>
    <row r="24" spans="1:25" x14ac:dyDescent="0.25">
      <c r="A24" t="s">
        <v>51</v>
      </c>
      <c r="B24" s="1">
        <v>151695</v>
      </c>
      <c r="C24" s="1">
        <v>14842</v>
      </c>
      <c r="D24" s="1">
        <v>5550</v>
      </c>
      <c r="E24" s="1">
        <v>2991</v>
      </c>
      <c r="F24" s="13">
        <f t="shared" si="0"/>
        <v>0</v>
      </c>
      <c r="G24" s="14">
        <f t="shared" si="1"/>
        <v>4654697.3684210526</v>
      </c>
      <c r="H24" s="14">
        <f t="shared" si="2"/>
        <v>9909480.4812834226</v>
      </c>
      <c r="I24" s="14">
        <f t="shared" si="3"/>
        <v>943.50000000000011</v>
      </c>
      <c r="J24" s="14">
        <f t="shared" si="4"/>
        <v>1770949.5000000002</v>
      </c>
      <c r="K24" s="14">
        <f t="shared" si="5"/>
        <v>14566371.400323886</v>
      </c>
      <c r="L24" s="14">
        <f t="shared" si="6"/>
        <v>30901498.750028361</v>
      </c>
      <c r="M24" s="14">
        <f t="shared" si="7"/>
        <v>27150393.386706024</v>
      </c>
      <c r="N24" s="15">
        <f t="shared" si="8"/>
        <v>149550</v>
      </c>
      <c r="O24" s="25">
        <v>2</v>
      </c>
      <c r="P24" s="16">
        <f t="shared" si="9"/>
        <v>1677.3684210526317</v>
      </c>
      <c r="Q24" s="16">
        <f t="shared" si="10"/>
        <v>3570.9839572192514</v>
      </c>
      <c r="R24" s="16">
        <f t="shared" si="11"/>
        <v>0.34</v>
      </c>
      <c r="S24" s="16">
        <f t="shared" si="12"/>
        <v>638.18000000000006</v>
      </c>
      <c r="T24" s="16">
        <f t="shared" si="13"/>
        <v>5249.142846963563</v>
      </c>
      <c r="U24" s="16">
        <f t="shared" si="14"/>
        <v>11135.675225235445</v>
      </c>
      <c r="V24" s="16">
        <f t="shared" si="15"/>
        <v>97839.255447589268</v>
      </c>
      <c r="W24" s="17">
        <f t="shared" si="16"/>
        <v>109.74766603175286</v>
      </c>
    </row>
    <row r="25" spans="1:25" x14ac:dyDescent="0.25">
      <c r="A25" t="s">
        <v>52</v>
      </c>
      <c r="B25" s="1">
        <v>138375</v>
      </c>
      <c r="C25" s="1">
        <v>14288</v>
      </c>
      <c r="D25" s="1">
        <v>6339</v>
      </c>
      <c r="E25" s="1">
        <v>3477</v>
      </c>
      <c r="F25" s="13">
        <f t="shared" si="0"/>
        <v>0</v>
      </c>
      <c r="G25" s="14">
        <f t="shared" si="1"/>
        <v>5316419.2105263164</v>
      </c>
      <c r="H25" s="14">
        <f t="shared" si="2"/>
        <v>11318233.652406417</v>
      </c>
      <c r="I25" s="14">
        <f t="shared" si="3"/>
        <v>1077.6300000000001</v>
      </c>
      <c r="J25" s="14">
        <f t="shared" si="4"/>
        <v>2022711.5100000002</v>
      </c>
      <c r="K25" s="14">
        <f t="shared" si="5"/>
        <v>16637158.25345101</v>
      </c>
      <c r="L25" s="14">
        <f t="shared" si="6"/>
        <v>35294522.626383744</v>
      </c>
      <c r="M25" s="14">
        <f t="shared" si="7"/>
        <v>31010152.014113419</v>
      </c>
      <c r="N25" s="15">
        <f t="shared" si="8"/>
        <v>173850</v>
      </c>
      <c r="O25" s="25">
        <v>2</v>
      </c>
      <c r="P25" s="16">
        <f t="shared" si="9"/>
        <v>1677.3684210526317</v>
      </c>
      <c r="Q25" s="16">
        <f t="shared" si="10"/>
        <v>3570.9839572192514</v>
      </c>
      <c r="R25" s="16">
        <f t="shared" si="11"/>
        <v>0.34</v>
      </c>
      <c r="S25" s="16">
        <f t="shared" si="12"/>
        <v>638.18000000000006</v>
      </c>
      <c r="T25" s="16">
        <f t="shared" si="13"/>
        <v>5249.142846963563</v>
      </c>
      <c r="U25" s="16">
        <f t="shared" si="14"/>
        <v>11135.675225235445</v>
      </c>
      <c r="V25" s="16">
        <f t="shared" si="15"/>
        <v>97839.255447589268</v>
      </c>
      <c r="W25" s="17">
        <f t="shared" si="16"/>
        <v>114.13830835167307</v>
      </c>
    </row>
    <row r="26" spans="1:25" x14ac:dyDescent="0.25">
      <c r="A26" t="s">
        <v>53</v>
      </c>
      <c r="B26" s="1">
        <v>98196</v>
      </c>
      <c r="C26" s="1">
        <v>10015</v>
      </c>
      <c r="D26" s="1">
        <v>4289</v>
      </c>
      <c r="E26" s="1">
        <v>2343</v>
      </c>
      <c r="F26" s="13">
        <f t="shared" si="0"/>
        <v>0</v>
      </c>
      <c r="G26" s="14">
        <f t="shared" si="1"/>
        <v>3597116.5789473685</v>
      </c>
      <c r="H26" s="14">
        <f t="shared" si="2"/>
        <v>7657975.0962566845</v>
      </c>
      <c r="I26" s="14">
        <f t="shared" si="3"/>
        <v>729.13000000000011</v>
      </c>
      <c r="J26" s="14">
        <f t="shared" si="4"/>
        <v>1368577.0100000002</v>
      </c>
      <c r="K26" s="14">
        <f t="shared" si="5"/>
        <v>11256786.835313359</v>
      </c>
      <c r="L26" s="14">
        <f t="shared" si="6"/>
        <v>23880455.520517413</v>
      </c>
      <c r="M26" s="14">
        <f t="shared" si="7"/>
        <v>20981628.33073552</v>
      </c>
      <c r="N26" s="15">
        <f t="shared" si="8"/>
        <v>117150</v>
      </c>
      <c r="O26" s="25">
        <v>2</v>
      </c>
      <c r="P26" s="16">
        <f t="shared" si="9"/>
        <v>1677.3684210526317</v>
      </c>
      <c r="Q26" s="16">
        <f t="shared" si="10"/>
        <v>3570.9839572192514</v>
      </c>
      <c r="R26" s="16">
        <f t="shared" si="11"/>
        <v>0.34</v>
      </c>
      <c r="S26" s="16">
        <f t="shared" si="12"/>
        <v>638.18000000000006</v>
      </c>
      <c r="T26" s="16">
        <f t="shared" si="13"/>
        <v>5249.142846963563</v>
      </c>
      <c r="U26" s="16">
        <f t="shared" si="14"/>
        <v>11135.675225235445</v>
      </c>
      <c r="V26" s="16">
        <f t="shared" si="15"/>
        <v>97839.255447589268</v>
      </c>
      <c r="W26" s="17">
        <f t="shared" si="16"/>
        <v>97.593846199678964</v>
      </c>
    </row>
    <row r="27" spans="1:25" x14ac:dyDescent="0.25">
      <c r="A27" t="s">
        <v>54</v>
      </c>
      <c r="B27" s="1">
        <v>162561</v>
      </c>
      <c r="C27" s="1">
        <v>16432</v>
      </c>
      <c r="D27" s="1">
        <v>6851</v>
      </c>
      <c r="E27" s="1">
        <v>3732</v>
      </c>
      <c r="F27" s="13">
        <f t="shared" si="0"/>
        <v>0</v>
      </c>
      <c r="G27" s="14">
        <f t="shared" si="1"/>
        <v>5745825.5263157897</v>
      </c>
      <c r="H27" s="14">
        <f t="shared" si="2"/>
        <v>12232405.545454545</v>
      </c>
      <c r="I27" s="14">
        <f t="shared" si="3"/>
        <v>1164.67</v>
      </c>
      <c r="J27" s="14">
        <f t="shared" si="4"/>
        <v>2186085.5900000003</v>
      </c>
      <c r="K27" s="14">
        <f t="shared" si="5"/>
        <v>17980938.822273687</v>
      </c>
      <c r="L27" s="14">
        <f t="shared" si="6"/>
        <v>38145255.484044015</v>
      </c>
      <c r="M27" s="14">
        <f t="shared" si="7"/>
        <v>33514836.953571707</v>
      </c>
      <c r="N27" s="15">
        <f t="shared" si="8"/>
        <v>186600</v>
      </c>
      <c r="O27" s="25">
        <v>2</v>
      </c>
      <c r="P27" s="16">
        <f t="shared" si="9"/>
        <v>1677.3684210526317</v>
      </c>
      <c r="Q27" s="16">
        <f t="shared" si="10"/>
        <v>3570.9839572192514</v>
      </c>
      <c r="R27" s="16">
        <f t="shared" si="11"/>
        <v>0.34</v>
      </c>
      <c r="S27" s="16">
        <f t="shared" si="12"/>
        <v>638.18000000000006</v>
      </c>
      <c r="T27" s="16">
        <f t="shared" si="13"/>
        <v>5249.142846963563</v>
      </c>
      <c r="U27" s="16">
        <f t="shared" si="14"/>
        <v>11135.675225235445</v>
      </c>
      <c r="V27" s="16">
        <f t="shared" si="15"/>
        <v>97839.255447589268</v>
      </c>
      <c r="W27" s="17">
        <f t="shared" si="16"/>
        <v>117.82774814549866</v>
      </c>
    </row>
    <row r="28" spans="1:25" x14ac:dyDescent="0.25">
      <c r="A28" t="s">
        <v>55</v>
      </c>
      <c r="B28" s="1">
        <v>136995</v>
      </c>
      <c r="C28" s="1">
        <v>12320</v>
      </c>
      <c r="D28" s="1">
        <v>3086</v>
      </c>
      <c r="E28" s="1">
        <v>1617</v>
      </c>
      <c r="F28" s="13">
        <f t="shared" si="0"/>
        <v>0</v>
      </c>
      <c r="G28" s="14">
        <f t="shared" si="1"/>
        <v>2588179.4736842108</v>
      </c>
      <c r="H28" s="14">
        <f t="shared" si="2"/>
        <v>5510028.245989305</v>
      </c>
      <c r="I28" s="14">
        <f t="shared" si="3"/>
        <v>524.62</v>
      </c>
      <c r="J28" s="14">
        <f t="shared" si="4"/>
        <v>984711.74</v>
      </c>
      <c r="K28" s="14">
        <f t="shared" si="5"/>
        <v>8099427.4128647773</v>
      </c>
      <c r="L28" s="14">
        <f t="shared" si="6"/>
        <v>17182346.872538295</v>
      </c>
      <c r="M28" s="14">
        <f t="shared" si="7"/>
        <v>15096597.115563028</v>
      </c>
      <c r="N28" s="15">
        <f t="shared" si="8"/>
        <v>80850</v>
      </c>
      <c r="O28" s="25">
        <v>3</v>
      </c>
      <c r="P28" s="16">
        <f t="shared" si="9"/>
        <v>2516.0526315789475</v>
      </c>
      <c r="Q28" s="16">
        <f t="shared" si="10"/>
        <v>5356.4759358288775</v>
      </c>
      <c r="R28" s="16">
        <f t="shared" si="11"/>
        <v>0.51</v>
      </c>
      <c r="S28" s="16">
        <f t="shared" si="12"/>
        <v>957.27</v>
      </c>
      <c r="T28" s="16">
        <f t="shared" si="13"/>
        <v>7873.7142704453445</v>
      </c>
      <c r="U28" s="16">
        <f t="shared" si="14"/>
        <v>16703.51283785317</v>
      </c>
      <c r="V28" s="16">
        <f t="shared" si="15"/>
        <v>146758.88317138393</v>
      </c>
      <c r="W28" s="17">
        <f t="shared" si="16"/>
        <v>66.326924086682766</v>
      </c>
    </row>
    <row r="29" spans="1:25" x14ac:dyDescent="0.25">
      <c r="A29" t="s">
        <v>56</v>
      </c>
      <c r="B29" s="1">
        <v>151686</v>
      </c>
      <c r="C29" s="1">
        <v>14257</v>
      </c>
      <c r="D29" s="1">
        <v>4526</v>
      </c>
      <c r="E29" s="1">
        <v>2407</v>
      </c>
      <c r="F29" s="13">
        <f t="shared" si="0"/>
        <v>0</v>
      </c>
      <c r="G29" s="14">
        <f t="shared" si="1"/>
        <v>3795884.7368421056</v>
      </c>
      <c r="H29" s="14">
        <f t="shared" si="2"/>
        <v>8081136.6951871654</v>
      </c>
      <c r="I29" s="14">
        <f t="shared" si="3"/>
        <v>769.42000000000007</v>
      </c>
      <c r="J29" s="14">
        <f t="shared" si="4"/>
        <v>1444201.34</v>
      </c>
      <c r="K29" s="14">
        <f t="shared" si="5"/>
        <v>11878810.262678541</v>
      </c>
      <c r="L29" s="14">
        <f t="shared" si="6"/>
        <v>25200033.034707814</v>
      </c>
      <c r="M29" s="14">
        <f t="shared" si="7"/>
        <v>22141023.507789455</v>
      </c>
      <c r="N29" s="15">
        <f t="shared" si="8"/>
        <v>120350</v>
      </c>
      <c r="O29" s="25">
        <v>3</v>
      </c>
      <c r="P29" s="16">
        <f t="shared" si="9"/>
        <v>2516.0526315789475</v>
      </c>
      <c r="Q29" s="16">
        <f t="shared" si="10"/>
        <v>5356.4759358288775</v>
      </c>
      <c r="R29" s="16">
        <f t="shared" si="11"/>
        <v>0.51</v>
      </c>
      <c r="S29" s="16">
        <f t="shared" si="12"/>
        <v>957.27</v>
      </c>
      <c r="T29" s="16">
        <f t="shared" si="13"/>
        <v>7873.7142704453445</v>
      </c>
      <c r="U29" s="16">
        <f t="shared" si="14"/>
        <v>16703.51283785317</v>
      </c>
      <c r="V29" s="16">
        <f t="shared" si="15"/>
        <v>146758.88317138393</v>
      </c>
      <c r="W29" s="17">
        <f t="shared" si="16"/>
        <v>82.891378395615561</v>
      </c>
    </row>
    <row r="30" spans="1:25" x14ac:dyDescent="0.25">
      <c r="A30" t="s">
        <v>57</v>
      </c>
      <c r="B30" s="1">
        <v>55620</v>
      </c>
      <c r="C30" s="1">
        <v>4949</v>
      </c>
      <c r="D30" s="1">
        <v>1156</v>
      </c>
      <c r="E30" s="1">
        <v>604</v>
      </c>
      <c r="F30" s="13">
        <f t="shared" si="0"/>
        <v>0</v>
      </c>
      <c r="G30" s="14">
        <f t="shared" si="1"/>
        <v>969518.94736842113</v>
      </c>
      <c r="H30" s="14">
        <f t="shared" si="2"/>
        <v>2064028.7272727273</v>
      </c>
      <c r="I30" s="14">
        <f t="shared" si="3"/>
        <v>196.52</v>
      </c>
      <c r="J30" s="14">
        <f t="shared" si="4"/>
        <v>368868.04000000004</v>
      </c>
      <c r="K30" s="14">
        <f t="shared" si="5"/>
        <v>3034004.5655449391</v>
      </c>
      <c r="L30" s="14">
        <f t="shared" si="6"/>
        <v>6436420.2801860869</v>
      </c>
      <c r="M30" s="14">
        <f t="shared" si="7"/>
        <v>5655108.9648706596</v>
      </c>
      <c r="N30" s="15">
        <f t="shared" si="8"/>
        <v>30200</v>
      </c>
      <c r="O30" s="25">
        <v>3</v>
      </c>
      <c r="P30" s="16">
        <f t="shared" si="9"/>
        <v>2516.0526315789475</v>
      </c>
      <c r="Q30" s="16">
        <f t="shared" si="10"/>
        <v>5356.4759358288775</v>
      </c>
      <c r="R30" s="16">
        <f t="shared" si="11"/>
        <v>0.51</v>
      </c>
      <c r="S30" s="16">
        <f t="shared" si="12"/>
        <v>957.27</v>
      </c>
      <c r="T30" s="16">
        <f t="shared" si="13"/>
        <v>7873.7142704453445</v>
      </c>
      <c r="U30" s="16">
        <f t="shared" si="14"/>
        <v>16703.51283785317</v>
      </c>
      <c r="V30" s="16">
        <f t="shared" si="15"/>
        <v>146758.88317138393</v>
      </c>
      <c r="W30" s="17">
        <f t="shared" si="16"/>
        <v>31.95719176976106</v>
      </c>
    </row>
    <row r="31" spans="1:25" x14ac:dyDescent="0.25">
      <c r="A31" t="s">
        <v>58</v>
      </c>
      <c r="B31" s="1">
        <v>297420</v>
      </c>
      <c r="C31" s="1">
        <v>29797</v>
      </c>
      <c r="D31" s="1">
        <v>12080</v>
      </c>
      <c r="E31" s="1">
        <v>6561</v>
      </c>
      <c r="F31" s="13">
        <f t="shared" si="0"/>
        <v>0</v>
      </c>
      <c r="G31" s="14">
        <f t="shared" si="1"/>
        <v>10131305.263157895</v>
      </c>
      <c r="H31" s="14">
        <f t="shared" si="2"/>
        <v>21568743.101604279</v>
      </c>
      <c r="I31" s="14">
        <f t="shared" si="3"/>
        <v>2053.6000000000004</v>
      </c>
      <c r="J31" s="14">
        <f t="shared" si="4"/>
        <v>3854607.2000000007</v>
      </c>
      <c r="K31" s="14">
        <f t="shared" si="5"/>
        <v>31704822.795659918</v>
      </c>
      <c r="L31" s="14">
        <f t="shared" si="6"/>
        <v>67259478.36042209</v>
      </c>
      <c r="M31" s="14">
        <f t="shared" si="7"/>
        <v>59094910.290343918</v>
      </c>
      <c r="N31" s="15">
        <f t="shared" si="8"/>
        <v>328050</v>
      </c>
      <c r="O31" s="25">
        <v>2</v>
      </c>
      <c r="P31" s="16">
        <f t="shared" si="9"/>
        <v>1677.3684210526317</v>
      </c>
      <c r="Q31" s="16">
        <f t="shared" si="10"/>
        <v>3570.9839572192514</v>
      </c>
      <c r="R31" s="16">
        <f t="shared" si="11"/>
        <v>0.34</v>
      </c>
      <c r="S31" s="16">
        <f t="shared" si="12"/>
        <v>638.18000000000006</v>
      </c>
      <c r="T31" s="16">
        <f t="shared" si="13"/>
        <v>5249.142846963563</v>
      </c>
      <c r="U31" s="16">
        <f t="shared" si="14"/>
        <v>11135.675225235445</v>
      </c>
      <c r="V31" s="16">
        <f t="shared" si="15"/>
        <v>97839.255447589268</v>
      </c>
      <c r="W31" s="17">
        <f t="shared" si="16"/>
        <v>138.75651835413876</v>
      </c>
    </row>
    <row r="32" spans="1:25" x14ac:dyDescent="0.25">
      <c r="A32" t="s">
        <v>59</v>
      </c>
      <c r="B32" s="1">
        <v>43650</v>
      </c>
      <c r="C32" s="1">
        <v>4557</v>
      </c>
      <c r="D32" s="1">
        <v>2083</v>
      </c>
      <c r="E32" s="1">
        <v>1147</v>
      </c>
      <c r="F32" s="13">
        <f t="shared" si="0"/>
        <v>0</v>
      </c>
      <c r="G32" s="14">
        <f t="shared" si="1"/>
        <v>1746979.210526316</v>
      </c>
      <c r="H32" s="14">
        <f t="shared" si="2"/>
        <v>3719179.7914438504</v>
      </c>
      <c r="I32" s="14">
        <f t="shared" si="3"/>
        <v>354.11</v>
      </c>
      <c r="J32" s="14">
        <f t="shared" si="4"/>
        <v>664664.47</v>
      </c>
      <c r="K32" s="14">
        <f t="shared" si="5"/>
        <v>5466982.2751125507</v>
      </c>
      <c r="L32" s="14">
        <f t="shared" si="6"/>
        <v>11597805.747082718</v>
      </c>
      <c r="M32" s="14">
        <f t="shared" si="7"/>
        <v>10189958.454866424</v>
      </c>
      <c r="N32" s="15">
        <f t="shared" si="8"/>
        <v>57350</v>
      </c>
      <c r="O32" s="25">
        <v>2</v>
      </c>
      <c r="P32" s="16">
        <f t="shared" si="9"/>
        <v>1677.3684210526317</v>
      </c>
      <c r="Q32" s="16">
        <f t="shared" si="10"/>
        <v>3570.9839572192514</v>
      </c>
      <c r="R32" s="16">
        <f t="shared" si="11"/>
        <v>0.34</v>
      </c>
      <c r="S32" s="16">
        <f t="shared" si="12"/>
        <v>638.18000000000006</v>
      </c>
      <c r="T32" s="16">
        <f t="shared" si="13"/>
        <v>5249.142846963563</v>
      </c>
      <c r="U32" s="16">
        <f t="shared" si="14"/>
        <v>11135.675225235445</v>
      </c>
      <c r="V32" s="16">
        <f t="shared" si="15"/>
        <v>97839.255447589268</v>
      </c>
      <c r="W32" s="17">
        <f t="shared" si="16"/>
        <v>65.661494576264602</v>
      </c>
    </row>
    <row r="33" spans="1:23" x14ac:dyDescent="0.25">
      <c r="A33" t="s">
        <v>60</v>
      </c>
      <c r="B33" s="1">
        <v>109752</v>
      </c>
      <c r="C33" s="1">
        <v>10821</v>
      </c>
      <c r="D33" s="1">
        <v>4158</v>
      </c>
      <c r="E33" s="1">
        <v>2247</v>
      </c>
      <c r="F33" s="13">
        <f t="shared" si="0"/>
        <v>0</v>
      </c>
      <c r="G33" s="14">
        <f t="shared" si="1"/>
        <v>3487248.9473684211</v>
      </c>
      <c r="H33" s="14">
        <f t="shared" si="2"/>
        <v>7424075.6470588231</v>
      </c>
      <c r="I33" s="14">
        <f t="shared" si="3"/>
        <v>706.86</v>
      </c>
      <c r="J33" s="14">
        <f t="shared" si="4"/>
        <v>1326776.22</v>
      </c>
      <c r="K33" s="14">
        <f t="shared" si="5"/>
        <v>10912967.978837246</v>
      </c>
      <c r="L33" s="14">
        <f t="shared" si="6"/>
        <v>23151068.793264493</v>
      </c>
      <c r="M33" s="14">
        <f t="shared" si="7"/>
        <v>20340781.207553815</v>
      </c>
      <c r="N33" s="15">
        <f t="shared" si="8"/>
        <v>112350</v>
      </c>
      <c r="O33" s="25">
        <v>3</v>
      </c>
      <c r="P33" s="16">
        <f t="shared" si="9"/>
        <v>2516.0526315789475</v>
      </c>
      <c r="Q33" s="16">
        <f t="shared" si="10"/>
        <v>5356.4759358288775</v>
      </c>
      <c r="R33" s="16">
        <f t="shared" si="11"/>
        <v>0.51</v>
      </c>
      <c r="S33" s="16">
        <f t="shared" si="12"/>
        <v>957.27</v>
      </c>
      <c r="T33" s="16">
        <f t="shared" si="13"/>
        <v>7873.7142704453445</v>
      </c>
      <c r="U33" s="16">
        <f t="shared" si="14"/>
        <v>16703.51283785317</v>
      </c>
      <c r="V33" s="16">
        <f t="shared" si="15"/>
        <v>146758.88317138393</v>
      </c>
      <c r="W33" s="17">
        <f t="shared" si="16"/>
        <v>78.50283231740724</v>
      </c>
    </row>
    <row r="34" spans="1:23" x14ac:dyDescent="0.25">
      <c r="A34" t="s">
        <v>61</v>
      </c>
      <c r="B34" s="1">
        <v>359313</v>
      </c>
      <c r="C34" s="1">
        <v>37303</v>
      </c>
      <c r="D34" s="1">
        <v>16798</v>
      </c>
      <c r="E34" s="1">
        <v>9232</v>
      </c>
      <c r="F34" s="13">
        <f t="shared" si="0"/>
        <v>0</v>
      </c>
      <c r="G34" s="14">
        <f t="shared" si="1"/>
        <v>14088217.368421054</v>
      </c>
      <c r="H34" s="14">
        <f t="shared" si="2"/>
        <v>29992694.256684493</v>
      </c>
      <c r="I34" s="14">
        <f t="shared" si="3"/>
        <v>2855.6600000000003</v>
      </c>
      <c r="J34" s="14">
        <f t="shared" si="4"/>
        <v>5360073.82</v>
      </c>
      <c r="K34" s="14">
        <f t="shared" si="5"/>
        <v>44087550.771646962</v>
      </c>
      <c r="L34" s="14">
        <f t="shared" si="6"/>
        <v>93528536.216752499</v>
      </c>
      <c r="M34" s="14">
        <f t="shared" si="7"/>
        <v>82175190.650430217</v>
      </c>
      <c r="N34" s="15">
        <f t="shared" si="8"/>
        <v>461600</v>
      </c>
      <c r="O34" s="25">
        <v>2</v>
      </c>
      <c r="P34" s="16">
        <f t="shared" si="9"/>
        <v>1677.3684210526317</v>
      </c>
      <c r="Q34" s="16">
        <f t="shared" si="10"/>
        <v>3570.9839572192514</v>
      </c>
      <c r="R34" s="16">
        <f t="shared" si="11"/>
        <v>0.34</v>
      </c>
      <c r="S34" s="16">
        <f t="shared" si="12"/>
        <v>638.18000000000006</v>
      </c>
      <c r="T34" s="16">
        <f t="shared" si="13"/>
        <v>5249.142846963563</v>
      </c>
      <c r="U34" s="16">
        <f t="shared" si="14"/>
        <v>11135.675225235445</v>
      </c>
      <c r="V34" s="16">
        <f t="shared" si="15"/>
        <v>97839.255447589268</v>
      </c>
      <c r="W34" s="17">
        <f t="shared" si="16"/>
        <v>146.88849566819277</v>
      </c>
    </row>
    <row r="35" spans="1:23" x14ac:dyDescent="0.25">
      <c r="A35" t="s">
        <v>62</v>
      </c>
      <c r="B35" s="1">
        <v>41112</v>
      </c>
      <c r="C35" s="1">
        <v>3744</v>
      </c>
      <c r="D35" s="1">
        <v>1011</v>
      </c>
      <c r="E35" s="1">
        <v>532</v>
      </c>
      <c r="F35" s="13">
        <f t="shared" si="0"/>
        <v>0</v>
      </c>
      <c r="G35" s="14">
        <f t="shared" si="1"/>
        <v>847909.73684210528</v>
      </c>
      <c r="H35" s="14">
        <f t="shared" si="2"/>
        <v>1805132.3903743315</v>
      </c>
      <c r="I35" s="14">
        <f t="shared" si="3"/>
        <v>171.87</v>
      </c>
      <c r="J35" s="14">
        <f t="shared" si="4"/>
        <v>322599.99</v>
      </c>
      <c r="K35" s="14">
        <f t="shared" si="5"/>
        <v>2653441.709140081</v>
      </c>
      <c r="L35" s="14">
        <f t="shared" si="6"/>
        <v>5629083.8263565181</v>
      </c>
      <c r="M35" s="14">
        <f t="shared" si="7"/>
        <v>4945774.3628756385</v>
      </c>
      <c r="N35" s="15">
        <f t="shared" si="8"/>
        <v>26600</v>
      </c>
      <c r="O35" s="25">
        <v>3</v>
      </c>
      <c r="P35" s="16">
        <f t="shared" si="9"/>
        <v>2516.0526315789475</v>
      </c>
      <c r="Q35" s="16">
        <f t="shared" si="10"/>
        <v>5356.4759358288775</v>
      </c>
      <c r="R35" s="16">
        <f t="shared" si="11"/>
        <v>0.51</v>
      </c>
      <c r="S35" s="16">
        <f t="shared" si="12"/>
        <v>957.27</v>
      </c>
      <c r="T35" s="16">
        <f t="shared" si="13"/>
        <v>7873.7142704453445</v>
      </c>
      <c r="U35" s="16">
        <f t="shared" si="14"/>
        <v>16703.51283785317</v>
      </c>
      <c r="V35" s="16">
        <f t="shared" si="15"/>
        <v>146758.88317138393</v>
      </c>
      <c r="W35" s="17">
        <f t="shared" si="16"/>
        <v>28.529108358330895</v>
      </c>
    </row>
    <row r="36" spans="1:23" x14ac:dyDescent="0.25">
      <c r="A36" t="s">
        <v>63</v>
      </c>
      <c r="B36" s="1">
        <v>525549</v>
      </c>
      <c r="C36" s="1">
        <v>54788</v>
      </c>
      <c r="D36" s="1">
        <v>24948</v>
      </c>
      <c r="E36" s="1">
        <v>13729</v>
      </c>
      <c r="F36" s="13">
        <f t="shared" si="0"/>
        <v>0</v>
      </c>
      <c r="G36" s="14">
        <f t="shared" si="1"/>
        <v>20923493.684210528</v>
      </c>
      <c r="H36" s="14">
        <f t="shared" si="2"/>
        <v>44544453.882352941</v>
      </c>
      <c r="I36" s="14">
        <f t="shared" si="3"/>
        <v>4241.16</v>
      </c>
      <c r="J36" s="14">
        <f t="shared" si="4"/>
        <v>7960657.3199999994</v>
      </c>
      <c r="K36" s="14">
        <f t="shared" si="5"/>
        <v>65477807.873023488</v>
      </c>
      <c r="L36" s="14">
        <f t="shared" si="6"/>
        <v>138906412.75958696</v>
      </c>
      <c r="M36" s="14">
        <f t="shared" si="7"/>
        <v>122044687.24532288</v>
      </c>
      <c r="N36" s="15">
        <f t="shared" si="8"/>
        <v>686450</v>
      </c>
      <c r="O36" s="25">
        <v>2</v>
      </c>
      <c r="P36" s="16">
        <f t="shared" si="9"/>
        <v>1677.3684210526317</v>
      </c>
      <c r="Q36" s="16">
        <f t="shared" si="10"/>
        <v>3570.9839572192514</v>
      </c>
      <c r="R36" s="16">
        <f t="shared" si="11"/>
        <v>0.34</v>
      </c>
      <c r="S36" s="16">
        <f t="shared" si="12"/>
        <v>638.18000000000006</v>
      </c>
      <c r="T36" s="16">
        <f t="shared" si="13"/>
        <v>5249.142846963563</v>
      </c>
      <c r="U36" s="16">
        <f t="shared" si="14"/>
        <v>11135.675225235445</v>
      </c>
      <c r="V36" s="16">
        <f t="shared" si="15"/>
        <v>97839.255447589268</v>
      </c>
      <c r="W36" s="17">
        <f t="shared" si="16"/>
        <v>155.61183121866523</v>
      </c>
    </row>
    <row r="37" spans="1:23" x14ac:dyDescent="0.25">
      <c r="A37" t="s">
        <v>64</v>
      </c>
      <c r="B37" s="1">
        <v>32151</v>
      </c>
      <c r="C37" s="1">
        <v>3009</v>
      </c>
      <c r="D37" s="1">
        <v>936</v>
      </c>
      <c r="E37" s="1">
        <v>497</v>
      </c>
      <c r="F37" s="13">
        <f t="shared" si="0"/>
        <v>0</v>
      </c>
      <c r="G37" s="14">
        <f t="shared" si="1"/>
        <v>785008.42105263157</v>
      </c>
      <c r="H37" s="14">
        <f t="shared" si="2"/>
        <v>1671220.4919786097</v>
      </c>
      <c r="I37" s="14">
        <f t="shared" si="3"/>
        <v>159.12</v>
      </c>
      <c r="J37" s="14">
        <f t="shared" si="4"/>
        <v>298668.24</v>
      </c>
      <c r="K37" s="14">
        <f t="shared" si="5"/>
        <v>2456598.8523789472</v>
      </c>
      <c r="L37" s="14">
        <f t="shared" si="6"/>
        <v>5211496.0054101888</v>
      </c>
      <c r="M37" s="14">
        <f t="shared" si="7"/>
        <v>4578877.1549471784</v>
      </c>
      <c r="N37" s="15">
        <f t="shared" si="8"/>
        <v>24850</v>
      </c>
      <c r="O37" s="25">
        <v>2</v>
      </c>
      <c r="P37" s="16">
        <f t="shared" si="9"/>
        <v>1677.3684210526317</v>
      </c>
      <c r="Q37" s="16">
        <f t="shared" si="10"/>
        <v>3570.9839572192514</v>
      </c>
      <c r="R37" s="16">
        <f t="shared" si="11"/>
        <v>0.34</v>
      </c>
      <c r="S37" s="16">
        <f t="shared" si="12"/>
        <v>638.18000000000006</v>
      </c>
      <c r="T37" s="16">
        <f t="shared" si="13"/>
        <v>5249.142846963563</v>
      </c>
      <c r="U37" s="16">
        <f t="shared" si="14"/>
        <v>11135.675225235445</v>
      </c>
      <c r="V37" s="16">
        <f t="shared" si="15"/>
        <v>97839.255447589268</v>
      </c>
      <c r="W37" s="17">
        <f t="shared" si="16"/>
        <v>37.320930331207329</v>
      </c>
    </row>
    <row r="38" spans="1:23" x14ac:dyDescent="0.25">
      <c r="A38" t="s">
        <v>65</v>
      </c>
      <c r="B38" s="1">
        <v>60120</v>
      </c>
      <c r="C38" s="1">
        <v>5772</v>
      </c>
      <c r="D38" s="1">
        <v>2008</v>
      </c>
      <c r="E38" s="1">
        <v>1075</v>
      </c>
      <c r="F38" s="13">
        <f t="shared" si="0"/>
        <v>0</v>
      </c>
      <c r="G38" s="14">
        <f t="shared" si="1"/>
        <v>1684077.8947368423</v>
      </c>
      <c r="H38" s="14">
        <f t="shared" si="2"/>
        <v>3585267.8930481286</v>
      </c>
      <c r="I38" s="14">
        <f t="shared" si="3"/>
        <v>341.36</v>
      </c>
      <c r="J38" s="14">
        <f t="shared" si="4"/>
        <v>640732.72</v>
      </c>
      <c r="K38" s="14">
        <f t="shared" si="5"/>
        <v>5270139.4183514174</v>
      </c>
      <c r="L38" s="14">
        <f t="shared" si="6"/>
        <v>11180217.926136389</v>
      </c>
      <c r="M38" s="14">
        <f t="shared" si="7"/>
        <v>9823061.2469379678</v>
      </c>
      <c r="N38" s="15">
        <f t="shared" si="8"/>
        <v>53750</v>
      </c>
      <c r="O38" s="25">
        <v>2</v>
      </c>
      <c r="P38" s="16">
        <f t="shared" si="9"/>
        <v>1677.3684210526317</v>
      </c>
      <c r="Q38" s="16">
        <f t="shared" si="10"/>
        <v>3570.9839572192514</v>
      </c>
      <c r="R38" s="16">
        <f t="shared" si="11"/>
        <v>0.34</v>
      </c>
      <c r="S38" s="16">
        <f t="shared" si="12"/>
        <v>638.18000000000006</v>
      </c>
      <c r="T38" s="16">
        <f t="shared" si="13"/>
        <v>5249.142846963563</v>
      </c>
      <c r="U38" s="16">
        <f t="shared" si="14"/>
        <v>11135.675225235445</v>
      </c>
      <c r="V38" s="16">
        <f t="shared" si="15"/>
        <v>97839.255447589268</v>
      </c>
      <c r="W38" s="17">
        <f t="shared" si="16"/>
        <v>64.800511209940012</v>
      </c>
    </row>
    <row r="39" spans="1:23" x14ac:dyDescent="0.25">
      <c r="B39" s="13"/>
      <c r="C39" s="13"/>
      <c r="D39" s="13"/>
      <c r="E39" s="13"/>
      <c r="F39" s="13"/>
      <c r="G39" s="14"/>
      <c r="H39" s="14"/>
      <c r="I39" s="14"/>
      <c r="J39" s="14"/>
      <c r="K39" s="14"/>
      <c r="L39" s="14"/>
      <c r="M39" s="14"/>
      <c r="N39" s="15"/>
      <c r="O39" s="16"/>
      <c r="P39" s="16"/>
      <c r="Q39" s="16"/>
      <c r="R39" s="16"/>
      <c r="S39" s="16"/>
      <c r="T39" s="16"/>
      <c r="U39" s="16"/>
      <c r="V39" s="16"/>
      <c r="W39" s="17"/>
    </row>
    <row r="40" spans="1:23" s="4" customFormat="1" x14ac:dyDescent="0.25">
      <c r="A40" s="4" t="s">
        <v>66</v>
      </c>
      <c r="B40" s="19">
        <f>SUM(B19:B38)</f>
        <v>4241721</v>
      </c>
      <c r="C40" s="19">
        <f>SUM(C19:C38)</f>
        <v>435742</v>
      </c>
      <c r="D40" s="19">
        <f>SUM(D19:D38)</f>
        <v>189805</v>
      </c>
      <c r="E40" s="19">
        <f>SUM(E19:E38)</f>
        <v>104357</v>
      </c>
      <c r="F40" s="19">
        <f>SUM(F19:F38)</f>
        <v>0</v>
      </c>
      <c r="G40" s="20">
        <f>lost_wages*D40</f>
        <v>159186456.57894737</v>
      </c>
      <c r="H40" s="20">
        <f>(case_management+case_gp+case_lab)*D40</f>
        <v>338895305</v>
      </c>
      <c r="I40" s="20">
        <f>prop_hospitalised*D40</f>
        <v>32266.850000000002</v>
      </c>
      <c r="J40" s="20">
        <f>hospital_costs*I40</f>
        <v>60564877.450000003</v>
      </c>
      <c r="K40" s="20">
        <f>D40*contacts_number*contacts_quarantine*contacts_wage_per_day</f>
        <v>498156779.03395957</v>
      </c>
      <c r="L40" s="20">
        <f>G40+H40+J40+K40</f>
        <v>1056803418.062907</v>
      </c>
      <c r="M40" s="20">
        <f>L40/disc_years*(1-1/(1+disc_rate)^disc_years)/(1-1/(1+disc_rate))</f>
        <v>928518994.01148427</v>
      </c>
      <c r="N40" s="21">
        <f>vacc_cost*E40</f>
        <v>5217850</v>
      </c>
      <c r="O40" s="22">
        <f>SUM(O19:O38)</f>
        <v>47</v>
      </c>
      <c r="P40" s="23">
        <f>lost_wages*O40</f>
        <v>39418.157894736847</v>
      </c>
      <c r="Q40" s="23">
        <f>(case_management+case_gp+case_lab)*O40</f>
        <v>83918.122994652411</v>
      </c>
      <c r="R40" s="23">
        <f>prop_hospitalised*O40</f>
        <v>7.99</v>
      </c>
      <c r="S40" s="23">
        <f>hospital_costs*R40</f>
        <v>14997.23</v>
      </c>
      <c r="T40" s="23">
        <f>O40*contacts_number*contacts_quarantine*contacts_wage_per_day</f>
        <v>123354.85690364373</v>
      </c>
      <c r="U40" s="23">
        <f>P40+Q40+S40+T40</f>
        <v>261688.36779303299</v>
      </c>
      <c r="V40" s="23">
        <f>U40*(1-1/(1+disc_rate)^disc_years)/(1-1/(1+disc_rate))</f>
        <v>2299222.5030183485</v>
      </c>
      <c r="W40" s="24">
        <f>M40/(N40+V40)</f>
        <v>123.52135670351107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measles_costs</vt:lpstr>
      <vt:lpstr>case_gp</vt:lpstr>
      <vt:lpstr>case_lab</vt:lpstr>
      <vt:lpstr>case_management</vt:lpstr>
      <vt:lpstr>contacts_number</vt:lpstr>
      <vt:lpstr>contacts_quarantine</vt:lpstr>
      <vt:lpstr>contacts_wage_per_day</vt:lpstr>
      <vt:lpstr>disc_rate</vt:lpstr>
      <vt:lpstr>disc_years</vt:lpstr>
      <vt:lpstr>extra_vacc</vt:lpstr>
      <vt:lpstr>gp_costs</vt:lpstr>
      <vt:lpstr>hospital_costs</vt:lpstr>
      <vt:lpstr>lost_wages</vt:lpstr>
      <vt:lpstr>prop_hospitalised</vt:lpstr>
      <vt:lpstr>vacc_cost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cp:revision>0</cp:revision>
  <dcterms:created xsi:type="dcterms:W3CDTF">2014-08-21T01:10:27Z</dcterms:created>
  <dcterms:modified xsi:type="dcterms:W3CDTF">2015-08-06T04:09:24Z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ospitalised" linkTarget="prop_hospitalised">
    <vt:r8>0.17</vt:r8>
  </property>
</Properties>
</file>