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925" windowWidth="20730" windowHeight="8190"/>
  </bookViews>
  <sheets>
    <sheet name="measles_costs" sheetId="5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ase_gp">measles_costs!$B$4</definedName>
    <definedName name="case_lab">measles_costs!$B$5</definedName>
    <definedName name="case_management">measles_costs!$B$3</definedName>
    <definedName name="contacts_number">measles_costs!$B$6</definedName>
    <definedName name="contacts_quarantine">measles_costs!$B$7</definedName>
    <definedName name="contacts_wage_per_day">measles_costs!$B$8</definedName>
    <definedName name="disc_rate">measles_costs!$B$12</definedName>
    <definedName name="disc_years">measles_costs!$B$13</definedName>
    <definedName name="discount_rate">#REF!</definedName>
    <definedName name="extra_vacc">measles_costs!$B$15</definedName>
    <definedName name="f">#REF!</definedName>
    <definedName name="gp_costs">measles_costs!$B$4</definedName>
    <definedName name="hospital_costs">measles_costs!$B$10</definedName>
    <definedName name="lost_wages">measles_costs!$B$2</definedName>
    <definedName name="prop_hospitalised">measles_costs!$B$9</definedName>
    <definedName name="r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vacc_cost">measles_costs!$B$14</definedName>
  </definedNames>
  <calcPr calcId="145621"/>
</workbook>
</file>

<file path=xl/calcChain.xml><?xml version="1.0" encoding="utf-8"?>
<calcChain xmlns="http://schemas.openxmlformats.org/spreadsheetml/2006/main">
  <c r="B2" i="5" l="1"/>
  <c r="H40" i="5" l="1"/>
  <c r="Q40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19" i="5"/>
  <c r="T40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19" i="5"/>
  <c r="K40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19" i="5"/>
  <c r="B8" i="5"/>
  <c r="G19" i="5"/>
  <c r="F20" i="5"/>
  <c r="N20" i="5" s="1"/>
  <c r="F21" i="5"/>
  <c r="N21" i="5" s="1"/>
  <c r="F22" i="5"/>
  <c r="N22" i="5" s="1"/>
  <c r="F23" i="5"/>
  <c r="N23" i="5" s="1"/>
  <c r="F24" i="5"/>
  <c r="N24" i="5" s="1"/>
  <c r="F25" i="5"/>
  <c r="N25" i="5" s="1"/>
  <c r="F26" i="5"/>
  <c r="N26" i="5" s="1"/>
  <c r="F27" i="5"/>
  <c r="N27" i="5" s="1"/>
  <c r="F28" i="5"/>
  <c r="N28" i="5" s="1"/>
  <c r="F29" i="5"/>
  <c r="N29" i="5" s="1"/>
  <c r="F30" i="5"/>
  <c r="N30" i="5" s="1"/>
  <c r="F31" i="5"/>
  <c r="N31" i="5" s="1"/>
  <c r="F32" i="5"/>
  <c r="N32" i="5" s="1"/>
  <c r="F33" i="5"/>
  <c r="N33" i="5" s="1"/>
  <c r="F34" i="5"/>
  <c r="N34" i="5" s="1"/>
  <c r="F35" i="5"/>
  <c r="N35" i="5" s="1"/>
  <c r="F36" i="5"/>
  <c r="N36" i="5" s="1"/>
  <c r="F37" i="5"/>
  <c r="N37" i="5" s="1"/>
  <c r="F38" i="5"/>
  <c r="N38" i="5" s="1"/>
  <c r="F19" i="5"/>
  <c r="N19" i="5" s="1"/>
  <c r="F40" i="5" l="1"/>
  <c r="O40" i="5"/>
  <c r="R40" i="5" s="1"/>
  <c r="S40" i="5" s="1"/>
  <c r="B40" i="5"/>
  <c r="C40" i="5"/>
  <c r="D40" i="5"/>
  <c r="I40" i="5" s="1"/>
  <c r="J40" i="5" s="1"/>
  <c r="E40" i="5"/>
  <c r="N40" i="5" s="1"/>
  <c r="R20" i="5"/>
  <c r="S20" i="5" s="1"/>
  <c r="R21" i="5"/>
  <c r="S21" i="5" s="1"/>
  <c r="R22" i="5"/>
  <c r="S22" i="5" s="1"/>
  <c r="R23" i="5"/>
  <c r="S23" i="5" s="1"/>
  <c r="R24" i="5"/>
  <c r="S24" i="5" s="1"/>
  <c r="R25" i="5"/>
  <c r="S25" i="5" s="1"/>
  <c r="R26" i="5"/>
  <c r="S26" i="5" s="1"/>
  <c r="R27" i="5"/>
  <c r="S27" i="5" s="1"/>
  <c r="R28" i="5"/>
  <c r="S28" i="5" s="1"/>
  <c r="R29" i="5"/>
  <c r="S29" i="5" s="1"/>
  <c r="R30" i="5"/>
  <c r="S30" i="5" s="1"/>
  <c r="R31" i="5"/>
  <c r="S31" i="5" s="1"/>
  <c r="R32" i="5"/>
  <c r="S32" i="5" s="1"/>
  <c r="R33" i="5"/>
  <c r="S33" i="5" s="1"/>
  <c r="R34" i="5"/>
  <c r="S34" i="5" s="1"/>
  <c r="R35" i="5"/>
  <c r="S35" i="5" s="1"/>
  <c r="R36" i="5"/>
  <c r="S36" i="5" s="1"/>
  <c r="R37" i="5"/>
  <c r="S37" i="5" s="1"/>
  <c r="R38" i="5"/>
  <c r="S38" i="5" s="1"/>
  <c r="R19" i="5"/>
  <c r="S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19" i="5"/>
  <c r="J19" i="5" s="1"/>
  <c r="L19" i="5" s="1"/>
  <c r="B3" i="5" l="1"/>
  <c r="P40" i="5" l="1"/>
  <c r="G40" i="5"/>
  <c r="P20" i="5"/>
  <c r="U20" i="5" s="1"/>
  <c r="P21" i="5"/>
  <c r="U21" i="5" s="1"/>
  <c r="P22" i="5"/>
  <c r="U22" i="5" s="1"/>
  <c r="P23" i="5"/>
  <c r="U23" i="5" s="1"/>
  <c r="P24" i="5"/>
  <c r="U24" i="5" s="1"/>
  <c r="P25" i="5"/>
  <c r="U25" i="5" s="1"/>
  <c r="P26" i="5"/>
  <c r="U26" i="5" s="1"/>
  <c r="P27" i="5"/>
  <c r="U27" i="5" s="1"/>
  <c r="P28" i="5"/>
  <c r="U28" i="5" s="1"/>
  <c r="P29" i="5"/>
  <c r="U29" i="5" s="1"/>
  <c r="P30" i="5"/>
  <c r="U30" i="5" s="1"/>
  <c r="P31" i="5"/>
  <c r="U31" i="5" s="1"/>
  <c r="P32" i="5"/>
  <c r="U32" i="5" s="1"/>
  <c r="P33" i="5"/>
  <c r="U33" i="5" s="1"/>
  <c r="P34" i="5"/>
  <c r="U34" i="5" s="1"/>
  <c r="P35" i="5"/>
  <c r="U35" i="5" s="1"/>
  <c r="P36" i="5"/>
  <c r="U36" i="5" s="1"/>
  <c r="P37" i="5"/>
  <c r="U37" i="5" s="1"/>
  <c r="P38" i="5"/>
  <c r="U38" i="5" s="1"/>
  <c r="P19" i="5"/>
  <c r="U19" i="5" s="1"/>
  <c r="G20" i="5"/>
  <c r="L20" i="5" s="1"/>
  <c r="G21" i="5"/>
  <c r="L21" i="5" s="1"/>
  <c r="G22" i="5"/>
  <c r="L22" i="5" s="1"/>
  <c r="G23" i="5"/>
  <c r="L23" i="5" s="1"/>
  <c r="G24" i="5"/>
  <c r="L24" i="5" s="1"/>
  <c r="G25" i="5"/>
  <c r="L25" i="5" s="1"/>
  <c r="G26" i="5"/>
  <c r="L26" i="5" s="1"/>
  <c r="G27" i="5"/>
  <c r="L27" i="5" s="1"/>
  <c r="G28" i="5"/>
  <c r="L28" i="5" s="1"/>
  <c r="G29" i="5"/>
  <c r="L29" i="5" s="1"/>
  <c r="G30" i="5"/>
  <c r="L30" i="5" s="1"/>
  <c r="G31" i="5"/>
  <c r="L31" i="5" s="1"/>
  <c r="G32" i="5"/>
  <c r="L32" i="5" s="1"/>
  <c r="G33" i="5"/>
  <c r="L33" i="5" s="1"/>
  <c r="G34" i="5"/>
  <c r="L34" i="5" s="1"/>
  <c r="G35" i="5"/>
  <c r="L35" i="5" s="1"/>
  <c r="G36" i="5"/>
  <c r="L36" i="5" s="1"/>
  <c r="G37" i="5"/>
  <c r="L37" i="5" s="1"/>
  <c r="G38" i="5"/>
  <c r="L38" i="5" s="1"/>
  <c r="U40" i="5" l="1"/>
  <c r="V40" i="5" s="1"/>
  <c r="L40" i="5"/>
  <c r="M40" i="5" s="1"/>
  <c r="W40" i="5" l="1"/>
  <c r="V38" i="5"/>
  <c r="V37" i="5"/>
  <c r="V22" i="5"/>
  <c r="V34" i="5"/>
  <c r="M21" i="5"/>
  <c r="M29" i="5"/>
  <c r="V24" i="5"/>
  <c r="V19" i="5"/>
  <c r="V29" i="5"/>
  <c r="V31" i="5"/>
  <c r="V27" i="5"/>
  <c r="V26" i="5"/>
  <c r="V21" i="5"/>
  <c r="V33" i="5"/>
  <c r="V23" i="5"/>
  <c r="V36" i="5"/>
  <c r="V20" i="5"/>
  <c r="V25" i="5"/>
  <c r="V28" i="5"/>
  <c r="V32" i="5"/>
  <c r="V35" i="5"/>
  <c r="M25" i="5"/>
  <c r="M32" i="5"/>
  <c r="M33" i="5"/>
  <c r="M24" i="5"/>
  <c r="M31" i="5"/>
  <c r="M23" i="5"/>
  <c r="M38" i="5"/>
  <c r="M22" i="5"/>
  <c r="M30" i="5"/>
  <c r="M37" i="5"/>
  <c r="M36" i="5"/>
  <c r="M28" i="5"/>
  <c r="M20" i="5"/>
  <c r="M35" i="5"/>
  <c r="M27" i="5"/>
  <c r="M34" i="5"/>
  <c r="M26" i="5"/>
  <c r="M19" i="5"/>
  <c r="V30" i="5" l="1"/>
  <c r="W22" i="5"/>
  <c r="W32" i="5"/>
  <c r="W26" i="5" l="1"/>
  <c r="W28" i="5"/>
  <c r="W19" i="5"/>
  <c r="W31" i="5"/>
  <c r="W24" i="5"/>
  <c r="W20" i="5"/>
  <c r="W35" i="5"/>
  <c r="W25" i="5"/>
  <c r="W29" i="5"/>
  <c r="W34" i="5"/>
  <c r="W37" i="5"/>
  <c r="W27" i="5"/>
  <c r="W38" i="5"/>
  <c r="W21" i="5"/>
  <c r="W33" i="5"/>
  <c r="W23" i="5"/>
  <c r="W36" i="5"/>
  <c r="W30" i="5" l="1"/>
</calcChain>
</file>

<file path=xl/sharedStrings.xml><?xml version="1.0" encoding="utf-8"?>
<sst xmlns="http://schemas.openxmlformats.org/spreadsheetml/2006/main" count="73" uniqueCount="67">
  <si>
    <t>discount rate</t>
  </si>
  <si>
    <t>DHB</t>
  </si>
  <si>
    <t>Auckland</t>
  </si>
  <si>
    <t>Canterbury</t>
  </si>
  <si>
    <t>Lakes</t>
  </si>
  <si>
    <t>MidCentral</t>
  </si>
  <si>
    <t>Northland</t>
  </si>
  <si>
    <t>Southern</t>
  </si>
  <si>
    <t>Tairawhiti</t>
  </si>
  <si>
    <t>Taranaki</t>
  </si>
  <si>
    <t>Waikato</t>
  </si>
  <si>
    <t>Wairarapa</t>
  </si>
  <si>
    <t>Waitemata</t>
  </si>
  <si>
    <t>Whanganui</t>
  </si>
  <si>
    <t>Counties Manukau</t>
  </si>
  <si>
    <t>Hawke's Bay</t>
  </si>
  <si>
    <t>Hutt Valley</t>
  </si>
  <si>
    <t>Nelson Marlborough</t>
  </si>
  <si>
    <t>West Coast</t>
  </si>
  <si>
    <t>South Canterbury</t>
  </si>
  <si>
    <t>Bay of Plenty</t>
  </si>
  <si>
    <t>Capital and Coast</t>
  </si>
  <si>
    <t>Attack</t>
  </si>
  <si>
    <t>Vacc</t>
  </si>
  <si>
    <t>Naïve</t>
  </si>
  <si>
    <t>Total vaccine costs</t>
  </si>
  <si>
    <t>Total hospitalised</t>
  </si>
  <si>
    <t>Total undiscounted costs</t>
  </si>
  <si>
    <t>Benefit/cost</t>
  </si>
  <si>
    <t>Total discounted costs</t>
  </si>
  <si>
    <t>Total</t>
  </si>
  <si>
    <t>Outbreak size post vaccination</t>
  </si>
  <si>
    <t>vaccine cost</t>
  </si>
  <si>
    <t>lost wages</t>
  </si>
  <si>
    <t>Costs per case</t>
  </si>
  <si>
    <t>case management costs</t>
  </si>
  <si>
    <t>hospital costs</t>
  </si>
  <si>
    <t>proportion hospitalised</t>
  </si>
  <si>
    <t>discount years</t>
  </si>
  <si>
    <t>Number of years to project for cost/benefit analysis</t>
  </si>
  <si>
    <t>Vaccine cost per person</t>
  </si>
  <si>
    <t>Discount rate to use to adjust for cost in future vs present</t>
  </si>
  <si>
    <t>GP costs</t>
  </si>
  <si>
    <t>Average number of contacts quarantined per case</t>
  </si>
  <si>
    <t>Average number of days a contact is quarantined</t>
  </si>
  <si>
    <t>Lab costs</t>
  </si>
  <si>
    <t>Contacts quarantined</t>
  </si>
  <si>
    <t>Quarantine length</t>
  </si>
  <si>
    <t>Contact wage</t>
  </si>
  <si>
    <t>Post-vaccination outbreak costs</t>
  </si>
  <si>
    <t>Population</t>
  </si>
  <si>
    <t>Benefits from outbreaks avoided</t>
  </si>
  <si>
    <t>extra vaccination proportion</t>
  </si>
  <si>
    <t>Additional vaccination over and above the 0.28 required.</t>
  </si>
  <si>
    <t>Additional Vacc</t>
  </si>
  <si>
    <t>Average wage of a contact per day</t>
  </si>
  <si>
    <t>Lost wages for a case (5 days)</t>
  </si>
  <si>
    <t>Management costs per case</t>
  </si>
  <si>
    <t>GP costs per case</t>
  </si>
  <si>
    <t>Lab costs per case</t>
  </si>
  <si>
    <t>Management, GP, Lab costs</t>
  </si>
  <si>
    <t>Case wage loss</t>
  </si>
  <si>
    <t>Hospitalisation costs</t>
  </si>
  <si>
    <t>Wage loss for contacts</t>
  </si>
  <si>
    <t>Proportion of cases that will be hospitalised</t>
  </si>
  <si>
    <t>Costs of a hospitalised case</t>
  </si>
  <si>
    <t>Management , GP, Lab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</si>
</sst>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9">
    <xf numFmtId="0" fontId="0" fillId="0" borderId="0" xfId="0"/>
    <xf numFmtId="1" fontId="0" fillId="0" borderId="0" xfId="0" applyNumberFormat="1" applyFill="1" applyAlignment="1">
      <alignment wrapText="1"/>
    </xf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1" fillId="0" borderId="0" xfId="0" applyFont="1"/>
    <xf numFmtId="0" fontId="3" fillId="2" borderId="1" xfId="1"/>
    <xf numFmtId="0" fontId="4" fillId="2" borderId="1" xfId="1" applyFont="1"/>
    <xf numFmtId="1" fontId="1" fillId="0" borderId="0" xfId="0" applyNumberFormat="1" applyFont="1"/>
    <xf numFmtId="0" fontId="0" fillId="3" borderId="2" xfId="2" applyFont="1"/>
    <xf numFmtId="0" fontId="2" fillId="4" borderId="0" xfId="3"/>
    <xf numFmtId="0" fontId="1" fillId="3" borderId="2" xfId="2" applyFont="1"/>
    <xf numFmtId="0" fontId="1" fillId="3" borderId="2" xfId="2" applyFont="1" applyAlignment="1">
      <alignment wrapText="1"/>
    </xf>
    <xf numFmtId="1" fontId="0" fillId="3" borderId="2" xfId="2" applyNumberFormat="1" applyFont="1"/>
    <xf numFmtId="1" fontId="1" fillId="3" borderId="2" xfId="2" applyNumberFormat="1" applyFont="1"/>
    <xf numFmtId="1" fontId="2" fillId="4" borderId="0" xfId="3" applyNumberFormat="1"/>
    <xf numFmtId="1" fontId="2" fillId="5" borderId="0" xfId="4" applyNumberFormat="1"/>
    <xf numFmtId="0" fontId="1" fillId="5" borderId="0" xfId="4" applyFont="1"/>
    <xf numFmtId="0" fontId="1" fillId="4" borderId="0" xfId="3" applyFont="1" applyAlignment="1">
      <alignment wrapText="1"/>
    </xf>
    <xf numFmtId="0" fontId="1" fillId="5" borderId="0" xfId="4" applyFont="1" applyAlignment="1">
      <alignment wrapText="1"/>
    </xf>
    <xf numFmtId="1" fontId="1" fillId="4" borderId="0" xfId="3" applyNumberFormat="1" applyFont="1"/>
    <xf numFmtId="1" fontId="1" fillId="5" borderId="0" xfId="4" applyNumberFormat="1" applyFont="1"/>
    <xf numFmtId="0" fontId="1" fillId="0" borderId="0" xfId="0" applyFont="1" applyAlignment="1">
      <alignment wrapText="1"/>
    </xf>
    <xf numFmtId="1" fontId="1" fillId="5" borderId="0" xfId="4" applyNumberFormat="1" applyFont="1" applyAlignment="1">
      <alignment wrapText="1"/>
    </xf>
    <xf numFmtId="0" fontId="5" fillId="4" borderId="0" xfId="3" applyFont="1"/>
    <xf numFmtId="0" fontId="5" fillId="5" borderId="0" xfId="4" applyFont="1"/>
    <xf numFmtId="1" fontId="2" fillId="4" borderId="0" xfId="3" applyNumberFormat="1" applyBorder="1"/>
    <xf numFmtId="1" fontId="1" fillId="4" borderId="0" xfId="3" applyNumberFormat="1" applyFont="1" applyBorder="1"/>
    <xf numFmtId="0" fontId="1" fillId="4" borderId="0" xfId="3" applyFont="1" applyBorder="1" applyAlignment="1">
      <alignment wrapText="1"/>
    </xf>
  </cellXfs>
  <cellStyles count="5">
    <cellStyle name="20% - Accent1" xfId="3" builtinId="30"/>
    <cellStyle name="20% - Accent5" xfId="4" builtinId="4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workbookViewId="0">
      <selection activeCell="A19" sqref="A19"/>
    </sheetView>
  </sheetViews>
  <sheetFormatPr defaultColWidth="15.28515625" defaultRowHeight="15" x14ac:dyDescent="0.25"/>
  <cols>
    <col min="1" max="1" width="29" customWidth="1"/>
    <col min="2" max="2" width="12" bestFit="1" customWidth="1"/>
    <col min="3" max="3" width="7.140625" customWidth="1"/>
    <col min="4" max="5" width="7" bestFit="1" customWidth="1"/>
    <col min="6" max="6" width="7" customWidth="1"/>
    <col min="7" max="7" width="17.5703125" bestFit="1" customWidth="1"/>
    <col min="8" max="8" width="10" bestFit="1" customWidth="1"/>
    <col min="9" max="9" width="13.85546875" customWidth="1"/>
    <col min="10" max="10" width="11.85546875" bestFit="1" customWidth="1"/>
    <col min="11" max="11" width="11.85546875" customWidth="1"/>
    <col min="12" max="12" width="14.28515625" bestFit="1" customWidth="1"/>
    <col min="13" max="13" width="16.140625" customWidth="1"/>
    <col min="14" max="14" width="10.85546875" style="4" bestFit="1" customWidth="1"/>
    <col min="15" max="15" width="13.28515625" style="4" customWidth="1"/>
    <col min="16" max="16" width="14.7109375" customWidth="1"/>
    <col min="17" max="17" width="12.7109375" customWidth="1"/>
    <col min="18" max="18" width="11.85546875" bestFit="1" customWidth="1"/>
    <col min="19" max="19" width="14.28515625" bestFit="1" customWidth="1"/>
    <col min="20" max="20" width="14.28515625" customWidth="1"/>
    <col min="21" max="21" width="13.28515625" bestFit="1" customWidth="1"/>
    <col min="22" max="22" width="13.28515625" style="4" customWidth="1"/>
  </cols>
  <sheetData>
    <row r="1" spans="1:3" ht="21" x14ac:dyDescent="0.35">
      <c r="A1" s="7" t="s">
        <v>34</v>
      </c>
      <c r="B1" s="6"/>
    </row>
    <row r="2" spans="1:3" x14ac:dyDescent="0.25">
      <c r="A2" s="6" t="s">
        <v>33</v>
      </c>
      <c r="B2" s="6">
        <f>207155/247</f>
        <v>838.68421052631584</v>
      </c>
      <c r="C2" t="s">
        <v>56</v>
      </c>
    </row>
    <row r="3" spans="1:3" x14ac:dyDescent="0.25">
      <c r="A3" s="6" t="s">
        <v>35</v>
      </c>
      <c r="B3" s="6">
        <f>330147/187</f>
        <v>1765.4919786096257</v>
      </c>
      <c r="C3" t="s">
        <v>57</v>
      </c>
    </row>
    <row r="4" spans="1:3" x14ac:dyDescent="0.25">
      <c r="A4" s="6" t="s">
        <v>42</v>
      </c>
      <c r="B4" s="6">
        <v>20</v>
      </c>
      <c r="C4" t="s">
        <v>58</v>
      </c>
    </row>
    <row r="5" spans="1:3" x14ac:dyDescent="0.25">
      <c r="A5" s="6" t="s">
        <v>45</v>
      </c>
      <c r="B5" s="6">
        <v>0</v>
      </c>
      <c r="C5" t="s">
        <v>59</v>
      </c>
    </row>
    <row r="6" spans="1:3" x14ac:dyDescent="0.25">
      <c r="A6" s="6" t="s">
        <v>46</v>
      </c>
      <c r="B6" s="6">
        <v>2.11</v>
      </c>
      <c r="C6" t="s">
        <v>43</v>
      </c>
    </row>
    <row r="7" spans="1:3" x14ac:dyDescent="0.25">
      <c r="A7" s="6" t="s">
        <v>47</v>
      </c>
      <c r="B7" s="6">
        <v>7.3</v>
      </c>
      <c r="C7" t="s">
        <v>44</v>
      </c>
    </row>
    <row r="8" spans="1:3" x14ac:dyDescent="0.25">
      <c r="A8" s="6" t="s">
        <v>48</v>
      </c>
      <c r="B8" s="6">
        <f>210436/247/5</f>
        <v>170.39352226720649</v>
      </c>
      <c r="C8" t="s">
        <v>55</v>
      </c>
    </row>
    <row r="9" spans="1:3" x14ac:dyDescent="0.25">
      <c r="A9" s="6" t="s">
        <v>37</v>
      </c>
      <c r="B9" s="6">
        <v>0.17</v>
      </c>
      <c r="C9" t="s">
        <v>64</v>
      </c>
    </row>
    <row r="10" spans="1:3" x14ac:dyDescent="0.25">
      <c r="A10" s="6" t="s">
        <v>36</v>
      </c>
      <c r="B10" s="6">
        <v>1877</v>
      </c>
      <c r="C10" t="s">
        <v>65</v>
      </c>
    </row>
    <row r="12" spans="1:3" x14ac:dyDescent="0.25">
      <c r="A12" s="6" t="s">
        <v>0</v>
      </c>
      <c r="B12" s="6">
        <v>0.03</v>
      </c>
      <c r="C12" t="s">
        <v>41</v>
      </c>
    </row>
    <row r="13" spans="1:3" x14ac:dyDescent="0.25">
      <c r="A13" s="6" t="s">
        <v>38</v>
      </c>
      <c r="B13" s="6">
        <v>10</v>
      </c>
      <c r="C13" t="s">
        <v>39</v>
      </c>
    </row>
    <row r="14" spans="1:3" x14ac:dyDescent="0.25">
      <c r="A14" s="6" t="s">
        <v>32</v>
      </c>
      <c r="B14" s="6">
        <v>8214</v>
      </c>
      <c r="C14" t="s">
        <v>40</v>
      </c>
    </row>
    <row r="15" spans="1:3" x14ac:dyDescent="0.25">
      <c r="A15" s="6" t="s">
        <v>52</v>
      </c>
      <c r="B15" s="6">
        <v>0</v>
      </c>
      <c r="C15" t="s">
        <v>53</v>
      </c>
    </row>
    <row r="17" spans="1:25" s="5" customFormat="1" ht="21" x14ac:dyDescent="0.35">
      <c r="G17" s="24" t="s">
        <v>51</v>
      </c>
      <c r="H17" s="24"/>
      <c r="I17" s="24"/>
      <c r="J17" s="24"/>
      <c r="K17" s="24"/>
      <c r="L17" s="24"/>
      <c r="M17" s="10"/>
      <c r="O17" s="25" t="s">
        <v>49</v>
      </c>
      <c r="P17" s="17"/>
      <c r="Q17" s="17"/>
      <c r="R17" s="17"/>
      <c r="S17" s="17"/>
      <c r="T17" s="17"/>
      <c r="U17" s="17"/>
      <c r="V17" s="17"/>
    </row>
    <row r="18" spans="1:25" s="22" customFormat="1" ht="45" x14ac:dyDescent="0.25">
      <c r="A18" s="22" t="s">
        <v>1</v>
      </c>
      <c r="B18" s="22" t="s">
        <v>50</v>
      </c>
      <c r="C18" s="22" t="s">
        <v>24</v>
      </c>
      <c r="D18" s="22" t="s">
        <v>22</v>
      </c>
      <c r="E18" s="22" t="s">
        <v>23</v>
      </c>
      <c r="F18" s="22" t="s">
        <v>54</v>
      </c>
      <c r="G18" s="18" t="s">
        <v>61</v>
      </c>
      <c r="H18" s="18" t="s">
        <v>60</v>
      </c>
      <c r="I18" s="18" t="s">
        <v>26</v>
      </c>
      <c r="J18" s="18" t="s">
        <v>62</v>
      </c>
      <c r="K18" s="18" t="s">
        <v>63</v>
      </c>
      <c r="L18" s="18" t="s">
        <v>27</v>
      </c>
      <c r="M18" s="28" t="s">
        <v>29</v>
      </c>
      <c r="N18" s="12" t="s">
        <v>25</v>
      </c>
      <c r="O18" s="19" t="s">
        <v>31</v>
      </c>
      <c r="P18" s="19" t="s">
        <v>61</v>
      </c>
      <c r="Q18" s="19" t="s">
        <v>66</v>
      </c>
      <c r="R18" s="19" t="s">
        <v>26</v>
      </c>
      <c r="S18" s="19" t="s">
        <v>62</v>
      </c>
      <c r="T18" s="19" t="s">
        <v>63</v>
      </c>
      <c r="U18" s="19" t="s">
        <v>27</v>
      </c>
      <c r="V18" s="19" t="s">
        <v>29</v>
      </c>
      <c r="W18" s="12" t="s">
        <v>28</v>
      </c>
    </row>
    <row r="19" spans="1:25" x14ac:dyDescent="0.25">
      <c r="A19" t="s">
        <v>2</v>
      </c>
      <c r="B19" s="2">
        <v>436350</v>
      </c>
      <c r="C19" s="2">
        <v>52010</v>
      </c>
      <c r="D19" s="2">
        <v>31159</v>
      </c>
      <c r="E19" s="2">
        <v>17920</v>
      </c>
      <c r="F19" s="2">
        <f t="shared" ref="F19:F38" si="0">C19*extra_vacc</f>
        <v>0</v>
      </c>
      <c r="G19" s="15">
        <f>lost_wages*D19</f>
        <v>26132561.315789476</v>
      </c>
      <c r="H19" s="15">
        <f t="shared" ref="H19:H38" si="1">(case_management+case_gp+case_lab)*D19</f>
        <v>55634144.561497323</v>
      </c>
      <c r="I19" s="15">
        <f t="shared" ref="I19:I38" si="2">prop_hospitalised*D19</f>
        <v>5297.0300000000007</v>
      </c>
      <c r="J19" s="15">
        <f t="shared" ref="J19:J38" si="3">hospital_costs*I19</f>
        <v>9942525.3100000005</v>
      </c>
      <c r="K19" s="15">
        <f t="shared" ref="K19:K38" si="4">D19*contacts_number*contacts_quarantine*contacts_wage_per_day</f>
        <v>81779020.984268814</v>
      </c>
      <c r="L19" s="15">
        <f>G19+H19+J19+K19</f>
        <v>173488252.17155561</v>
      </c>
      <c r="M19" s="26">
        <f t="shared" ref="M19:M38" si="5">L19/disc_years*(1-1/(1+disc_rate)^disc_years)/(1-1/(1+disc_rate))</f>
        <v>152428668.02457172</v>
      </c>
      <c r="N19" s="13">
        <f t="shared" ref="N19:N38" si="6">vacc_cost*(E19+F19)</f>
        <v>147194880</v>
      </c>
      <c r="O19" s="16">
        <v>82</v>
      </c>
      <c r="P19" s="16">
        <f t="shared" ref="P19:P38" si="7">lost_wages*O19</f>
        <v>68772.105263157893</v>
      </c>
      <c r="Q19" s="16">
        <f t="shared" ref="Q19:Q38" si="8">(case_management+case_gp+case_lab)*O19</f>
        <v>146410.3422459893</v>
      </c>
      <c r="R19" s="16">
        <f t="shared" ref="R19:R38" si="9">prop_hospitalised*O19</f>
        <v>13.940000000000001</v>
      </c>
      <c r="S19" s="16">
        <f t="shared" ref="S19:S38" si="10">hospital_costs*R19</f>
        <v>26165.38</v>
      </c>
      <c r="T19" s="16">
        <f t="shared" ref="T19:T38" si="11">O19*contacts_number*contacts_quarantine*contacts_wage_per_day</f>
        <v>215214.85672550605</v>
      </c>
      <c r="U19" s="16">
        <f>P19+Q19+S19+T19</f>
        <v>456562.68423465325</v>
      </c>
      <c r="V19" s="16">
        <f t="shared" ref="V19:V38" si="12">U19*(1-1/(1+disc_rate)^disc_years)/(1-1/(1+disc_rate))</f>
        <v>4011409.4733511601</v>
      </c>
      <c r="W19" s="9">
        <f t="shared" ref="W19:W38" si="13">M19/(N19+V19)</f>
        <v>1.0080841779497274</v>
      </c>
    </row>
    <row r="20" spans="1:25" x14ac:dyDescent="0.25">
      <c r="A20" t="s">
        <v>20</v>
      </c>
      <c r="B20" s="2">
        <v>206000</v>
      </c>
      <c r="C20" s="2">
        <v>20679</v>
      </c>
      <c r="D20" s="2">
        <v>8437</v>
      </c>
      <c r="E20" s="2">
        <v>4585</v>
      </c>
      <c r="F20" s="2">
        <f t="shared" si="0"/>
        <v>0</v>
      </c>
      <c r="G20" s="15">
        <f t="shared" ref="G20:G38" si="14">lost_wages*D20</f>
        <v>7075978.6842105268</v>
      </c>
      <c r="H20" s="15">
        <f t="shared" si="1"/>
        <v>15064195.823529411</v>
      </c>
      <c r="I20" s="15">
        <f t="shared" si="2"/>
        <v>1434.2900000000002</v>
      </c>
      <c r="J20" s="15">
        <f t="shared" si="3"/>
        <v>2692162.3300000005</v>
      </c>
      <c r="K20" s="15">
        <f t="shared" si="4"/>
        <v>22143509.099915791</v>
      </c>
      <c r="L20" s="15">
        <f t="shared" ref="L20:L40" si="15">G20+H20+J20+K20</f>
        <v>46975845.937655732</v>
      </c>
      <c r="M20" s="26">
        <f t="shared" si="5"/>
        <v>41273489.910565548</v>
      </c>
      <c r="N20" s="13">
        <f t="shared" si="6"/>
        <v>37661190</v>
      </c>
      <c r="O20" s="16">
        <v>71</v>
      </c>
      <c r="P20" s="16">
        <f t="shared" si="7"/>
        <v>59546.578947368427</v>
      </c>
      <c r="Q20" s="16">
        <f t="shared" si="8"/>
        <v>126769.93048128342</v>
      </c>
      <c r="R20" s="16">
        <f t="shared" si="9"/>
        <v>12.07</v>
      </c>
      <c r="S20" s="16">
        <f t="shared" si="10"/>
        <v>22655.39</v>
      </c>
      <c r="T20" s="16">
        <f t="shared" si="11"/>
        <v>186344.5710672065</v>
      </c>
      <c r="U20" s="16">
        <f t="shared" ref="U20:U40" si="16">P20+Q20+S20+T20</f>
        <v>395316.47049585835</v>
      </c>
      <c r="V20" s="16">
        <f t="shared" si="12"/>
        <v>3473293.5683894195</v>
      </c>
      <c r="W20" s="9">
        <f t="shared" si="13"/>
        <v>1.0033793141451508</v>
      </c>
    </row>
    <row r="21" spans="1:25" x14ac:dyDescent="0.25">
      <c r="A21" t="s">
        <v>3</v>
      </c>
      <c r="B21" s="2">
        <v>482180</v>
      </c>
      <c r="C21" s="2">
        <v>51357</v>
      </c>
      <c r="D21" s="2">
        <v>24695</v>
      </c>
      <c r="E21" s="2">
        <v>13687</v>
      </c>
      <c r="F21" s="2">
        <f t="shared" si="0"/>
        <v>0</v>
      </c>
      <c r="G21" s="15">
        <f t="shared" si="14"/>
        <v>20711306.578947369</v>
      </c>
      <c r="H21" s="15">
        <f t="shared" si="1"/>
        <v>44092724.411764704</v>
      </c>
      <c r="I21" s="15">
        <f t="shared" si="2"/>
        <v>4198.1500000000005</v>
      </c>
      <c r="J21" s="15">
        <f t="shared" si="3"/>
        <v>7879927.5500000007</v>
      </c>
      <c r="K21" s="15">
        <f t="shared" si="4"/>
        <v>64813791.302882589</v>
      </c>
      <c r="L21" s="15">
        <f t="shared" si="15"/>
        <v>137497749.84359467</v>
      </c>
      <c r="M21" s="26">
        <f t="shared" si="5"/>
        <v>120807020.66391087</v>
      </c>
      <c r="N21" s="13">
        <f t="shared" si="6"/>
        <v>112425018</v>
      </c>
      <c r="O21" s="16">
        <v>62</v>
      </c>
      <c r="P21" s="16">
        <f t="shared" si="7"/>
        <v>51998.42105263158</v>
      </c>
      <c r="Q21" s="16">
        <f t="shared" si="8"/>
        <v>110700.50267379679</v>
      </c>
      <c r="R21" s="16">
        <f t="shared" si="9"/>
        <v>10.540000000000001</v>
      </c>
      <c r="S21" s="16">
        <f t="shared" si="10"/>
        <v>19783.580000000002</v>
      </c>
      <c r="T21" s="16">
        <f t="shared" si="11"/>
        <v>162723.42825587044</v>
      </c>
      <c r="U21" s="16">
        <f t="shared" si="16"/>
        <v>345205.93198229885</v>
      </c>
      <c r="V21" s="16">
        <f t="shared" si="12"/>
        <v>3033016.9188752677</v>
      </c>
      <c r="W21" s="9">
        <f t="shared" si="13"/>
        <v>1.0463283975757425</v>
      </c>
      <c r="Y21" s="1"/>
    </row>
    <row r="22" spans="1:25" x14ac:dyDescent="0.25">
      <c r="A22" t="s">
        <v>21</v>
      </c>
      <c r="B22" s="2">
        <v>283700</v>
      </c>
      <c r="C22" s="2">
        <v>32625</v>
      </c>
      <c r="D22" s="2">
        <v>18403</v>
      </c>
      <c r="E22" s="2">
        <v>10461</v>
      </c>
      <c r="F22" s="2">
        <f t="shared" si="0"/>
        <v>0</v>
      </c>
      <c r="G22" s="15">
        <f t="shared" si="14"/>
        <v>15434305.52631579</v>
      </c>
      <c r="H22" s="15">
        <f t="shared" si="1"/>
        <v>32858408.882352941</v>
      </c>
      <c r="I22" s="15">
        <f t="shared" si="2"/>
        <v>3128.51</v>
      </c>
      <c r="J22" s="15">
        <f t="shared" si="3"/>
        <v>5872213.2700000005</v>
      </c>
      <c r="K22" s="15">
        <f t="shared" si="4"/>
        <v>48299987.906335212</v>
      </c>
      <c r="L22" s="15">
        <f t="shared" si="15"/>
        <v>102464915.58500394</v>
      </c>
      <c r="M22" s="26">
        <f t="shared" si="5"/>
        <v>90026790.900099263</v>
      </c>
      <c r="N22" s="13">
        <f t="shared" si="6"/>
        <v>85926654</v>
      </c>
      <c r="O22" s="16">
        <v>96</v>
      </c>
      <c r="P22" s="16">
        <f t="shared" si="7"/>
        <v>80513.68421052632</v>
      </c>
      <c r="Q22" s="16">
        <f t="shared" si="8"/>
        <v>171407.22994652408</v>
      </c>
      <c r="R22" s="16">
        <f t="shared" si="9"/>
        <v>16.32</v>
      </c>
      <c r="S22" s="16">
        <f t="shared" si="10"/>
        <v>30632.639999999999</v>
      </c>
      <c r="T22" s="16">
        <f t="shared" si="11"/>
        <v>251958.85665425102</v>
      </c>
      <c r="U22" s="16">
        <f t="shared" si="16"/>
        <v>534512.41081130144</v>
      </c>
      <c r="V22" s="16">
        <f t="shared" si="12"/>
        <v>4696284.2614842858</v>
      </c>
      <c r="W22" s="9">
        <f t="shared" si="13"/>
        <v>0.99342167256081582</v>
      </c>
    </row>
    <row r="23" spans="1:25" x14ac:dyDescent="0.25">
      <c r="A23" t="s">
        <v>14</v>
      </c>
      <c r="B23" s="2">
        <v>469300</v>
      </c>
      <c r="C23" s="2">
        <v>55544</v>
      </c>
      <c r="D23" s="2">
        <v>32903</v>
      </c>
      <c r="E23" s="2">
        <v>18880</v>
      </c>
      <c r="F23" s="2">
        <f t="shared" si="0"/>
        <v>0</v>
      </c>
      <c r="G23" s="15">
        <f t="shared" si="14"/>
        <v>27595226.578947369</v>
      </c>
      <c r="H23" s="15">
        <f t="shared" si="1"/>
        <v>58748042.572192512</v>
      </c>
      <c r="I23" s="15">
        <f t="shared" si="2"/>
        <v>5593.51</v>
      </c>
      <c r="J23" s="15">
        <f t="shared" si="3"/>
        <v>10499018.27</v>
      </c>
      <c r="K23" s="15">
        <f t="shared" si="4"/>
        <v>86356273.546821058</v>
      </c>
      <c r="L23" s="15">
        <f t="shared" si="15"/>
        <v>183198560.96796095</v>
      </c>
      <c r="M23" s="26">
        <f t="shared" si="5"/>
        <v>160960251.09960154</v>
      </c>
      <c r="N23" s="13">
        <f t="shared" si="6"/>
        <v>155080320</v>
      </c>
      <c r="O23" s="16">
        <v>50</v>
      </c>
      <c r="P23" s="16">
        <f t="shared" si="7"/>
        <v>41934.210526315794</v>
      </c>
      <c r="Q23" s="16">
        <f t="shared" si="8"/>
        <v>89274.598930481283</v>
      </c>
      <c r="R23" s="16">
        <f t="shared" si="9"/>
        <v>8.5</v>
      </c>
      <c r="S23" s="16">
        <f t="shared" si="10"/>
        <v>15954.5</v>
      </c>
      <c r="T23" s="16">
        <f t="shared" si="11"/>
        <v>131228.57117408907</v>
      </c>
      <c r="U23" s="16">
        <f t="shared" si="16"/>
        <v>278391.88063088618</v>
      </c>
      <c r="V23" s="16">
        <f t="shared" si="12"/>
        <v>2445981.3861897322</v>
      </c>
      <c r="W23" s="9">
        <f t="shared" si="13"/>
        <v>1.0217992150085031</v>
      </c>
    </row>
    <row r="24" spans="1:25" x14ac:dyDescent="0.25">
      <c r="A24" t="s">
        <v>15</v>
      </c>
      <c r="B24" s="2">
        <v>151700</v>
      </c>
      <c r="C24" s="2">
        <v>15602</v>
      </c>
      <c r="D24" s="2">
        <v>6846</v>
      </c>
      <c r="E24" s="2">
        <v>3751</v>
      </c>
      <c r="F24" s="2">
        <f t="shared" si="0"/>
        <v>0</v>
      </c>
      <c r="G24" s="15">
        <f t="shared" si="14"/>
        <v>5741632.1052631587</v>
      </c>
      <c r="H24" s="15">
        <f t="shared" si="1"/>
        <v>12223478.085561497</v>
      </c>
      <c r="I24" s="15">
        <f t="shared" si="2"/>
        <v>1163.8200000000002</v>
      </c>
      <c r="J24" s="15">
        <f t="shared" si="3"/>
        <v>2184490.14</v>
      </c>
      <c r="K24" s="15">
        <f t="shared" si="4"/>
        <v>17967815.965156276</v>
      </c>
      <c r="L24" s="15">
        <f t="shared" si="15"/>
        <v>38117416.29598093</v>
      </c>
      <c r="M24" s="26">
        <f t="shared" si="5"/>
        <v>33490377.139709812</v>
      </c>
      <c r="N24" s="13">
        <f t="shared" si="6"/>
        <v>30810714</v>
      </c>
      <c r="O24" s="16">
        <v>56</v>
      </c>
      <c r="P24" s="16">
        <f t="shared" si="7"/>
        <v>46966.315789473687</v>
      </c>
      <c r="Q24" s="16">
        <f t="shared" si="8"/>
        <v>99987.550802139041</v>
      </c>
      <c r="R24" s="16">
        <f t="shared" si="9"/>
        <v>9.5200000000000014</v>
      </c>
      <c r="S24" s="16">
        <f t="shared" si="10"/>
        <v>17869.04</v>
      </c>
      <c r="T24" s="16">
        <f t="shared" si="11"/>
        <v>146975.99971497976</v>
      </c>
      <c r="U24" s="16">
        <f t="shared" si="16"/>
        <v>311798.90630659251</v>
      </c>
      <c r="V24" s="16">
        <f t="shared" si="12"/>
        <v>2739499.1525325002</v>
      </c>
      <c r="W24" s="9">
        <f t="shared" si="13"/>
        <v>0.99821652361638813</v>
      </c>
    </row>
    <row r="25" spans="1:25" x14ac:dyDescent="0.25">
      <c r="A25" t="s">
        <v>16</v>
      </c>
      <c r="B25" s="2">
        <v>138380</v>
      </c>
      <c r="C25" s="2">
        <v>15198</v>
      </c>
      <c r="D25" s="2">
        <v>7836</v>
      </c>
      <c r="E25" s="2">
        <v>4388</v>
      </c>
      <c r="F25" s="2">
        <f t="shared" si="0"/>
        <v>0</v>
      </c>
      <c r="G25" s="15">
        <f t="shared" si="14"/>
        <v>6571929.4736842113</v>
      </c>
      <c r="H25" s="15">
        <f t="shared" si="1"/>
        <v>13991115.144385027</v>
      </c>
      <c r="I25" s="15">
        <f t="shared" si="2"/>
        <v>1332.1200000000001</v>
      </c>
      <c r="J25" s="15">
        <f t="shared" si="3"/>
        <v>2500389.2400000002</v>
      </c>
      <c r="K25" s="15">
        <f t="shared" si="4"/>
        <v>20566141.674403239</v>
      </c>
      <c r="L25" s="15">
        <f t="shared" si="15"/>
        <v>43629575.532472476</v>
      </c>
      <c r="M25" s="26">
        <f t="shared" si="5"/>
        <v>38333420.284365475</v>
      </c>
      <c r="N25" s="13">
        <f t="shared" si="6"/>
        <v>36043032</v>
      </c>
      <c r="O25" s="16">
        <v>86</v>
      </c>
      <c r="P25" s="16">
        <f t="shared" si="7"/>
        <v>72126.84210526316</v>
      </c>
      <c r="Q25" s="16">
        <f t="shared" si="8"/>
        <v>153552.31016042782</v>
      </c>
      <c r="R25" s="16">
        <f t="shared" si="9"/>
        <v>14.620000000000001</v>
      </c>
      <c r="S25" s="16">
        <f t="shared" si="10"/>
        <v>27441.74</v>
      </c>
      <c r="T25" s="16">
        <f t="shared" si="11"/>
        <v>225713.14241943319</v>
      </c>
      <c r="U25" s="16">
        <f t="shared" si="16"/>
        <v>478834.03468512418</v>
      </c>
      <c r="V25" s="16">
        <f t="shared" si="12"/>
        <v>4207087.9842463387</v>
      </c>
      <c r="W25" s="9">
        <f t="shared" si="13"/>
        <v>0.95238027363319544</v>
      </c>
    </row>
    <row r="26" spans="1:25" x14ac:dyDescent="0.25">
      <c r="A26" t="s">
        <v>4</v>
      </c>
      <c r="B26" s="2">
        <v>98196</v>
      </c>
      <c r="C26" s="2">
        <v>10558</v>
      </c>
      <c r="D26" s="2">
        <v>5192</v>
      </c>
      <c r="E26" s="2">
        <v>2886</v>
      </c>
      <c r="F26" s="2">
        <f t="shared" si="0"/>
        <v>0</v>
      </c>
      <c r="G26" s="15">
        <f t="shared" si="14"/>
        <v>4354448.4210526319</v>
      </c>
      <c r="H26" s="15">
        <f t="shared" si="1"/>
        <v>9270274.3529411759</v>
      </c>
      <c r="I26" s="15">
        <f t="shared" si="2"/>
        <v>882.6400000000001</v>
      </c>
      <c r="J26" s="15">
        <f t="shared" si="3"/>
        <v>1656715.2800000003</v>
      </c>
      <c r="K26" s="15">
        <f t="shared" si="4"/>
        <v>13626774.830717409</v>
      </c>
      <c r="L26" s="15">
        <f t="shared" si="15"/>
        <v>28908212.884711221</v>
      </c>
      <c r="M26" s="26">
        <f t="shared" si="5"/>
        <v>25399070.714194182</v>
      </c>
      <c r="N26" s="13">
        <f t="shared" si="6"/>
        <v>23705604</v>
      </c>
      <c r="O26" s="16">
        <v>62</v>
      </c>
      <c r="P26" s="16">
        <f t="shared" si="7"/>
        <v>51998.42105263158</v>
      </c>
      <c r="Q26" s="16">
        <f t="shared" si="8"/>
        <v>110700.50267379679</v>
      </c>
      <c r="R26" s="16">
        <f t="shared" si="9"/>
        <v>10.540000000000001</v>
      </c>
      <c r="S26" s="16">
        <f t="shared" si="10"/>
        <v>19783.580000000002</v>
      </c>
      <c r="T26" s="16">
        <f t="shared" si="11"/>
        <v>162723.42825587044</v>
      </c>
      <c r="U26" s="16">
        <f t="shared" si="16"/>
        <v>345205.93198229885</v>
      </c>
      <c r="V26" s="16">
        <f t="shared" si="12"/>
        <v>3033016.9188752677</v>
      </c>
      <c r="W26" s="9">
        <f t="shared" si="13"/>
        <v>0.94990204585549609</v>
      </c>
    </row>
    <row r="27" spans="1:25" x14ac:dyDescent="0.25">
      <c r="A27" t="s">
        <v>5</v>
      </c>
      <c r="B27" s="2">
        <v>162560</v>
      </c>
      <c r="C27" s="2">
        <v>17328</v>
      </c>
      <c r="D27" s="2">
        <v>8348</v>
      </c>
      <c r="E27" s="2">
        <v>4628</v>
      </c>
      <c r="F27" s="2">
        <f t="shared" si="0"/>
        <v>0</v>
      </c>
      <c r="G27" s="15">
        <f t="shared" si="14"/>
        <v>7001335.7894736845</v>
      </c>
      <c r="H27" s="15">
        <f t="shared" si="1"/>
        <v>14905287.037433155</v>
      </c>
      <c r="I27" s="15">
        <f t="shared" si="2"/>
        <v>1419.16</v>
      </c>
      <c r="J27" s="15">
        <f t="shared" si="3"/>
        <v>2663763.3200000003</v>
      </c>
      <c r="K27" s="15">
        <f t="shared" si="4"/>
        <v>21909922.24322591</v>
      </c>
      <c r="L27" s="15">
        <f t="shared" si="15"/>
        <v>46480308.390132748</v>
      </c>
      <c r="M27" s="26">
        <f t="shared" si="5"/>
        <v>40838105.223823763</v>
      </c>
      <c r="N27" s="13">
        <f t="shared" si="6"/>
        <v>38014392</v>
      </c>
      <c r="O27" s="16">
        <v>75</v>
      </c>
      <c r="P27" s="16">
        <f t="shared" si="7"/>
        <v>62901.315789473687</v>
      </c>
      <c r="Q27" s="16">
        <f t="shared" si="8"/>
        <v>133911.89839572192</v>
      </c>
      <c r="R27" s="16">
        <f t="shared" si="9"/>
        <v>12.750000000000002</v>
      </c>
      <c r="S27" s="16">
        <f t="shared" si="10"/>
        <v>23931.750000000004</v>
      </c>
      <c r="T27" s="16">
        <f t="shared" si="11"/>
        <v>196842.85676113362</v>
      </c>
      <c r="U27" s="16">
        <f t="shared" si="16"/>
        <v>417587.82094632922</v>
      </c>
      <c r="V27" s="16">
        <f t="shared" si="12"/>
        <v>3668972.0792845981</v>
      </c>
      <c r="W27" s="9">
        <f t="shared" si="13"/>
        <v>0.97972191366673056</v>
      </c>
    </row>
    <row r="28" spans="1:25" x14ac:dyDescent="0.25">
      <c r="A28" t="s">
        <v>17</v>
      </c>
      <c r="B28" s="2">
        <v>137000</v>
      </c>
      <c r="C28" s="2">
        <v>13059</v>
      </c>
      <c r="D28" s="2">
        <v>4411</v>
      </c>
      <c r="E28" s="2">
        <v>2356</v>
      </c>
      <c r="F28" s="2">
        <f t="shared" si="0"/>
        <v>0</v>
      </c>
      <c r="G28" s="15">
        <f t="shared" si="14"/>
        <v>3699436.0526315793</v>
      </c>
      <c r="H28" s="15">
        <f t="shared" si="1"/>
        <v>7875805.1176470593</v>
      </c>
      <c r="I28" s="15">
        <f t="shared" si="2"/>
        <v>749.87</v>
      </c>
      <c r="J28" s="15">
        <f t="shared" si="3"/>
        <v>1407505.99</v>
      </c>
      <c r="K28" s="15">
        <f t="shared" si="4"/>
        <v>11576984.548978137</v>
      </c>
      <c r="L28" s="15">
        <f t="shared" si="15"/>
        <v>24559731.709256776</v>
      </c>
      <c r="M28" s="26">
        <f t="shared" si="5"/>
        <v>21578447.788965818</v>
      </c>
      <c r="N28" s="13">
        <f t="shared" si="6"/>
        <v>19352184</v>
      </c>
      <c r="O28" s="16">
        <v>90</v>
      </c>
      <c r="P28" s="16">
        <f t="shared" si="7"/>
        <v>75481.578947368427</v>
      </c>
      <c r="Q28" s="16">
        <f t="shared" si="8"/>
        <v>160694.27807486631</v>
      </c>
      <c r="R28" s="16">
        <f t="shared" si="9"/>
        <v>15.3</v>
      </c>
      <c r="S28" s="16">
        <f t="shared" si="10"/>
        <v>28718.100000000002</v>
      </c>
      <c r="T28" s="16">
        <f t="shared" si="11"/>
        <v>236211.42811336031</v>
      </c>
      <c r="U28" s="16">
        <f t="shared" si="16"/>
        <v>501105.38513559505</v>
      </c>
      <c r="V28" s="16">
        <f t="shared" si="12"/>
        <v>4402766.4951415174</v>
      </c>
      <c r="W28" s="9">
        <f t="shared" si="13"/>
        <v>0.90837687889011387</v>
      </c>
    </row>
    <row r="29" spans="1:25" x14ac:dyDescent="0.25">
      <c r="A29" t="s">
        <v>6</v>
      </c>
      <c r="B29" s="2">
        <v>151690</v>
      </c>
      <c r="C29" s="2">
        <v>14921</v>
      </c>
      <c r="D29" s="2">
        <v>5688</v>
      </c>
      <c r="E29" s="2">
        <v>3071</v>
      </c>
      <c r="F29" s="2">
        <f t="shared" si="0"/>
        <v>0</v>
      </c>
      <c r="G29" s="15">
        <f t="shared" si="14"/>
        <v>4770435.7894736845</v>
      </c>
      <c r="H29" s="15">
        <f t="shared" si="1"/>
        <v>10155878.374331551</v>
      </c>
      <c r="I29" s="15">
        <f t="shared" si="2"/>
        <v>966.96</v>
      </c>
      <c r="J29" s="15">
        <f t="shared" si="3"/>
        <v>1814983.9200000002</v>
      </c>
      <c r="K29" s="15">
        <f t="shared" si="4"/>
        <v>14928562.256764371</v>
      </c>
      <c r="L29" s="15">
        <f t="shared" si="15"/>
        <v>31669860.340569608</v>
      </c>
      <c r="M29" s="26">
        <f t="shared" si="5"/>
        <v>27825484.249294389</v>
      </c>
      <c r="N29" s="13">
        <f t="shared" si="6"/>
        <v>25225194</v>
      </c>
      <c r="O29" s="16">
        <v>70</v>
      </c>
      <c r="P29" s="16">
        <f t="shared" si="7"/>
        <v>58707.894736842107</v>
      </c>
      <c r="Q29" s="16">
        <f t="shared" si="8"/>
        <v>124984.4385026738</v>
      </c>
      <c r="R29" s="16">
        <f t="shared" si="9"/>
        <v>11.9</v>
      </c>
      <c r="S29" s="16">
        <f t="shared" si="10"/>
        <v>22336.3</v>
      </c>
      <c r="T29" s="16">
        <f t="shared" si="11"/>
        <v>183719.99964372467</v>
      </c>
      <c r="U29" s="16">
        <f t="shared" si="16"/>
        <v>389748.63288324059</v>
      </c>
      <c r="V29" s="16">
        <f t="shared" si="12"/>
        <v>3424373.940665625</v>
      </c>
      <c r="W29" s="9">
        <f t="shared" si="13"/>
        <v>0.97123573754836567</v>
      </c>
    </row>
    <row r="30" spans="1:25" x14ac:dyDescent="0.25">
      <c r="A30" t="s">
        <v>19</v>
      </c>
      <c r="B30" s="2">
        <v>55620</v>
      </c>
      <c r="C30" s="2">
        <v>5238</v>
      </c>
      <c r="D30" s="2">
        <v>1678</v>
      </c>
      <c r="E30" s="2">
        <v>893</v>
      </c>
      <c r="F30" s="2">
        <f t="shared" si="0"/>
        <v>0</v>
      </c>
      <c r="G30" s="15">
        <f t="shared" si="14"/>
        <v>1407312.105263158</v>
      </c>
      <c r="H30" s="15">
        <f t="shared" si="1"/>
        <v>2996055.5401069517</v>
      </c>
      <c r="I30" s="15">
        <f t="shared" si="2"/>
        <v>285.26000000000005</v>
      </c>
      <c r="J30" s="15">
        <f t="shared" si="3"/>
        <v>535433.02000000014</v>
      </c>
      <c r="K30" s="15">
        <f t="shared" si="4"/>
        <v>4404030.84860243</v>
      </c>
      <c r="L30" s="15">
        <f t="shared" si="15"/>
        <v>9342831.5139725395</v>
      </c>
      <c r="M30" s="26">
        <f t="shared" si="5"/>
        <v>8208713.5320527414</v>
      </c>
      <c r="N30" s="13">
        <f t="shared" si="6"/>
        <v>7335102</v>
      </c>
      <c r="O30" s="16">
        <v>72</v>
      </c>
      <c r="P30" s="16">
        <f t="shared" si="7"/>
        <v>60385.26315789474</v>
      </c>
      <c r="Q30" s="16">
        <f t="shared" si="8"/>
        <v>128555.42245989305</v>
      </c>
      <c r="R30" s="16">
        <f t="shared" si="9"/>
        <v>12.24</v>
      </c>
      <c r="S30" s="16">
        <f t="shared" si="10"/>
        <v>22974.48</v>
      </c>
      <c r="T30" s="16">
        <f t="shared" si="11"/>
        <v>188969.14249068825</v>
      </c>
      <c r="U30" s="16">
        <f t="shared" si="16"/>
        <v>400884.30810847605</v>
      </c>
      <c r="V30" s="16">
        <f t="shared" si="12"/>
        <v>3522213.1961132139</v>
      </c>
      <c r="W30" s="9">
        <f t="shared" si="13"/>
        <v>0.75605371897017049</v>
      </c>
    </row>
    <row r="31" spans="1:25" x14ac:dyDescent="0.25">
      <c r="A31" t="s">
        <v>7</v>
      </c>
      <c r="B31" s="2">
        <v>297420</v>
      </c>
      <c r="C31" s="2">
        <v>31607</v>
      </c>
      <c r="D31" s="2">
        <v>15115</v>
      </c>
      <c r="E31" s="2">
        <v>8371</v>
      </c>
      <c r="F31" s="2">
        <f t="shared" si="0"/>
        <v>0</v>
      </c>
      <c r="G31" s="15">
        <f t="shared" si="14"/>
        <v>12676711.842105264</v>
      </c>
      <c r="H31" s="15">
        <f t="shared" si="1"/>
        <v>26987711.256684493</v>
      </c>
      <c r="I31" s="15">
        <f t="shared" si="2"/>
        <v>2569.5500000000002</v>
      </c>
      <c r="J31" s="15">
        <f t="shared" si="3"/>
        <v>4823045.3500000006</v>
      </c>
      <c r="K31" s="15">
        <f t="shared" si="4"/>
        <v>39670397.065927126</v>
      </c>
      <c r="L31" s="15">
        <f t="shared" si="15"/>
        <v>84157865.514716893</v>
      </c>
      <c r="M31" s="26">
        <f t="shared" si="5"/>
        <v>73942017.3045156</v>
      </c>
      <c r="N31" s="13">
        <f t="shared" si="6"/>
        <v>68759394</v>
      </c>
      <c r="O31" s="16">
        <v>102</v>
      </c>
      <c r="P31" s="16">
        <f t="shared" si="7"/>
        <v>85545.789473684214</v>
      </c>
      <c r="Q31" s="16">
        <f t="shared" si="8"/>
        <v>182120.18181818182</v>
      </c>
      <c r="R31" s="16">
        <f t="shared" si="9"/>
        <v>17.34</v>
      </c>
      <c r="S31" s="16">
        <f t="shared" si="10"/>
        <v>32547.18</v>
      </c>
      <c r="T31" s="16">
        <f t="shared" si="11"/>
        <v>267706.28519514174</v>
      </c>
      <c r="U31" s="16">
        <f t="shared" si="16"/>
        <v>567919.43648700777</v>
      </c>
      <c r="V31" s="16">
        <f t="shared" si="12"/>
        <v>4989802.0278270533</v>
      </c>
      <c r="W31" s="9">
        <f t="shared" si="13"/>
        <v>1.0026145542876941</v>
      </c>
    </row>
    <row r="32" spans="1:25" x14ac:dyDescent="0.25">
      <c r="A32" t="s">
        <v>8</v>
      </c>
      <c r="B32" s="2">
        <v>43650</v>
      </c>
      <c r="C32" s="2">
        <v>4769</v>
      </c>
      <c r="D32" s="2">
        <v>2431</v>
      </c>
      <c r="E32" s="2">
        <v>1359</v>
      </c>
      <c r="F32" s="2">
        <f t="shared" si="0"/>
        <v>0</v>
      </c>
      <c r="G32" s="15">
        <f t="shared" si="14"/>
        <v>2038841.3157894737</v>
      </c>
      <c r="H32" s="15">
        <f t="shared" si="1"/>
        <v>4340531</v>
      </c>
      <c r="I32" s="15">
        <f t="shared" si="2"/>
        <v>413.27000000000004</v>
      </c>
      <c r="J32" s="15">
        <f t="shared" si="3"/>
        <v>775707.79</v>
      </c>
      <c r="K32" s="15">
        <f t="shared" si="4"/>
        <v>6380333.1304842113</v>
      </c>
      <c r="L32" s="15">
        <f t="shared" si="15"/>
        <v>13535413.236273685</v>
      </c>
      <c r="M32" s="26">
        <f t="shared" si="5"/>
        <v>11892361.499654479</v>
      </c>
      <c r="N32" s="13">
        <f t="shared" si="6"/>
        <v>11162826</v>
      </c>
      <c r="O32" s="16">
        <v>47</v>
      </c>
      <c r="P32" s="16">
        <f t="shared" si="7"/>
        <v>39418.157894736847</v>
      </c>
      <c r="Q32" s="16">
        <f t="shared" si="8"/>
        <v>83918.122994652411</v>
      </c>
      <c r="R32" s="16">
        <f t="shared" si="9"/>
        <v>7.99</v>
      </c>
      <c r="S32" s="16">
        <f t="shared" si="10"/>
        <v>14997.23</v>
      </c>
      <c r="T32" s="16">
        <f t="shared" si="11"/>
        <v>123354.85690364373</v>
      </c>
      <c r="U32" s="16">
        <f t="shared" si="16"/>
        <v>261688.36779303299</v>
      </c>
      <c r="V32" s="16">
        <f t="shared" si="12"/>
        <v>2299222.5030183485</v>
      </c>
      <c r="W32" s="9">
        <f t="shared" si="13"/>
        <v>0.88339909761787538</v>
      </c>
    </row>
    <row r="33" spans="1:23" x14ac:dyDescent="0.25">
      <c r="A33" t="s">
        <v>9</v>
      </c>
      <c r="B33" s="2">
        <v>109750</v>
      </c>
      <c r="C33" s="2">
        <v>11473</v>
      </c>
      <c r="D33" s="2">
        <v>5262</v>
      </c>
      <c r="E33" s="2">
        <v>2899</v>
      </c>
      <c r="F33" s="2">
        <f t="shared" si="0"/>
        <v>0</v>
      </c>
      <c r="G33" s="15">
        <f t="shared" si="14"/>
        <v>4413156.3157894742</v>
      </c>
      <c r="H33" s="15">
        <f t="shared" si="1"/>
        <v>9395258.7914438508</v>
      </c>
      <c r="I33" s="15">
        <f t="shared" si="2"/>
        <v>894.54000000000008</v>
      </c>
      <c r="J33" s="15">
        <f t="shared" si="3"/>
        <v>1679051.58</v>
      </c>
      <c r="K33" s="15">
        <f t="shared" si="4"/>
        <v>13810494.830361133</v>
      </c>
      <c r="L33" s="15">
        <f t="shared" si="15"/>
        <v>29297961.517594457</v>
      </c>
      <c r="M33" s="26">
        <f t="shared" si="5"/>
        <v>25741508.108260736</v>
      </c>
      <c r="N33" s="13">
        <f t="shared" si="6"/>
        <v>23812386</v>
      </c>
      <c r="O33" s="16">
        <v>68</v>
      </c>
      <c r="P33" s="16">
        <f t="shared" si="7"/>
        <v>57030.526315789481</v>
      </c>
      <c r="Q33" s="16">
        <f t="shared" si="8"/>
        <v>121413.45454545454</v>
      </c>
      <c r="R33" s="16">
        <f t="shared" si="9"/>
        <v>11.56</v>
      </c>
      <c r="S33" s="16">
        <f t="shared" si="10"/>
        <v>21698.120000000003</v>
      </c>
      <c r="T33" s="16">
        <f t="shared" si="11"/>
        <v>178470.85679676116</v>
      </c>
      <c r="U33" s="16">
        <f t="shared" si="16"/>
        <v>378612.95765800518</v>
      </c>
      <c r="V33" s="16">
        <f t="shared" si="12"/>
        <v>3326534.6852180357</v>
      </c>
      <c r="W33" s="9">
        <f t="shared" si="13"/>
        <v>0.94850891112562041</v>
      </c>
    </row>
    <row r="34" spans="1:23" x14ac:dyDescent="0.25">
      <c r="A34" t="s">
        <v>10</v>
      </c>
      <c r="B34" s="2">
        <v>359310</v>
      </c>
      <c r="C34" s="2">
        <v>39402</v>
      </c>
      <c r="D34" s="2">
        <v>20248</v>
      </c>
      <c r="E34" s="2">
        <v>11331</v>
      </c>
      <c r="F34" s="2">
        <f t="shared" si="0"/>
        <v>0</v>
      </c>
      <c r="G34" s="15">
        <f t="shared" si="14"/>
        <v>16981677.894736841</v>
      </c>
      <c r="H34" s="15">
        <f t="shared" si="1"/>
        <v>36152641.582887702</v>
      </c>
      <c r="I34" s="15">
        <f t="shared" si="2"/>
        <v>3442.1600000000003</v>
      </c>
      <c r="J34" s="15">
        <f t="shared" si="3"/>
        <v>6460934.3200000003</v>
      </c>
      <c r="K34" s="15">
        <f t="shared" si="4"/>
        <v>53142322.182659104</v>
      </c>
      <c r="L34" s="15">
        <f t="shared" si="15"/>
        <v>112737575.98028365</v>
      </c>
      <c r="M34" s="26">
        <f t="shared" si="5"/>
        <v>99052462.215139389</v>
      </c>
      <c r="N34" s="13">
        <f t="shared" si="6"/>
        <v>93072834</v>
      </c>
      <c r="O34" s="16">
        <v>95</v>
      </c>
      <c r="P34" s="16">
        <f t="shared" si="7"/>
        <v>79675</v>
      </c>
      <c r="Q34" s="16">
        <f t="shared" si="8"/>
        <v>169621.73796791444</v>
      </c>
      <c r="R34" s="16">
        <f t="shared" si="9"/>
        <v>16.150000000000002</v>
      </c>
      <c r="S34" s="16">
        <f t="shared" si="10"/>
        <v>30313.550000000003</v>
      </c>
      <c r="T34" s="16">
        <f t="shared" si="11"/>
        <v>249334.28523076922</v>
      </c>
      <c r="U34" s="16">
        <f t="shared" si="16"/>
        <v>528944.57319868368</v>
      </c>
      <c r="V34" s="16">
        <f t="shared" si="12"/>
        <v>4647364.6337604905</v>
      </c>
      <c r="W34" s="9">
        <f t="shared" si="13"/>
        <v>1.0136334514256566</v>
      </c>
    </row>
    <row r="35" spans="1:23" x14ac:dyDescent="0.25">
      <c r="A35" t="s">
        <v>11</v>
      </c>
      <c r="B35" s="2">
        <v>41112</v>
      </c>
      <c r="C35" s="2">
        <v>3932</v>
      </c>
      <c r="D35" s="2">
        <v>1346</v>
      </c>
      <c r="E35" s="2">
        <v>720</v>
      </c>
      <c r="F35" s="2">
        <f t="shared" si="0"/>
        <v>0</v>
      </c>
      <c r="G35" s="15">
        <f t="shared" si="14"/>
        <v>1128868.9473684211</v>
      </c>
      <c r="H35" s="15">
        <f t="shared" si="1"/>
        <v>2403272.2032085559</v>
      </c>
      <c r="I35" s="15">
        <f t="shared" si="2"/>
        <v>228.82000000000002</v>
      </c>
      <c r="J35" s="15">
        <f t="shared" si="3"/>
        <v>429495.14</v>
      </c>
      <c r="K35" s="15">
        <f t="shared" si="4"/>
        <v>3532673.1360064778</v>
      </c>
      <c r="L35" s="15">
        <f t="shared" si="15"/>
        <v>7494309.4265834549</v>
      </c>
      <c r="M35" s="26">
        <f t="shared" si="5"/>
        <v>6584581.8916227575</v>
      </c>
      <c r="N35" s="13">
        <f t="shared" si="6"/>
        <v>5914080</v>
      </c>
      <c r="O35" s="16">
        <v>59</v>
      </c>
      <c r="P35" s="16">
        <f t="shared" si="7"/>
        <v>49482.368421052633</v>
      </c>
      <c r="Q35" s="16">
        <f t="shared" si="8"/>
        <v>105344.02673796791</v>
      </c>
      <c r="R35" s="16">
        <f t="shared" si="9"/>
        <v>10.030000000000001</v>
      </c>
      <c r="S35" s="16">
        <f t="shared" si="10"/>
        <v>18826.310000000001</v>
      </c>
      <c r="T35" s="16">
        <f t="shared" si="11"/>
        <v>154849.7139854251</v>
      </c>
      <c r="U35" s="16">
        <f t="shared" si="16"/>
        <v>328502.41914444568</v>
      </c>
      <c r="V35" s="16">
        <f t="shared" si="12"/>
        <v>2886258.035703884</v>
      </c>
      <c r="W35" s="9">
        <f t="shared" si="13"/>
        <v>0.74821920077483683</v>
      </c>
    </row>
    <row r="36" spans="1:23" x14ac:dyDescent="0.25">
      <c r="A36" t="s">
        <v>12</v>
      </c>
      <c r="B36" s="2">
        <v>525550</v>
      </c>
      <c r="C36" s="2">
        <v>58350</v>
      </c>
      <c r="D36" s="2">
        <v>30774</v>
      </c>
      <c r="E36" s="2">
        <v>17291</v>
      </c>
      <c r="F36" s="2">
        <f t="shared" si="0"/>
        <v>0</v>
      </c>
      <c r="G36" s="15">
        <f t="shared" si="14"/>
        <v>25809667.894736845</v>
      </c>
      <c r="H36" s="15">
        <f t="shared" si="1"/>
        <v>54946730.14973262</v>
      </c>
      <c r="I36" s="15">
        <f t="shared" si="2"/>
        <v>5231.58</v>
      </c>
      <c r="J36" s="15">
        <f t="shared" si="3"/>
        <v>9819675.6600000001</v>
      </c>
      <c r="K36" s="15">
        <f t="shared" si="4"/>
        <v>80768560.986228347</v>
      </c>
      <c r="L36" s="15">
        <f t="shared" si="15"/>
        <v>171344634.69069779</v>
      </c>
      <c r="M36" s="26">
        <f t="shared" si="5"/>
        <v>150545262.35720563</v>
      </c>
      <c r="N36" s="13">
        <f t="shared" si="6"/>
        <v>142028274</v>
      </c>
      <c r="O36" s="16">
        <v>70</v>
      </c>
      <c r="P36" s="16">
        <f t="shared" si="7"/>
        <v>58707.894736842107</v>
      </c>
      <c r="Q36" s="16">
        <f t="shared" si="8"/>
        <v>124984.4385026738</v>
      </c>
      <c r="R36" s="16">
        <f t="shared" si="9"/>
        <v>11.9</v>
      </c>
      <c r="S36" s="16">
        <f t="shared" si="10"/>
        <v>22336.3</v>
      </c>
      <c r="T36" s="16">
        <f t="shared" si="11"/>
        <v>183719.99964372467</v>
      </c>
      <c r="U36" s="16">
        <f t="shared" si="16"/>
        <v>389748.63288324059</v>
      </c>
      <c r="V36" s="16">
        <f t="shared" si="12"/>
        <v>3424373.940665625</v>
      </c>
      <c r="W36" s="9">
        <f t="shared" si="13"/>
        <v>1.0350121808618942</v>
      </c>
    </row>
    <row r="37" spans="1:23" x14ac:dyDescent="0.25">
      <c r="A37" t="s">
        <v>18</v>
      </c>
      <c r="B37" s="2">
        <v>32151</v>
      </c>
      <c r="C37" s="2">
        <v>3197</v>
      </c>
      <c r="D37" s="2">
        <v>1265</v>
      </c>
      <c r="E37" s="2">
        <v>685</v>
      </c>
      <c r="F37" s="2">
        <f t="shared" si="0"/>
        <v>0</v>
      </c>
      <c r="G37" s="15">
        <f t="shared" si="14"/>
        <v>1060935.5263157894</v>
      </c>
      <c r="H37" s="15">
        <f t="shared" si="1"/>
        <v>2258647.3529411764</v>
      </c>
      <c r="I37" s="15">
        <f t="shared" si="2"/>
        <v>215.05</v>
      </c>
      <c r="J37" s="15">
        <f t="shared" si="3"/>
        <v>403648.85000000003</v>
      </c>
      <c r="K37" s="15">
        <f t="shared" si="4"/>
        <v>3320082.8507044534</v>
      </c>
      <c r="L37" s="15">
        <f t="shared" si="15"/>
        <v>7043314.5799614191</v>
      </c>
      <c r="M37" s="26">
        <f t="shared" si="5"/>
        <v>6188332.9070600215</v>
      </c>
      <c r="N37" s="13">
        <f t="shared" si="6"/>
        <v>5626590</v>
      </c>
      <c r="O37" s="16">
        <v>50</v>
      </c>
      <c r="P37" s="16">
        <f t="shared" si="7"/>
        <v>41934.210526315794</v>
      </c>
      <c r="Q37" s="16">
        <f t="shared" si="8"/>
        <v>89274.598930481283</v>
      </c>
      <c r="R37" s="16">
        <f t="shared" si="9"/>
        <v>8.5</v>
      </c>
      <c r="S37" s="16">
        <f t="shared" si="10"/>
        <v>15954.5</v>
      </c>
      <c r="T37" s="16">
        <f t="shared" si="11"/>
        <v>131228.57117408907</v>
      </c>
      <c r="U37" s="16">
        <f t="shared" si="16"/>
        <v>278391.88063088618</v>
      </c>
      <c r="V37" s="16">
        <f t="shared" si="12"/>
        <v>2445981.3861897322</v>
      </c>
      <c r="W37" s="9">
        <f t="shared" si="13"/>
        <v>0.76658757303116587</v>
      </c>
    </row>
    <row r="38" spans="1:23" x14ac:dyDescent="0.25">
      <c r="A38" t="s">
        <v>13</v>
      </c>
      <c r="B38" s="2">
        <v>60120</v>
      </c>
      <c r="C38" s="2">
        <v>6075</v>
      </c>
      <c r="D38" s="2">
        <v>2530</v>
      </c>
      <c r="E38" s="2">
        <v>1378</v>
      </c>
      <c r="F38" s="2">
        <f t="shared" si="0"/>
        <v>0</v>
      </c>
      <c r="G38" s="15">
        <f t="shared" si="14"/>
        <v>2121871.0526315789</v>
      </c>
      <c r="H38" s="15">
        <f t="shared" si="1"/>
        <v>4517294.7058823528</v>
      </c>
      <c r="I38" s="15">
        <f t="shared" si="2"/>
        <v>430.1</v>
      </c>
      <c r="J38" s="15">
        <f t="shared" si="3"/>
        <v>807297.70000000007</v>
      </c>
      <c r="K38" s="15">
        <f t="shared" si="4"/>
        <v>6640165.7014089068</v>
      </c>
      <c r="L38" s="15">
        <f t="shared" si="15"/>
        <v>14086629.159922838</v>
      </c>
      <c r="M38" s="26">
        <f t="shared" si="5"/>
        <v>12376665.814120043</v>
      </c>
      <c r="N38" s="13">
        <f t="shared" si="6"/>
        <v>11318892</v>
      </c>
      <c r="O38" s="16">
        <v>58</v>
      </c>
      <c r="P38" s="16">
        <f t="shared" si="7"/>
        <v>48643.68421052632</v>
      </c>
      <c r="Q38" s="16">
        <f t="shared" si="8"/>
        <v>103558.53475935828</v>
      </c>
      <c r="R38" s="16">
        <f t="shared" si="9"/>
        <v>9.8600000000000012</v>
      </c>
      <c r="S38" s="16">
        <f t="shared" si="10"/>
        <v>18507.22</v>
      </c>
      <c r="T38" s="16">
        <f t="shared" si="11"/>
        <v>152225.14256194333</v>
      </c>
      <c r="U38" s="16">
        <f t="shared" si="16"/>
        <v>322934.58153182792</v>
      </c>
      <c r="V38" s="16">
        <f t="shared" si="12"/>
        <v>2837338.4079800891</v>
      </c>
      <c r="W38" s="9">
        <f t="shared" si="13"/>
        <v>0.87429106883871599</v>
      </c>
    </row>
    <row r="39" spans="1:23" x14ac:dyDescent="0.25">
      <c r="B39" s="2"/>
      <c r="C39" s="2"/>
      <c r="D39" s="2"/>
      <c r="E39" s="2"/>
      <c r="F39" s="2"/>
      <c r="G39" s="15"/>
      <c r="H39" s="15"/>
      <c r="I39" s="15"/>
      <c r="J39" s="15"/>
      <c r="K39" s="15"/>
      <c r="L39" s="15"/>
      <c r="M39" s="26"/>
      <c r="N39" s="13"/>
      <c r="O39" s="16"/>
      <c r="P39" s="16"/>
      <c r="Q39" s="16"/>
      <c r="R39" s="16"/>
      <c r="S39" s="16"/>
      <c r="T39" s="16"/>
      <c r="U39" s="16"/>
      <c r="V39" s="16"/>
      <c r="W39" s="9"/>
    </row>
    <row r="40" spans="1:23" s="5" customFormat="1" x14ac:dyDescent="0.25">
      <c r="A40" s="5" t="s">
        <v>30</v>
      </c>
      <c r="B40" s="8">
        <f t="shared" ref="B40:C40" si="17">SUM(B19:B38)</f>
        <v>4241739</v>
      </c>
      <c r="C40" s="8">
        <f t="shared" si="17"/>
        <v>462924</v>
      </c>
      <c r="D40" s="8">
        <f>SUM(D19:D38)</f>
        <v>234567</v>
      </c>
      <c r="E40" s="8">
        <f>SUM(E19:E38)</f>
        <v>131540</v>
      </c>
      <c r="F40" s="8">
        <f>SUM(F19:F38)</f>
        <v>0</v>
      </c>
      <c r="G40" s="20">
        <f>lost_wages*D40</f>
        <v>196727639.21052632</v>
      </c>
      <c r="H40" s="20">
        <f>(case_management+case_gp+case_lab)*D40</f>
        <v>418817496.94652408</v>
      </c>
      <c r="I40" s="20">
        <f>prop_hospitalised*D40</f>
        <v>39876.39</v>
      </c>
      <c r="J40" s="20">
        <f>hospital_costs*I40</f>
        <v>74847984.030000001</v>
      </c>
      <c r="K40" s="20">
        <f>D40*contacts_number*contacts_quarantine*contacts_wage_per_day</f>
        <v>615637845.091851</v>
      </c>
      <c r="L40" s="20">
        <f t="shared" si="15"/>
        <v>1306030965.2789013</v>
      </c>
      <c r="M40" s="27">
        <f>L40/disc_years*(1-1/(1+disc_rate)^disc_years)/(1-1/(1+disc_rate))</f>
        <v>1147493031.6287336</v>
      </c>
      <c r="N40" s="14">
        <f>vacc_cost*E40</f>
        <v>1080469560</v>
      </c>
      <c r="O40" s="23">
        <f>SUM(O19:O38)</f>
        <v>1421</v>
      </c>
      <c r="P40" s="21">
        <f>lost_wages*O40</f>
        <v>1191770.2631578948</v>
      </c>
      <c r="Q40" s="21">
        <f>(case_management+case_gp+case_lab)*O40</f>
        <v>2537184.1016042782</v>
      </c>
      <c r="R40" s="21">
        <f>prop_hospitalised*O40</f>
        <v>241.57000000000002</v>
      </c>
      <c r="S40" s="21">
        <f>hospital_costs*R40</f>
        <v>453426.89</v>
      </c>
      <c r="T40" s="21">
        <f>O40*contacts_number*contacts_quarantine*contacts_wage_per_day</f>
        <v>3729515.9927676115</v>
      </c>
      <c r="U40" s="21">
        <f t="shared" si="16"/>
        <v>7911897.2475297842</v>
      </c>
      <c r="V40" s="21">
        <f>U40*(1-1/(1+disc_rate)^disc_years)/(1-1/(1+disc_rate))</f>
        <v>69514790.995512187</v>
      </c>
      <c r="W40" s="11">
        <f>M40/(N40+V40)</f>
        <v>0.99783360585331271</v>
      </c>
    </row>
    <row r="41" spans="1:23" x14ac:dyDescent="0.25">
      <c r="J41" s="2"/>
      <c r="K41" s="2"/>
      <c r="N41" s="3"/>
      <c r="O41"/>
      <c r="R41" s="2"/>
      <c r="V41" s="3"/>
    </row>
    <row r="42" spans="1:23" x14ac:dyDescent="0.25">
      <c r="J42" s="2"/>
      <c r="K42" s="2"/>
      <c r="N42" s="3"/>
      <c r="O42"/>
      <c r="R42" s="2"/>
      <c r="V42" s="3"/>
    </row>
    <row r="43" spans="1:23" x14ac:dyDescent="0.25">
      <c r="J43" s="2"/>
      <c r="K43" s="2"/>
      <c r="N43" s="3"/>
      <c r="O43"/>
      <c r="R43" s="2"/>
      <c r="V43" s="3"/>
    </row>
    <row r="44" spans="1:23" x14ac:dyDescent="0.25">
      <c r="J44" s="2"/>
      <c r="K44" s="2"/>
      <c r="N44" s="3"/>
      <c r="O44"/>
      <c r="R44" s="2"/>
      <c r="V44" s="3"/>
    </row>
    <row r="45" spans="1:23" x14ac:dyDescent="0.25">
      <c r="J45" s="2"/>
      <c r="K45" s="2"/>
      <c r="N45" s="3"/>
      <c r="O45"/>
      <c r="R45" s="2"/>
      <c r="V45" s="3"/>
    </row>
    <row r="46" spans="1:23" x14ac:dyDescent="0.25">
      <c r="J46" s="2"/>
      <c r="K46" s="2"/>
      <c r="N46" s="3"/>
      <c r="O46"/>
      <c r="R46" s="2"/>
      <c r="V46" s="3"/>
    </row>
    <row r="47" spans="1:23" x14ac:dyDescent="0.25">
      <c r="J47" s="2"/>
      <c r="K47" s="2"/>
      <c r="N47" s="3"/>
      <c r="O47"/>
      <c r="R47" s="2"/>
      <c r="V47" s="3"/>
    </row>
    <row r="48" spans="1:23" x14ac:dyDescent="0.25">
      <c r="J48" s="2"/>
      <c r="K48" s="2"/>
      <c r="N48" s="3"/>
      <c r="O48"/>
      <c r="R48" s="2"/>
      <c r="V48" s="3"/>
    </row>
    <row r="49" spans="10:22" x14ac:dyDescent="0.25">
      <c r="J49" s="2"/>
      <c r="K49" s="2"/>
      <c r="N49" s="3"/>
      <c r="O49"/>
      <c r="R49" s="2"/>
      <c r="V49" s="3"/>
    </row>
    <row r="50" spans="10:22" x14ac:dyDescent="0.25">
      <c r="J50" s="2"/>
      <c r="K50" s="2"/>
      <c r="N50" s="3"/>
      <c r="O50"/>
      <c r="R50" s="2"/>
      <c r="V50" s="3"/>
    </row>
    <row r="51" spans="10:22" x14ac:dyDescent="0.25">
      <c r="J51" s="2"/>
      <c r="K51" s="2"/>
      <c r="N51" s="3"/>
      <c r="O51"/>
      <c r="R51" s="2"/>
      <c r="V51" s="3"/>
    </row>
    <row r="52" spans="10:22" x14ac:dyDescent="0.25">
      <c r="J52" s="2"/>
      <c r="K52" s="2"/>
      <c r="N52" s="3"/>
      <c r="O52"/>
      <c r="R52" s="2"/>
      <c r="V52" s="3"/>
    </row>
    <row r="53" spans="10:22" x14ac:dyDescent="0.25">
      <c r="J53" s="2"/>
      <c r="K53" s="2"/>
      <c r="N53" s="3"/>
      <c r="O53"/>
      <c r="R53" s="2"/>
      <c r="V53" s="3"/>
    </row>
    <row r="54" spans="10:22" x14ac:dyDescent="0.25">
      <c r="J54" s="2"/>
      <c r="K54" s="2"/>
      <c r="N54" s="3"/>
      <c r="O54"/>
      <c r="R54" s="2"/>
      <c r="V54" s="3"/>
    </row>
    <row r="55" spans="10:22" x14ac:dyDescent="0.25">
      <c r="J55" s="2"/>
      <c r="K55" s="2"/>
      <c r="N55" s="3"/>
      <c r="O55"/>
      <c r="R55" s="2"/>
      <c r="V55" s="3"/>
    </row>
    <row r="56" spans="10:22" x14ac:dyDescent="0.25">
      <c r="J56" s="2"/>
      <c r="K56" s="2"/>
      <c r="N56" s="3"/>
      <c r="O56"/>
      <c r="R56" s="2"/>
      <c r="V56" s="3"/>
    </row>
    <row r="57" spans="10:22" x14ac:dyDescent="0.25">
      <c r="J57" s="2"/>
      <c r="K57" s="2"/>
      <c r="N57" s="3"/>
      <c r="O57"/>
      <c r="R57" s="2"/>
      <c r="V57" s="3"/>
    </row>
    <row r="58" spans="10:22" x14ac:dyDescent="0.25">
      <c r="J58" s="2"/>
      <c r="K58" s="2"/>
      <c r="N58" s="3"/>
      <c r="O58"/>
      <c r="R58" s="2"/>
      <c r="V58" s="3"/>
    </row>
    <row r="59" spans="10:22" x14ac:dyDescent="0.25">
      <c r="J59" s="2"/>
      <c r="K59" s="2"/>
      <c r="N59" s="3"/>
      <c r="O59"/>
      <c r="R59" s="2"/>
      <c r="V59" s="3"/>
    </row>
    <row r="60" spans="10:22" x14ac:dyDescent="0.25">
      <c r="J60" s="2"/>
      <c r="K60" s="2"/>
      <c r="N60" s="3"/>
      <c r="O60"/>
      <c r="R60" s="2"/>
      <c r="V6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measles_costs</vt:lpstr>
      <vt:lpstr>case_gp</vt:lpstr>
      <vt:lpstr>case_lab</vt:lpstr>
      <vt:lpstr>case_management</vt:lpstr>
      <vt:lpstr>contacts_number</vt:lpstr>
      <vt:lpstr>contacts_quarantine</vt:lpstr>
      <vt:lpstr>contacts_wage_per_day</vt:lpstr>
      <vt:lpstr>disc_rate</vt:lpstr>
      <vt:lpstr>disc_years</vt:lpstr>
      <vt:lpstr>extra_vacc</vt:lpstr>
      <vt:lpstr>gp_costs</vt:lpstr>
      <vt:lpstr>hospital_costs</vt:lpstr>
      <vt:lpstr>lost_wages</vt:lpstr>
      <vt:lpstr>prop_hospitalised</vt:lpstr>
      <vt:lpstr>vacc_cost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2015-03-23T00:53:07Z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ospitalised" linkTarget="prop_hospitalised">
    <vt:r8>0.17</vt:r8>
  </property>
</Properties>
</file>