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measles_costs" sheetId="1" r:id="rId1"/>
  </sheets>
  <definedNames>
    <definedName name="_AtRisk_SimSetting_AutomaticallyGenerateReports">0</definedName>
    <definedName name="_AtRisk_SimSetting_AutomaticResultsDisplayMode">0</definedName>
    <definedName name="_AtRisk_SimSetting_ConvergenceConfidenceLevel">0.95</definedName>
    <definedName name="_AtRisk_SimSetting_ConvergencePercentileToTest">0.9</definedName>
    <definedName name="_AtRisk_SimSetting_ConvergencePerformMeanTest">1</definedName>
    <definedName name="_AtRisk_SimSetting_ConvergencePerformPercentileTest">0</definedName>
    <definedName name="_AtRisk_SimSetting_ConvergencePerformStdDeviationTest">0</definedName>
    <definedName name="_AtRisk_SimSetting_ConvergenceTestAllOutputs">1</definedName>
    <definedName name="_AtRisk_SimSetting_ConvergenceTestingPeriod">100</definedName>
    <definedName name="_AtRisk_SimSetting_ConvergenceTolerance">0.03</definedName>
    <definedName name="_AtRisk_SimSetting_LiveUpdate">1</definedName>
    <definedName name="_AtRisk_SimSetting_LiveUpdatePeriod">-1</definedName>
    <definedName name="_AtRisk_SimSetting_MacroRecalculationBehavior">0</definedName>
    <definedName name="_AtRisk_SimSetting_RandomNumberGenerator">0</definedName>
    <definedName name="_AtRisk_SimSetting_ReportsList">0</definedName>
    <definedName name="_AtRisk_SimSetting_ShowSimulationProgressWindow">1</definedName>
    <definedName name="_AtRisk_SimSetting_SimNameCount">0</definedName>
    <definedName name="_AtRisk_SimSetting_SmartSensitivityAnalysisEnabled">1</definedName>
    <definedName name="_AtRisk_SimSetting_StatisticFunctionUpdating">1</definedName>
    <definedName name="_AtRisk_SimSetting_StdRecalcActiveSimulationNumber">1</definedName>
    <definedName name="_AtRisk_SimSetting_StdRecalcBehavior">0</definedName>
    <definedName name="_AtRisk_SimSetting_StdRecalcWithoutRiskStatic">0</definedName>
    <definedName name="_AtRisk_SimSetting_StdRecalcWithoutRiskStaticPercentile">0.5</definedName>
    <definedName name="case_gp">measles_costs!$B$4</definedName>
    <definedName name="case_lab">measles_costs!$B$5</definedName>
    <definedName name="case_management">measles_costs!$B$3</definedName>
    <definedName name="contacts_number">measles_costs!$B$6</definedName>
    <definedName name="contacts_quarantine">measles_costs!$B$7</definedName>
    <definedName name="contacts_wage_per_day">measles_costs!$B$8</definedName>
    <definedName name="disc_rate">measles_costs!$B$12</definedName>
    <definedName name="disc_years">measles_costs!$B$13</definedName>
    <definedName name="discount_rate">#REF!</definedName>
    <definedName name="extra_vacc">measles_costs!$B$15</definedName>
    <definedName name="f">#REF!</definedName>
    <definedName name="gp_costs">measles_costs!$B$4</definedName>
    <definedName name="hospital_costs">measles_costs!$B$10</definedName>
    <definedName name="lost_wages">measles_costs!$B$2</definedName>
    <definedName name="prop_hospitalised">measles_costs!$B$9</definedName>
    <definedName name="r0">#REF!</definedName>
    <definedName name="RiskAfterRecalcMacro">""</definedName>
    <definedName name="RiskAfterSimMacro">""</definedName>
    <definedName name="RiskBeforeRecalcMacro">""</definedName>
    <definedName name="RiskBeforeSimMacro">""</definedName>
    <definedName name="RiskCollectDistributionSamples">2</definedName>
    <definedName name="RiskFixedSeed">55</definedName>
    <definedName name="RiskHasSettings">6</definedName>
    <definedName name="RiskMinimizeOnStart">0</definedName>
    <definedName name="RiskMonitorConvergence">0</definedName>
    <definedName name="RiskMultipleCPUSupportEnabled">1</definedName>
    <definedName name="RiskNumIterations">1000</definedName>
    <definedName name="RiskNumSimulations">1</definedName>
    <definedName name="RiskPauseOnError">0</definedName>
    <definedName name="RiskRunAfterRecalcMacro">0</definedName>
    <definedName name="RiskRunAfterSimMacro">0</definedName>
    <definedName name="RiskRunBeforeRecalcMacro">0</definedName>
    <definedName name="RiskRunBeforeSimMacro">0</definedName>
    <definedName name="RiskSamplingType">3</definedName>
    <definedName name="RiskStandardRecalc">1</definedName>
    <definedName name="RiskUpdateDisplay">0</definedName>
    <definedName name="RiskUseDifferentSeedForEachSim">0</definedName>
    <definedName name="RiskUseFixedSeed">1</definedName>
    <definedName name="RiskUseMultipleCPUs">1</definedName>
    <definedName name="vacc_cost">measles_costs!$B$14</definedName>
  </definedNames>
  <calcPr calcId="145621" iterateDelta="1E-4"/>
</workbook>
</file>

<file path=xl/calcChain.xml><?xml version="1.0" encoding="utf-8"?>
<calcChain xmlns="http://schemas.openxmlformats.org/spreadsheetml/2006/main">
  <c r="N19" i="1" l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O40" i="1"/>
  <c r="E40" i="1"/>
  <c r="N40" i="1" s="1"/>
  <c r="D40" i="1"/>
  <c r="C40" i="1"/>
  <c r="B40" i="1"/>
  <c r="R38" i="1"/>
  <c r="S38" i="1" s="1"/>
  <c r="I38" i="1"/>
  <c r="J38" i="1" s="1"/>
  <c r="F38" i="1"/>
  <c r="R37" i="1"/>
  <c r="S37" i="1" s="1"/>
  <c r="I37" i="1"/>
  <c r="J37" i="1" s="1"/>
  <c r="F37" i="1"/>
  <c r="R36" i="1"/>
  <c r="S36" i="1" s="1"/>
  <c r="I36" i="1"/>
  <c r="J36" i="1" s="1"/>
  <c r="F36" i="1"/>
  <c r="R35" i="1"/>
  <c r="S35" i="1" s="1"/>
  <c r="I35" i="1"/>
  <c r="J35" i="1" s="1"/>
  <c r="F35" i="1"/>
  <c r="R34" i="1"/>
  <c r="S34" i="1" s="1"/>
  <c r="I34" i="1"/>
  <c r="J34" i="1" s="1"/>
  <c r="F34" i="1"/>
  <c r="R33" i="1"/>
  <c r="S33" i="1" s="1"/>
  <c r="I33" i="1"/>
  <c r="J33" i="1" s="1"/>
  <c r="F33" i="1"/>
  <c r="R32" i="1"/>
  <c r="S32" i="1" s="1"/>
  <c r="I32" i="1"/>
  <c r="J32" i="1" s="1"/>
  <c r="F32" i="1"/>
  <c r="R31" i="1"/>
  <c r="S31" i="1" s="1"/>
  <c r="I31" i="1"/>
  <c r="J31" i="1" s="1"/>
  <c r="F31" i="1"/>
  <c r="R30" i="1"/>
  <c r="S30" i="1" s="1"/>
  <c r="I30" i="1"/>
  <c r="J30" i="1" s="1"/>
  <c r="F30" i="1"/>
  <c r="R29" i="1"/>
  <c r="S29" i="1" s="1"/>
  <c r="I29" i="1"/>
  <c r="J29" i="1" s="1"/>
  <c r="F29" i="1"/>
  <c r="R28" i="1"/>
  <c r="S28" i="1" s="1"/>
  <c r="I28" i="1"/>
  <c r="J28" i="1" s="1"/>
  <c r="F28" i="1"/>
  <c r="R27" i="1"/>
  <c r="S27" i="1" s="1"/>
  <c r="I27" i="1"/>
  <c r="J27" i="1" s="1"/>
  <c r="F27" i="1"/>
  <c r="R26" i="1"/>
  <c r="S26" i="1" s="1"/>
  <c r="I26" i="1"/>
  <c r="J26" i="1" s="1"/>
  <c r="F26" i="1"/>
  <c r="R25" i="1"/>
  <c r="S25" i="1" s="1"/>
  <c r="I25" i="1"/>
  <c r="J25" i="1" s="1"/>
  <c r="F25" i="1"/>
  <c r="R24" i="1"/>
  <c r="S24" i="1" s="1"/>
  <c r="I24" i="1"/>
  <c r="J24" i="1" s="1"/>
  <c r="F24" i="1"/>
  <c r="R23" i="1"/>
  <c r="S23" i="1" s="1"/>
  <c r="I23" i="1"/>
  <c r="J23" i="1" s="1"/>
  <c r="F23" i="1"/>
  <c r="R22" i="1"/>
  <c r="S22" i="1" s="1"/>
  <c r="I22" i="1"/>
  <c r="J22" i="1" s="1"/>
  <c r="F22" i="1"/>
  <c r="R21" i="1"/>
  <c r="S21" i="1" s="1"/>
  <c r="I21" i="1"/>
  <c r="J21" i="1" s="1"/>
  <c r="F21" i="1"/>
  <c r="R20" i="1"/>
  <c r="S20" i="1" s="1"/>
  <c r="I20" i="1"/>
  <c r="J20" i="1" s="1"/>
  <c r="F20" i="1"/>
  <c r="R19" i="1"/>
  <c r="S19" i="1" s="1"/>
  <c r="I19" i="1"/>
  <c r="J19" i="1" s="1"/>
  <c r="F19" i="1"/>
  <c r="F40" i="1" s="1"/>
  <c r="B8" i="1"/>
  <c r="B3" i="1"/>
  <c r="B2" i="1"/>
  <c r="P40" i="1" l="1"/>
  <c r="G40" i="1"/>
  <c r="P38" i="1"/>
  <c r="G38" i="1"/>
  <c r="P37" i="1"/>
  <c r="G37" i="1"/>
  <c r="P36" i="1"/>
  <c r="G36" i="1"/>
  <c r="P35" i="1"/>
  <c r="G35" i="1"/>
  <c r="P34" i="1"/>
  <c r="G34" i="1"/>
  <c r="P33" i="1"/>
  <c r="G33" i="1"/>
  <c r="P32" i="1"/>
  <c r="G32" i="1"/>
  <c r="P31" i="1"/>
  <c r="G31" i="1"/>
  <c r="P30" i="1"/>
  <c r="G30" i="1"/>
  <c r="P29" i="1"/>
  <c r="G29" i="1"/>
  <c r="P28" i="1"/>
  <c r="G28" i="1"/>
  <c r="P27" i="1"/>
  <c r="G27" i="1"/>
  <c r="P26" i="1"/>
  <c r="G26" i="1"/>
  <c r="P25" i="1"/>
  <c r="G25" i="1"/>
  <c r="P24" i="1"/>
  <c r="G24" i="1"/>
  <c r="P23" i="1"/>
  <c r="G23" i="1"/>
  <c r="P22" i="1"/>
  <c r="Q40" i="1"/>
  <c r="H40" i="1"/>
  <c r="Q38" i="1"/>
  <c r="H38" i="1"/>
  <c r="Q37" i="1"/>
  <c r="H37" i="1"/>
  <c r="Q36" i="1"/>
  <c r="H36" i="1"/>
  <c r="Q35" i="1"/>
  <c r="H35" i="1"/>
  <c r="Q34" i="1"/>
  <c r="H34" i="1"/>
  <c r="Q33" i="1"/>
  <c r="H33" i="1"/>
  <c r="Q32" i="1"/>
  <c r="H32" i="1"/>
  <c r="Q31" i="1"/>
  <c r="H31" i="1"/>
  <c r="Q30" i="1"/>
  <c r="H30" i="1"/>
  <c r="Q29" i="1"/>
  <c r="H29" i="1"/>
  <c r="Q28" i="1"/>
  <c r="H28" i="1"/>
  <c r="Q27" i="1"/>
  <c r="H27" i="1"/>
  <c r="Q26" i="1"/>
  <c r="H26" i="1"/>
  <c r="Q25" i="1"/>
  <c r="H25" i="1"/>
  <c r="Q24" i="1"/>
  <c r="H24" i="1"/>
  <c r="Q23" i="1"/>
  <c r="H23" i="1"/>
  <c r="Q22" i="1"/>
  <c r="T38" i="1"/>
  <c r="K38" i="1"/>
  <c r="T37" i="1"/>
  <c r="K37" i="1"/>
  <c r="T36" i="1"/>
  <c r="K36" i="1"/>
  <c r="T35" i="1"/>
  <c r="K35" i="1"/>
  <c r="T34" i="1"/>
  <c r="K34" i="1"/>
  <c r="T33" i="1"/>
  <c r="K33" i="1"/>
  <c r="T32" i="1"/>
  <c r="K32" i="1"/>
  <c r="T31" i="1"/>
  <c r="K31" i="1"/>
  <c r="T30" i="1"/>
  <c r="K30" i="1"/>
  <c r="T29" i="1"/>
  <c r="K29" i="1"/>
  <c r="T28" i="1"/>
  <c r="K28" i="1"/>
  <c r="T27" i="1"/>
  <c r="K27" i="1"/>
  <c r="T26" i="1"/>
  <c r="K26" i="1"/>
  <c r="T25" i="1"/>
  <c r="K25" i="1"/>
  <c r="T24" i="1"/>
  <c r="K24" i="1"/>
  <c r="T23" i="1"/>
  <c r="K23" i="1"/>
  <c r="T22" i="1"/>
  <c r="K22" i="1"/>
  <c r="G19" i="1"/>
  <c r="H19" i="1"/>
  <c r="K19" i="1"/>
  <c r="P19" i="1"/>
  <c r="Q19" i="1"/>
  <c r="T19" i="1"/>
  <c r="G20" i="1"/>
  <c r="H20" i="1"/>
  <c r="K20" i="1"/>
  <c r="P20" i="1"/>
  <c r="Q20" i="1"/>
  <c r="T20" i="1"/>
  <c r="G21" i="1"/>
  <c r="H21" i="1"/>
  <c r="K21" i="1"/>
  <c r="P21" i="1"/>
  <c r="Q21" i="1"/>
  <c r="T21" i="1"/>
  <c r="G22" i="1"/>
  <c r="H22" i="1"/>
  <c r="K40" i="1"/>
  <c r="T40" i="1"/>
  <c r="I40" i="1"/>
  <c r="J40" i="1" s="1"/>
  <c r="R40" i="1"/>
  <c r="S40" i="1" s="1"/>
  <c r="L22" i="1" l="1"/>
  <c r="M22" i="1" s="1"/>
  <c r="U21" i="1"/>
  <c r="V21" i="1" s="1"/>
  <c r="L21" i="1"/>
  <c r="M21" i="1" s="1"/>
  <c r="W21" i="1" s="1"/>
  <c r="U20" i="1"/>
  <c r="V20" i="1" s="1"/>
  <c r="L20" i="1"/>
  <c r="M20" i="1" s="1"/>
  <c r="W20" i="1" s="1"/>
  <c r="U19" i="1"/>
  <c r="V19" i="1" s="1"/>
  <c r="L19" i="1"/>
  <c r="M19" i="1" s="1"/>
  <c r="W19" i="1" s="1"/>
  <c r="U22" i="1"/>
  <c r="V22" i="1" s="1"/>
  <c r="L23" i="1"/>
  <c r="M23" i="1" s="1"/>
  <c r="U23" i="1"/>
  <c r="V23" i="1" s="1"/>
  <c r="L24" i="1"/>
  <c r="M24" i="1" s="1"/>
  <c r="U24" i="1"/>
  <c r="V24" i="1" s="1"/>
  <c r="L25" i="1"/>
  <c r="M25" i="1" s="1"/>
  <c r="U25" i="1"/>
  <c r="V25" i="1" s="1"/>
  <c r="L26" i="1"/>
  <c r="M26" i="1" s="1"/>
  <c r="U26" i="1"/>
  <c r="V26" i="1" s="1"/>
  <c r="L27" i="1"/>
  <c r="M27" i="1" s="1"/>
  <c r="U27" i="1"/>
  <c r="V27" i="1" s="1"/>
  <c r="L28" i="1"/>
  <c r="M28" i="1" s="1"/>
  <c r="U28" i="1"/>
  <c r="V28" i="1" s="1"/>
  <c r="L29" i="1"/>
  <c r="M29" i="1" s="1"/>
  <c r="U29" i="1"/>
  <c r="V29" i="1" s="1"/>
  <c r="L30" i="1"/>
  <c r="M30" i="1" s="1"/>
  <c r="U30" i="1"/>
  <c r="V30" i="1" s="1"/>
  <c r="L31" i="1"/>
  <c r="M31" i="1" s="1"/>
  <c r="U31" i="1"/>
  <c r="V31" i="1" s="1"/>
  <c r="L32" i="1"/>
  <c r="M32" i="1" s="1"/>
  <c r="U32" i="1"/>
  <c r="V32" i="1" s="1"/>
  <c r="L33" i="1"/>
  <c r="M33" i="1" s="1"/>
  <c r="U33" i="1"/>
  <c r="V33" i="1" s="1"/>
  <c r="L34" i="1"/>
  <c r="M34" i="1" s="1"/>
  <c r="U34" i="1"/>
  <c r="V34" i="1" s="1"/>
  <c r="L35" i="1"/>
  <c r="M35" i="1" s="1"/>
  <c r="U35" i="1"/>
  <c r="V35" i="1" s="1"/>
  <c r="L36" i="1"/>
  <c r="M36" i="1" s="1"/>
  <c r="U36" i="1"/>
  <c r="V36" i="1" s="1"/>
  <c r="L37" i="1"/>
  <c r="M37" i="1" s="1"/>
  <c r="U37" i="1"/>
  <c r="V37" i="1" s="1"/>
  <c r="L38" i="1"/>
  <c r="M38" i="1" s="1"/>
  <c r="U38" i="1"/>
  <c r="V38" i="1" s="1"/>
  <c r="L40" i="1"/>
  <c r="M40" i="1" s="1"/>
  <c r="U40" i="1"/>
  <c r="V40" i="1" s="1"/>
  <c r="W40" i="1" l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</calcChain>
</file>

<file path=xl/sharedStrings.xml><?xml version="1.0" encoding="utf-8"?>
<sst xmlns="http://schemas.openxmlformats.org/spreadsheetml/2006/main" count="73" uniqueCount="67">
  <si>
    <t>Costs per case</t>
  </si>
  <si>
    <t>lost wages</t>
  </si>
  <si>
    <t>Lost wages for a case (5 days)</t>
  </si>
  <si>
    <t>case management costs</t>
  </si>
  <si>
    <t>Management costs per case</t>
  </si>
  <si>
    <t>GP costs</t>
  </si>
  <si>
    <t>GP costs per case</t>
  </si>
  <si>
    <t>Lab costs</t>
  </si>
  <si>
    <t>Lab costs per case</t>
  </si>
  <si>
    <t>Contacts quarantined</t>
  </si>
  <si>
    <t>Average number of contacts quarantined per case</t>
  </si>
  <si>
    <t>Quarantine length</t>
  </si>
  <si>
    <t>Average number of days a contact is quarantined</t>
  </si>
  <si>
    <t>Contact wage</t>
  </si>
  <si>
    <t>Average wage of a contact per day</t>
  </si>
  <si>
    <t>proportion hospitalised</t>
  </si>
  <si>
    <t>Proportion of cases that will be hospitalised</t>
  </si>
  <si>
    <t>hospital costs</t>
  </si>
  <si>
    <t>Costs of a hospitalised case</t>
  </si>
  <si>
    <t>discount rate</t>
  </si>
  <si>
    <t>Discount rate to use to adjust for cost in future vs present</t>
  </si>
  <si>
    <t>discount years</t>
  </si>
  <si>
    <t>Number of years to project for cost/benefit analysis</t>
  </si>
  <si>
    <t>vaccine cost</t>
  </si>
  <si>
    <t>Vaccine cost per person</t>
  </si>
  <si>
    <t>extra vaccination proportion</t>
  </si>
  <si>
    <t>Additional vaccination over and above the 0.28 required.</t>
  </si>
  <si>
    <t>Benefits from outbreaks avoided</t>
  </si>
  <si>
    <t>Post-vaccination outbreak costs</t>
  </si>
  <si>
    <t>DHB</t>
  </si>
  <si>
    <t>Population</t>
  </si>
  <si>
    <t>Naïve</t>
  </si>
  <si>
    <t>Attack</t>
  </si>
  <si>
    <t>Vacc</t>
  </si>
  <si>
    <t>Additional Vacc</t>
  </si>
  <si>
    <t>Case wage loss</t>
  </si>
  <si>
    <t>Management, GP, Lab costs</t>
  </si>
  <si>
    <t>Total hospitalised</t>
  </si>
  <si>
    <t>Hospitalisation costs</t>
  </si>
  <si>
    <t>Wage loss for contacts</t>
  </si>
  <si>
    <t>Total undiscounted costs</t>
  </si>
  <si>
    <t>Total discounted costs</t>
  </si>
  <si>
    <t>Total vaccine costs</t>
  </si>
  <si>
    <t>Outbreak size post vaccination</t>
  </si>
  <si>
    <t>Management , GP, Lab costs</t>
  </si>
  <si>
    <t>Benefit/cost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</si>
  <si>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</si>
  <si>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</si>
  <si>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</si>
  <si>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</si>
  <si>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</si>
  <si>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</si>
  <si>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</si>
  <si>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</si>
  <si>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</si>
  <si>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</si>
  <si>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</si>
  <si>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</si>
  <si>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</si>
  <si>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Tairawhiti</t>
  </si>
  <si>
    <t>Taranaki</t>
  </si>
  <si>
    <t>Waikato</t>
  </si>
  <si>
    <t>Wairarapa</t>
  </si>
  <si>
    <t>Waitemata</t>
  </si>
  <si>
    <t>West Coast</t>
  </si>
  <si>
    <t>Whanganui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</si>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</sst>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6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FF99"/>
      </patternFill>
    </fill>
    <fill>
      <patternFill patternType="solid">
        <fgColor rgb="FFDCE6F2"/>
        <bgColor rgb="FFDBEEF4"/>
      </patternFill>
    </fill>
    <fill>
      <patternFill patternType="solid">
        <fgColor rgb="FFDBEEF4"/>
        <bgColor rgb="FFDCE6F2"/>
      </patternFill>
    </fill>
    <fill>
      <patternFill patternType="solid">
        <fgColor rgb="FFFFFFCC"/>
        <bgColor rgb="FFFFFFFF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6" fillId="5" borderId="2" applyProtection="0"/>
    <xf numFmtId="0" fontId="1" fillId="6" borderId="0" applyNumberFormat="0" applyBorder="0" applyAlignment="0" applyProtection="0"/>
  </cellStyleXfs>
  <cellXfs count="26">
    <xf numFmtId="0" fontId="0" fillId="0" borderId="0" xfId="0"/>
    <xf numFmtId="0" fontId="0" fillId="0" borderId="0" xfId="0"/>
    <xf numFmtId="0" fontId="2" fillId="2" borderId="1" xfId="1" applyFont="1" applyFill="1" applyBorder="1" applyAlignment="1" applyProtection="1"/>
    <xf numFmtId="0" fontId="3" fillId="2" borderId="1" xfId="1" applyFont="1" applyFill="1" applyBorder="1" applyAlignment="1" applyProtection="1"/>
    <xf numFmtId="0" fontId="4" fillId="0" borderId="0" xfId="0" applyFont="1"/>
    <xf numFmtId="0" fontId="5" fillId="3" borderId="0" xfId="1" applyFont="1" applyFill="1" applyBorder="1" applyAlignment="1" applyProtection="1"/>
    <xf numFmtId="0" fontId="6" fillId="3" borderId="0" xfId="1" applyFont="1" applyFill="1" applyBorder="1" applyAlignment="1" applyProtection="1"/>
    <xf numFmtId="0" fontId="5" fillId="4" borderId="0" xfId="1" applyFont="1" applyFill="1" applyBorder="1" applyAlignment="1" applyProtection="1"/>
    <xf numFmtId="0" fontId="4" fillId="4" borderId="0" xfId="1" applyFont="1" applyFill="1" applyBorder="1" applyAlignment="1" applyProtection="1"/>
    <xf numFmtId="0" fontId="4" fillId="0" borderId="0" xfId="0" applyFont="1" applyAlignment="1">
      <alignment wrapText="1"/>
    </xf>
    <xf numFmtId="0" fontId="4" fillId="3" borderId="0" xfId="1" applyFont="1" applyFill="1" applyBorder="1" applyAlignment="1" applyProtection="1">
      <alignment wrapText="1"/>
    </xf>
    <xf numFmtId="0" fontId="4" fillId="5" borderId="2" xfId="1" applyFont="1" applyAlignment="1" applyProtection="1">
      <alignment wrapText="1"/>
    </xf>
    <xf numFmtId="0" fontId="4" fillId="4" borderId="0" xfId="1" applyFont="1" applyFill="1" applyBorder="1" applyAlignment="1" applyProtection="1">
      <alignment wrapText="1"/>
    </xf>
    <xf numFmtId="1" fontId="0" fillId="0" borderId="0" xfId="0" applyNumberFormat="1"/>
    <xf numFmtId="1" fontId="6" fillId="3" borderId="0" xfId="1" applyNumberFormat="1" applyFont="1" applyFill="1" applyBorder="1" applyAlignment="1" applyProtection="1"/>
    <xf numFmtId="1" fontId="0" fillId="5" borderId="2" xfId="1" applyNumberFormat="1" applyFont="1" applyAlignment="1" applyProtection="1"/>
    <xf numFmtId="1" fontId="6" fillId="4" borderId="0" xfId="1" applyNumberFormat="1" applyFont="1" applyFill="1" applyBorder="1" applyAlignment="1" applyProtection="1"/>
    <xf numFmtId="0" fontId="0" fillId="5" borderId="2" xfId="1" applyFont="1" applyAlignment="1" applyProtection="1"/>
    <xf numFmtId="1" fontId="0" fillId="0" borderId="0" xfId="0" applyNumberFormat="1" applyAlignment="1">
      <alignment wrapText="1"/>
    </xf>
    <xf numFmtId="1" fontId="4" fillId="0" borderId="0" xfId="0" applyNumberFormat="1" applyFont="1"/>
    <xf numFmtId="1" fontId="4" fillId="3" borderId="0" xfId="1" applyNumberFormat="1" applyFont="1" applyFill="1" applyBorder="1" applyAlignment="1" applyProtection="1"/>
    <xf numFmtId="1" fontId="4" fillId="5" borderId="2" xfId="1" applyNumberFormat="1" applyFont="1" applyAlignment="1" applyProtection="1"/>
    <xf numFmtId="1" fontId="4" fillId="4" borderId="0" xfId="1" applyNumberFormat="1" applyFont="1" applyFill="1" applyBorder="1" applyAlignment="1" applyProtection="1">
      <alignment wrapText="1"/>
    </xf>
    <xf numFmtId="1" fontId="4" fillId="4" borderId="0" xfId="1" applyNumberFormat="1" applyFont="1" applyFill="1" applyBorder="1" applyAlignment="1" applyProtection="1"/>
    <xf numFmtId="0" fontId="4" fillId="5" borderId="2" xfId="1" applyFont="1" applyAlignment="1" applyProtection="1"/>
    <xf numFmtId="0" fontId="1" fillId="6" borderId="0" xfId="2"/>
  </cellXfs>
  <cellStyles count="3">
    <cellStyle name="20% - Accent5" xfId="2" builtinId="46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topLeftCell="A10" zoomScaleNormal="100" workbookViewId="0">
      <selection activeCell="P42" sqref="P42"/>
    </sheetView>
  </sheetViews>
  <sheetFormatPr defaultRowHeight="15" x14ac:dyDescent="0.25"/>
  <cols>
    <col min="1" max="1" width="29"/>
    <col min="2" max="2" width="12"/>
    <col min="3" max="3" width="7.140625"/>
    <col min="4" max="6" width="7"/>
    <col min="7" max="7" width="17.5703125"/>
    <col min="8" max="8" width="10"/>
    <col min="9" max="9" width="13.85546875"/>
    <col min="10" max="11" width="11.85546875"/>
    <col min="12" max="12" width="14.28515625"/>
    <col min="13" max="13" width="16.140625"/>
    <col min="14" max="14" width="10.85546875" style="1"/>
    <col min="15" max="15" width="13.28515625" style="1"/>
    <col min="16" max="16" width="14.7109375"/>
    <col min="17" max="17" width="12.7109375"/>
    <col min="18" max="18" width="11.85546875"/>
    <col min="19" max="20" width="14.28515625"/>
    <col min="21" max="21" width="13.28515625"/>
    <col min="22" max="22" width="13.28515625" style="1"/>
    <col min="23" max="1025" width="15.28515625"/>
  </cols>
  <sheetData>
    <row r="1" spans="1:22" ht="21" x14ac:dyDescent="0.35">
      <c r="A1" s="2" t="s">
        <v>0</v>
      </c>
      <c r="B1" s="3"/>
      <c r="N1"/>
      <c r="O1"/>
      <c r="V1"/>
    </row>
    <row r="2" spans="1:22" x14ac:dyDescent="0.25">
      <c r="A2" s="3" t="s">
        <v>1</v>
      </c>
      <c r="B2" s="3">
        <f>207155/247</f>
        <v>838.68421052631584</v>
      </c>
      <c r="C2" t="s">
        <v>2</v>
      </c>
      <c r="N2"/>
      <c r="O2"/>
      <c r="V2"/>
    </row>
    <row r="3" spans="1:22" x14ac:dyDescent="0.25">
      <c r="A3" s="3" t="s">
        <v>3</v>
      </c>
      <c r="B3" s="3">
        <f>330147/187</f>
        <v>1765.4919786096257</v>
      </c>
      <c r="C3" t="s">
        <v>4</v>
      </c>
      <c r="N3"/>
      <c r="O3"/>
      <c r="V3"/>
    </row>
    <row r="4" spans="1:22" x14ac:dyDescent="0.25">
      <c r="A4" s="3" t="s">
        <v>5</v>
      </c>
      <c r="B4" s="3">
        <v>20</v>
      </c>
      <c r="C4" t="s">
        <v>6</v>
      </c>
      <c r="N4"/>
      <c r="O4"/>
      <c r="V4"/>
    </row>
    <row r="5" spans="1:22" x14ac:dyDescent="0.25">
      <c r="A5" s="3" t="s">
        <v>7</v>
      </c>
      <c r="B5" s="3">
        <v>0</v>
      </c>
      <c r="C5" t="s">
        <v>8</v>
      </c>
      <c r="N5"/>
      <c r="O5"/>
      <c r="V5"/>
    </row>
    <row r="6" spans="1:22" x14ac:dyDescent="0.25">
      <c r="A6" s="3" t="s">
        <v>9</v>
      </c>
      <c r="B6" s="3">
        <v>2.11</v>
      </c>
      <c r="C6" t="s">
        <v>10</v>
      </c>
      <c r="N6"/>
      <c r="O6"/>
      <c r="V6"/>
    </row>
    <row r="7" spans="1:22" x14ac:dyDescent="0.25">
      <c r="A7" s="3" t="s">
        <v>11</v>
      </c>
      <c r="B7" s="3">
        <v>7.3</v>
      </c>
      <c r="C7" t="s">
        <v>12</v>
      </c>
      <c r="N7"/>
      <c r="O7"/>
      <c r="V7"/>
    </row>
    <row r="8" spans="1:22" x14ac:dyDescent="0.25">
      <c r="A8" s="3" t="s">
        <v>13</v>
      </c>
      <c r="B8" s="3">
        <f>210436/247/5</f>
        <v>170.39352226720649</v>
      </c>
      <c r="C8" t="s">
        <v>14</v>
      </c>
      <c r="N8"/>
      <c r="O8"/>
      <c r="V8"/>
    </row>
    <row r="9" spans="1:22" x14ac:dyDescent="0.25">
      <c r="A9" s="3" t="s">
        <v>15</v>
      </c>
      <c r="B9" s="3">
        <v>0.17</v>
      </c>
      <c r="C9" t="s">
        <v>16</v>
      </c>
      <c r="N9"/>
      <c r="O9"/>
      <c r="V9"/>
    </row>
    <row r="10" spans="1:22" x14ac:dyDescent="0.25">
      <c r="A10" s="3" t="s">
        <v>17</v>
      </c>
      <c r="B10" s="3">
        <v>1877</v>
      </c>
      <c r="C10" t="s">
        <v>18</v>
      </c>
      <c r="N10"/>
      <c r="O10"/>
      <c r="V10"/>
    </row>
    <row r="12" spans="1:22" x14ac:dyDescent="0.25">
      <c r="A12" s="3" t="s">
        <v>19</v>
      </c>
      <c r="B12" s="3">
        <v>0.03</v>
      </c>
      <c r="C12" t="s">
        <v>20</v>
      </c>
      <c r="N12"/>
      <c r="O12"/>
      <c r="V12"/>
    </row>
    <row r="13" spans="1:22" x14ac:dyDescent="0.25">
      <c r="A13" s="3" t="s">
        <v>21</v>
      </c>
      <c r="B13" s="3">
        <v>10</v>
      </c>
      <c r="C13" t="s">
        <v>22</v>
      </c>
      <c r="N13"/>
      <c r="O13"/>
      <c r="V13"/>
    </row>
    <row r="14" spans="1:22" x14ac:dyDescent="0.25">
      <c r="A14" s="3" t="s">
        <v>23</v>
      </c>
      <c r="B14" s="3">
        <v>50</v>
      </c>
      <c r="C14" t="s">
        <v>24</v>
      </c>
      <c r="N14"/>
      <c r="O14"/>
      <c r="V14"/>
    </row>
    <row r="15" spans="1:22" x14ac:dyDescent="0.25">
      <c r="A15" s="3" t="s">
        <v>25</v>
      </c>
      <c r="B15" s="3">
        <v>0</v>
      </c>
      <c r="C15" t="s">
        <v>26</v>
      </c>
      <c r="N15"/>
      <c r="O15"/>
      <c r="V15"/>
    </row>
    <row r="17" spans="1:25" s="4" customFormat="1" ht="21" x14ac:dyDescent="0.35">
      <c r="G17" s="5" t="s">
        <v>27</v>
      </c>
      <c r="H17" s="5"/>
      <c r="I17" s="5"/>
      <c r="J17" s="5"/>
      <c r="K17" s="5"/>
      <c r="L17" s="5"/>
      <c r="M17" s="6"/>
      <c r="O17" s="7" t="s">
        <v>28</v>
      </c>
      <c r="P17" s="8"/>
      <c r="Q17" s="8"/>
      <c r="R17" s="8"/>
      <c r="S17" s="8"/>
      <c r="T17" s="8"/>
      <c r="U17" s="8"/>
      <c r="V17" s="8"/>
    </row>
    <row r="18" spans="1:25" s="9" customFormat="1" ht="45" x14ac:dyDescent="0.25">
      <c r="A18" s="9" t="s">
        <v>29</v>
      </c>
      <c r="B18" s="9" t="s">
        <v>30</v>
      </c>
      <c r="C18" s="9" t="s">
        <v>31</v>
      </c>
      <c r="D18" s="9" t="s">
        <v>32</v>
      </c>
      <c r="E18" s="9" t="s">
        <v>33</v>
      </c>
      <c r="F18" s="9" t="s">
        <v>34</v>
      </c>
      <c r="G18" s="10" t="s">
        <v>35</v>
      </c>
      <c r="H18" s="10" t="s">
        <v>36</v>
      </c>
      <c r="I18" s="10" t="s">
        <v>37</v>
      </c>
      <c r="J18" s="10" t="s">
        <v>38</v>
      </c>
      <c r="K18" s="10" t="s">
        <v>39</v>
      </c>
      <c r="L18" s="10" t="s">
        <v>40</v>
      </c>
      <c r="M18" s="10" t="s">
        <v>41</v>
      </c>
      <c r="N18" s="11" t="s">
        <v>42</v>
      </c>
      <c r="O18" s="12" t="s">
        <v>43</v>
      </c>
      <c r="P18" s="12" t="s">
        <v>35</v>
      </c>
      <c r="Q18" s="12" t="s">
        <v>44</v>
      </c>
      <c r="R18" s="12" t="s">
        <v>37</v>
      </c>
      <c r="S18" s="12" t="s">
        <v>38</v>
      </c>
      <c r="T18" s="12" t="s">
        <v>39</v>
      </c>
      <c r="U18" s="12" t="s">
        <v>40</v>
      </c>
      <c r="V18" s="12" t="s">
        <v>41</v>
      </c>
      <c r="W18" s="11" t="s">
        <v>45</v>
      </c>
    </row>
    <row r="19" spans="1:25" x14ac:dyDescent="0.25">
      <c r="A19" t="s">
        <v>46</v>
      </c>
      <c r="B19">
        <v>436350</v>
      </c>
      <c r="C19">
        <v>47930</v>
      </c>
      <c r="D19">
        <v>2715</v>
      </c>
      <c r="E19">
        <v>13840</v>
      </c>
      <c r="F19" s="13">
        <f t="shared" ref="F19:F38" si="0">C19*extra_vacc</f>
        <v>0</v>
      </c>
      <c r="G19" s="14">
        <f t="shared" ref="G19:G38" si="1">lost_wages*D19</f>
        <v>2277027.6315789474</v>
      </c>
      <c r="H19" s="14">
        <f t="shared" ref="H19:H38" si="2">(case_management+case_gp+case_lab)*D19</f>
        <v>4847610.7219251338</v>
      </c>
      <c r="I19" s="14">
        <f t="shared" ref="I19:I38" si="3">prop_hospitalised*D19</f>
        <v>461.55</v>
      </c>
      <c r="J19" s="14">
        <f t="shared" ref="J19:J38" si="4">hospital_costs*I19</f>
        <v>866329.35</v>
      </c>
      <c r="K19" s="14">
        <f t="shared" ref="K19:K38" si="5">D19*contacts_number*contacts_quarantine*contacts_wage_per_day</f>
        <v>7125711.4147530366</v>
      </c>
      <c r="L19" s="14">
        <f t="shared" ref="L19:L38" si="6">G19+H19+J19+K19</f>
        <v>15116679.118257117</v>
      </c>
      <c r="M19" s="14">
        <f t="shared" ref="M19:M38" si="7">L19/disc_years*(1-1/(1+disc_rate)^disc_years)/(1-1/(1+disc_rate))</f>
        <v>13281678.927010244</v>
      </c>
      <c r="N19" s="15">
        <f t="shared" ref="N19:N38" si="8">vacc_cost*(E19+F19)</f>
        <v>692000</v>
      </c>
      <c r="O19" s="25">
        <v>2</v>
      </c>
      <c r="P19" s="16">
        <f t="shared" ref="P19:P38" si="9">lost_wages*O19</f>
        <v>1677.3684210526317</v>
      </c>
      <c r="Q19" s="16">
        <f t="shared" ref="Q19:Q38" si="10">(case_management+case_gp+case_lab)*O19</f>
        <v>3570.9839572192514</v>
      </c>
      <c r="R19" s="16">
        <f t="shared" ref="R19:R38" si="11">prop_hospitalised*O19</f>
        <v>0.34</v>
      </c>
      <c r="S19" s="16">
        <f t="shared" ref="S19:S38" si="12">hospital_costs*R19</f>
        <v>638.18000000000006</v>
      </c>
      <c r="T19" s="16">
        <f t="shared" ref="T19:T38" si="13">O19*contacts_number*contacts_quarantine*contacts_wage_per_day</f>
        <v>5249.142846963563</v>
      </c>
      <c r="U19" s="16">
        <f t="shared" ref="U19:U38" si="14">P19+Q19+S19+T19</f>
        <v>11135.675225235445</v>
      </c>
      <c r="V19" s="16">
        <f t="shared" ref="V19:V38" si="15">U19*(1-1/(1+disc_rate)^disc_years)/(1-1/(1+disc_rate))</f>
        <v>97839.255447589268</v>
      </c>
      <c r="W19" s="17">
        <f t="shared" ref="W19:W38" si="16">M19/(N19+V19)</f>
        <v>16.815673360630484</v>
      </c>
    </row>
    <row r="20" spans="1:25" x14ac:dyDescent="0.25">
      <c r="A20" t="s">
        <v>47</v>
      </c>
      <c r="B20">
        <v>206000</v>
      </c>
      <c r="C20">
        <v>19642</v>
      </c>
      <c r="D20">
        <v>633</v>
      </c>
      <c r="E20">
        <v>3548</v>
      </c>
      <c r="F20" s="13">
        <f t="shared" si="0"/>
        <v>0</v>
      </c>
      <c r="G20" s="14">
        <f t="shared" si="1"/>
        <v>530887.10526315798</v>
      </c>
      <c r="H20" s="14">
        <f t="shared" si="2"/>
        <v>1130216.4224598932</v>
      </c>
      <c r="I20" s="14">
        <f t="shared" si="3"/>
        <v>107.61000000000001</v>
      </c>
      <c r="J20" s="14">
        <f t="shared" si="4"/>
        <v>201983.97000000003</v>
      </c>
      <c r="K20" s="14">
        <f t="shared" si="5"/>
        <v>1661353.7110639676</v>
      </c>
      <c r="L20" s="14">
        <f t="shared" si="6"/>
        <v>3524441.2087870184</v>
      </c>
      <c r="M20" s="14">
        <f t="shared" si="7"/>
        <v>3096612.4349162006</v>
      </c>
      <c r="N20" s="15">
        <f t="shared" si="8"/>
        <v>177400</v>
      </c>
      <c r="O20" s="25">
        <v>2</v>
      </c>
      <c r="P20" s="16">
        <f t="shared" si="9"/>
        <v>1677.3684210526317</v>
      </c>
      <c r="Q20" s="16">
        <f t="shared" si="10"/>
        <v>3570.9839572192514</v>
      </c>
      <c r="R20" s="16">
        <f t="shared" si="11"/>
        <v>0.34</v>
      </c>
      <c r="S20" s="16">
        <f t="shared" si="12"/>
        <v>638.18000000000006</v>
      </c>
      <c r="T20" s="16">
        <f t="shared" si="13"/>
        <v>5249.142846963563</v>
      </c>
      <c r="U20" s="16">
        <f t="shared" si="14"/>
        <v>11135.675225235445</v>
      </c>
      <c r="V20" s="16">
        <f t="shared" si="15"/>
        <v>97839.255447589268</v>
      </c>
      <c r="W20" s="17">
        <f t="shared" si="16"/>
        <v>11.250620591457944</v>
      </c>
    </row>
    <row r="21" spans="1:25" x14ac:dyDescent="0.25">
      <c r="A21" t="s">
        <v>48</v>
      </c>
      <c r="B21">
        <v>482180</v>
      </c>
      <c r="C21">
        <v>48190</v>
      </c>
      <c r="D21">
        <v>1937</v>
      </c>
      <c r="E21">
        <v>10520</v>
      </c>
      <c r="F21" s="13">
        <f t="shared" si="0"/>
        <v>0</v>
      </c>
      <c r="G21" s="14">
        <f t="shared" si="1"/>
        <v>1624531.3157894737</v>
      </c>
      <c r="H21" s="14">
        <f t="shared" si="2"/>
        <v>3458497.9625668451</v>
      </c>
      <c r="I21" s="14">
        <f t="shared" si="3"/>
        <v>329.29</v>
      </c>
      <c r="J21" s="14">
        <f t="shared" si="4"/>
        <v>618077.33000000007</v>
      </c>
      <c r="K21" s="14">
        <f t="shared" si="5"/>
        <v>5083794.8472842108</v>
      </c>
      <c r="L21" s="14">
        <f t="shared" si="6"/>
        <v>10784901.45564053</v>
      </c>
      <c r="M21" s="14">
        <f t="shared" si="7"/>
        <v>9475731.8900990225</v>
      </c>
      <c r="N21" s="15">
        <f t="shared" si="8"/>
        <v>526000</v>
      </c>
      <c r="O21" s="25">
        <v>2</v>
      </c>
      <c r="P21" s="16">
        <f t="shared" si="9"/>
        <v>1677.3684210526317</v>
      </c>
      <c r="Q21" s="16">
        <f t="shared" si="10"/>
        <v>3570.9839572192514</v>
      </c>
      <c r="R21" s="16">
        <f t="shared" si="11"/>
        <v>0.34</v>
      </c>
      <c r="S21" s="16">
        <f t="shared" si="12"/>
        <v>638.18000000000006</v>
      </c>
      <c r="T21" s="16">
        <f t="shared" si="13"/>
        <v>5249.142846963563</v>
      </c>
      <c r="U21" s="16">
        <f t="shared" si="14"/>
        <v>11135.675225235445</v>
      </c>
      <c r="V21" s="16">
        <f t="shared" si="15"/>
        <v>97839.255447589268</v>
      </c>
      <c r="W21" s="17">
        <f t="shared" si="16"/>
        <v>15.189380609433464</v>
      </c>
      <c r="Y21" s="18"/>
    </row>
    <row r="22" spans="1:25" x14ac:dyDescent="0.25">
      <c r="A22" t="s">
        <v>49</v>
      </c>
      <c r="B22">
        <v>283700</v>
      </c>
      <c r="C22">
        <v>30414</v>
      </c>
      <c r="D22">
        <v>1592</v>
      </c>
      <c r="E22">
        <v>8250</v>
      </c>
      <c r="F22" s="13">
        <f t="shared" si="0"/>
        <v>0</v>
      </c>
      <c r="G22" s="14">
        <f t="shared" si="1"/>
        <v>1335185.2631578948</v>
      </c>
      <c r="H22" s="14">
        <f t="shared" si="2"/>
        <v>2842503.2299465239</v>
      </c>
      <c r="I22" s="14">
        <f t="shared" si="3"/>
        <v>270.64000000000004</v>
      </c>
      <c r="J22" s="14">
        <f t="shared" si="4"/>
        <v>507991.28000000009</v>
      </c>
      <c r="K22" s="14">
        <f t="shared" si="5"/>
        <v>4178317.7061829958</v>
      </c>
      <c r="L22" s="14">
        <f t="shared" si="6"/>
        <v>8863997.4792874157</v>
      </c>
      <c r="M22" s="14">
        <f t="shared" si="7"/>
        <v>7788004.7336281082</v>
      </c>
      <c r="N22" s="15">
        <f t="shared" si="8"/>
        <v>412500</v>
      </c>
      <c r="O22" s="25">
        <v>3</v>
      </c>
      <c r="P22" s="16">
        <f t="shared" si="9"/>
        <v>2516.0526315789475</v>
      </c>
      <c r="Q22" s="16">
        <f t="shared" si="10"/>
        <v>5356.4759358288775</v>
      </c>
      <c r="R22" s="16">
        <f t="shared" si="11"/>
        <v>0.51</v>
      </c>
      <c r="S22" s="16">
        <f t="shared" si="12"/>
        <v>957.27</v>
      </c>
      <c r="T22" s="16">
        <f t="shared" si="13"/>
        <v>7873.7142704453445</v>
      </c>
      <c r="U22" s="16">
        <f t="shared" si="14"/>
        <v>16703.51283785317</v>
      </c>
      <c r="V22" s="16">
        <f t="shared" si="15"/>
        <v>146758.88317138393</v>
      </c>
      <c r="W22" s="17">
        <f t="shared" si="16"/>
        <v>13.925580742615557</v>
      </c>
    </row>
    <row r="23" spans="1:25" x14ac:dyDescent="0.25">
      <c r="A23" t="s">
        <v>50</v>
      </c>
      <c r="B23">
        <v>469300</v>
      </c>
      <c r="C23">
        <v>52672</v>
      </c>
      <c r="D23">
        <v>3186</v>
      </c>
      <c r="E23">
        <v>16008</v>
      </c>
      <c r="F23" s="13">
        <f t="shared" si="0"/>
        <v>0</v>
      </c>
      <c r="G23" s="14">
        <f t="shared" si="1"/>
        <v>2672047.8947368423</v>
      </c>
      <c r="H23" s="14">
        <f t="shared" si="2"/>
        <v>5688577.4438502677</v>
      </c>
      <c r="I23" s="14">
        <f t="shared" si="3"/>
        <v>541.62</v>
      </c>
      <c r="J23" s="14">
        <f t="shared" si="4"/>
        <v>1016620.74</v>
      </c>
      <c r="K23" s="14">
        <f t="shared" si="5"/>
        <v>8361884.5552129559</v>
      </c>
      <c r="L23" s="14">
        <f t="shared" si="6"/>
        <v>17739130.633800067</v>
      </c>
      <c r="M23" s="14">
        <f t="shared" si="7"/>
        <v>15585793.392800974</v>
      </c>
      <c r="N23" s="15">
        <f t="shared" si="8"/>
        <v>800400</v>
      </c>
      <c r="O23" s="25">
        <v>3</v>
      </c>
      <c r="P23" s="16">
        <f t="shared" si="9"/>
        <v>2516.0526315789475</v>
      </c>
      <c r="Q23" s="16">
        <f t="shared" si="10"/>
        <v>5356.4759358288775</v>
      </c>
      <c r="R23" s="16">
        <f t="shared" si="11"/>
        <v>0.51</v>
      </c>
      <c r="S23" s="16">
        <f t="shared" si="12"/>
        <v>957.27</v>
      </c>
      <c r="T23" s="16">
        <f t="shared" si="13"/>
        <v>7873.7142704453445</v>
      </c>
      <c r="U23" s="16">
        <f t="shared" si="14"/>
        <v>16703.51283785317</v>
      </c>
      <c r="V23" s="16">
        <f t="shared" si="15"/>
        <v>146758.88317138393</v>
      </c>
      <c r="W23" s="17">
        <f t="shared" si="16"/>
        <v>16.455310370541916</v>
      </c>
    </row>
    <row r="24" spans="1:25" x14ac:dyDescent="0.25">
      <c r="A24" t="s">
        <v>51</v>
      </c>
      <c r="B24">
        <v>151700</v>
      </c>
      <c r="C24">
        <v>14842</v>
      </c>
      <c r="D24">
        <v>543</v>
      </c>
      <c r="E24">
        <v>2991</v>
      </c>
      <c r="F24" s="13">
        <f t="shared" si="0"/>
        <v>0</v>
      </c>
      <c r="G24" s="14">
        <f t="shared" si="1"/>
        <v>455405.5263157895</v>
      </c>
      <c r="H24" s="14">
        <f t="shared" si="2"/>
        <v>969522.14438502677</v>
      </c>
      <c r="I24" s="14">
        <f t="shared" si="3"/>
        <v>92.31</v>
      </c>
      <c r="J24" s="14">
        <f t="shared" si="4"/>
        <v>173265.87</v>
      </c>
      <c r="K24" s="14">
        <f t="shared" si="5"/>
        <v>1425142.2829506074</v>
      </c>
      <c r="L24" s="14">
        <f t="shared" si="6"/>
        <v>3023335.8236514237</v>
      </c>
      <c r="M24" s="14">
        <f t="shared" si="7"/>
        <v>2656335.7854020488</v>
      </c>
      <c r="N24" s="15">
        <f t="shared" si="8"/>
        <v>149550</v>
      </c>
      <c r="O24" s="25">
        <v>2</v>
      </c>
      <c r="P24" s="16">
        <f t="shared" si="9"/>
        <v>1677.3684210526317</v>
      </c>
      <c r="Q24" s="16">
        <f t="shared" si="10"/>
        <v>3570.9839572192514</v>
      </c>
      <c r="R24" s="16">
        <f t="shared" si="11"/>
        <v>0.34</v>
      </c>
      <c r="S24" s="16">
        <f t="shared" si="12"/>
        <v>638.18000000000006</v>
      </c>
      <c r="T24" s="16">
        <f t="shared" si="13"/>
        <v>5249.142846963563</v>
      </c>
      <c r="U24" s="16">
        <f t="shared" si="14"/>
        <v>11135.675225235445</v>
      </c>
      <c r="V24" s="16">
        <f t="shared" si="15"/>
        <v>97839.255447589268</v>
      </c>
      <c r="W24" s="17">
        <f t="shared" si="16"/>
        <v>10.73747435229582</v>
      </c>
    </row>
    <row r="25" spans="1:25" x14ac:dyDescent="0.25">
      <c r="A25" t="s">
        <v>52</v>
      </c>
      <c r="B25">
        <v>138380</v>
      </c>
      <c r="C25">
        <v>14288</v>
      </c>
      <c r="D25">
        <v>655</v>
      </c>
      <c r="E25">
        <v>3477</v>
      </c>
      <c r="F25" s="13">
        <f t="shared" si="0"/>
        <v>0</v>
      </c>
      <c r="G25" s="14">
        <f t="shared" si="1"/>
        <v>549338.15789473685</v>
      </c>
      <c r="H25" s="14">
        <f t="shared" si="2"/>
        <v>1169497.2459893047</v>
      </c>
      <c r="I25" s="14">
        <f t="shared" si="3"/>
        <v>111.35000000000001</v>
      </c>
      <c r="J25" s="14">
        <f t="shared" si="4"/>
        <v>209003.95</v>
      </c>
      <c r="K25" s="14">
        <f t="shared" si="5"/>
        <v>1719094.2823805669</v>
      </c>
      <c r="L25" s="14">
        <f t="shared" si="6"/>
        <v>3646933.6362646082</v>
      </c>
      <c r="M25" s="14">
        <f t="shared" si="7"/>
        <v>3204235.6159085487</v>
      </c>
      <c r="N25" s="15">
        <f t="shared" si="8"/>
        <v>173850</v>
      </c>
      <c r="O25" s="25">
        <v>2</v>
      </c>
      <c r="P25" s="16">
        <f t="shared" si="9"/>
        <v>1677.3684210526317</v>
      </c>
      <c r="Q25" s="16">
        <f t="shared" si="10"/>
        <v>3570.9839572192514</v>
      </c>
      <c r="R25" s="16">
        <f t="shared" si="11"/>
        <v>0.34</v>
      </c>
      <c r="S25" s="16">
        <f t="shared" si="12"/>
        <v>638.18000000000006</v>
      </c>
      <c r="T25" s="16">
        <f t="shared" si="13"/>
        <v>5249.142846963563</v>
      </c>
      <c r="U25" s="16">
        <f t="shared" si="14"/>
        <v>11135.675225235445</v>
      </c>
      <c r="V25" s="16">
        <f t="shared" si="15"/>
        <v>97839.255447589268</v>
      </c>
      <c r="W25" s="17">
        <f t="shared" si="16"/>
        <v>11.793751691173036</v>
      </c>
    </row>
    <row r="26" spans="1:25" x14ac:dyDescent="0.25">
      <c r="A26" t="s">
        <v>53</v>
      </c>
      <c r="B26">
        <v>98196</v>
      </c>
      <c r="C26">
        <v>10015</v>
      </c>
      <c r="D26">
        <v>437</v>
      </c>
      <c r="E26">
        <v>2343</v>
      </c>
      <c r="F26" s="13">
        <f t="shared" si="0"/>
        <v>0</v>
      </c>
      <c r="G26" s="14">
        <f t="shared" si="1"/>
        <v>366505</v>
      </c>
      <c r="H26" s="14">
        <f t="shared" si="2"/>
        <v>780259.99465240643</v>
      </c>
      <c r="I26" s="14">
        <f t="shared" si="3"/>
        <v>74.290000000000006</v>
      </c>
      <c r="J26" s="14">
        <f t="shared" si="4"/>
        <v>139442.33000000002</v>
      </c>
      <c r="K26" s="14">
        <f t="shared" si="5"/>
        <v>1146937.7120615384</v>
      </c>
      <c r="L26" s="14">
        <f t="shared" si="6"/>
        <v>2433145.0367139447</v>
      </c>
      <c r="M26" s="14">
        <f t="shared" si="7"/>
        <v>2137787.7315298258</v>
      </c>
      <c r="N26" s="15">
        <f t="shared" si="8"/>
        <v>117150</v>
      </c>
      <c r="O26" s="25">
        <v>2</v>
      </c>
      <c r="P26" s="16">
        <f t="shared" si="9"/>
        <v>1677.3684210526317</v>
      </c>
      <c r="Q26" s="16">
        <f t="shared" si="10"/>
        <v>3570.9839572192514</v>
      </c>
      <c r="R26" s="16">
        <f t="shared" si="11"/>
        <v>0.34</v>
      </c>
      <c r="S26" s="16">
        <f t="shared" si="12"/>
        <v>638.18000000000006</v>
      </c>
      <c r="T26" s="16">
        <f t="shared" si="13"/>
        <v>5249.142846963563</v>
      </c>
      <c r="U26" s="16">
        <f t="shared" si="14"/>
        <v>11135.675225235445</v>
      </c>
      <c r="V26" s="16">
        <f t="shared" si="15"/>
        <v>97839.255447589268</v>
      </c>
      <c r="W26" s="17">
        <f t="shared" si="16"/>
        <v>9.9436956841360953</v>
      </c>
    </row>
    <row r="27" spans="1:25" x14ac:dyDescent="0.25">
      <c r="A27" t="s">
        <v>54</v>
      </c>
      <c r="B27">
        <v>162560</v>
      </c>
      <c r="C27">
        <v>16432</v>
      </c>
      <c r="D27">
        <v>693</v>
      </c>
      <c r="E27">
        <v>3732</v>
      </c>
      <c r="F27" s="13">
        <f t="shared" si="0"/>
        <v>0</v>
      </c>
      <c r="G27" s="14">
        <f t="shared" si="1"/>
        <v>581208.15789473685</v>
      </c>
      <c r="H27" s="14">
        <f t="shared" si="2"/>
        <v>1237345.9411764706</v>
      </c>
      <c r="I27" s="14">
        <f t="shared" si="3"/>
        <v>117.81</v>
      </c>
      <c r="J27" s="14">
        <f t="shared" si="4"/>
        <v>221129.37</v>
      </c>
      <c r="K27" s="14">
        <f t="shared" si="5"/>
        <v>1818827.9964728747</v>
      </c>
      <c r="L27" s="14">
        <f t="shared" si="6"/>
        <v>3858511.4655440822</v>
      </c>
      <c r="M27" s="14">
        <f t="shared" si="7"/>
        <v>3390130.201258969</v>
      </c>
      <c r="N27" s="15">
        <f t="shared" si="8"/>
        <v>186600</v>
      </c>
      <c r="O27" s="25">
        <v>2</v>
      </c>
      <c r="P27" s="16">
        <f t="shared" si="9"/>
        <v>1677.3684210526317</v>
      </c>
      <c r="Q27" s="16">
        <f t="shared" si="10"/>
        <v>3570.9839572192514</v>
      </c>
      <c r="R27" s="16">
        <f t="shared" si="11"/>
        <v>0.34</v>
      </c>
      <c r="S27" s="16">
        <f t="shared" si="12"/>
        <v>638.18000000000006</v>
      </c>
      <c r="T27" s="16">
        <f t="shared" si="13"/>
        <v>5249.142846963563</v>
      </c>
      <c r="U27" s="16">
        <f t="shared" si="14"/>
        <v>11135.675225235445</v>
      </c>
      <c r="V27" s="16">
        <f t="shared" si="15"/>
        <v>97839.255447589268</v>
      </c>
      <c r="W27" s="17">
        <f t="shared" si="16"/>
        <v>11.918643915462063</v>
      </c>
    </row>
    <row r="28" spans="1:25" x14ac:dyDescent="0.25">
      <c r="A28" t="s">
        <v>55</v>
      </c>
      <c r="B28">
        <v>137000</v>
      </c>
      <c r="C28">
        <v>12320</v>
      </c>
      <c r="D28">
        <v>278</v>
      </c>
      <c r="E28">
        <v>1617</v>
      </c>
      <c r="F28" s="13">
        <f t="shared" si="0"/>
        <v>0</v>
      </c>
      <c r="G28" s="14">
        <f t="shared" si="1"/>
        <v>233154.21052631582</v>
      </c>
      <c r="H28" s="14">
        <f t="shared" si="2"/>
        <v>496366.77005347592</v>
      </c>
      <c r="I28" s="14">
        <f t="shared" si="3"/>
        <v>47.260000000000005</v>
      </c>
      <c r="J28" s="14">
        <f t="shared" si="4"/>
        <v>88707.02</v>
      </c>
      <c r="K28" s="14">
        <f t="shared" si="5"/>
        <v>729630.85572793521</v>
      </c>
      <c r="L28" s="14">
        <f t="shared" si="6"/>
        <v>1547858.8563077268</v>
      </c>
      <c r="M28" s="14">
        <f t="shared" si="7"/>
        <v>1359965.6507214908</v>
      </c>
      <c r="N28" s="15">
        <f t="shared" si="8"/>
        <v>80850</v>
      </c>
      <c r="O28" s="25">
        <v>3</v>
      </c>
      <c r="P28" s="16">
        <f t="shared" si="9"/>
        <v>2516.0526315789475</v>
      </c>
      <c r="Q28" s="16">
        <f t="shared" si="10"/>
        <v>5356.4759358288775</v>
      </c>
      <c r="R28" s="16">
        <f t="shared" si="11"/>
        <v>0.51</v>
      </c>
      <c r="S28" s="16">
        <f t="shared" si="12"/>
        <v>957.27</v>
      </c>
      <c r="T28" s="16">
        <f t="shared" si="13"/>
        <v>7873.7142704453445</v>
      </c>
      <c r="U28" s="16">
        <f t="shared" si="14"/>
        <v>16703.51283785317</v>
      </c>
      <c r="V28" s="16">
        <f t="shared" si="15"/>
        <v>146758.88317138393</v>
      </c>
      <c r="W28" s="17">
        <f t="shared" si="16"/>
        <v>5.9750113078735589</v>
      </c>
    </row>
    <row r="29" spans="1:25" x14ac:dyDescent="0.25">
      <c r="A29" t="s">
        <v>56</v>
      </c>
      <c r="B29">
        <v>151690</v>
      </c>
      <c r="C29">
        <v>14257</v>
      </c>
      <c r="D29">
        <v>425</v>
      </c>
      <c r="E29">
        <v>2407</v>
      </c>
      <c r="F29" s="13">
        <f t="shared" si="0"/>
        <v>0</v>
      </c>
      <c r="G29" s="14">
        <f t="shared" si="1"/>
        <v>356440.78947368421</v>
      </c>
      <c r="H29" s="14">
        <f t="shared" si="2"/>
        <v>758834.09090909094</v>
      </c>
      <c r="I29" s="14">
        <f t="shared" si="3"/>
        <v>72.25</v>
      </c>
      <c r="J29" s="14">
        <f t="shared" si="4"/>
        <v>135613.25</v>
      </c>
      <c r="K29" s="14">
        <f t="shared" si="5"/>
        <v>1115442.8549797572</v>
      </c>
      <c r="L29" s="14">
        <f t="shared" si="6"/>
        <v>2366330.9853625325</v>
      </c>
      <c r="M29" s="14">
        <f t="shared" si="7"/>
        <v>2079084.1782612726</v>
      </c>
      <c r="N29" s="15">
        <f t="shared" si="8"/>
        <v>120350</v>
      </c>
      <c r="O29" s="25">
        <v>3</v>
      </c>
      <c r="P29" s="16">
        <f t="shared" si="9"/>
        <v>2516.0526315789475</v>
      </c>
      <c r="Q29" s="16">
        <f t="shared" si="10"/>
        <v>5356.4759358288775</v>
      </c>
      <c r="R29" s="16">
        <f t="shared" si="11"/>
        <v>0.51</v>
      </c>
      <c r="S29" s="16">
        <f t="shared" si="12"/>
        <v>957.27</v>
      </c>
      <c r="T29" s="16">
        <f t="shared" si="13"/>
        <v>7873.7142704453445</v>
      </c>
      <c r="U29" s="16">
        <f t="shared" si="14"/>
        <v>16703.51283785317</v>
      </c>
      <c r="V29" s="16">
        <f t="shared" si="15"/>
        <v>146758.88317138393</v>
      </c>
      <c r="W29" s="17">
        <f t="shared" si="16"/>
        <v>7.7836579359559472</v>
      </c>
    </row>
    <row r="30" spans="1:25" x14ac:dyDescent="0.25">
      <c r="A30" t="s">
        <v>57</v>
      </c>
      <c r="B30">
        <v>55620</v>
      </c>
      <c r="C30">
        <v>4949</v>
      </c>
      <c r="D30">
        <v>103</v>
      </c>
      <c r="E30">
        <v>604</v>
      </c>
      <c r="F30" s="13">
        <f t="shared" si="0"/>
        <v>0</v>
      </c>
      <c r="G30" s="14">
        <f t="shared" si="1"/>
        <v>86384.473684210534</v>
      </c>
      <c r="H30" s="14">
        <f t="shared" si="2"/>
        <v>183905.67379679144</v>
      </c>
      <c r="I30" s="14">
        <f t="shared" si="3"/>
        <v>17.510000000000002</v>
      </c>
      <c r="J30" s="14">
        <f t="shared" si="4"/>
        <v>32866.270000000004</v>
      </c>
      <c r="K30" s="14">
        <f t="shared" si="5"/>
        <v>270330.85661862348</v>
      </c>
      <c r="L30" s="14">
        <f t="shared" si="6"/>
        <v>573487.27409962541</v>
      </c>
      <c r="M30" s="14">
        <f t="shared" si="7"/>
        <v>503872.16555508476</v>
      </c>
      <c r="N30" s="15">
        <f t="shared" si="8"/>
        <v>30200</v>
      </c>
      <c r="O30" s="25">
        <v>3</v>
      </c>
      <c r="P30" s="16">
        <f t="shared" si="9"/>
        <v>2516.0526315789475</v>
      </c>
      <c r="Q30" s="16">
        <f t="shared" si="10"/>
        <v>5356.4759358288775</v>
      </c>
      <c r="R30" s="16">
        <f t="shared" si="11"/>
        <v>0.51</v>
      </c>
      <c r="S30" s="16">
        <f t="shared" si="12"/>
        <v>957.27</v>
      </c>
      <c r="T30" s="16">
        <f t="shared" si="13"/>
        <v>7873.7142704453445</v>
      </c>
      <c r="U30" s="16">
        <f t="shared" si="14"/>
        <v>16703.51283785317</v>
      </c>
      <c r="V30" s="16">
        <f t="shared" si="15"/>
        <v>146758.88317138393</v>
      </c>
      <c r="W30" s="17">
        <f t="shared" si="16"/>
        <v>2.8473968445375344</v>
      </c>
    </row>
    <row r="31" spans="1:25" x14ac:dyDescent="0.25">
      <c r="A31" t="s">
        <v>58</v>
      </c>
      <c r="B31">
        <v>297420</v>
      </c>
      <c r="C31">
        <v>29797</v>
      </c>
      <c r="D31">
        <v>1210</v>
      </c>
      <c r="E31">
        <v>6561</v>
      </c>
      <c r="F31" s="13">
        <f t="shared" si="0"/>
        <v>0</v>
      </c>
      <c r="G31" s="14">
        <f t="shared" si="1"/>
        <v>1014807.8947368421</v>
      </c>
      <c r="H31" s="14">
        <f t="shared" si="2"/>
        <v>2160445.2941176472</v>
      </c>
      <c r="I31" s="14">
        <f t="shared" si="3"/>
        <v>205.70000000000002</v>
      </c>
      <c r="J31" s="14">
        <f t="shared" si="4"/>
        <v>386098.9</v>
      </c>
      <c r="K31" s="14">
        <f t="shared" si="5"/>
        <v>3175731.4224129552</v>
      </c>
      <c r="L31" s="14">
        <f t="shared" si="6"/>
        <v>6737083.5112674441</v>
      </c>
      <c r="M31" s="14">
        <f t="shared" si="7"/>
        <v>5919274.9545791503</v>
      </c>
      <c r="N31" s="15">
        <f t="shared" si="8"/>
        <v>328050</v>
      </c>
      <c r="O31" s="25">
        <v>2</v>
      </c>
      <c r="P31" s="16">
        <f t="shared" si="9"/>
        <v>1677.3684210526317</v>
      </c>
      <c r="Q31" s="16">
        <f t="shared" si="10"/>
        <v>3570.9839572192514</v>
      </c>
      <c r="R31" s="16">
        <f t="shared" si="11"/>
        <v>0.34</v>
      </c>
      <c r="S31" s="16">
        <f t="shared" si="12"/>
        <v>638.18000000000006</v>
      </c>
      <c r="T31" s="16">
        <f t="shared" si="13"/>
        <v>5249.142846963563</v>
      </c>
      <c r="U31" s="16">
        <f t="shared" si="14"/>
        <v>11135.675225235445</v>
      </c>
      <c r="V31" s="16">
        <f t="shared" si="15"/>
        <v>97839.255447589268</v>
      </c>
      <c r="W31" s="17">
        <f t="shared" si="16"/>
        <v>13.898624768916218</v>
      </c>
    </row>
    <row r="32" spans="1:25" x14ac:dyDescent="0.25">
      <c r="A32" t="s">
        <v>59</v>
      </c>
      <c r="B32">
        <v>43650</v>
      </c>
      <c r="C32">
        <v>4557</v>
      </c>
      <c r="D32">
        <v>217</v>
      </c>
      <c r="E32">
        <v>1147</v>
      </c>
      <c r="F32" s="13">
        <f t="shared" si="0"/>
        <v>0</v>
      </c>
      <c r="G32" s="14">
        <f t="shared" si="1"/>
        <v>181994.47368421053</v>
      </c>
      <c r="H32" s="14">
        <f t="shared" si="2"/>
        <v>387451.75935828878</v>
      </c>
      <c r="I32" s="14">
        <f t="shared" si="3"/>
        <v>36.89</v>
      </c>
      <c r="J32" s="14">
        <f t="shared" si="4"/>
        <v>69242.53</v>
      </c>
      <c r="K32" s="14">
        <f t="shared" si="5"/>
        <v>569531.99889554654</v>
      </c>
      <c r="L32" s="14">
        <f t="shared" si="6"/>
        <v>1208220.7619380457</v>
      </c>
      <c r="M32" s="14">
        <f t="shared" si="7"/>
        <v>1061555.9216063437</v>
      </c>
      <c r="N32" s="15">
        <f t="shared" si="8"/>
        <v>57350</v>
      </c>
      <c r="O32" s="25">
        <v>2</v>
      </c>
      <c r="P32" s="16">
        <f t="shared" si="9"/>
        <v>1677.3684210526317</v>
      </c>
      <c r="Q32" s="16">
        <f t="shared" si="10"/>
        <v>3570.9839572192514</v>
      </c>
      <c r="R32" s="16">
        <f t="shared" si="11"/>
        <v>0.34</v>
      </c>
      <c r="S32" s="16">
        <f t="shared" si="12"/>
        <v>638.18000000000006</v>
      </c>
      <c r="T32" s="16">
        <f t="shared" si="13"/>
        <v>5249.142846963563</v>
      </c>
      <c r="U32" s="16">
        <f t="shared" si="14"/>
        <v>11135.675225235445</v>
      </c>
      <c r="V32" s="16">
        <f t="shared" si="15"/>
        <v>97839.255447589268</v>
      </c>
      <c r="W32" s="17">
        <f t="shared" si="16"/>
        <v>6.8403957383818614</v>
      </c>
    </row>
    <row r="33" spans="1:23" x14ac:dyDescent="0.25">
      <c r="A33" t="s">
        <v>60</v>
      </c>
      <c r="B33">
        <v>109750</v>
      </c>
      <c r="C33">
        <v>10821</v>
      </c>
      <c r="D33">
        <v>410</v>
      </c>
      <c r="E33">
        <v>2247</v>
      </c>
      <c r="F33" s="13">
        <f t="shared" si="0"/>
        <v>0</v>
      </c>
      <c r="G33" s="14">
        <f t="shared" si="1"/>
        <v>343860.5263157895</v>
      </c>
      <c r="H33" s="14">
        <f t="shared" si="2"/>
        <v>732051.71122994658</v>
      </c>
      <c r="I33" s="14">
        <f t="shared" si="3"/>
        <v>69.7</v>
      </c>
      <c r="J33" s="14">
        <f t="shared" si="4"/>
        <v>130826.90000000001</v>
      </c>
      <c r="K33" s="14">
        <f t="shared" si="5"/>
        <v>1076074.2836275303</v>
      </c>
      <c r="L33" s="14">
        <f t="shared" si="6"/>
        <v>2282813.4211732661</v>
      </c>
      <c r="M33" s="14">
        <f t="shared" si="7"/>
        <v>2005704.73667558</v>
      </c>
      <c r="N33" s="15">
        <f t="shared" si="8"/>
        <v>112350</v>
      </c>
      <c r="O33" s="25">
        <v>3</v>
      </c>
      <c r="P33" s="16">
        <f t="shared" si="9"/>
        <v>2516.0526315789475</v>
      </c>
      <c r="Q33" s="16">
        <f t="shared" si="10"/>
        <v>5356.4759358288775</v>
      </c>
      <c r="R33" s="16">
        <f t="shared" si="11"/>
        <v>0.51</v>
      </c>
      <c r="S33" s="16">
        <f t="shared" si="12"/>
        <v>957.27</v>
      </c>
      <c r="T33" s="16">
        <f t="shared" si="13"/>
        <v>7873.7142704453445</v>
      </c>
      <c r="U33" s="16">
        <f t="shared" si="14"/>
        <v>16703.51283785317</v>
      </c>
      <c r="V33" s="16">
        <f t="shared" si="15"/>
        <v>146758.88317138393</v>
      </c>
      <c r="W33" s="17">
        <f t="shared" si="16"/>
        <v>7.7407795214374602</v>
      </c>
    </row>
    <row r="34" spans="1:23" x14ac:dyDescent="0.25">
      <c r="A34" t="s">
        <v>61</v>
      </c>
      <c r="B34">
        <v>359310</v>
      </c>
      <c r="C34">
        <v>37303</v>
      </c>
      <c r="D34">
        <v>1744</v>
      </c>
      <c r="E34">
        <v>9232</v>
      </c>
      <c r="F34" s="13">
        <f t="shared" si="0"/>
        <v>0</v>
      </c>
      <c r="G34" s="14">
        <f t="shared" si="1"/>
        <v>1462665.2631578948</v>
      </c>
      <c r="H34" s="14">
        <f t="shared" si="2"/>
        <v>3113898.0106951874</v>
      </c>
      <c r="I34" s="14">
        <f t="shared" si="3"/>
        <v>296.48</v>
      </c>
      <c r="J34" s="14">
        <f t="shared" si="4"/>
        <v>556492.96000000008</v>
      </c>
      <c r="K34" s="14">
        <f t="shared" si="5"/>
        <v>4577252.5625522267</v>
      </c>
      <c r="L34" s="14">
        <f t="shared" si="6"/>
        <v>9710308.7964053079</v>
      </c>
      <c r="M34" s="14">
        <f t="shared" si="7"/>
        <v>8531583.0750297848</v>
      </c>
      <c r="N34" s="15">
        <f t="shared" si="8"/>
        <v>461600</v>
      </c>
      <c r="O34" s="25">
        <v>2</v>
      </c>
      <c r="P34" s="16">
        <f t="shared" si="9"/>
        <v>1677.3684210526317</v>
      </c>
      <c r="Q34" s="16">
        <f t="shared" si="10"/>
        <v>3570.9839572192514</v>
      </c>
      <c r="R34" s="16">
        <f t="shared" si="11"/>
        <v>0.34</v>
      </c>
      <c r="S34" s="16">
        <f t="shared" si="12"/>
        <v>638.18000000000006</v>
      </c>
      <c r="T34" s="16">
        <f t="shared" si="13"/>
        <v>5249.142846963563</v>
      </c>
      <c r="U34" s="16">
        <f t="shared" si="14"/>
        <v>11135.675225235445</v>
      </c>
      <c r="V34" s="16">
        <f t="shared" si="15"/>
        <v>97839.255447589268</v>
      </c>
      <c r="W34" s="17">
        <f t="shared" si="16"/>
        <v>15.250240293209206</v>
      </c>
    </row>
    <row r="35" spans="1:23" x14ac:dyDescent="0.25">
      <c r="A35" t="s">
        <v>62</v>
      </c>
      <c r="B35">
        <v>41112</v>
      </c>
      <c r="C35">
        <v>3744</v>
      </c>
      <c r="D35">
        <v>92</v>
      </c>
      <c r="E35">
        <v>532</v>
      </c>
      <c r="F35" s="13">
        <f t="shared" si="0"/>
        <v>0</v>
      </c>
      <c r="G35" s="14">
        <f t="shared" si="1"/>
        <v>77158.947368421053</v>
      </c>
      <c r="H35" s="14">
        <f t="shared" si="2"/>
        <v>164265.26203208556</v>
      </c>
      <c r="I35" s="14">
        <f t="shared" si="3"/>
        <v>15.64</v>
      </c>
      <c r="J35" s="14">
        <f t="shared" si="4"/>
        <v>29356.280000000002</v>
      </c>
      <c r="K35" s="14">
        <f t="shared" si="5"/>
        <v>241460.57096032388</v>
      </c>
      <c r="L35" s="14">
        <f t="shared" si="6"/>
        <v>512241.06036083051</v>
      </c>
      <c r="M35" s="14">
        <f t="shared" si="7"/>
        <v>450060.5750589107</v>
      </c>
      <c r="N35" s="15">
        <f t="shared" si="8"/>
        <v>26600</v>
      </c>
      <c r="O35" s="25">
        <v>3</v>
      </c>
      <c r="P35" s="16">
        <f t="shared" si="9"/>
        <v>2516.0526315789475</v>
      </c>
      <c r="Q35" s="16">
        <f t="shared" si="10"/>
        <v>5356.4759358288775</v>
      </c>
      <c r="R35" s="16">
        <f t="shared" si="11"/>
        <v>0.51</v>
      </c>
      <c r="S35" s="16">
        <f t="shared" si="12"/>
        <v>957.27</v>
      </c>
      <c r="T35" s="16">
        <f t="shared" si="13"/>
        <v>7873.7142704453445</v>
      </c>
      <c r="U35" s="16">
        <f t="shared" si="14"/>
        <v>16703.51283785317</v>
      </c>
      <c r="V35" s="16">
        <f t="shared" si="15"/>
        <v>146758.88317138393</v>
      </c>
      <c r="W35" s="17">
        <f t="shared" si="16"/>
        <v>2.5961206419054821</v>
      </c>
    </row>
    <row r="36" spans="1:23" x14ac:dyDescent="0.25">
      <c r="A36" t="s">
        <v>63</v>
      </c>
      <c r="B36">
        <v>525550</v>
      </c>
      <c r="C36">
        <v>54788</v>
      </c>
      <c r="D36">
        <v>2601</v>
      </c>
      <c r="E36">
        <v>13729</v>
      </c>
      <c r="F36" s="13">
        <f t="shared" si="0"/>
        <v>0</v>
      </c>
      <c r="G36" s="14">
        <f t="shared" si="1"/>
        <v>2181417.6315789474</v>
      </c>
      <c r="H36" s="14">
        <f t="shared" si="2"/>
        <v>4644064.6363636367</v>
      </c>
      <c r="I36" s="14">
        <f t="shared" si="3"/>
        <v>442.17</v>
      </c>
      <c r="J36" s="14">
        <f t="shared" si="4"/>
        <v>829953.09000000008</v>
      </c>
      <c r="K36" s="14">
        <f t="shared" si="5"/>
        <v>6826510.2724761134</v>
      </c>
      <c r="L36" s="14">
        <f t="shared" si="6"/>
        <v>14481945.630418697</v>
      </c>
      <c r="M36" s="14">
        <f t="shared" si="7"/>
        <v>12723995.170958988</v>
      </c>
      <c r="N36" s="15">
        <f t="shared" si="8"/>
        <v>686450</v>
      </c>
      <c r="O36" s="25">
        <v>2</v>
      </c>
      <c r="P36" s="16">
        <f t="shared" si="9"/>
        <v>1677.3684210526317</v>
      </c>
      <c r="Q36" s="16">
        <f t="shared" si="10"/>
        <v>3570.9839572192514</v>
      </c>
      <c r="R36" s="16">
        <f t="shared" si="11"/>
        <v>0.34</v>
      </c>
      <c r="S36" s="16">
        <f t="shared" si="12"/>
        <v>638.18000000000006</v>
      </c>
      <c r="T36" s="16">
        <f t="shared" si="13"/>
        <v>5249.142846963563</v>
      </c>
      <c r="U36" s="16">
        <f t="shared" si="14"/>
        <v>11135.675225235445</v>
      </c>
      <c r="V36" s="16">
        <f t="shared" si="15"/>
        <v>97839.255447589268</v>
      </c>
      <c r="W36" s="17">
        <f t="shared" si="16"/>
        <v>16.223600008006585</v>
      </c>
    </row>
    <row r="37" spans="1:23" x14ac:dyDescent="0.25">
      <c r="A37" t="s">
        <v>64</v>
      </c>
      <c r="B37">
        <v>32151</v>
      </c>
      <c r="C37">
        <v>3009</v>
      </c>
      <c r="D37">
        <v>88</v>
      </c>
      <c r="E37">
        <v>497</v>
      </c>
      <c r="F37" s="13">
        <f t="shared" si="0"/>
        <v>0</v>
      </c>
      <c r="G37" s="14">
        <f t="shared" si="1"/>
        <v>73804.210526315786</v>
      </c>
      <c r="H37" s="14">
        <f t="shared" si="2"/>
        <v>157123.29411764705</v>
      </c>
      <c r="I37" s="14">
        <f t="shared" si="3"/>
        <v>14.96</v>
      </c>
      <c r="J37" s="14">
        <f t="shared" si="4"/>
        <v>28079.920000000002</v>
      </c>
      <c r="K37" s="14">
        <f t="shared" si="5"/>
        <v>230962.28526639674</v>
      </c>
      <c r="L37" s="14">
        <f t="shared" si="6"/>
        <v>489969.70991035958</v>
      </c>
      <c r="M37" s="14">
        <f t="shared" si="7"/>
        <v>430492.72396939283</v>
      </c>
      <c r="N37" s="15">
        <f t="shared" si="8"/>
        <v>24850</v>
      </c>
      <c r="O37" s="25">
        <v>2</v>
      </c>
      <c r="P37" s="16">
        <f t="shared" si="9"/>
        <v>1677.3684210526317</v>
      </c>
      <c r="Q37" s="16">
        <f t="shared" si="10"/>
        <v>3570.9839572192514</v>
      </c>
      <c r="R37" s="16">
        <f t="shared" si="11"/>
        <v>0.34</v>
      </c>
      <c r="S37" s="16">
        <f t="shared" si="12"/>
        <v>638.18000000000006</v>
      </c>
      <c r="T37" s="16">
        <f t="shared" si="13"/>
        <v>5249.142846963563</v>
      </c>
      <c r="U37" s="16">
        <f t="shared" si="14"/>
        <v>11135.675225235445</v>
      </c>
      <c r="V37" s="16">
        <f t="shared" si="15"/>
        <v>97839.255447589268</v>
      </c>
      <c r="W37" s="17">
        <f t="shared" si="16"/>
        <v>3.508805415754535</v>
      </c>
    </row>
    <row r="38" spans="1:23" x14ac:dyDescent="0.25">
      <c r="A38" t="s">
        <v>65</v>
      </c>
      <c r="B38">
        <v>60120</v>
      </c>
      <c r="C38">
        <v>5772</v>
      </c>
      <c r="D38">
        <v>193</v>
      </c>
      <c r="E38">
        <v>1075</v>
      </c>
      <c r="F38" s="13">
        <f t="shared" si="0"/>
        <v>0</v>
      </c>
      <c r="G38" s="14">
        <f t="shared" si="1"/>
        <v>161866.05263157896</v>
      </c>
      <c r="H38" s="14">
        <f t="shared" si="2"/>
        <v>344599.95187165774</v>
      </c>
      <c r="I38" s="14">
        <f t="shared" si="3"/>
        <v>32.81</v>
      </c>
      <c r="J38" s="14">
        <f t="shared" si="4"/>
        <v>61584.37</v>
      </c>
      <c r="K38" s="14">
        <f t="shared" si="5"/>
        <v>506542.28473198379</v>
      </c>
      <c r="L38" s="14">
        <f t="shared" si="6"/>
        <v>1074592.6592352204</v>
      </c>
      <c r="M38" s="14">
        <f t="shared" si="7"/>
        <v>944148.81506923644</v>
      </c>
      <c r="N38" s="15">
        <f t="shared" si="8"/>
        <v>53750</v>
      </c>
      <c r="O38" s="25">
        <v>2</v>
      </c>
      <c r="P38" s="16">
        <f t="shared" si="9"/>
        <v>1677.3684210526317</v>
      </c>
      <c r="Q38" s="16">
        <f t="shared" si="10"/>
        <v>3570.9839572192514</v>
      </c>
      <c r="R38" s="16">
        <f t="shared" si="11"/>
        <v>0.34</v>
      </c>
      <c r="S38" s="16">
        <f t="shared" si="12"/>
        <v>638.18000000000006</v>
      </c>
      <c r="T38" s="16">
        <f t="shared" si="13"/>
        <v>5249.142846963563</v>
      </c>
      <c r="U38" s="16">
        <f t="shared" si="14"/>
        <v>11135.675225235445</v>
      </c>
      <c r="V38" s="16">
        <f t="shared" si="15"/>
        <v>97839.255447589268</v>
      </c>
      <c r="W38" s="17">
        <f t="shared" si="16"/>
        <v>6.2283359878079754</v>
      </c>
    </row>
    <row r="39" spans="1:23" x14ac:dyDescent="0.25">
      <c r="B39" s="13"/>
      <c r="C39" s="13"/>
      <c r="D39" s="13"/>
      <c r="E39" s="13"/>
      <c r="F39" s="13"/>
      <c r="G39" s="14"/>
      <c r="H39" s="14"/>
      <c r="I39" s="14"/>
      <c r="J39" s="14"/>
      <c r="K39" s="14"/>
      <c r="L39" s="14"/>
      <c r="M39" s="14"/>
      <c r="N39" s="15"/>
      <c r="O39" s="16"/>
      <c r="P39" s="16"/>
      <c r="Q39" s="16"/>
      <c r="R39" s="16"/>
      <c r="S39" s="16"/>
      <c r="T39" s="16"/>
      <c r="U39" s="16"/>
      <c r="V39" s="16"/>
      <c r="W39" s="17"/>
    </row>
    <row r="40" spans="1:23" s="4" customFormat="1" x14ac:dyDescent="0.25">
      <c r="A40" s="4" t="s">
        <v>66</v>
      </c>
      <c r="B40" s="19">
        <f>SUM(B19:B38)</f>
        <v>4241739</v>
      </c>
      <c r="C40" s="19">
        <f>SUM(C19:C38)</f>
        <v>435742</v>
      </c>
      <c r="D40" s="19">
        <f>SUM(D19:D38)</f>
        <v>19752</v>
      </c>
      <c r="E40" s="19">
        <f>SUM(E19:E38)</f>
        <v>104357</v>
      </c>
      <c r="F40" s="19">
        <f>SUM(F19:F38)</f>
        <v>0</v>
      </c>
      <c r="G40" s="20">
        <f>lost_wages*D40</f>
        <v>16565690.52631579</v>
      </c>
      <c r="H40" s="20">
        <f>(case_management+case_gp+case_lab)*D40</f>
        <v>35267037.561497323</v>
      </c>
      <c r="I40" s="20">
        <f>prop_hospitalised*D40</f>
        <v>3357.84</v>
      </c>
      <c r="J40" s="20">
        <f>hospital_costs*I40</f>
        <v>6302665.6800000006</v>
      </c>
      <c r="K40" s="20">
        <f>D40*contacts_number*contacts_quarantine*contacts_wage_per_day</f>
        <v>51840534.756612144</v>
      </c>
      <c r="L40" s="20">
        <f>G40+H40+J40+K40</f>
        <v>109975928.52442525</v>
      </c>
      <c r="M40" s="20">
        <f>L40/disc_years*(1-1/(1+disc_rate)^disc_years)/(1-1/(1+disc_rate))</f>
        <v>96626048.680039167</v>
      </c>
      <c r="N40" s="21">
        <f>vacc_cost*E40</f>
        <v>5217850</v>
      </c>
      <c r="O40" s="22">
        <f>SUM(O19:O38)</f>
        <v>47</v>
      </c>
      <c r="P40" s="23">
        <f>lost_wages*O40</f>
        <v>39418.157894736847</v>
      </c>
      <c r="Q40" s="23">
        <f>(case_management+case_gp+case_lab)*O40</f>
        <v>83918.122994652411</v>
      </c>
      <c r="R40" s="23">
        <f>prop_hospitalised*O40</f>
        <v>7.99</v>
      </c>
      <c r="S40" s="23">
        <f>hospital_costs*R40</f>
        <v>14997.23</v>
      </c>
      <c r="T40" s="23">
        <f>O40*contacts_number*contacts_quarantine*contacts_wage_per_day</f>
        <v>123354.85690364373</v>
      </c>
      <c r="U40" s="23">
        <f>P40+Q40+S40+T40</f>
        <v>261688.36779303299</v>
      </c>
      <c r="V40" s="23">
        <f>U40*(1-1/(1+disc_rate)^disc_years)/(1-1/(1+disc_rate))</f>
        <v>2299222.5030183485</v>
      </c>
      <c r="W40" s="24">
        <f>M40/(N40+V40)</f>
        <v>12.854212679369619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measles_costs</vt:lpstr>
      <vt:lpstr>case_gp</vt:lpstr>
      <vt:lpstr>case_lab</vt:lpstr>
      <vt:lpstr>case_management</vt:lpstr>
      <vt:lpstr>contacts_number</vt:lpstr>
      <vt:lpstr>contacts_quarantine</vt:lpstr>
      <vt:lpstr>contacts_wage_per_day</vt:lpstr>
      <vt:lpstr>disc_rate</vt:lpstr>
      <vt:lpstr>disc_years</vt:lpstr>
      <vt:lpstr>extra_vacc</vt:lpstr>
      <vt:lpstr>gp_costs</vt:lpstr>
      <vt:lpstr>hospital_costs</vt:lpstr>
      <vt:lpstr>lost_wages</vt:lpstr>
      <vt:lpstr>prop_hospitalised</vt:lpstr>
      <vt:lpstr>vacc_cost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David</dc:creator>
  <cp:lastModifiedBy>Marshall, Jonathan</cp:lastModifiedBy>
  <cp:revision>0</cp:revision>
  <dcterms:created xsi:type="dcterms:W3CDTF">2014-08-21T01:10:27Z</dcterms:created>
  <dcterms:modified xsi:type="dcterms:W3CDTF">2015-07-16T02:33:57Z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ospitalised" linkTarget="prop_hospitalised">
    <vt:r8>0.17</vt:r8>
  </property>
</Properties>
</file>