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0" yWindow="2865" windowWidth="20730" windowHeight="8250" activeTab="3"/>
  </bookViews>
  <sheets>
    <sheet name="worksheet" sheetId="1" r:id="rId1"/>
    <sheet name="tab_paper_sims" sheetId="2" r:id="rId2"/>
    <sheet name="tab_paper_average" sheetId="3" r:id="rId3"/>
    <sheet name="discounting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iscount_rate">discounting!$B$2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55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45621"/>
</workbook>
</file>

<file path=xl/calcChain.xml><?xml version="1.0" encoding="utf-8"?>
<calcChain xmlns="http://schemas.openxmlformats.org/spreadsheetml/2006/main">
  <c r="BA14" i="4" l="1"/>
  <c r="BA15" i="4"/>
  <c r="BA16" i="4"/>
  <c r="BA17" i="4"/>
  <c r="BA7" i="4"/>
  <c r="BA8" i="4"/>
  <c r="BA9" i="4"/>
  <c r="BA10" i="4"/>
  <c r="BA4" i="4"/>
  <c r="AZ14" i="4"/>
  <c r="AZ15" i="4"/>
  <c r="AZ16" i="4"/>
  <c r="AZ17" i="4"/>
  <c r="AZ7" i="4"/>
  <c r="AZ8" i="4"/>
  <c r="AZ9" i="4"/>
  <c r="AZ10" i="4"/>
  <c r="AZ4" i="4"/>
  <c r="AP4" i="4"/>
  <c r="AQ4" i="4"/>
  <c r="AR4" i="4"/>
  <c r="AS4" i="4"/>
  <c r="AT4" i="4"/>
  <c r="AU4" i="4"/>
  <c r="AV4" i="4"/>
  <c r="AW4" i="4"/>
  <c r="AX4" i="4"/>
  <c r="AP7" i="4"/>
  <c r="AQ7" i="4"/>
  <c r="AR7" i="4"/>
  <c r="AS7" i="4"/>
  <c r="AT7" i="4"/>
  <c r="AU7" i="4"/>
  <c r="AV7" i="4"/>
  <c r="AW7" i="4"/>
  <c r="AX7" i="4"/>
  <c r="AP8" i="4"/>
  <c r="AQ8" i="4"/>
  <c r="AR8" i="4"/>
  <c r="AS8" i="4"/>
  <c r="AT8" i="4"/>
  <c r="AU8" i="4"/>
  <c r="AV8" i="4"/>
  <c r="AW8" i="4"/>
  <c r="AX8" i="4"/>
  <c r="AP9" i="4"/>
  <c r="AQ9" i="4"/>
  <c r="AR9" i="4"/>
  <c r="AS9" i="4"/>
  <c r="AT9" i="4"/>
  <c r="AU9" i="4"/>
  <c r="AV9" i="4"/>
  <c r="AW9" i="4"/>
  <c r="AX9" i="4"/>
  <c r="AP10" i="4"/>
  <c r="AQ10" i="4"/>
  <c r="AR10" i="4"/>
  <c r="AS10" i="4"/>
  <c r="AT10" i="4"/>
  <c r="AU10" i="4"/>
  <c r="AV10" i="4"/>
  <c r="AW10" i="4"/>
  <c r="AX10" i="4"/>
  <c r="AP14" i="4"/>
  <c r="AQ14" i="4"/>
  <c r="AR14" i="4"/>
  <c r="AS14" i="4"/>
  <c r="AT14" i="4"/>
  <c r="AU14" i="4"/>
  <c r="AV14" i="4"/>
  <c r="AW14" i="4"/>
  <c r="AX14" i="4"/>
  <c r="AP15" i="4"/>
  <c r="AQ15" i="4"/>
  <c r="AR15" i="4"/>
  <c r="AS15" i="4"/>
  <c r="AT15" i="4"/>
  <c r="AU15" i="4"/>
  <c r="AV15" i="4"/>
  <c r="AW15" i="4"/>
  <c r="AX15" i="4"/>
  <c r="AP16" i="4"/>
  <c r="AQ16" i="4"/>
  <c r="AR16" i="4"/>
  <c r="AS16" i="4"/>
  <c r="AT16" i="4"/>
  <c r="AU16" i="4"/>
  <c r="AV16" i="4"/>
  <c r="AW16" i="4"/>
  <c r="AX16" i="4"/>
  <c r="AP17" i="4"/>
  <c r="AQ17" i="4"/>
  <c r="AR17" i="4"/>
  <c r="AS17" i="4"/>
  <c r="AT17" i="4"/>
  <c r="AU17" i="4"/>
  <c r="AV17" i="4"/>
  <c r="AW17" i="4"/>
  <c r="AX17" i="4"/>
  <c r="AO7" i="4"/>
  <c r="AO8" i="4"/>
  <c r="AO9" i="4"/>
  <c r="AO10" i="4"/>
  <c r="AO14" i="4"/>
  <c r="AO15" i="4"/>
  <c r="AO16" i="4"/>
  <c r="AO17" i="4"/>
  <c r="AO4" i="4"/>
  <c r="AN7" i="4"/>
  <c r="AN8" i="4"/>
  <c r="AN9" i="4"/>
  <c r="AN10" i="4"/>
  <c r="AN11" i="4"/>
  <c r="AN14" i="4"/>
  <c r="AN15" i="4"/>
  <c r="AN16" i="4"/>
  <c r="AN17" i="4"/>
  <c r="AN4" i="4"/>
  <c r="Y5" i="4"/>
  <c r="Z5" i="4"/>
  <c r="AA5" i="4"/>
  <c r="AB5" i="4"/>
  <c r="AC5" i="4"/>
  <c r="AD5" i="4"/>
  <c r="AE5" i="4"/>
  <c r="AF5" i="4"/>
  <c r="AG5" i="4"/>
  <c r="Y6" i="4"/>
  <c r="Z6" i="4"/>
  <c r="AA6" i="4"/>
  <c r="AB6" i="4"/>
  <c r="AC6" i="4"/>
  <c r="AD6" i="4"/>
  <c r="AE6" i="4"/>
  <c r="AF6" i="4"/>
  <c r="AG6" i="4"/>
  <c r="Y7" i="4"/>
  <c r="Z7" i="4"/>
  <c r="AA7" i="4"/>
  <c r="AB7" i="4"/>
  <c r="AC7" i="4"/>
  <c r="AD7" i="4"/>
  <c r="AE7" i="4"/>
  <c r="AF7" i="4"/>
  <c r="AG7" i="4"/>
  <c r="Y8" i="4"/>
  <c r="Z8" i="4"/>
  <c r="AA8" i="4"/>
  <c r="AB8" i="4"/>
  <c r="AC8" i="4"/>
  <c r="AD8" i="4"/>
  <c r="AE8" i="4"/>
  <c r="AF8" i="4"/>
  <c r="AG8" i="4"/>
  <c r="Y9" i="4"/>
  <c r="Z9" i="4"/>
  <c r="AA9" i="4"/>
  <c r="AB9" i="4"/>
  <c r="AC9" i="4"/>
  <c r="AD9" i="4"/>
  <c r="AE9" i="4"/>
  <c r="AF9" i="4"/>
  <c r="AG9" i="4"/>
  <c r="Y10" i="4"/>
  <c r="Z10" i="4"/>
  <c r="AA10" i="4"/>
  <c r="AB10" i="4"/>
  <c r="AC10" i="4"/>
  <c r="AD10" i="4"/>
  <c r="AE10" i="4"/>
  <c r="AF10" i="4"/>
  <c r="AG10" i="4"/>
  <c r="Y12" i="4"/>
  <c r="Z12" i="4"/>
  <c r="AA12" i="4"/>
  <c r="AB12" i="4"/>
  <c r="AC12" i="4"/>
  <c r="AD12" i="4"/>
  <c r="AE12" i="4"/>
  <c r="AF12" i="4"/>
  <c r="AG12" i="4"/>
  <c r="Y13" i="4"/>
  <c r="Z13" i="4"/>
  <c r="AA13" i="4"/>
  <c r="AB13" i="4"/>
  <c r="AC13" i="4"/>
  <c r="AD13" i="4"/>
  <c r="AE13" i="4"/>
  <c r="AF13" i="4"/>
  <c r="AG13" i="4"/>
  <c r="Y14" i="4"/>
  <c r="Z14" i="4"/>
  <c r="AA14" i="4"/>
  <c r="AB14" i="4"/>
  <c r="AC14" i="4"/>
  <c r="AD14" i="4"/>
  <c r="AE14" i="4"/>
  <c r="AF14" i="4"/>
  <c r="AG14" i="4"/>
  <c r="Y15" i="4"/>
  <c r="Z15" i="4"/>
  <c r="AA15" i="4"/>
  <c r="AB15" i="4"/>
  <c r="AC15" i="4"/>
  <c r="AD15" i="4"/>
  <c r="AE15" i="4"/>
  <c r="AF15" i="4"/>
  <c r="AG15" i="4"/>
  <c r="Y16" i="4"/>
  <c r="Z16" i="4"/>
  <c r="AA16" i="4"/>
  <c r="AB16" i="4"/>
  <c r="AC16" i="4"/>
  <c r="AD16" i="4"/>
  <c r="AE16" i="4"/>
  <c r="AF16" i="4"/>
  <c r="AG16" i="4"/>
  <c r="Y17" i="4"/>
  <c r="Z17" i="4"/>
  <c r="AA17" i="4"/>
  <c r="AB17" i="4"/>
  <c r="AC17" i="4"/>
  <c r="AD17" i="4"/>
  <c r="AE17" i="4"/>
  <c r="AF17" i="4"/>
  <c r="AG17" i="4"/>
  <c r="X5" i="4"/>
  <c r="X6" i="4"/>
  <c r="X7" i="4"/>
  <c r="X8" i="4"/>
  <c r="X9" i="4"/>
  <c r="X10" i="4"/>
  <c r="X12" i="4"/>
  <c r="X13" i="4"/>
  <c r="X14" i="4"/>
  <c r="X15" i="4"/>
  <c r="X16" i="4"/>
  <c r="X17" i="4"/>
  <c r="I4" i="4"/>
  <c r="J4" i="4"/>
  <c r="K4" i="4"/>
  <c r="L4" i="4"/>
  <c r="M4" i="4"/>
  <c r="N4" i="4"/>
  <c r="O4" i="4"/>
  <c r="P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Q5" i="4" l="1"/>
  <c r="AH5" i="4"/>
  <c r="AH7" i="4"/>
  <c r="AH13" i="4"/>
  <c r="AH15" i="4"/>
  <c r="AH6" i="4"/>
  <c r="AH10" i="4"/>
  <c r="AY17" i="4"/>
  <c r="AY16" i="4"/>
  <c r="AY15" i="4"/>
  <c r="AY14" i="4"/>
  <c r="AY10" i="4"/>
  <c r="AY9" i="4"/>
  <c r="AY8" i="4"/>
  <c r="AY7" i="4"/>
  <c r="G4" i="4"/>
  <c r="Q4" i="4" s="1"/>
  <c r="B2" i="4"/>
  <c r="AQ3" i="4"/>
  <c r="AR3" i="4"/>
  <c r="AS3" i="4"/>
  <c r="AT3" i="4"/>
  <c r="AU3" i="4"/>
  <c r="AP3" i="4"/>
  <c r="Z3" i="4"/>
  <c r="AA3" i="4"/>
  <c r="AB3" i="4"/>
  <c r="AC3" i="4"/>
  <c r="AD3" i="4"/>
  <c r="Y3" i="4"/>
  <c r="I3" i="4"/>
  <c r="J3" i="4"/>
  <c r="H3" i="4"/>
  <c r="AK17" i="4"/>
  <c r="T17" i="4"/>
  <c r="U17" i="4"/>
  <c r="W17" i="4"/>
  <c r="D17" i="4"/>
  <c r="F17" i="4"/>
  <c r="AK16" i="4"/>
  <c r="T16" i="4"/>
  <c r="U16" i="4"/>
  <c r="W16" i="4"/>
  <c r="D16" i="4"/>
  <c r="F16" i="4"/>
  <c r="AK15" i="4"/>
  <c r="T15" i="4"/>
  <c r="U15" i="4"/>
  <c r="W15" i="4"/>
  <c r="F15" i="4"/>
  <c r="AK14" i="4"/>
  <c r="AL14" i="4"/>
  <c r="AM14" i="4"/>
  <c r="T14" i="4"/>
  <c r="U14" i="4"/>
  <c r="W14" i="4"/>
  <c r="F14" i="4"/>
  <c r="AK13" i="4"/>
  <c r="AN13" i="4" s="1"/>
  <c r="T13" i="4"/>
  <c r="U13" i="4"/>
  <c r="W13" i="4"/>
  <c r="D13" i="4"/>
  <c r="F13" i="4"/>
  <c r="AK12" i="4"/>
  <c r="AN12" i="4" s="1"/>
  <c r="AL12" i="4"/>
  <c r="AM12" i="4"/>
  <c r="T12" i="4"/>
  <c r="U12" i="4"/>
  <c r="W12" i="4"/>
  <c r="D12" i="4"/>
  <c r="F12" i="4"/>
  <c r="AK11" i="4"/>
  <c r="AL11" i="4"/>
  <c r="AM11" i="4"/>
  <c r="T11" i="4"/>
  <c r="U11" i="4"/>
  <c r="W11" i="4"/>
  <c r="F11" i="4"/>
  <c r="AK10" i="4"/>
  <c r="T10" i="4"/>
  <c r="U10" i="4"/>
  <c r="W10" i="4"/>
  <c r="D10" i="4"/>
  <c r="F10" i="4"/>
  <c r="AL9" i="4"/>
  <c r="AM9" i="4"/>
  <c r="AK9" i="4"/>
  <c r="T9" i="4"/>
  <c r="U9" i="4"/>
  <c r="W9" i="4"/>
  <c r="D9" i="4"/>
  <c r="F9" i="4"/>
  <c r="AK8" i="4"/>
  <c r="AL8" i="4"/>
  <c r="AM8" i="4"/>
  <c r="T8" i="4"/>
  <c r="U8" i="4"/>
  <c r="W8" i="4"/>
  <c r="F8" i="4"/>
  <c r="AK7" i="4"/>
  <c r="U7" i="4"/>
  <c r="W7" i="4"/>
  <c r="T7" i="4"/>
  <c r="F7" i="4"/>
  <c r="AK6" i="4"/>
  <c r="AN6" i="4" s="1"/>
  <c r="T6" i="4"/>
  <c r="U6" i="4"/>
  <c r="W6" i="4"/>
  <c r="D6" i="4"/>
  <c r="F6" i="4"/>
  <c r="AK5" i="4"/>
  <c r="AN5" i="4" s="1"/>
  <c r="AL5" i="4"/>
  <c r="AM5" i="4"/>
  <c r="T5" i="4"/>
  <c r="U5" i="4"/>
  <c r="W5" i="4"/>
  <c r="D5" i="4"/>
  <c r="F5" i="4"/>
  <c r="AK4" i="4"/>
  <c r="AL4" i="4"/>
  <c r="AM4" i="4"/>
  <c r="T4" i="4"/>
  <c r="U4" i="4"/>
  <c r="W4" i="4"/>
  <c r="F4" i="4"/>
  <c r="AL16" i="4"/>
  <c r="AM16" i="4"/>
  <c r="AL17" i="4"/>
  <c r="AM17" i="4"/>
  <c r="AL7" i="4"/>
  <c r="AM7" i="4"/>
  <c r="AL15" i="4"/>
  <c r="AM15" i="4"/>
  <c r="AL10" i="4"/>
  <c r="AM10" i="4"/>
  <c r="P8" i="3"/>
  <c r="S8" i="3"/>
  <c r="I8" i="3"/>
  <c r="J8" i="3"/>
  <c r="L8" i="3"/>
  <c r="D8" i="3"/>
  <c r="F8" i="3"/>
  <c r="P7" i="3"/>
  <c r="Q7" i="3"/>
  <c r="R7" i="3"/>
  <c r="I7" i="3"/>
  <c r="J7" i="3"/>
  <c r="L7" i="3"/>
  <c r="D7" i="3"/>
  <c r="F7" i="3"/>
  <c r="P6" i="3"/>
  <c r="S6" i="3"/>
  <c r="I6" i="3"/>
  <c r="J6" i="3"/>
  <c r="L6" i="3"/>
  <c r="F6" i="3"/>
  <c r="P5" i="3"/>
  <c r="S5" i="3"/>
  <c r="I5" i="3"/>
  <c r="J5" i="3"/>
  <c r="L5" i="3"/>
  <c r="F5" i="3"/>
  <c r="P4" i="3"/>
  <c r="Q4" i="3"/>
  <c r="R4" i="3"/>
  <c r="I4" i="3"/>
  <c r="J4" i="3"/>
  <c r="L4" i="3"/>
  <c r="T4" i="3"/>
  <c r="D4" i="3"/>
  <c r="F4" i="3"/>
  <c r="P3" i="3"/>
  <c r="Q3" i="3"/>
  <c r="R3" i="3"/>
  <c r="I3" i="3"/>
  <c r="J3" i="3"/>
  <c r="L3" i="3"/>
  <c r="D3" i="3"/>
  <c r="F3" i="3"/>
  <c r="P2" i="3"/>
  <c r="Q2" i="3"/>
  <c r="R2" i="3"/>
  <c r="I2" i="3"/>
  <c r="J2" i="3"/>
  <c r="L2" i="3"/>
  <c r="F2" i="3"/>
  <c r="O15" i="1"/>
  <c r="P15" i="1"/>
  <c r="Q15" i="1"/>
  <c r="I15" i="1"/>
  <c r="J15" i="1"/>
  <c r="L15" i="1"/>
  <c r="S15" i="1"/>
  <c r="T15" i="1"/>
  <c r="D15" i="1"/>
  <c r="F15" i="1"/>
  <c r="O7" i="1"/>
  <c r="P7" i="1"/>
  <c r="Q7" i="1"/>
  <c r="I7" i="1"/>
  <c r="J7" i="1"/>
  <c r="L7" i="1"/>
  <c r="D7" i="1"/>
  <c r="F7" i="1"/>
  <c r="S7" i="3"/>
  <c r="S4" i="3"/>
  <c r="T7" i="3"/>
  <c r="U7" i="3"/>
  <c r="T3" i="3"/>
  <c r="U3" i="3"/>
  <c r="U4" i="3"/>
  <c r="Q5" i="3"/>
  <c r="R5" i="3"/>
  <c r="T5" i="3"/>
  <c r="U5" i="3"/>
  <c r="Q8" i="3"/>
  <c r="R8" i="3"/>
  <c r="T8" i="3"/>
  <c r="U8" i="3"/>
  <c r="S3" i="3"/>
  <c r="Q6" i="3"/>
  <c r="R6" i="3"/>
  <c r="T6" i="3"/>
  <c r="U6" i="3"/>
  <c r="S7" i="1"/>
  <c r="R15" i="1"/>
  <c r="T7" i="1"/>
  <c r="R7" i="1"/>
  <c r="T4" i="1"/>
  <c r="T10" i="1"/>
  <c r="T11" i="1"/>
  <c r="T3" i="1"/>
  <c r="S4" i="1"/>
  <c r="S10" i="1"/>
  <c r="S11" i="1"/>
  <c r="S3" i="1"/>
  <c r="R3" i="1"/>
  <c r="R4" i="1"/>
  <c r="R10" i="1"/>
  <c r="R11" i="1"/>
  <c r="R14" i="1"/>
  <c r="Q3" i="1"/>
  <c r="Q4" i="1"/>
  <c r="Q9" i="1"/>
  <c r="Q10" i="1"/>
  <c r="Q11" i="1"/>
  <c r="Q2" i="1"/>
  <c r="L8" i="1"/>
  <c r="L9" i="1"/>
  <c r="L10" i="1"/>
  <c r="L11" i="1"/>
  <c r="L12" i="1"/>
  <c r="L13" i="1"/>
  <c r="L14" i="1"/>
  <c r="L3" i="1"/>
  <c r="L4" i="1"/>
  <c r="L5" i="1"/>
  <c r="L6" i="1"/>
  <c r="L2" i="1"/>
  <c r="O14" i="1"/>
  <c r="I14" i="1"/>
  <c r="J14" i="1"/>
  <c r="D14" i="1"/>
  <c r="F14" i="1"/>
  <c r="O13" i="1"/>
  <c r="P13" i="1"/>
  <c r="Q13" i="1"/>
  <c r="S13" i="1"/>
  <c r="T13" i="1"/>
  <c r="I13" i="1"/>
  <c r="J13" i="1"/>
  <c r="F13" i="1"/>
  <c r="O12" i="1"/>
  <c r="P12" i="1"/>
  <c r="Q12" i="1"/>
  <c r="S12" i="1"/>
  <c r="T12" i="1"/>
  <c r="I12" i="1"/>
  <c r="J12" i="1"/>
  <c r="F12" i="1"/>
  <c r="O11" i="1"/>
  <c r="P11" i="1"/>
  <c r="I11" i="1"/>
  <c r="J11" i="1"/>
  <c r="D11" i="1"/>
  <c r="F11" i="1"/>
  <c r="O10" i="1"/>
  <c r="P10" i="1"/>
  <c r="I10" i="1"/>
  <c r="J10" i="1"/>
  <c r="D10" i="1"/>
  <c r="F10" i="1"/>
  <c r="O9" i="1"/>
  <c r="P9" i="1"/>
  <c r="I9" i="1"/>
  <c r="J9" i="1"/>
  <c r="F9" i="1"/>
  <c r="R13" i="1"/>
  <c r="R12" i="1"/>
  <c r="P14" i="1"/>
  <c r="Q14" i="1"/>
  <c r="S14" i="1"/>
  <c r="T14" i="1"/>
  <c r="O6" i="1"/>
  <c r="R6" i="1"/>
  <c r="I6" i="1"/>
  <c r="J6" i="1"/>
  <c r="F6" i="1"/>
  <c r="O5" i="1"/>
  <c r="R5" i="1"/>
  <c r="I5" i="1"/>
  <c r="J5" i="1"/>
  <c r="F5" i="1"/>
  <c r="O2" i="1"/>
  <c r="I2" i="1"/>
  <c r="J2" i="1"/>
  <c r="F2" i="1"/>
  <c r="O4" i="1"/>
  <c r="O8" i="1"/>
  <c r="R8" i="1"/>
  <c r="O3" i="1"/>
  <c r="I4" i="1"/>
  <c r="I8" i="1"/>
  <c r="I3" i="1"/>
  <c r="D4" i="1"/>
  <c r="F4" i="1"/>
  <c r="D8" i="1"/>
  <c r="F8" i="1"/>
  <c r="D3" i="1"/>
  <c r="F3" i="1"/>
  <c r="P3" i="1"/>
  <c r="P8" i="1"/>
  <c r="Q8" i="1"/>
  <c r="S8" i="1"/>
  <c r="T8" i="1"/>
  <c r="P4" i="1"/>
  <c r="P2" i="1"/>
  <c r="P6" i="1"/>
  <c r="Q6" i="1"/>
  <c r="S6" i="1"/>
  <c r="T6" i="1"/>
  <c r="P5" i="1"/>
  <c r="Q5" i="1"/>
  <c r="S5" i="1"/>
  <c r="T5" i="1"/>
  <c r="J3" i="1"/>
  <c r="J8" i="1"/>
  <c r="J4" i="1"/>
  <c r="AV3" i="4"/>
  <c r="AE3" i="4"/>
  <c r="K3" i="4"/>
  <c r="AW3" i="4"/>
  <c r="AF3" i="4"/>
  <c r="L3" i="4"/>
  <c r="AX3" i="4"/>
  <c r="AG3" i="4"/>
  <c r="M3" i="4"/>
  <c r="AH17" i="4"/>
  <c r="AH8" i="4"/>
  <c r="AH9" i="4"/>
  <c r="AH12" i="4"/>
  <c r="AH16" i="4"/>
  <c r="N3" i="4"/>
  <c r="O3" i="4"/>
  <c r="P3" i="4"/>
  <c r="Q12" i="4"/>
  <c r="Q17" i="4"/>
  <c r="Q7" i="4"/>
  <c r="Q13" i="4"/>
  <c r="Q6" i="4"/>
  <c r="Q15" i="4"/>
  <c r="Q11" i="4"/>
  <c r="Q10" i="4"/>
  <c r="Q16" i="4"/>
  <c r="Q9" i="4"/>
  <c r="Q8" i="4"/>
  <c r="Q14" i="4"/>
  <c r="AR11" i="4" l="1"/>
  <c r="AB11" i="4"/>
  <c r="AS11" i="4"/>
  <c r="AC11" i="4"/>
  <c r="AT11" i="4"/>
  <c r="AD11" i="4"/>
  <c r="X11" i="4"/>
  <c r="AX11" i="4"/>
  <c r="AU11" i="4"/>
  <c r="AE11" i="4"/>
  <c r="Z11" i="4"/>
  <c r="AQ11" i="4"/>
  <c r="AO11" i="4"/>
  <c r="AA11" i="4"/>
  <c r="AV11" i="4"/>
  <c r="AF11" i="4"/>
  <c r="AW11" i="4"/>
  <c r="Y11" i="4"/>
  <c r="AG11" i="4"/>
  <c r="AP11" i="4"/>
  <c r="AL13" i="4"/>
  <c r="AM13" i="4" s="1"/>
  <c r="AR12" i="4"/>
  <c r="AO12" i="4"/>
  <c r="AU12" i="4"/>
  <c r="AS12" i="4"/>
  <c r="AV12" i="4"/>
  <c r="AT12" i="4"/>
  <c r="AW12" i="4"/>
  <c r="AP12" i="4"/>
  <c r="AX12" i="4"/>
  <c r="AQ12" i="4"/>
  <c r="AL6" i="4"/>
  <c r="AM6" i="4" s="1"/>
  <c r="AS5" i="4"/>
  <c r="AT5" i="4"/>
  <c r="AU5" i="4"/>
  <c r="AO5" i="4"/>
  <c r="AV5" i="4"/>
  <c r="AW5" i="4"/>
  <c r="AP5" i="4"/>
  <c r="AX5" i="4"/>
  <c r="AQ5" i="4"/>
  <c r="AR5" i="4"/>
  <c r="Y4" i="4"/>
  <c r="AG4" i="4"/>
  <c r="AA4" i="4"/>
  <c r="X4" i="4"/>
  <c r="Z4" i="4"/>
  <c r="AB4" i="4"/>
  <c r="AC4" i="4"/>
  <c r="AD4" i="4"/>
  <c r="AE4" i="4"/>
  <c r="AF4" i="4"/>
  <c r="AH14" i="4"/>
  <c r="AH11" i="4" l="1"/>
  <c r="AY11" i="4"/>
  <c r="AT13" i="4"/>
  <c r="AX13" i="4"/>
  <c r="AU13" i="4"/>
  <c r="AV13" i="4"/>
  <c r="AQ13" i="4"/>
  <c r="AR13" i="4"/>
  <c r="AO13" i="4"/>
  <c r="AS13" i="4"/>
  <c r="AW13" i="4"/>
  <c r="AP13" i="4"/>
  <c r="AY12" i="4"/>
  <c r="AU6" i="4"/>
  <c r="AX6" i="4"/>
  <c r="AQ6" i="4"/>
  <c r="AV6" i="4"/>
  <c r="AW6" i="4"/>
  <c r="AP6" i="4"/>
  <c r="AR6" i="4"/>
  <c r="AS6" i="4"/>
  <c r="AT6" i="4"/>
  <c r="AO6" i="4"/>
  <c r="AY5" i="4"/>
  <c r="AY4" i="4"/>
  <c r="AH4" i="4"/>
  <c r="AZ11" i="4" l="1"/>
  <c r="BA11" i="4"/>
  <c r="AY13" i="4"/>
  <c r="BA12" i="4"/>
  <c r="AZ12" i="4"/>
  <c r="AY6" i="4"/>
  <c r="BA5" i="4"/>
  <c r="AZ5" i="4"/>
  <c r="BA13" i="4" l="1"/>
  <c r="AZ13" i="4"/>
  <c r="BA6" i="4"/>
  <c r="AZ6" i="4"/>
</calcChain>
</file>

<file path=xl/comments1.xml><?xml version="1.0" encoding="utf-8"?>
<comments xmlns="http://schemas.openxmlformats.org/spreadsheetml/2006/main">
  <authors>
    <author>Carpenter, Tim</author>
  </authors>
  <commentList>
    <comment ref="G3" authorId="0">
      <text>
        <r>
          <rPr>
            <b/>
            <sz val="9"/>
            <color indexed="81"/>
            <rFont val="Tahoma"/>
            <charset val="1"/>
          </rPr>
          <t>Carpenter, Tim:</t>
        </r>
        <r>
          <rPr>
            <sz val="9"/>
            <color indexed="81"/>
            <rFont val="Tahoma"/>
            <charset val="1"/>
          </rPr>
          <t xml:space="preserve">
assume all vaccination occurs in year 0
</t>
        </r>
      </text>
    </comment>
    <comment ref="R4" authorId="0">
      <text>
        <r>
          <rPr>
            <b/>
            <sz val="9"/>
            <color indexed="81"/>
            <rFont val="Tahoma"/>
            <charset val="1"/>
          </rPr>
          <t>Carpenter, Tim:</t>
        </r>
        <r>
          <rPr>
            <sz val="9"/>
            <color indexed="81"/>
            <rFont val="Tahoma"/>
            <charset val="1"/>
          </rPr>
          <t xml:space="preserve">
I am assuming this is the 10-year total and not annual total, which is the assumption for the other rows in this column.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Carpenter, Tim:</t>
        </r>
        <r>
          <rPr>
            <sz val="9"/>
            <color indexed="81"/>
            <rFont val="Tahoma"/>
            <family val="2"/>
          </rPr>
          <t xml:space="preserve">
assume vaccination all occurred in year 0.</t>
        </r>
      </text>
    </comment>
  </commentList>
</comments>
</file>

<file path=xl/sharedStrings.xml><?xml version="1.0" encoding="utf-8"?>
<sst xmlns="http://schemas.openxmlformats.org/spreadsheetml/2006/main" count="176" uniqueCount="54">
  <si>
    <t>0.92-1.19</t>
  </si>
  <si>
    <t>1.82-2.13</t>
  </si>
  <si>
    <t>Savings</t>
  </si>
  <si>
    <t>Costs per vaccine</t>
  </si>
  <si>
    <t>Cases Reduced</t>
  </si>
  <si>
    <t>Benefit Cost Ratio</t>
  </si>
  <si>
    <t>Vaccines required to reduce R0 to 1</t>
  </si>
  <si>
    <t>Tot. vaccine costs</t>
  </si>
  <si>
    <t>Tot. hospitalised cases</t>
  </si>
  <si>
    <t>Tot hospitalised cases</t>
  </si>
  <si>
    <t>Years R0 estimated from</t>
  </si>
  <si>
    <t>2013-2014</t>
  </si>
  <si>
    <t>2009-2014</t>
  </si>
  <si>
    <t>Reffective range</t>
  </si>
  <si>
    <t>Reff  for simulations</t>
  </si>
  <si>
    <t>Proportion of cases hospitalised</t>
  </si>
  <si>
    <t>Ave. epidemic size in immune pop over 10 years with Reff = 1</t>
  </si>
  <si>
    <t>Number of introductions over 10 years</t>
  </si>
  <si>
    <t>Cost lost wages</t>
  </si>
  <si>
    <t>Cost Per Hospital Case</t>
  </si>
  <si>
    <t>Tot. costs for cases</t>
  </si>
  <si>
    <t>Tot cases over 10 years</t>
  </si>
  <si>
    <t>Ave number of cases in the popn over 10 years (1000 sims using Reff sim)</t>
  </si>
  <si>
    <t>R0 range</t>
  </si>
  <si>
    <t>R0  for simulations</t>
  </si>
  <si>
    <t>Total vaccine costs</t>
  </si>
  <si>
    <t>Wage losses per case</t>
  </si>
  <si>
    <t>Total hospitalised cases</t>
  </si>
  <si>
    <t>Cost per hospital case</t>
  </si>
  <si>
    <t>Total costs for cases</t>
  </si>
  <si>
    <t>Mean number of cases in the population (1000 simulations)</t>
  </si>
  <si>
    <t>R0  for simulations after response</t>
  </si>
  <si>
    <t>Total cases over 10 years after action</t>
  </si>
  <si>
    <t>Total hospitalised cases after action</t>
  </si>
  <si>
    <t>Total costs for cases after action</t>
  </si>
  <si>
    <t>Cases reduced due to action</t>
  </si>
  <si>
    <t>R0 for simulations</t>
  </si>
  <si>
    <t>Wages lost per case</t>
  </si>
  <si>
    <t>Expected number of cases expected over 10 years based on average since 1997</t>
  </si>
  <si>
    <t>Mean number of cases in the population after action (1000 simulations)</t>
  </si>
  <si>
    <t>year</t>
  </si>
  <si>
    <t>discount rate</t>
  </si>
  <si>
    <t>Present value of discounted vaccination costs</t>
  </si>
  <si>
    <t>Present value of discounted case costs of baseline program</t>
  </si>
  <si>
    <t>Additional vaccines required to reduce R0 to 1</t>
  </si>
  <si>
    <t>Total undiscounted case costs without additional vaccination</t>
  </si>
  <si>
    <t>Avg total cases in the popn over 10 years without additional vaccination (1000 sims using Reff sim)</t>
  </si>
  <si>
    <t>Total cases reduce by vaccination alternative vs baseline</t>
  </si>
  <si>
    <t>Tot. costs for cases assuming supplemental vaccination if any</t>
  </si>
  <si>
    <t>Annual discounted case costs without a supplemental (vaccination) program</t>
  </si>
  <si>
    <t>Annual discounted vaccination costs without a supplemental (vaccination) program</t>
  </si>
  <si>
    <t>Annual discounted benefits (case costs avoided) due to supplemental (vaccination) program</t>
  </si>
  <si>
    <t>Present value of discounted benefits from reducing cases with supplemental (vaccination) program</t>
  </si>
  <si>
    <t>Discounted Net Benefit of supplemental (vaccination)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</si>
</sst>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1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sqref="A1:T15"/>
    </sheetView>
  </sheetViews>
  <sheetFormatPr defaultColWidth="14" defaultRowHeight="15" x14ac:dyDescent="0.25"/>
  <cols>
    <col min="1" max="1" width="10" style="1" bestFit="1" customWidth="1"/>
    <col min="2" max="2" width="10.140625" style="1" bestFit="1" customWidth="1"/>
    <col min="3" max="3" width="11.28515625" style="1" bestFit="1" customWidth="1"/>
    <col min="4" max="4" width="13.5703125" style="1" bestFit="1" customWidth="1"/>
    <col min="5" max="5" width="9.140625" style="1" bestFit="1" customWidth="1"/>
    <col min="6" max="6" width="11.42578125" style="1" bestFit="1" customWidth="1"/>
    <col min="7" max="7" width="11.85546875" style="1" bestFit="1" customWidth="1"/>
    <col min="8" max="8" width="8.5703125" style="1" bestFit="1" customWidth="1"/>
    <col min="9" max="9" width="12.85546875" style="1" bestFit="1" customWidth="1"/>
    <col min="10" max="10" width="11.85546875" style="1" bestFit="1" customWidth="1"/>
    <col min="11" max="11" width="12.85546875" style="1" bestFit="1" customWidth="1"/>
    <col min="12" max="12" width="12.28515625" style="1" bestFit="1" customWidth="1"/>
    <col min="13" max="13" width="13.85546875" style="1" bestFit="1" customWidth="1"/>
    <col min="14" max="14" width="12.85546875" style="1" bestFit="1" customWidth="1"/>
    <col min="15" max="15" width="13.5703125" style="1" bestFit="1" customWidth="1"/>
    <col min="16" max="16" width="11.85546875" style="1" bestFit="1" customWidth="1"/>
    <col min="17" max="17" width="9.28515625" style="1" bestFit="1" customWidth="1"/>
    <col min="18" max="18" width="8.7109375" style="1" bestFit="1" customWidth="1"/>
    <col min="19" max="19" width="10" style="1" bestFit="1" customWidth="1"/>
    <col min="20" max="20" width="11.85546875" style="1" bestFit="1" customWidth="1"/>
    <col min="21" max="16384" width="14" style="1"/>
  </cols>
  <sheetData>
    <row r="1" spans="1:21" ht="105" x14ac:dyDescent="0.25">
      <c r="A1" s="1" t="s">
        <v>10</v>
      </c>
      <c r="B1" s="1" t="s">
        <v>13</v>
      </c>
      <c r="C1" s="1" t="s">
        <v>14</v>
      </c>
      <c r="D1" s="1" t="s">
        <v>6</v>
      </c>
      <c r="E1" s="1" t="s">
        <v>3</v>
      </c>
      <c r="F1" s="1" t="s">
        <v>7</v>
      </c>
      <c r="G1" s="1" t="s">
        <v>22</v>
      </c>
      <c r="H1" s="1" t="s">
        <v>18</v>
      </c>
      <c r="I1" s="1" t="s">
        <v>15</v>
      </c>
      <c r="J1" s="1" t="s">
        <v>8</v>
      </c>
      <c r="K1" s="1" t="s">
        <v>19</v>
      </c>
      <c r="L1" s="1" t="s">
        <v>20</v>
      </c>
      <c r="M1" s="1" t="s">
        <v>16</v>
      </c>
      <c r="N1" s="1" t="s">
        <v>17</v>
      </c>
      <c r="O1" s="1" t="s">
        <v>21</v>
      </c>
      <c r="P1" s="1" t="s">
        <v>9</v>
      </c>
      <c r="Q1" s="1" t="s">
        <v>20</v>
      </c>
      <c r="R1" s="1" t="s">
        <v>4</v>
      </c>
      <c r="S1" s="1" t="s">
        <v>2</v>
      </c>
      <c r="T1" s="1" t="s">
        <v>5</v>
      </c>
    </row>
    <row r="2" spans="1:21" x14ac:dyDescent="0.25">
      <c r="A2" s="1" t="s">
        <v>12</v>
      </c>
      <c r="B2" s="1" t="s">
        <v>0</v>
      </c>
      <c r="C2" s="3">
        <v>0.92</v>
      </c>
      <c r="D2" s="2">
        <v>0</v>
      </c>
      <c r="E2" s="2"/>
      <c r="F2" s="2">
        <f>D2*E2</f>
        <v>0</v>
      </c>
      <c r="G2" s="2">
        <v>13</v>
      </c>
      <c r="H2">
        <v>852</v>
      </c>
      <c r="I2" s="1">
        <f t="shared" ref="I2:I15" si="0">0.17</f>
        <v>0.17</v>
      </c>
      <c r="J2" s="2">
        <f>G2*I2</f>
        <v>2.21</v>
      </c>
      <c r="K2" s="2">
        <v>1710</v>
      </c>
      <c r="L2" s="2">
        <f>J2*K2+G2*H2</f>
        <v>14855.1</v>
      </c>
      <c r="M2" s="2">
        <v>13</v>
      </c>
      <c r="N2" s="2">
        <v>10</v>
      </c>
      <c r="O2" s="2">
        <f>N2*M2</f>
        <v>130</v>
      </c>
      <c r="P2" s="2">
        <f>O2*0.17</f>
        <v>22.1</v>
      </c>
      <c r="Q2" s="2">
        <f>P2*K2+O2*H2</f>
        <v>148551</v>
      </c>
      <c r="R2" s="2"/>
      <c r="S2" s="2"/>
      <c r="T2" s="3"/>
    </row>
    <row r="3" spans="1:21" x14ac:dyDescent="0.25">
      <c r="A3" s="1" t="s">
        <v>12</v>
      </c>
      <c r="B3" s="1" t="s">
        <v>0</v>
      </c>
      <c r="C3" s="3">
        <v>1.19</v>
      </c>
      <c r="D3" s="2">
        <f>80000</f>
        <v>80000</v>
      </c>
      <c r="E3" s="2">
        <v>20</v>
      </c>
      <c r="F3" s="2">
        <f>D3*E3</f>
        <v>1600000</v>
      </c>
      <c r="G3" s="2">
        <v>128901</v>
      </c>
      <c r="H3">
        <v>852</v>
      </c>
      <c r="I3" s="1">
        <f>0.17</f>
        <v>0.17</v>
      </c>
      <c r="J3" s="2">
        <f>G3*I3</f>
        <v>21913.170000000002</v>
      </c>
      <c r="K3" s="2">
        <v>1710</v>
      </c>
      <c r="L3" s="2">
        <f t="shared" ref="L3:L14" si="1">J3*K3+G3*H3</f>
        <v>147295172.69999999</v>
      </c>
      <c r="M3" s="2">
        <v>175</v>
      </c>
      <c r="N3" s="2">
        <v>10</v>
      </c>
      <c r="O3" s="2">
        <f>N3*M3</f>
        <v>1750</v>
      </c>
      <c r="P3" s="2">
        <f>O3*0.17</f>
        <v>297.5</v>
      </c>
      <c r="Q3" s="2">
        <f t="shared" ref="Q3:Q14" si="2">P3*K3+O3*H3</f>
        <v>1999725</v>
      </c>
      <c r="R3" s="2">
        <f t="shared" ref="R3:R14" si="3">G3-O3</f>
        <v>127151</v>
      </c>
      <c r="S3" s="2">
        <f>L3-Q3</f>
        <v>145295447.69999999</v>
      </c>
      <c r="T3" s="3">
        <f>S3/SUM(Q3,F3)</f>
        <v>40.36292986269784</v>
      </c>
      <c r="U3" s="4"/>
    </row>
    <row r="4" spans="1:21" x14ac:dyDescent="0.25">
      <c r="A4" s="1" t="s">
        <v>12</v>
      </c>
      <c r="B4" s="1" t="s">
        <v>0</v>
      </c>
      <c r="C4" s="3">
        <v>1.19</v>
      </c>
      <c r="D4" s="2">
        <f>80000</f>
        <v>80000</v>
      </c>
      <c r="E4" s="2">
        <v>50</v>
      </c>
      <c r="F4" s="2">
        <f t="shared" ref="F4" si="4">D4*E4</f>
        <v>4000000</v>
      </c>
      <c r="G4" s="2">
        <v>128901</v>
      </c>
      <c r="H4">
        <v>852</v>
      </c>
      <c r="I4" s="1">
        <f t="shared" si="0"/>
        <v>0.17</v>
      </c>
      <c r="J4" s="2">
        <f t="shared" ref="J4" si="5">G4*I4</f>
        <v>21913.170000000002</v>
      </c>
      <c r="K4" s="2">
        <v>1710</v>
      </c>
      <c r="L4" s="2">
        <f t="shared" si="1"/>
        <v>147295172.69999999</v>
      </c>
      <c r="M4" s="2">
        <v>175</v>
      </c>
      <c r="N4" s="2">
        <v>10</v>
      </c>
      <c r="O4" s="2">
        <f t="shared" ref="O4" si="6">N4*M4</f>
        <v>1750</v>
      </c>
      <c r="P4" s="2">
        <f t="shared" ref="P4:P6" si="7">O4*0.17</f>
        <v>297.5</v>
      </c>
      <c r="Q4" s="2">
        <f t="shared" si="2"/>
        <v>1999725</v>
      </c>
      <c r="R4" s="2">
        <f t="shared" si="3"/>
        <v>127151</v>
      </c>
      <c r="S4" s="2">
        <f t="shared" ref="S4:S14" si="8">L4-Q4</f>
        <v>145295447.69999999</v>
      </c>
      <c r="T4" s="3">
        <f t="shared" ref="T4:T14" si="9">S4/SUM(Q4,F4)</f>
        <v>24.217017896653594</v>
      </c>
      <c r="U4" s="4"/>
    </row>
    <row r="5" spans="1:21" x14ac:dyDescent="0.25">
      <c r="A5" s="1" t="s">
        <v>11</v>
      </c>
      <c r="B5" s="1" t="s">
        <v>1</v>
      </c>
      <c r="C5" s="3">
        <v>1.82</v>
      </c>
      <c r="D5" s="2">
        <v>208153</v>
      </c>
      <c r="E5" s="2">
        <v>20</v>
      </c>
      <c r="F5" s="2">
        <f t="shared" ref="F5:F6" si="10">D5*E5</f>
        <v>4163060</v>
      </c>
      <c r="G5" s="2">
        <v>340032</v>
      </c>
      <c r="H5">
        <v>852</v>
      </c>
      <c r="I5" s="1">
        <f t="shared" si="0"/>
        <v>0.17</v>
      </c>
      <c r="J5" s="2">
        <f t="shared" ref="J5:J6" si="11">G5*I5</f>
        <v>57805.440000000002</v>
      </c>
      <c r="K5" s="2">
        <v>1710</v>
      </c>
      <c r="L5" s="2">
        <f t="shared" si="1"/>
        <v>388554566.39999998</v>
      </c>
      <c r="M5" s="2">
        <v>116</v>
      </c>
      <c r="N5" s="2">
        <v>10</v>
      </c>
      <c r="O5" s="2">
        <f t="shared" ref="O5:O6" si="12">N5*M5</f>
        <v>1160</v>
      </c>
      <c r="P5" s="2">
        <f t="shared" si="7"/>
        <v>197.20000000000002</v>
      </c>
      <c r="Q5" s="2">
        <f t="shared" si="2"/>
        <v>1325532</v>
      </c>
      <c r="R5" s="2">
        <f t="shared" si="3"/>
        <v>338872</v>
      </c>
      <c r="S5" s="2">
        <f t="shared" si="8"/>
        <v>387229034.39999998</v>
      </c>
      <c r="T5" s="3">
        <f t="shared" si="9"/>
        <v>70.551615860679746</v>
      </c>
    </row>
    <row r="6" spans="1:21" x14ac:dyDescent="0.25">
      <c r="A6" s="1" t="s">
        <v>11</v>
      </c>
      <c r="B6" s="1" t="s">
        <v>1</v>
      </c>
      <c r="C6" s="3">
        <v>1.82</v>
      </c>
      <c r="D6" s="2">
        <v>208153</v>
      </c>
      <c r="E6" s="2">
        <v>50</v>
      </c>
      <c r="F6" s="2">
        <f t="shared" si="10"/>
        <v>10407650</v>
      </c>
      <c r="G6" s="2">
        <v>340032</v>
      </c>
      <c r="H6">
        <v>852</v>
      </c>
      <c r="I6" s="1">
        <f t="shared" si="0"/>
        <v>0.17</v>
      </c>
      <c r="J6" s="2">
        <f t="shared" si="11"/>
        <v>57805.440000000002</v>
      </c>
      <c r="K6" s="2">
        <v>1710</v>
      </c>
      <c r="L6" s="2">
        <f t="shared" si="1"/>
        <v>388554566.39999998</v>
      </c>
      <c r="M6" s="2">
        <v>116</v>
      </c>
      <c r="N6" s="2">
        <v>10</v>
      </c>
      <c r="O6" s="2">
        <f t="shared" si="12"/>
        <v>1160</v>
      </c>
      <c r="P6" s="2">
        <f t="shared" si="7"/>
        <v>197.20000000000002</v>
      </c>
      <c r="Q6" s="2">
        <f t="shared" si="2"/>
        <v>1325532</v>
      </c>
      <c r="R6" s="2">
        <f t="shared" si="3"/>
        <v>338872</v>
      </c>
      <c r="S6" s="2">
        <f t="shared" si="8"/>
        <v>387229034.39999998</v>
      </c>
      <c r="T6" s="3">
        <f t="shared" si="9"/>
        <v>33.002900185133065</v>
      </c>
    </row>
    <row r="7" spans="1:21" x14ac:dyDescent="0.25">
      <c r="A7" s="1" t="s">
        <v>11</v>
      </c>
      <c r="B7" s="1" t="s">
        <v>1</v>
      </c>
      <c r="C7" s="3">
        <v>2.13</v>
      </c>
      <c r="D7" s="2">
        <f>252561</f>
        <v>252561</v>
      </c>
      <c r="E7" s="2">
        <v>20</v>
      </c>
      <c r="F7" s="2">
        <f>D7*E7</f>
        <v>5051220</v>
      </c>
      <c r="G7" s="2">
        <v>382074</v>
      </c>
      <c r="H7">
        <v>852</v>
      </c>
      <c r="I7" s="1">
        <f t="shared" si="0"/>
        <v>0.17</v>
      </c>
      <c r="J7" s="2">
        <f>G7*I7</f>
        <v>64952.58</v>
      </c>
      <c r="K7" s="2">
        <v>1710</v>
      </c>
      <c r="L7" s="2">
        <f t="shared" ref="L7" si="13">J7*K7+G7*H7</f>
        <v>436595959.80000001</v>
      </c>
      <c r="M7" s="2">
        <v>116</v>
      </c>
      <c r="N7" s="2">
        <v>10</v>
      </c>
      <c r="O7" s="2">
        <f>N7*M7</f>
        <v>1160</v>
      </c>
      <c r="P7" s="2">
        <f>O7*0.17</f>
        <v>197.20000000000002</v>
      </c>
      <c r="Q7" s="2">
        <f t="shared" ref="Q7" si="14">P7*K7+O7*H7</f>
        <v>1325532</v>
      </c>
      <c r="R7" s="2">
        <f t="shared" ref="R7" si="15">G7-O7</f>
        <v>380914</v>
      </c>
      <c r="S7" s="2">
        <f t="shared" ref="S7" si="16">L7-Q7</f>
        <v>435270427.80000001</v>
      </c>
      <c r="T7" s="3">
        <f t="shared" ref="T7" si="17">S7/SUM(Q7,F7)</f>
        <v>68.258954997779441</v>
      </c>
      <c r="U7" s="4"/>
    </row>
    <row r="8" spans="1:21" x14ac:dyDescent="0.25">
      <c r="A8" s="1" t="s">
        <v>11</v>
      </c>
      <c r="B8" s="1" t="s">
        <v>1</v>
      </c>
      <c r="C8" s="3">
        <v>2.13</v>
      </c>
      <c r="D8" s="2">
        <f>252561</f>
        <v>252561</v>
      </c>
      <c r="E8" s="2">
        <v>50</v>
      </c>
      <c r="F8" s="2">
        <f>D8*E8</f>
        <v>12628050</v>
      </c>
      <c r="G8" s="2">
        <v>382074</v>
      </c>
      <c r="H8">
        <v>852</v>
      </c>
      <c r="I8" s="1">
        <f t="shared" si="0"/>
        <v>0.17</v>
      </c>
      <c r="J8" s="2">
        <f>G8*I8</f>
        <v>64952.58</v>
      </c>
      <c r="K8" s="2">
        <v>1710</v>
      </c>
      <c r="L8" s="2">
        <f t="shared" si="1"/>
        <v>436595959.80000001</v>
      </c>
      <c r="M8" s="2">
        <v>116</v>
      </c>
      <c r="N8" s="2">
        <v>10</v>
      </c>
      <c r="O8" s="2">
        <f>N8*M8</f>
        <v>1160</v>
      </c>
      <c r="P8" s="2">
        <f>O8*0.17</f>
        <v>197.20000000000002</v>
      </c>
      <c r="Q8" s="2">
        <f t="shared" si="2"/>
        <v>1325532</v>
      </c>
      <c r="R8" s="2">
        <f t="shared" si="3"/>
        <v>380914</v>
      </c>
      <c r="S8" s="2">
        <f t="shared" si="8"/>
        <v>435270427.80000001</v>
      </c>
      <c r="T8" s="3">
        <f t="shared" si="9"/>
        <v>31.19417134611027</v>
      </c>
      <c r="U8" s="4"/>
    </row>
    <row r="9" spans="1:21" x14ac:dyDescent="0.25">
      <c r="A9" s="1" t="s">
        <v>12</v>
      </c>
      <c r="B9" s="1" t="s">
        <v>0</v>
      </c>
      <c r="C9" s="3">
        <v>0.92</v>
      </c>
      <c r="D9" s="2">
        <v>0</v>
      </c>
      <c r="E9" s="2"/>
      <c r="F9" s="2">
        <f>D9*E9</f>
        <v>0</v>
      </c>
      <c r="G9" s="2">
        <v>2200</v>
      </c>
      <c r="H9">
        <v>852</v>
      </c>
      <c r="I9" s="1">
        <f t="shared" si="0"/>
        <v>0.17</v>
      </c>
      <c r="J9" s="2">
        <f>G9*I9</f>
        <v>374</v>
      </c>
      <c r="K9" s="2">
        <v>1710</v>
      </c>
      <c r="L9" s="2">
        <f t="shared" si="1"/>
        <v>2513940</v>
      </c>
      <c r="M9" s="2">
        <v>13</v>
      </c>
      <c r="N9" s="2">
        <v>10</v>
      </c>
      <c r="O9" s="2">
        <f>N9*M9</f>
        <v>130</v>
      </c>
      <c r="P9" s="2">
        <f>O9*0.17</f>
        <v>22.1</v>
      </c>
      <c r="Q9" s="2">
        <f t="shared" si="2"/>
        <v>148551</v>
      </c>
      <c r="R9" s="2"/>
      <c r="S9" s="2"/>
      <c r="T9" s="3"/>
    </row>
    <row r="10" spans="1:21" x14ac:dyDescent="0.25">
      <c r="A10" s="1" t="s">
        <v>12</v>
      </c>
      <c r="B10" s="1" t="s">
        <v>0</v>
      </c>
      <c r="C10" s="3">
        <v>1.19</v>
      </c>
      <c r="D10" s="2">
        <f>80000</f>
        <v>80000</v>
      </c>
      <c r="E10" s="2">
        <v>20</v>
      </c>
      <c r="F10" s="2">
        <f>D10*E10</f>
        <v>1600000</v>
      </c>
      <c r="G10" s="2">
        <v>2200</v>
      </c>
      <c r="H10">
        <v>852</v>
      </c>
      <c r="I10" s="1">
        <f>0.17</f>
        <v>0.17</v>
      </c>
      <c r="J10" s="2">
        <f>G10*I10</f>
        <v>374</v>
      </c>
      <c r="K10" s="2">
        <v>1710</v>
      </c>
      <c r="L10" s="2">
        <f t="shared" si="1"/>
        <v>2513940</v>
      </c>
      <c r="M10" s="2">
        <v>175</v>
      </c>
      <c r="N10" s="2">
        <v>10</v>
      </c>
      <c r="O10" s="2">
        <f>N10*M10</f>
        <v>1750</v>
      </c>
      <c r="P10" s="2">
        <f>O10*0.17</f>
        <v>297.5</v>
      </c>
      <c r="Q10" s="2">
        <f t="shared" si="2"/>
        <v>1999725</v>
      </c>
      <c r="R10" s="2">
        <f t="shared" si="3"/>
        <v>450</v>
      </c>
      <c r="S10" s="2">
        <f t="shared" si="8"/>
        <v>514215</v>
      </c>
      <c r="T10" s="3">
        <f t="shared" si="9"/>
        <v>0.14284841203147464</v>
      </c>
    </row>
    <row r="11" spans="1:21" x14ac:dyDescent="0.25">
      <c r="A11" s="1" t="s">
        <v>12</v>
      </c>
      <c r="B11" s="1" t="s">
        <v>0</v>
      </c>
      <c r="C11" s="3">
        <v>1.19</v>
      </c>
      <c r="D11" s="2">
        <f>80000</f>
        <v>80000</v>
      </c>
      <c r="E11" s="2">
        <v>50</v>
      </c>
      <c r="F11" s="2">
        <f t="shared" ref="F11:F13" si="18">D11*E11</f>
        <v>4000000</v>
      </c>
      <c r="G11" s="2">
        <v>2200</v>
      </c>
      <c r="H11">
        <v>852</v>
      </c>
      <c r="I11" s="1">
        <f t="shared" si="0"/>
        <v>0.17</v>
      </c>
      <c r="J11" s="2">
        <f t="shared" ref="J11:J13" si="19">G11*I11</f>
        <v>374</v>
      </c>
      <c r="K11" s="2">
        <v>1710</v>
      </c>
      <c r="L11" s="2">
        <f t="shared" si="1"/>
        <v>2513940</v>
      </c>
      <c r="M11" s="2">
        <v>175</v>
      </c>
      <c r="N11" s="2">
        <v>10</v>
      </c>
      <c r="O11" s="2">
        <f t="shared" ref="O11:O13" si="20">N11*M11</f>
        <v>1750</v>
      </c>
      <c r="P11" s="2">
        <f t="shared" ref="P11:P13" si="21">O11*0.17</f>
        <v>297.5</v>
      </c>
      <c r="Q11" s="2">
        <f t="shared" si="2"/>
        <v>1999725</v>
      </c>
      <c r="R11" s="2">
        <f t="shared" si="3"/>
        <v>450</v>
      </c>
      <c r="S11" s="2">
        <f t="shared" si="8"/>
        <v>514215</v>
      </c>
      <c r="T11" s="3">
        <f t="shared" si="9"/>
        <v>8.5706428211293012E-2</v>
      </c>
    </row>
    <row r="12" spans="1:21" x14ac:dyDescent="0.25">
      <c r="A12" s="1" t="s">
        <v>11</v>
      </c>
      <c r="B12" s="1" t="s">
        <v>1</v>
      </c>
      <c r="C12" s="3">
        <v>1.82</v>
      </c>
      <c r="D12" s="2">
        <v>208153</v>
      </c>
      <c r="E12" s="2">
        <v>20</v>
      </c>
      <c r="F12" s="2">
        <f t="shared" si="18"/>
        <v>4163060</v>
      </c>
      <c r="G12" s="2">
        <v>2200</v>
      </c>
      <c r="H12">
        <v>852</v>
      </c>
      <c r="I12" s="1">
        <f t="shared" si="0"/>
        <v>0.17</v>
      </c>
      <c r="J12" s="2">
        <f t="shared" si="19"/>
        <v>374</v>
      </c>
      <c r="K12" s="2">
        <v>1710</v>
      </c>
      <c r="L12" s="2">
        <f t="shared" si="1"/>
        <v>2513940</v>
      </c>
      <c r="M12" s="2">
        <v>116</v>
      </c>
      <c r="N12" s="2">
        <v>10</v>
      </c>
      <c r="O12" s="2">
        <f t="shared" si="20"/>
        <v>1160</v>
      </c>
      <c r="P12" s="2">
        <f t="shared" si="21"/>
        <v>197.20000000000002</v>
      </c>
      <c r="Q12" s="2">
        <f t="shared" si="2"/>
        <v>1325532</v>
      </c>
      <c r="R12" s="2">
        <f t="shared" si="3"/>
        <v>1040</v>
      </c>
      <c r="S12" s="2">
        <f t="shared" si="8"/>
        <v>1188408</v>
      </c>
      <c r="T12" s="3">
        <f t="shared" si="9"/>
        <v>0.21652329049053018</v>
      </c>
    </row>
    <row r="13" spans="1:21" x14ac:dyDescent="0.25">
      <c r="A13" s="1" t="s">
        <v>11</v>
      </c>
      <c r="B13" s="1" t="s">
        <v>1</v>
      </c>
      <c r="C13" s="3">
        <v>1.82</v>
      </c>
      <c r="D13" s="2">
        <v>208153</v>
      </c>
      <c r="E13" s="2">
        <v>50</v>
      </c>
      <c r="F13" s="2">
        <f t="shared" si="18"/>
        <v>10407650</v>
      </c>
      <c r="G13" s="2">
        <v>2200</v>
      </c>
      <c r="H13">
        <v>852</v>
      </c>
      <c r="I13" s="1">
        <f t="shared" si="0"/>
        <v>0.17</v>
      </c>
      <c r="J13" s="2">
        <f t="shared" si="19"/>
        <v>374</v>
      </c>
      <c r="K13" s="2">
        <v>1710</v>
      </c>
      <c r="L13" s="2">
        <f t="shared" si="1"/>
        <v>2513940</v>
      </c>
      <c r="M13" s="2">
        <v>116</v>
      </c>
      <c r="N13" s="2">
        <v>10</v>
      </c>
      <c r="O13" s="2">
        <f t="shared" si="20"/>
        <v>1160</v>
      </c>
      <c r="P13" s="2">
        <f t="shared" si="21"/>
        <v>197.20000000000002</v>
      </c>
      <c r="Q13" s="2">
        <f t="shared" si="2"/>
        <v>1325532</v>
      </c>
      <c r="R13" s="2">
        <f t="shared" si="3"/>
        <v>1040</v>
      </c>
      <c r="S13" s="2">
        <f t="shared" si="8"/>
        <v>1188408</v>
      </c>
      <c r="T13" s="3">
        <f t="shared" si="9"/>
        <v>0.10128607908749732</v>
      </c>
    </row>
    <row r="14" spans="1:21" x14ac:dyDescent="0.25">
      <c r="A14" s="1" t="s">
        <v>11</v>
      </c>
      <c r="B14" s="1" t="s">
        <v>1</v>
      </c>
      <c r="C14" s="3">
        <v>2.13</v>
      </c>
      <c r="D14" s="2">
        <f>252561</f>
        <v>252561</v>
      </c>
      <c r="E14" s="2">
        <v>20</v>
      </c>
      <c r="F14" s="2">
        <f>D14*E14</f>
        <v>5051220</v>
      </c>
      <c r="G14" s="2">
        <v>2200</v>
      </c>
      <c r="H14">
        <v>852</v>
      </c>
      <c r="I14" s="1">
        <f t="shared" si="0"/>
        <v>0.17</v>
      </c>
      <c r="J14" s="2">
        <f>G14*I14</f>
        <v>374</v>
      </c>
      <c r="K14" s="2">
        <v>1710</v>
      </c>
      <c r="L14" s="2">
        <f t="shared" si="1"/>
        <v>2513940</v>
      </c>
      <c r="M14" s="2">
        <v>116</v>
      </c>
      <c r="N14" s="2">
        <v>10</v>
      </c>
      <c r="O14" s="2">
        <f>N14*M14</f>
        <v>1160</v>
      </c>
      <c r="P14" s="2">
        <f>O14*0.17</f>
        <v>197.20000000000002</v>
      </c>
      <c r="Q14" s="2">
        <f t="shared" si="2"/>
        <v>1325532</v>
      </c>
      <c r="R14" s="2">
        <f t="shared" si="3"/>
        <v>1040</v>
      </c>
      <c r="S14" s="2">
        <f t="shared" si="8"/>
        <v>1188408</v>
      </c>
      <c r="T14" s="3">
        <f t="shared" si="9"/>
        <v>0.18636572349057953</v>
      </c>
    </row>
    <row r="15" spans="1:21" x14ac:dyDescent="0.25">
      <c r="A15" s="1" t="s">
        <v>11</v>
      </c>
      <c r="B15" s="1" t="s">
        <v>1</v>
      </c>
      <c r="C15" s="3">
        <v>2.13</v>
      </c>
      <c r="D15" s="2">
        <f>252561</f>
        <v>252561</v>
      </c>
      <c r="E15" s="2">
        <v>50</v>
      </c>
      <c r="F15" s="2">
        <f>D15*E15</f>
        <v>12628050</v>
      </c>
      <c r="G15" s="2">
        <v>2200</v>
      </c>
      <c r="H15">
        <v>852</v>
      </c>
      <c r="I15" s="1">
        <f t="shared" si="0"/>
        <v>0.17</v>
      </c>
      <c r="J15" s="2">
        <f>G15*I15</f>
        <v>374</v>
      </c>
      <c r="K15" s="2">
        <v>1710</v>
      </c>
      <c r="L15" s="2">
        <f t="shared" ref="L15" si="22">J15*K15+G15*H15</f>
        <v>2513940</v>
      </c>
      <c r="M15" s="2">
        <v>116</v>
      </c>
      <c r="N15" s="2">
        <v>10</v>
      </c>
      <c r="O15" s="2">
        <f>N15*M15</f>
        <v>1160</v>
      </c>
      <c r="P15" s="2">
        <f>O15*0.17</f>
        <v>197.20000000000002</v>
      </c>
      <c r="Q15" s="2">
        <f t="shared" ref="Q15" si="23">P15*K15+O15*H15</f>
        <v>1325532</v>
      </c>
      <c r="R15" s="2">
        <f t="shared" ref="R15" si="24">G15-O15</f>
        <v>1040</v>
      </c>
      <c r="S15" s="2">
        <f t="shared" ref="S15" si="25">L15-Q15</f>
        <v>1188408</v>
      </c>
      <c r="T15" s="3">
        <f t="shared" ref="T15" si="26">S15/SUM(Q15,F15)</f>
        <v>8.5168668518234236E-2</v>
      </c>
      <c r="U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M1" sqref="M1:M1048576"/>
    </sheetView>
  </sheetViews>
  <sheetFormatPr defaultColWidth="12.85546875" defaultRowHeight="15" x14ac:dyDescent="0.25"/>
  <cols>
    <col min="1" max="1" width="10" bestFit="1" customWidth="1"/>
    <col min="2" max="2" width="10.140625" bestFit="1" customWidth="1"/>
    <col min="3" max="3" width="11.28515625" bestFit="1" customWidth="1"/>
    <col min="4" max="4" width="18.85546875" bestFit="1" customWidth="1"/>
    <col min="5" max="5" width="12" bestFit="1" customWidth="1"/>
    <col min="6" max="6" width="9.140625" bestFit="1" customWidth="1"/>
    <col min="7" max="7" width="11.42578125" bestFit="1" customWidth="1"/>
    <col min="8" max="8" width="16.5703125" bestFit="1" customWidth="1"/>
    <col min="9" max="9" width="11.85546875" bestFit="1" customWidth="1"/>
    <col min="10" max="10" width="12.28515625" bestFit="1" customWidth="1"/>
    <col min="11" max="11" width="10" bestFit="1" customWidth="1"/>
    <col min="12" max="12" width="11.85546875" bestFit="1" customWidth="1"/>
    <col min="13" max="13" width="11.28515625" bestFit="1" customWidth="1"/>
  </cols>
  <sheetData>
    <row r="1" spans="1:21" s="1" customFormat="1" ht="105" x14ac:dyDescent="0.25">
      <c r="A1" s="1" t="s">
        <v>10</v>
      </c>
      <c r="B1" s="1" t="s">
        <v>23</v>
      </c>
      <c r="C1" s="1" t="s">
        <v>24</v>
      </c>
      <c r="D1" s="1" t="s">
        <v>30</v>
      </c>
      <c r="E1" s="1" t="s">
        <v>6</v>
      </c>
      <c r="F1" s="1" t="s">
        <v>3</v>
      </c>
      <c r="G1" s="1" t="s">
        <v>25</v>
      </c>
      <c r="H1" s="1" t="s">
        <v>26</v>
      </c>
      <c r="I1" s="1" t="s">
        <v>15</v>
      </c>
      <c r="J1" s="1" t="s">
        <v>27</v>
      </c>
      <c r="K1" s="1" t="s">
        <v>28</v>
      </c>
      <c r="L1" s="1" t="s">
        <v>29</v>
      </c>
      <c r="M1" s="1" t="s">
        <v>31</v>
      </c>
      <c r="N1" s="1" t="s">
        <v>39</v>
      </c>
      <c r="O1" s="1" t="s">
        <v>17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2</v>
      </c>
      <c r="U1" s="1" t="s">
        <v>5</v>
      </c>
    </row>
    <row r="2" spans="1:21" s="1" customFormat="1" x14ac:dyDescent="0.25">
      <c r="A2" s="1" t="s">
        <v>12</v>
      </c>
      <c r="B2" s="1" t="s">
        <v>0</v>
      </c>
      <c r="C2" s="3">
        <v>0.92</v>
      </c>
      <c r="D2" s="2">
        <v>13</v>
      </c>
      <c r="E2" s="2">
        <v>0</v>
      </c>
      <c r="F2" s="2"/>
      <c r="G2" s="2">
        <v>0</v>
      </c>
      <c r="H2">
        <v>852</v>
      </c>
      <c r="I2" s="1">
        <v>0.17</v>
      </c>
      <c r="J2" s="2">
        <v>2.21</v>
      </c>
      <c r="K2" s="2">
        <v>1710</v>
      </c>
      <c r="L2" s="2">
        <v>14855.1</v>
      </c>
      <c r="M2" s="3">
        <v>0.92</v>
      </c>
      <c r="N2" s="2">
        <v>13</v>
      </c>
      <c r="O2" s="2">
        <v>10</v>
      </c>
      <c r="P2" s="2">
        <v>130</v>
      </c>
      <c r="Q2" s="2">
        <v>22.1</v>
      </c>
      <c r="R2" s="2">
        <v>148551</v>
      </c>
      <c r="S2" s="2"/>
      <c r="T2" s="2"/>
      <c r="U2" s="3"/>
    </row>
    <row r="3" spans="1:21" s="1" customFormat="1" x14ac:dyDescent="0.25">
      <c r="A3" s="1" t="s">
        <v>12</v>
      </c>
      <c r="B3" s="1" t="s">
        <v>0</v>
      </c>
      <c r="C3" s="3">
        <v>1.19</v>
      </c>
      <c r="D3" s="2">
        <v>128901</v>
      </c>
      <c r="E3" s="2">
        <v>80000</v>
      </c>
      <c r="F3" s="2">
        <v>20</v>
      </c>
      <c r="G3" s="2">
        <v>1600000</v>
      </c>
      <c r="H3">
        <v>852</v>
      </c>
      <c r="I3" s="1">
        <v>0.17</v>
      </c>
      <c r="J3" s="2">
        <v>21913.170000000002</v>
      </c>
      <c r="K3" s="2">
        <v>1710</v>
      </c>
      <c r="L3" s="2">
        <v>147295172.69999999</v>
      </c>
      <c r="M3" s="3">
        <v>1</v>
      </c>
      <c r="N3" s="2">
        <v>175</v>
      </c>
      <c r="O3" s="2">
        <v>10</v>
      </c>
      <c r="P3" s="2">
        <v>1750</v>
      </c>
      <c r="Q3" s="2">
        <v>297.5</v>
      </c>
      <c r="R3" s="2">
        <v>1999725</v>
      </c>
      <c r="S3" s="2">
        <v>127151</v>
      </c>
      <c r="T3" s="2">
        <v>145295447.69999999</v>
      </c>
      <c r="U3" s="3">
        <v>40.36292986269784</v>
      </c>
    </row>
    <row r="4" spans="1:21" s="1" customFormat="1" x14ac:dyDescent="0.25">
      <c r="A4" s="1" t="s">
        <v>12</v>
      </c>
      <c r="B4" s="1" t="s">
        <v>0</v>
      </c>
      <c r="C4" s="3">
        <v>1.19</v>
      </c>
      <c r="D4" s="2">
        <v>128901</v>
      </c>
      <c r="E4" s="2">
        <v>80000</v>
      </c>
      <c r="F4" s="2">
        <v>50</v>
      </c>
      <c r="G4" s="2">
        <v>4000000</v>
      </c>
      <c r="H4">
        <v>852</v>
      </c>
      <c r="I4" s="1">
        <v>0.17</v>
      </c>
      <c r="J4" s="2">
        <v>21913.170000000002</v>
      </c>
      <c r="K4" s="2">
        <v>1710</v>
      </c>
      <c r="L4" s="2">
        <v>147295172.69999999</v>
      </c>
      <c r="M4" s="3">
        <v>1</v>
      </c>
      <c r="N4" s="2">
        <v>175</v>
      </c>
      <c r="O4" s="2">
        <v>10</v>
      </c>
      <c r="P4" s="2">
        <v>1750</v>
      </c>
      <c r="Q4" s="2">
        <v>297.5</v>
      </c>
      <c r="R4" s="2">
        <v>1999725</v>
      </c>
      <c r="S4" s="2">
        <v>127151</v>
      </c>
      <c r="T4" s="2">
        <v>145295447.69999999</v>
      </c>
      <c r="U4" s="3">
        <v>24.217017896653594</v>
      </c>
    </row>
    <row r="5" spans="1:21" s="1" customFormat="1" x14ac:dyDescent="0.25">
      <c r="A5" s="1" t="s">
        <v>11</v>
      </c>
      <c r="B5" s="1" t="s">
        <v>1</v>
      </c>
      <c r="C5" s="3">
        <v>1.82</v>
      </c>
      <c r="D5" s="2">
        <v>340032</v>
      </c>
      <c r="E5" s="2">
        <v>208153</v>
      </c>
      <c r="F5" s="2">
        <v>20</v>
      </c>
      <c r="G5" s="2">
        <v>4163060</v>
      </c>
      <c r="H5">
        <v>852</v>
      </c>
      <c r="I5" s="1">
        <v>0.17</v>
      </c>
      <c r="J5" s="2">
        <v>57805.440000000002</v>
      </c>
      <c r="K5" s="2">
        <v>1710</v>
      </c>
      <c r="L5" s="2">
        <v>388554566.39999998</v>
      </c>
      <c r="M5" s="3">
        <v>1</v>
      </c>
      <c r="N5" s="2">
        <v>116</v>
      </c>
      <c r="O5" s="2">
        <v>10</v>
      </c>
      <c r="P5" s="2">
        <v>1160</v>
      </c>
      <c r="Q5" s="2">
        <v>197.20000000000002</v>
      </c>
      <c r="R5" s="2">
        <v>1325532</v>
      </c>
      <c r="S5" s="2">
        <v>338872</v>
      </c>
      <c r="T5" s="2">
        <v>387229034.39999998</v>
      </c>
      <c r="U5" s="3">
        <v>70.551615860679746</v>
      </c>
    </row>
    <row r="6" spans="1:21" s="1" customFormat="1" x14ac:dyDescent="0.25">
      <c r="A6" s="1" t="s">
        <v>11</v>
      </c>
      <c r="B6" s="1" t="s">
        <v>1</v>
      </c>
      <c r="C6" s="3">
        <v>1.82</v>
      </c>
      <c r="D6" s="2">
        <v>340032</v>
      </c>
      <c r="E6" s="2">
        <v>208153</v>
      </c>
      <c r="F6" s="2">
        <v>50</v>
      </c>
      <c r="G6" s="2">
        <v>10407650</v>
      </c>
      <c r="H6">
        <v>852</v>
      </c>
      <c r="I6" s="1">
        <v>0.17</v>
      </c>
      <c r="J6" s="2">
        <v>57805.440000000002</v>
      </c>
      <c r="K6" s="2">
        <v>1710</v>
      </c>
      <c r="L6" s="2">
        <v>388554566.39999998</v>
      </c>
      <c r="M6" s="3">
        <v>1</v>
      </c>
      <c r="N6" s="2">
        <v>116</v>
      </c>
      <c r="O6" s="2">
        <v>10</v>
      </c>
      <c r="P6" s="2">
        <v>1160</v>
      </c>
      <c r="Q6" s="2">
        <v>197.20000000000002</v>
      </c>
      <c r="R6" s="2">
        <v>1325532</v>
      </c>
      <c r="S6" s="2">
        <v>338872</v>
      </c>
      <c r="T6" s="2">
        <v>387229034.39999998</v>
      </c>
      <c r="U6" s="3">
        <v>33.002900185133065</v>
      </c>
    </row>
    <row r="7" spans="1:21" x14ac:dyDescent="0.25">
      <c r="A7" s="1" t="s">
        <v>11</v>
      </c>
      <c r="B7" s="1" t="s">
        <v>1</v>
      </c>
      <c r="C7" s="3">
        <v>2.13</v>
      </c>
      <c r="D7" s="2">
        <v>382074</v>
      </c>
      <c r="E7" s="2">
        <v>252561</v>
      </c>
      <c r="F7" s="2">
        <v>20</v>
      </c>
      <c r="G7" s="2">
        <v>5051220</v>
      </c>
      <c r="H7">
        <v>852</v>
      </c>
      <c r="I7" s="1">
        <v>0.17</v>
      </c>
      <c r="J7" s="2">
        <v>64952.58</v>
      </c>
      <c r="K7" s="2">
        <v>1710</v>
      </c>
      <c r="L7" s="2">
        <v>436595959.80000001</v>
      </c>
      <c r="M7" s="3">
        <v>1</v>
      </c>
      <c r="N7" s="2">
        <v>116</v>
      </c>
      <c r="O7" s="2">
        <v>10</v>
      </c>
      <c r="P7" s="2">
        <v>1160</v>
      </c>
      <c r="Q7" s="2">
        <v>197.20000000000002</v>
      </c>
      <c r="R7" s="2">
        <v>1325532</v>
      </c>
      <c r="S7" s="2">
        <v>380914</v>
      </c>
      <c r="T7" s="2">
        <v>435270427.80000001</v>
      </c>
      <c r="U7" s="3">
        <v>68.258954997779441</v>
      </c>
    </row>
    <row r="8" spans="1:21" x14ac:dyDescent="0.25">
      <c r="A8" s="1" t="s">
        <v>11</v>
      </c>
      <c r="B8" s="1" t="s">
        <v>1</v>
      </c>
      <c r="C8" s="3">
        <v>2.13</v>
      </c>
      <c r="D8" s="2">
        <v>382074</v>
      </c>
      <c r="E8" s="2">
        <v>252561</v>
      </c>
      <c r="F8" s="2">
        <v>50</v>
      </c>
      <c r="G8" s="2">
        <v>12628050</v>
      </c>
      <c r="H8">
        <v>852</v>
      </c>
      <c r="I8" s="1">
        <v>0.17</v>
      </c>
      <c r="J8" s="2">
        <v>64952.58</v>
      </c>
      <c r="K8" s="2">
        <v>1710</v>
      </c>
      <c r="L8" s="2">
        <v>436595959.80000001</v>
      </c>
      <c r="M8" s="3">
        <v>1</v>
      </c>
      <c r="N8" s="2">
        <v>116</v>
      </c>
      <c r="O8" s="2">
        <v>10</v>
      </c>
      <c r="P8" s="2">
        <v>1160</v>
      </c>
      <c r="Q8" s="2">
        <v>197.20000000000002</v>
      </c>
      <c r="R8" s="2">
        <v>1325532</v>
      </c>
      <c r="S8" s="2">
        <v>380914</v>
      </c>
      <c r="T8" s="2">
        <v>435270427.80000001</v>
      </c>
      <c r="U8" s="3">
        <v>31.19417134611027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ColWidth="13.140625" defaultRowHeight="15" x14ac:dyDescent="0.25"/>
  <cols>
    <col min="1" max="1" width="14.85546875" bestFit="1" customWidth="1"/>
    <col min="2" max="2" width="8.85546875" bestFit="1" customWidth="1"/>
    <col min="3" max="3" width="11.28515625" bestFit="1" customWidth="1"/>
    <col min="4" max="4" width="17" bestFit="1" customWidth="1"/>
    <col min="5" max="5" width="9.140625" bestFit="1" customWidth="1"/>
    <col min="6" max="6" width="12.42578125" bestFit="1" customWidth="1"/>
    <col min="7" max="7" width="10.5703125" bestFit="1" customWidth="1"/>
    <col min="8" max="8" width="38.140625" bestFit="1" customWidth="1"/>
    <col min="9" max="9" width="17.28515625" bestFit="1" customWidth="1"/>
    <col min="10" max="10" width="16.85546875" bestFit="1" customWidth="1"/>
    <col min="11" max="11" width="12.42578125" bestFit="1" customWidth="1"/>
    <col min="12" max="12" width="10.28515625" bestFit="1" customWidth="1"/>
    <col min="13" max="13" width="11.28515625" bestFit="1" customWidth="1"/>
    <col min="14" max="14" width="37.42578125" bestFit="1" customWidth="1"/>
    <col min="15" max="15" width="23.28515625" bestFit="1" customWidth="1"/>
    <col min="16" max="16" width="17.7109375" bestFit="1" customWidth="1"/>
    <col min="17" max="17" width="16.85546875" bestFit="1" customWidth="1"/>
    <col min="18" max="18" width="16.42578125" bestFit="1" customWidth="1"/>
    <col min="19" max="19" width="13.85546875" bestFit="1" customWidth="1"/>
    <col min="20" max="20" width="8" bestFit="1" customWidth="1"/>
    <col min="21" max="21" width="11.85546875" bestFit="1" customWidth="1"/>
  </cols>
  <sheetData>
    <row r="1" spans="1:21" s="5" customFormat="1" ht="41.25" customHeight="1" x14ac:dyDescent="0.25">
      <c r="A1" s="1" t="s">
        <v>10</v>
      </c>
      <c r="B1" s="1" t="s">
        <v>23</v>
      </c>
      <c r="C1" s="1" t="s">
        <v>36</v>
      </c>
      <c r="D1" s="1" t="s">
        <v>6</v>
      </c>
      <c r="E1" s="1" t="s">
        <v>3</v>
      </c>
      <c r="F1" s="1" t="s">
        <v>25</v>
      </c>
      <c r="G1" s="1" t="s">
        <v>37</v>
      </c>
      <c r="H1" s="1" t="s">
        <v>38</v>
      </c>
      <c r="I1" s="1" t="s">
        <v>15</v>
      </c>
      <c r="J1" s="1" t="s">
        <v>27</v>
      </c>
      <c r="K1" s="1" t="s">
        <v>28</v>
      </c>
      <c r="L1" s="1" t="s">
        <v>29</v>
      </c>
      <c r="M1" s="1" t="s">
        <v>31</v>
      </c>
      <c r="N1" s="1" t="s">
        <v>39</v>
      </c>
      <c r="O1" s="1" t="s">
        <v>17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2</v>
      </c>
      <c r="U1" s="1" t="s">
        <v>5</v>
      </c>
    </row>
    <row r="2" spans="1:21" x14ac:dyDescent="0.25">
      <c r="A2" s="1" t="s">
        <v>12</v>
      </c>
      <c r="B2" s="1" t="s">
        <v>0</v>
      </c>
      <c r="C2" s="3">
        <v>0.92</v>
      </c>
      <c r="D2" s="2">
        <v>0</v>
      </c>
      <c r="E2" s="2"/>
      <c r="F2" s="2">
        <f>D2*E2</f>
        <v>0</v>
      </c>
      <c r="G2">
        <v>852</v>
      </c>
      <c r="H2" s="2">
        <v>2200</v>
      </c>
      <c r="I2" s="1">
        <f t="shared" ref="I2:I8" si="0">0.17</f>
        <v>0.17</v>
      </c>
      <c r="J2" s="2">
        <f t="shared" ref="J2:J8" si="1">H2*I2</f>
        <v>374</v>
      </c>
      <c r="K2" s="2">
        <v>1710</v>
      </c>
      <c r="L2" s="2">
        <f t="shared" ref="L2:L8" si="2">J2*K2+H2*G2</f>
        <v>2513940</v>
      </c>
      <c r="M2" s="3">
        <v>0.92</v>
      </c>
      <c r="N2" s="2">
        <v>13</v>
      </c>
      <c r="O2" s="2">
        <v>10</v>
      </c>
      <c r="P2" s="2">
        <f>O2*N2</f>
        <v>130</v>
      </c>
      <c r="Q2" s="2">
        <f>P2*0.17</f>
        <v>22.1</v>
      </c>
      <c r="R2" s="2">
        <f t="shared" ref="R2:R8" si="3">Q2*K2+P2*G2</f>
        <v>148551</v>
      </c>
      <c r="S2" s="2"/>
      <c r="T2" s="2"/>
      <c r="U2" s="3"/>
    </row>
    <row r="3" spans="1:21" x14ac:dyDescent="0.25">
      <c r="A3" s="1" t="s">
        <v>12</v>
      </c>
      <c r="B3" s="1" t="s">
        <v>0</v>
      </c>
      <c r="C3" s="3">
        <v>1.19</v>
      </c>
      <c r="D3" s="2">
        <f>80000</f>
        <v>80000</v>
      </c>
      <c r="E3" s="2">
        <v>20</v>
      </c>
      <c r="F3" s="2">
        <f>D3*E3</f>
        <v>1600000</v>
      </c>
      <c r="G3">
        <v>852</v>
      </c>
      <c r="H3" s="2">
        <v>2200</v>
      </c>
      <c r="I3" s="1">
        <f>0.17</f>
        <v>0.17</v>
      </c>
      <c r="J3" s="2">
        <f t="shared" si="1"/>
        <v>374</v>
      </c>
      <c r="K3" s="2">
        <v>1710</v>
      </c>
      <c r="L3" s="2">
        <f t="shared" si="2"/>
        <v>2513940</v>
      </c>
      <c r="M3" s="3">
        <v>1</v>
      </c>
      <c r="N3" s="2">
        <v>175</v>
      </c>
      <c r="O3" s="2">
        <v>10</v>
      </c>
      <c r="P3" s="2">
        <f>O3*N3</f>
        <v>1750</v>
      </c>
      <c r="Q3" s="2">
        <f>P3*0.17</f>
        <v>297.5</v>
      </c>
      <c r="R3" s="2">
        <f t="shared" si="3"/>
        <v>1999725</v>
      </c>
      <c r="S3" s="2">
        <f t="shared" ref="S3:S8" si="4">H3-P3</f>
        <v>450</v>
      </c>
      <c r="T3" s="2">
        <f t="shared" ref="T3:T8" si="5">L3-R3</f>
        <v>514215</v>
      </c>
      <c r="U3" s="3">
        <f t="shared" ref="U3:U8" si="6">T3/SUM(R3,F3)</f>
        <v>0.14284841203147464</v>
      </c>
    </row>
    <row r="4" spans="1:21" x14ac:dyDescent="0.25">
      <c r="A4" s="1" t="s">
        <v>12</v>
      </c>
      <c r="B4" s="1" t="s">
        <v>0</v>
      </c>
      <c r="C4" s="3">
        <v>1.19</v>
      </c>
      <c r="D4" s="2">
        <f>80000</f>
        <v>80000</v>
      </c>
      <c r="E4" s="2">
        <v>50</v>
      </c>
      <c r="F4" s="2">
        <f t="shared" ref="F4:F6" si="7">D4*E4</f>
        <v>4000000</v>
      </c>
      <c r="G4">
        <v>852</v>
      </c>
      <c r="H4" s="2">
        <v>2200</v>
      </c>
      <c r="I4" s="1">
        <f t="shared" si="0"/>
        <v>0.17</v>
      </c>
      <c r="J4" s="2">
        <f t="shared" si="1"/>
        <v>374</v>
      </c>
      <c r="K4" s="2">
        <v>1710</v>
      </c>
      <c r="L4" s="2">
        <f t="shared" si="2"/>
        <v>2513940</v>
      </c>
      <c r="M4" s="3">
        <v>1</v>
      </c>
      <c r="N4" s="2">
        <v>175</v>
      </c>
      <c r="O4" s="2">
        <v>10</v>
      </c>
      <c r="P4" s="2">
        <f t="shared" ref="P4:P6" si="8">O4*N4</f>
        <v>1750</v>
      </c>
      <c r="Q4" s="2">
        <f t="shared" ref="Q4:Q6" si="9">P4*0.17</f>
        <v>297.5</v>
      </c>
      <c r="R4" s="2">
        <f t="shared" si="3"/>
        <v>1999725</v>
      </c>
      <c r="S4" s="2">
        <f t="shared" si="4"/>
        <v>450</v>
      </c>
      <c r="T4" s="2">
        <f t="shared" si="5"/>
        <v>514215</v>
      </c>
      <c r="U4" s="3">
        <f t="shared" si="6"/>
        <v>8.5706428211293012E-2</v>
      </c>
    </row>
    <row r="5" spans="1:21" x14ac:dyDescent="0.25">
      <c r="A5" s="1" t="s">
        <v>11</v>
      </c>
      <c r="B5" s="1" t="s">
        <v>1</v>
      </c>
      <c r="C5" s="3">
        <v>1.82</v>
      </c>
      <c r="D5" s="2">
        <v>208153</v>
      </c>
      <c r="E5" s="2">
        <v>20</v>
      </c>
      <c r="F5" s="2">
        <f t="shared" si="7"/>
        <v>4163060</v>
      </c>
      <c r="G5">
        <v>852</v>
      </c>
      <c r="H5" s="2">
        <v>2200</v>
      </c>
      <c r="I5" s="1">
        <f t="shared" si="0"/>
        <v>0.17</v>
      </c>
      <c r="J5" s="2">
        <f t="shared" si="1"/>
        <v>374</v>
      </c>
      <c r="K5" s="2">
        <v>1710</v>
      </c>
      <c r="L5" s="2">
        <f t="shared" si="2"/>
        <v>2513940</v>
      </c>
      <c r="M5" s="3">
        <v>1</v>
      </c>
      <c r="N5" s="2">
        <v>116</v>
      </c>
      <c r="O5" s="2">
        <v>10</v>
      </c>
      <c r="P5" s="2">
        <f t="shared" si="8"/>
        <v>1160</v>
      </c>
      <c r="Q5" s="2">
        <f t="shared" si="9"/>
        <v>197.20000000000002</v>
      </c>
      <c r="R5" s="2">
        <f t="shared" si="3"/>
        <v>1325532</v>
      </c>
      <c r="S5" s="2">
        <f t="shared" si="4"/>
        <v>1040</v>
      </c>
      <c r="T5" s="2">
        <f t="shared" si="5"/>
        <v>1188408</v>
      </c>
      <c r="U5" s="3">
        <f t="shared" si="6"/>
        <v>0.21652329049053018</v>
      </c>
    </row>
    <row r="6" spans="1:21" x14ac:dyDescent="0.25">
      <c r="A6" s="1" t="s">
        <v>11</v>
      </c>
      <c r="B6" s="1" t="s">
        <v>1</v>
      </c>
      <c r="C6" s="3">
        <v>1.82</v>
      </c>
      <c r="D6" s="2">
        <v>208153</v>
      </c>
      <c r="E6" s="2">
        <v>50</v>
      </c>
      <c r="F6" s="2">
        <f t="shared" si="7"/>
        <v>10407650</v>
      </c>
      <c r="G6">
        <v>852</v>
      </c>
      <c r="H6" s="2">
        <v>2200</v>
      </c>
      <c r="I6" s="1">
        <f t="shared" si="0"/>
        <v>0.17</v>
      </c>
      <c r="J6" s="2">
        <f t="shared" si="1"/>
        <v>374</v>
      </c>
      <c r="K6" s="2">
        <v>1710</v>
      </c>
      <c r="L6" s="2">
        <f t="shared" si="2"/>
        <v>2513940</v>
      </c>
      <c r="M6" s="3">
        <v>1</v>
      </c>
      <c r="N6" s="2">
        <v>116</v>
      </c>
      <c r="O6" s="2">
        <v>10</v>
      </c>
      <c r="P6" s="2">
        <f t="shared" si="8"/>
        <v>1160</v>
      </c>
      <c r="Q6" s="2">
        <f t="shared" si="9"/>
        <v>197.20000000000002</v>
      </c>
      <c r="R6" s="2">
        <f t="shared" si="3"/>
        <v>1325532</v>
      </c>
      <c r="S6" s="2">
        <f t="shared" si="4"/>
        <v>1040</v>
      </c>
      <c r="T6" s="2">
        <f t="shared" si="5"/>
        <v>1188408</v>
      </c>
      <c r="U6" s="3">
        <f t="shared" si="6"/>
        <v>0.10128607908749732</v>
      </c>
    </row>
    <row r="7" spans="1:21" x14ac:dyDescent="0.25">
      <c r="A7" s="1" t="s">
        <v>11</v>
      </c>
      <c r="B7" s="1" t="s">
        <v>1</v>
      </c>
      <c r="C7" s="3">
        <v>2.13</v>
      </c>
      <c r="D7" s="2">
        <f>252561</f>
        <v>252561</v>
      </c>
      <c r="E7" s="2">
        <v>20</v>
      </c>
      <c r="F7" s="2">
        <f>D7*E7</f>
        <v>5051220</v>
      </c>
      <c r="G7">
        <v>852</v>
      </c>
      <c r="H7" s="2">
        <v>2200</v>
      </c>
      <c r="I7" s="1">
        <f t="shared" si="0"/>
        <v>0.17</v>
      </c>
      <c r="J7" s="2">
        <f t="shared" si="1"/>
        <v>374</v>
      </c>
      <c r="K7" s="2">
        <v>1710</v>
      </c>
      <c r="L7" s="2">
        <f t="shared" si="2"/>
        <v>2513940</v>
      </c>
      <c r="M7" s="3">
        <v>1</v>
      </c>
      <c r="N7" s="2">
        <v>116</v>
      </c>
      <c r="O7" s="2">
        <v>10</v>
      </c>
      <c r="P7" s="2">
        <f>O7*N7</f>
        <v>1160</v>
      </c>
      <c r="Q7" s="2">
        <f>P7*0.17</f>
        <v>197.20000000000002</v>
      </c>
      <c r="R7" s="2">
        <f t="shared" si="3"/>
        <v>1325532</v>
      </c>
      <c r="S7" s="2">
        <f t="shared" si="4"/>
        <v>1040</v>
      </c>
      <c r="T7" s="2">
        <f t="shared" si="5"/>
        <v>1188408</v>
      </c>
      <c r="U7" s="3">
        <f t="shared" si="6"/>
        <v>0.18636572349057953</v>
      </c>
    </row>
    <row r="8" spans="1:21" x14ac:dyDescent="0.25">
      <c r="A8" s="1" t="s">
        <v>11</v>
      </c>
      <c r="B8" s="1" t="s">
        <v>1</v>
      </c>
      <c r="C8" s="3">
        <v>2.13</v>
      </c>
      <c r="D8" s="2">
        <f>252561</f>
        <v>252561</v>
      </c>
      <c r="E8" s="2">
        <v>50</v>
      </c>
      <c r="F8" s="2">
        <f>D8*E8</f>
        <v>12628050</v>
      </c>
      <c r="G8">
        <v>852</v>
      </c>
      <c r="H8" s="2">
        <v>2200</v>
      </c>
      <c r="I8" s="1">
        <f t="shared" si="0"/>
        <v>0.17</v>
      </c>
      <c r="J8" s="2">
        <f t="shared" si="1"/>
        <v>374</v>
      </c>
      <c r="K8" s="2">
        <v>1710</v>
      </c>
      <c r="L8" s="2">
        <f t="shared" si="2"/>
        <v>2513940</v>
      </c>
      <c r="M8" s="3">
        <v>1</v>
      </c>
      <c r="N8" s="2">
        <v>116</v>
      </c>
      <c r="O8" s="2">
        <v>10</v>
      </c>
      <c r="P8" s="2">
        <f>O8*N8</f>
        <v>1160</v>
      </c>
      <c r="Q8" s="2">
        <f>P8*0.17</f>
        <v>197.20000000000002</v>
      </c>
      <c r="R8" s="2">
        <f t="shared" si="3"/>
        <v>1325532</v>
      </c>
      <c r="S8" s="2">
        <f t="shared" si="4"/>
        <v>1040</v>
      </c>
      <c r="T8" s="2">
        <f t="shared" si="5"/>
        <v>1188408</v>
      </c>
      <c r="U8" s="3">
        <f t="shared" si="6"/>
        <v>8.5168668518234236E-2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7"/>
  <sheetViews>
    <sheetView tabSelected="1" topLeftCell="AI1" workbookViewId="0">
      <selection activeCell="BC11" sqref="BC11"/>
    </sheetView>
  </sheetViews>
  <sheetFormatPr defaultRowHeight="15" x14ac:dyDescent="0.25"/>
  <cols>
    <col min="1" max="1" width="10" bestFit="1" customWidth="1"/>
    <col min="3" max="3" width="11" customWidth="1"/>
    <col min="4" max="4" width="13.28515625" customWidth="1"/>
    <col min="7" max="7" width="19.85546875" customWidth="1"/>
    <col min="8" max="17" width="14.7109375" customWidth="1"/>
    <col min="18" max="18" width="15.5703125" customWidth="1"/>
    <col min="23" max="23" width="14.7109375" customWidth="1"/>
    <col min="24" max="24" width="19.85546875" customWidth="1"/>
    <col min="25" max="34" width="14.7109375" customWidth="1"/>
    <col min="41" max="51" width="14.7109375" customWidth="1"/>
    <col min="52" max="52" width="17.42578125" customWidth="1"/>
    <col min="54" max="54" width="11.5703125" customWidth="1"/>
  </cols>
  <sheetData>
    <row r="1" spans="1:55" x14ac:dyDescent="0.25">
      <c r="G1" t="s">
        <v>50</v>
      </c>
      <c r="X1" t="s">
        <v>49</v>
      </c>
      <c r="AO1" t="s">
        <v>51</v>
      </c>
    </row>
    <row r="2" spans="1:55" x14ac:dyDescent="0.25">
      <c r="A2" t="s">
        <v>41</v>
      </c>
      <c r="B2">
        <f>0.03</f>
        <v>0.03</v>
      </c>
      <c r="G2" t="s">
        <v>40</v>
      </c>
      <c r="X2" t="s">
        <v>40</v>
      </c>
      <c r="AO2" t="s">
        <v>40</v>
      </c>
    </row>
    <row r="3" spans="1:55" ht="135.75" customHeight="1" x14ac:dyDescent="0.25">
      <c r="A3" s="1" t="s">
        <v>10</v>
      </c>
      <c r="B3" s="1" t="s">
        <v>13</v>
      </c>
      <c r="C3" s="1" t="s">
        <v>14</v>
      </c>
      <c r="D3" s="1" t="s">
        <v>44</v>
      </c>
      <c r="E3" s="1" t="s">
        <v>3</v>
      </c>
      <c r="F3" s="1" t="s">
        <v>7</v>
      </c>
      <c r="G3" s="1">
        <v>0</v>
      </c>
      <c r="H3" s="1">
        <f>G3+1</f>
        <v>1</v>
      </c>
      <c r="I3" s="1">
        <f t="shared" ref="I3:P3" si="0">H3+1</f>
        <v>2</v>
      </c>
      <c r="J3" s="1">
        <f t="shared" si="0"/>
        <v>3</v>
      </c>
      <c r="K3" s="1">
        <f t="shared" si="0"/>
        <v>4</v>
      </c>
      <c r="L3" s="1">
        <f t="shared" si="0"/>
        <v>5</v>
      </c>
      <c r="M3" s="1">
        <f t="shared" si="0"/>
        <v>6</v>
      </c>
      <c r="N3" s="1">
        <f t="shared" si="0"/>
        <v>7</v>
      </c>
      <c r="O3" s="1">
        <f t="shared" si="0"/>
        <v>8</v>
      </c>
      <c r="P3" s="1">
        <f t="shared" si="0"/>
        <v>9</v>
      </c>
      <c r="Q3" s="7" t="s">
        <v>42</v>
      </c>
      <c r="R3" s="1" t="s">
        <v>46</v>
      </c>
      <c r="S3" s="1" t="s">
        <v>18</v>
      </c>
      <c r="T3" s="1" t="s">
        <v>15</v>
      </c>
      <c r="U3" s="1" t="s">
        <v>8</v>
      </c>
      <c r="V3" s="1" t="s">
        <v>19</v>
      </c>
      <c r="W3" s="1" t="s">
        <v>45</v>
      </c>
      <c r="X3" s="1">
        <v>0</v>
      </c>
      <c r="Y3" s="1">
        <f>X3+1</f>
        <v>1</v>
      </c>
      <c r="Z3" s="1">
        <f t="shared" ref="Z3:AG3" si="1">Y3+1</f>
        <v>2</v>
      </c>
      <c r="AA3" s="1">
        <f t="shared" si="1"/>
        <v>3</v>
      </c>
      <c r="AB3" s="1">
        <f t="shared" si="1"/>
        <v>4</v>
      </c>
      <c r="AC3" s="1">
        <f t="shared" si="1"/>
        <v>5</v>
      </c>
      <c r="AD3" s="1">
        <f t="shared" si="1"/>
        <v>6</v>
      </c>
      <c r="AE3" s="1">
        <f t="shared" si="1"/>
        <v>7</v>
      </c>
      <c r="AF3" s="1">
        <f t="shared" si="1"/>
        <v>8</v>
      </c>
      <c r="AG3" s="1">
        <f t="shared" si="1"/>
        <v>9</v>
      </c>
      <c r="AH3" s="6" t="s">
        <v>43</v>
      </c>
      <c r="AI3" s="1" t="s">
        <v>16</v>
      </c>
      <c r="AJ3" s="1" t="s">
        <v>17</v>
      </c>
      <c r="AK3" s="1" t="s">
        <v>21</v>
      </c>
      <c r="AL3" s="1" t="s">
        <v>9</v>
      </c>
      <c r="AM3" s="1" t="s">
        <v>48</v>
      </c>
      <c r="AN3" s="1" t="s">
        <v>47</v>
      </c>
      <c r="AO3" s="1">
        <v>0</v>
      </c>
      <c r="AP3" s="1">
        <f>AO3+1</f>
        <v>1</v>
      </c>
      <c r="AQ3" s="1">
        <f t="shared" ref="AQ3:AX3" si="2">AP3+1</f>
        <v>2</v>
      </c>
      <c r="AR3" s="1">
        <f t="shared" si="2"/>
        <v>3</v>
      </c>
      <c r="AS3" s="1">
        <f t="shared" si="2"/>
        <v>4</v>
      </c>
      <c r="AT3" s="1">
        <f t="shared" si="2"/>
        <v>5</v>
      </c>
      <c r="AU3" s="1">
        <f t="shared" si="2"/>
        <v>6</v>
      </c>
      <c r="AV3" s="1">
        <f t="shared" si="2"/>
        <v>7</v>
      </c>
      <c r="AW3" s="1">
        <f t="shared" si="2"/>
        <v>8</v>
      </c>
      <c r="AX3" s="1">
        <f t="shared" si="2"/>
        <v>9</v>
      </c>
      <c r="AY3" s="6" t="s">
        <v>52</v>
      </c>
      <c r="AZ3" s="6" t="s">
        <v>53</v>
      </c>
      <c r="BA3" s="6" t="s">
        <v>5</v>
      </c>
      <c r="BB3" s="1"/>
      <c r="BC3" s="1"/>
    </row>
    <row r="4" spans="1:55" x14ac:dyDescent="0.25">
      <c r="A4" s="1" t="s">
        <v>12</v>
      </c>
      <c r="B4" s="1" t="s">
        <v>0</v>
      </c>
      <c r="C4" s="3">
        <v>0.92</v>
      </c>
      <c r="D4" s="2">
        <v>0</v>
      </c>
      <c r="E4" s="2"/>
      <c r="F4" s="2">
        <f>D4*E4</f>
        <v>0</v>
      </c>
      <c r="G4" s="2">
        <f t="shared" ref="G4:P17" si="3">$F4*(1/(1+discount_rate)^G$3)</f>
        <v>0</v>
      </c>
      <c r="H4" s="2">
        <v>0</v>
      </c>
      <c r="I4" s="2">
        <f t="shared" si="3"/>
        <v>0</v>
      </c>
      <c r="J4" s="2">
        <f t="shared" si="3"/>
        <v>0</v>
      </c>
      <c r="K4" s="2">
        <f t="shared" si="3"/>
        <v>0</v>
      </c>
      <c r="L4" s="2">
        <f t="shared" si="3"/>
        <v>0</v>
      </c>
      <c r="M4" s="2">
        <f t="shared" si="3"/>
        <v>0</v>
      </c>
      <c r="N4" s="2">
        <f t="shared" si="3"/>
        <v>0</v>
      </c>
      <c r="O4" s="2">
        <f t="shared" si="3"/>
        <v>0</v>
      </c>
      <c r="P4" s="2">
        <f t="shared" si="3"/>
        <v>0</v>
      </c>
      <c r="Q4" s="2">
        <f>SUM(G4:P4)</f>
        <v>0</v>
      </c>
      <c r="R4" s="8">
        <v>130</v>
      </c>
      <c r="S4">
        <v>852</v>
      </c>
      <c r="T4" s="1">
        <f t="shared" ref="T4:T17" si="4">0.17</f>
        <v>0.17</v>
      </c>
      <c r="U4" s="2">
        <f>R4*T4</f>
        <v>22.1</v>
      </c>
      <c r="V4" s="2">
        <v>1710</v>
      </c>
      <c r="W4" s="2">
        <f>U4*V4+R4*S4</f>
        <v>148551</v>
      </c>
      <c r="X4" s="2">
        <f t="shared" ref="X4:AG17" si="5">($W4/10)*(1/(1+discount_rate)^X$3)</f>
        <v>14855.1</v>
      </c>
      <c r="Y4" s="2">
        <f t="shared" si="5"/>
        <v>14422.42718446602</v>
      </c>
      <c r="Z4" s="2">
        <f t="shared" si="5"/>
        <v>14002.356489772834</v>
      </c>
      <c r="AA4" s="2">
        <f t="shared" si="5"/>
        <v>13594.520863857122</v>
      </c>
      <c r="AB4" s="2">
        <f t="shared" si="5"/>
        <v>13198.563945492351</v>
      </c>
      <c r="AC4" s="2">
        <f t="shared" si="5"/>
        <v>12814.139752905197</v>
      </c>
      <c r="AD4" s="2">
        <f t="shared" si="5"/>
        <v>12440.912381461356</v>
      </c>
      <c r="AE4" s="2">
        <f t="shared" si="5"/>
        <v>12078.555710156656</v>
      </c>
      <c r="AF4" s="2">
        <f t="shared" si="5"/>
        <v>11726.753116656946</v>
      </c>
      <c r="AG4" s="2">
        <f t="shared" si="5"/>
        <v>11385.197200637813</v>
      </c>
      <c r="AH4" s="2">
        <f>SUM(X4:AG4)</f>
        <v>130518.52664540627</v>
      </c>
      <c r="AI4" s="2">
        <v>13</v>
      </c>
      <c r="AJ4" s="2">
        <v>10</v>
      </c>
      <c r="AK4" s="2">
        <f>AJ4*AI4</f>
        <v>130</v>
      </c>
      <c r="AL4" s="2">
        <f>AK4*0.17</f>
        <v>22.1</v>
      </c>
      <c r="AM4" s="2">
        <f>AL4*V4+AK4*S4</f>
        <v>148551</v>
      </c>
      <c r="AN4" s="2">
        <f>(R4-AK4)</f>
        <v>0</v>
      </c>
      <c r="AO4" s="2">
        <f t="shared" ref="AO4:AX17" si="6">(($W4-$AM4)/10)*(1/(1+discount_rate)^AO$3)</f>
        <v>0</v>
      </c>
      <c r="AP4" s="2">
        <f t="shared" si="6"/>
        <v>0</v>
      </c>
      <c r="AQ4" s="2">
        <f t="shared" si="6"/>
        <v>0</v>
      </c>
      <c r="AR4" s="2">
        <f t="shared" si="6"/>
        <v>0</v>
      </c>
      <c r="AS4" s="2">
        <f t="shared" si="6"/>
        <v>0</v>
      </c>
      <c r="AT4" s="2">
        <f t="shared" si="6"/>
        <v>0</v>
      </c>
      <c r="AU4" s="2">
        <f t="shared" si="6"/>
        <v>0</v>
      </c>
      <c r="AV4" s="2">
        <f t="shared" si="6"/>
        <v>0</v>
      </c>
      <c r="AW4" s="2">
        <f t="shared" si="6"/>
        <v>0</v>
      </c>
      <c r="AX4" s="2">
        <f t="shared" si="6"/>
        <v>0</v>
      </c>
      <c r="AY4" s="2">
        <f>SUM(AO4:AX4)</f>
        <v>0</v>
      </c>
      <c r="AZ4" s="2">
        <f>AY4-Q4</f>
        <v>0</v>
      </c>
      <c r="BA4" s="3" t="e">
        <f>AY4/Q4</f>
        <v>#DIV/0!</v>
      </c>
      <c r="BB4" s="2"/>
      <c r="BC4" s="3"/>
    </row>
    <row r="5" spans="1:55" x14ac:dyDescent="0.25">
      <c r="A5" s="1" t="s">
        <v>12</v>
      </c>
      <c r="B5" s="1" t="s">
        <v>0</v>
      </c>
      <c r="C5" s="3">
        <v>1.19</v>
      </c>
      <c r="D5" s="2">
        <f>80000</f>
        <v>80000</v>
      </c>
      <c r="E5" s="2">
        <v>20</v>
      </c>
      <c r="F5" s="2">
        <f>D5*E5</f>
        <v>1600000</v>
      </c>
      <c r="G5" s="2">
        <f t="shared" si="3"/>
        <v>1600000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f t="shared" ref="Q5:Q17" si="7">SUM(G5:P5)</f>
        <v>1600000</v>
      </c>
      <c r="R5" s="2">
        <v>128901</v>
      </c>
      <c r="S5">
        <v>852</v>
      </c>
      <c r="T5" s="1">
        <f>0.17</f>
        <v>0.17</v>
      </c>
      <c r="U5" s="2">
        <f>R5*T5</f>
        <v>21913.170000000002</v>
      </c>
      <c r="V5" s="2">
        <v>1710</v>
      </c>
      <c r="W5" s="2">
        <f t="shared" ref="W5:W17" si="8">U5*V5+R5*S5</f>
        <v>147295172.69999999</v>
      </c>
      <c r="X5" s="2">
        <f t="shared" si="5"/>
        <v>14729517.27</v>
      </c>
      <c r="Y5" s="2">
        <f t="shared" si="5"/>
        <v>14300502.203883495</v>
      </c>
      <c r="Z5" s="2">
        <f t="shared" si="5"/>
        <v>13883982.722216984</v>
      </c>
      <c r="AA5" s="2">
        <f t="shared" si="5"/>
        <v>13479594.875938822</v>
      </c>
      <c r="AB5" s="2">
        <f t="shared" si="5"/>
        <v>13086985.316445459</v>
      </c>
      <c r="AC5" s="2">
        <f t="shared" si="5"/>
        <v>12705810.986840252</v>
      </c>
      <c r="AD5" s="2">
        <f t="shared" si="5"/>
        <v>12335738.822175</v>
      </c>
      <c r="AE5" s="2">
        <f t="shared" si="5"/>
        <v>11976445.458422329</v>
      </c>
      <c r="AF5" s="2">
        <f t="shared" si="5"/>
        <v>11627616.949924592</v>
      </c>
      <c r="AG5" s="2">
        <f t="shared" si="5"/>
        <v>11288948.495072421</v>
      </c>
      <c r="AH5" s="2">
        <f t="shared" ref="AH5:AH17" si="9">SUM(X5:AG5)</f>
        <v>129415143.10091935</v>
      </c>
      <c r="AI5" s="2">
        <v>145</v>
      </c>
      <c r="AJ5" s="2">
        <v>10</v>
      </c>
      <c r="AK5" s="2">
        <f>AJ5*AI5</f>
        <v>1450</v>
      </c>
      <c r="AL5" s="2">
        <f>AK5*0.17</f>
        <v>246.50000000000003</v>
      </c>
      <c r="AM5" s="2">
        <f t="shared" ref="AM5:AM17" si="10">AL5*V5+AK5*S5</f>
        <v>1656915</v>
      </c>
      <c r="AN5" s="2">
        <f t="shared" ref="AN5:AN17" si="11">(R5-AK5)</f>
        <v>127451</v>
      </c>
      <c r="AO5" s="2">
        <f t="shared" si="6"/>
        <v>14563825.77</v>
      </c>
      <c r="AP5" s="2">
        <f t="shared" si="6"/>
        <v>14139636.669902913</v>
      </c>
      <c r="AQ5" s="2">
        <f t="shared" si="6"/>
        <v>13727802.59213875</v>
      </c>
      <c r="AR5" s="2">
        <f t="shared" si="6"/>
        <v>13327963.681688108</v>
      </c>
      <c r="AS5" s="2">
        <f t="shared" si="6"/>
        <v>12939770.564745735</v>
      </c>
      <c r="AT5" s="2">
        <f t="shared" si="6"/>
        <v>12562884.043442462</v>
      </c>
      <c r="AU5" s="2">
        <f t="shared" si="6"/>
        <v>12196974.799458701</v>
      </c>
      <c r="AV5" s="2">
        <f t="shared" si="6"/>
        <v>11841723.106270583</v>
      </c>
      <c r="AW5" s="2">
        <f t="shared" si="6"/>
        <v>11496818.549777266</v>
      </c>
      <c r="AX5" s="2">
        <f t="shared" si="6"/>
        <v>11161959.757065305</v>
      </c>
      <c r="AY5" s="2">
        <f>SUM(AO5:AX5)</f>
        <v>127959359.53448983</v>
      </c>
      <c r="AZ5" s="2">
        <f t="shared" ref="AZ5:AZ17" si="12">AY5-Q5</f>
        <v>126359359.53448983</v>
      </c>
      <c r="BA5" s="3">
        <f>AY5/Q5</f>
        <v>79.974599709056136</v>
      </c>
      <c r="BB5" s="2"/>
      <c r="BC5" s="3"/>
    </row>
    <row r="6" spans="1:55" x14ac:dyDescent="0.25">
      <c r="A6" s="1" t="s">
        <v>12</v>
      </c>
      <c r="B6" s="1" t="s">
        <v>0</v>
      </c>
      <c r="C6" s="3">
        <v>1.19</v>
      </c>
      <c r="D6" s="2">
        <f>80000</f>
        <v>80000</v>
      </c>
      <c r="E6" s="2">
        <v>50</v>
      </c>
      <c r="F6" s="2">
        <f t="shared" ref="F6:F8" si="13">D6*E6</f>
        <v>4000000</v>
      </c>
      <c r="G6" s="2">
        <f t="shared" si="3"/>
        <v>4000000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f t="shared" si="7"/>
        <v>4000000</v>
      </c>
      <c r="R6" s="2">
        <v>128901</v>
      </c>
      <c r="S6">
        <v>852</v>
      </c>
      <c r="T6" s="1">
        <f t="shared" si="4"/>
        <v>0.17</v>
      </c>
      <c r="U6" s="2">
        <f t="shared" ref="U6:U8" si="14">R6*T6</f>
        <v>21913.170000000002</v>
      </c>
      <c r="V6" s="2">
        <v>1710</v>
      </c>
      <c r="W6" s="2">
        <f t="shared" si="8"/>
        <v>147295172.69999999</v>
      </c>
      <c r="X6" s="2">
        <f t="shared" si="5"/>
        <v>14729517.27</v>
      </c>
      <c r="Y6" s="2">
        <f t="shared" si="5"/>
        <v>14300502.203883495</v>
      </c>
      <c r="Z6" s="2">
        <f t="shared" si="5"/>
        <v>13883982.722216984</v>
      </c>
      <c r="AA6" s="2">
        <f t="shared" si="5"/>
        <v>13479594.875938822</v>
      </c>
      <c r="AB6" s="2">
        <f t="shared" si="5"/>
        <v>13086985.316445459</v>
      </c>
      <c r="AC6" s="2">
        <f t="shared" si="5"/>
        <v>12705810.986840252</v>
      </c>
      <c r="AD6" s="2">
        <f t="shared" si="5"/>
        <v>12335738.822175</v>
      </c>
      <c r="AE6" s="2">
        <f t="shared" si="5"/>
        <v>11976445.458422329</v>
      </c>
      <c r="AF6" s="2">
        <f t="shared" si="5"/>
        <v>11627616.949924592</v>
      </c>
      <c r="AG6" s="2">
        <f t="shared" si="5"/>
        <v>11288948.495072421</v>
      </c>
      <c r="AH6" s="2">
        <f t="shared" si="9"/>
        <v>129415143.10091935</v>
      </c>
      <c r="AI6" s="2">
        <v>145</v>
      </c>
      <c r="AJ6" s="2">
        <v>10</v>
      </c>
      <c r="AK6" s="2">
        <f t="shared" ref="AK6:AK8" si="15">AJ6*AI6</f>
        <v>1450</v>
      </c>
      <c r="AL6" s="2">
        <f t="shared" ref="AL6:AL8" si="16">AK6*0.17</f>
        <v>246.50000000000003</v>
      </c>
      <c r="AM6" s="2">
        <f t="shared" si="10"/>
        <v>1656915</v>
      </c>
      <c r="AN6" s="2">
        <f t="shared" si="11"/>
        <v>127451</v>
      </c>
      <c r="AO6" s="2">
        <f t="shared" si="6"/>
        <v>14563825.77</v>
      </c>
      <c r="AP6" s="2">
        <f t="shared" si="6"/>
        <v>14139636.669902913</v>
      </c>
      <c r="AQ6" s="2">
        <f t="shared" si="6"/>
        <v>13727802.59213875</v>
      </c>
      <c r="AR6" s="2">
        <f t="shared" si="6"/>
        <v>13327963.681688108</v>
      </c>
      <c r="AS6" s="2">
        <f t="shared" si="6"/>
        <v>12939770.564745735</v>
      </c>
      <c r="AT6" s="2">
        <f t="shared" si="6"/>
        <v>12562884.043442462</v>
      </c>
      <c r="AU6" s="2">
        <f t="shared" si="6"/>
        <v>12196974.799458701</v>
      </c>
      <c r="AV6" s="2">
        <f t="shared" si="6"/>
        <v>11841723.106270583</v>
      </c>
      <c r="AW6" s="2">
        <f t="shared" si="6"/>
        <v>11496818.549777266</v>
      </c>
      <c r="AX6" s="2">
        <f t="shared" si="6"/>
        <v>11161959.757065305</v>
      </c>
      <c r="AY6" s="2">
        <f t="shared" ref="AY6:AY17" si="17">SUM(AO6:AX6)</f>
        <v>127959359.53448983</v>
      </c>
      <c r="AZ6" s="2">
        <f t="shared" si="12"/>
        <v>123959359.53448983</v>
      </c>
      <c r="BA6" s="3">
        <f t="shared" ref="BA6:BA17" si="18">AY6/Q6</f>
        <v>31.989839883622455</v>
      </c>
      <c r="BB6" s="2"/>
      <c r="BC6" s="3"/>
    </row>
    <row r="7" spans="1:55" x14ac:dyDescent="0.25">
      <c r="A7" s="1" t="s">
        <v>11</v>
      </c>
      <c r="B7" s="1" t="s">
        <v>1</v>
      </c>
      <c r="C7" s="3">
        <v>1.82</v>
      </c>
      <c r="D7" s="2">
        <v>208153</v>
      </c>
      <c r="E7" s="2">
        <v>20</v>
      </c>
      <c r="F7" s="2">
        <f t="shared" si="13"/>
        <v>4163060</v>
      </c>
      <c r="G7" s="2">
        <f t="shared" si="3"/>
        <v>4163060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f>SUM(G7:P7)</f>
        <v>4163060</v>
      </c>
      <c r="R7" s="2">
        <v>340032</v>
      </c>
      <c r="S7">
        <v>852</v>
      </c>
      <c r="T7" s="1">
        <f t="shared" si="4"/>
        <v>0.17</v>
      </c>
      <c r="U7" s="2">
        <f t="shared" si="14"/>
        <v>57805.440000000002</v>
      </c>
      <c r="V7" s="2">
        <v>1710</v>
      </c>
      <c r="W7" s="2">
        <f t="shared" si="8"/>
        <v>388554566.39999998</v>
      </c>
      <c r="X7" s="2">
        <f t="shared" si="5"/>
        <v>38855456.640000001</v>
      </c>
      <c r="Y7" s="2">
        <f t="shared" si="5"/>
        <v>37723744.310679615</v>
      </c>
      <c r="Z7" s="2">
        <f t="shared" si="5"/>
        <v>36624994.47638797</v>
      </c>
      <c r="AA7" s="2">
        <f t="shared" si="5"/>
        <v>35558247.064454347</v>
      </c>
      <c r="AB7" s="2">
        <f t="shared" si="5"/>
        <v>34522569.965489656</v>
      </c>
      <c r="AC7" s="2">
        <f t="shared" si="5"/>
        <v>33517058.218921997</v>
      </c>
      <c r="AD7" s="2">
        <f t="shared" si="5"/>
        <v>32540833.222254366</v>
      </c>
      <c r="AE7" s="2">
        <f t="shared" si="5"/>
        <v>31593041.963353753</v>
      </c>
      <c r="AF7" s="2">
        <f t="shared" si="5"/>
        <v>30672856.27510073</v>
      </c>
      <c r="AG7" s="2">
        <f t="shared" si="5"/>
        <v>29779472.111748282</v>
      </c>
      <c r="AH7" s="2">
        <f t="shared" si="9"/>
        <v>341388274.24839067</v>
      </c>
      <c r="AI7" s="2">
        <v>116</v>
      </c>
      <c r="AJ7" s="2">
        <v>10</v>
      </c>
      <c r="AK7" s="2">
        <f t="shared" si="15"/>
        <v>1160</v>
      </c>
      <c r="AL7" s="2">
        <f t="shared" si="16"/>
        <v>197.20000000000002</v>
      </c>
      <c r="AM7" s="2">
        <f t="shared" si="10"/>
        <v>1325532</v>
      </c>
      <c r="AN7" s="2">
        <f t="shared" si="11"/>
        <v>338872</v>
      </c>
      <c r="AO7" s="2">
        <f t="shared" si="6"/>
        <v>38722903.439999998</v>
      </c>
      <c r="AP7" s="2">
        <f t="shared" si="6"/>
        <v>37595051.883495145</v>
      </c>
      <c r="AQ7" s="2">
        <f t="shared" si="6"/>
        <v>36500050.372325383</v>
      </c>
      <c r="AR7" s="2">
        <f t="shared" si="6"/>
        <v>35436942.109053768</v>
      </c>
      <c r="AS7" s="2">
        <f t="shared" si="6"/>
        <v>34404798.164129876</v>
      </c>
      <c r="AT7" s="2">
        <f t="shared" si="6"/>
        <v>33402716.664203763</v>
      </c>
      <c r="AU7" s="2">
        <f t="shared" si="6"/>
        <v>32429822.004081324</v>
      </c>
      <c r="AV7" s="2">
        <f t="shared" si="6"/>
        <v>31485264.08163235</v>
      </c>
      <c r="AW7" s="2">
        <f t="shared" si="6"/>
        <v>30568217.554982867</v>
      </c>
      <c r="AX7" s="2">
        <f t="shared" si="6"/>
        <v>29677881.121342588</v>
      </c>
      <c r="AY7" s="2">
        <f t="shared" si="17"/>
        <v>340223647.3952471</v>
      </c>
      <c r="AZ7" s="2">
        <f t="shared" si="12"/>
        <v>336060587.3952471</v>
      </c>
      <c r="BA7" s="3">
        <f t="shared" si="18"/>
        <v>81.724416029374325</v>
      </c>
      <c r="BB7" s="2"/>
      <c r="BC7" s="3"/>
    </row>
    <row r="8" spans="1:55" x14ac:dyDescent="0.25">
      <c r="A8" s="1" t="s">
        <v>11</v>
      </c>
      <c r="B8" s="1" t="s">
        <v>1</v>
      </c>
      <c r="C8" s="3">
        <v>1.82</v>
      </c>
      <c r="D8" s="2">
        <v>208153</v>
      </c>
      <c r="E8" s="2">
        <v>50</v>
      </c>
      <c r="F8" s="2">
        <f t="shared" si="13"/>
        <v>10407650</v>
      </c>
      <c r="G8" s="2">
        <f t="shared" si="3"/>
        <v>10407650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f t="shared" si="7"/>
        <v>10407650</v>
      </c>
      <c r="R8" s="2">
        <v>340032</v>
      </c>
      <c r="S8">
        <v>852</v>
      </c>
      <c r="T8" s="1">
        <f t="shared" si="4"/>
        <v>0.17</v>
      </c>
      <c r="U8" s="2">
        <f t="shared" si="14"/>
        <v>57805.440000000002</v>
      </c>
      <c r="V8" s="2">
        <v>1710</v>
      </c>
      <c r="W8" s="2">
        <f t="shared" si="8"/>
        <v>388554566.39999998</v>
      </c>
      <c r="X8" s="2">
        <f t="shared" si="5"/>
        <v>38855456.640000001</v>
      </c>
      <c r="Y8" s="2">
        <f t="shared" si="5"/>
        <v>37723744.310679615</v>
      </c>
      <c r="Z8" s="2">
        <f t="shared" si="5"/>
        <v>36624994.47638797</v>
      </c>
      <c r="AA8" s="2">
        <f t="shared" si="5"/>
        <v>35558247.064454347</v>
      </c>
      <c r="AB8" s="2">
        <f t="shared" si="5"/>
        <v>34522569.965489656</v>
      </c>
      <c r="AC8" s="2">
        <f t="shared" si="5"/>
        <v>33517058.218921997</v>
      </c>
      <c r="AD8" s="2">
        <f t="shared" si="5"/>
        <v>32540833.222254366</v>
      </c>
      <c r="AE8" s="2">
        <f t="shared" si="5"/>
        <v>31593041.963353753</v>
      </c>
      <c r="AF8" s="2">
        <f t="shared" si="5"/>
        <v>30672856.27510073</v>
      </c>
      <c r="AG8" s="2">
        <f t="shared" si="5"/>
        <v>29779472.111748282</v>
      </c>
      <c r="AH8" s="2">
        <f t="shared" si="9"/>
        <v>341388274.24839067</v>
      </c>
      <c r="AI8" s="2">
        <v>116</v>
      </c>
      <c r="AJ8" s="2">
        <v>10</v>
      </c>
      <c r="AK8" s="2">
        <f t="shared" si="15"/>
        <v>1160</v>
      </c>
      <c r="AL8" s="2">
        <f t="shared" si="16"/>
        <v>197.20000000000002</v>
      </c>
      <c r="AM8" s="2">
        <f t="shared" si="10"/>
        <v>1325532</v>
      </c>
      <c r="AN8" s="2">
        <f t="shared" si="11"/>
        <v>338872</v>
      </c>
      <c r="AO8" s="2">
        <f t="shared" si="6"/>
        <v>38722903.439999998</v>
      </c>
      <c r="AP8" s="2">
        <f t="shared" si="6"/>
        <v>37595051.883495145</v>
      </c>
      <c r="AQ8" s="2">
        <f t="shared" si="6"/>
        <v>36500050.372325383</v>
      </c>
      <c r="AR8" s="2">
        <f t="shared" si="6"/>
        <v>35436942.109053768</v>
      </c>
      <c r="AS8" s="2">
        <f t="shared" si="6"/>
        <v>34404798.164129876</v>
      </c>
      <c r="AT8" s="2">
        <f t="shared" si="6"/>
        <v>33402716.664203763</v>
      </c>
      <c r="AU8" s="2">
        <f t="shared" si="6"/>
        <v>32429822.004081324</v>
      </c>
      <c r="AV8" s="2">
        <f t="shared" si="6"/>
        <v>31485264.08163235</v>
      </c>
      <c r="AW8" s="2">
        <f t="shared" si="6"/>
        <v>30568217.554982867</v>
      </c>
      <c r="AX8" s="2">
        <f t="shared" si="6"/>
        <v>29677881.121342588</v>
      </c>
      <c r="AY8" s="2">
        <f t="shared" si="17"/>
        <v>340223647.3952471</v>
      </c>
      <c r="AZ8" s="2">
        <f t="shared" si="12"/>
        <v>329815997.3952471</v>
      </c>
      <c r="BA8" s="3">
        <f t="shared" si="18"/>
        <v>32.68976641174973</v>
      </c>
      <c r="BB8" s="2"/>
      <c r="BC8" s="3"/>
    </row>
    <row r="9" spans="1:55" x14ac:dyDescent="0.25">
      <c r="A9" s="1" t="s">
        <v>11</v>
      </c>
      <c r="B9" s="1" t="s">
        <v>1</v>
      </c>
      <c r="C9" s="3">
        <v>2.13</v>
      </c>
      <c r="D9" s="2">
        <f>252561</f>
        <v>252561</v>
      </c>
      <c r="E9" s="2">
        <v>20</v>
      </c>
      <c r="F9" s="2">
        <f>D9*E9</f>
        <v>5051220</v>
      </c>
      <c r="G9" s="2">
        <f t="shared" si="3"/>
        <v>5051220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f t="shared" si="7"/>
        <v>5051220</v>
      </c>
      <c r="R9" s="2">
        <v>382074</v>
      </c>
      <c r="S9">
        <v>852</v>
      </c>
      <c r="T9" s="1">
        <f t="shared" si="4"/>
        <v>0.17</v>
      </c>
      <c r="U9" s="2">
        <f>R9*T9</f>
        <v>64952.58</v>
      </c>
      <c r="V9" s="2">
        <v>1710</v>
      </c>
      <c r="W9" s="2">
        <f t="shared" si="8"/>
        <v>436595959.80000001</v>
      </c>
      <c r="X9" s="2">
        <f t="shared" si="5"/>
        <v>43659595.980000004</v>
      </c>
      <c r="Y9" s="2">
        <f t="shared" si="5"/>
        <v>42387957.26213593</v>
      </c>
      <c r="Z9" s="2">
        <f t="shared" si="5"/>
        <v>41153356.56518051</v>
      </c>
      <c r="AA9" s="2">
        <f t="shared" si="5"/>
        <v>39954715.111825742</v>
      </c>
      <c r="AB9" s="2">
        <f t="shared" si="5"/>
        <v>38790985.545461886</v>
      </c>
      <c r="AC9" s="2">
        <f t="shared" si="5"/>
        <v>37661151.015011542</v>
      </c>
      <c r="AD9" s="2">
        <f t="shared" si="5"/>
        <v>36564224.286418974</v>
      </c>
      <c r="AE9" s="2">
        <f t="shared" si="5"/>
        <v>35499246.880018413</v>
      </c>
      <c r="AF9" s="2">
        <f t="shared" si="5"/>
        <v>34465288.233027592</v>
      </c>
      <c r="AG9" s="2">
        <f t="shared" si="5"/>
        <v>33461444.886434555</v>
      </c>
      <c r="AH9" s="2">
        <f t="shared" si="9"/>
        <v>383597965.76551515</v>
      </c>
      <c r="AI9" s="2">
        <v>116</v>
      </c>
      <c r="AJ9" s="2">
        <v>10</v>
      </c>
      <c r="AK9" s="2">
        <f>AJ9*AI9</f>
        <v>1160</v>
      </c>
      <c r="AL9" s="2">
        <f>AK9*0.17</f>
        <v>197.20000000000002</v>
      </c>
      <c r="AM9" s="2">
        <f t="shared" si="10"/>
        <v>1325532</v>
      </c>
      <c r="AN9" s="2">
        <f t="shared" si="11"/>
        <v>380914</v>
      </c>
      <c r="AO9" s="2">
        <f t="shared" si="6"/>
        <v>43527042.780000001</v>
      </c>
      <c r="AP9" s="2">
        <f t="shared" si="6"/>
        <v>42259264.83495146</v>
      </c>
      <c r="AQ9" s="2">
        <f t="shared" si="6"/>
        <v>41028412.461117916</v>
      </c>
      <c r="AR9" s="2">
        <f t="shared" si="6"/>
        <v>39833410.156425163</v>
      </c>
      <c r="AS9" s="2">
        <f t="shared" si="6"/>
        <v>38673213.744102105</v>
      </c>
      <c r="AT9" s="2">
        <f t="shared" si="6"/>
        <v>37546809.460293308</v>
      </c>
      <c r="AU9" s="2">
        <f t="shared" si="6"/>
        <v>36453213.068245932</v>
      </c>
      <c r="AV9" s="2">
        <f t="shared" si="6"/>
        <v>35391468.998297013</v>
      </c>
      <c r="AW9" s="2">
        <f t="shared" si="6"/>
        <v>34360649.512909725</v>
      </c>
      <c r="AX9" s="2">
        <f t="shared" si="6"/>
        <v>33359853.896028861</v>
      </c>
      <c r="AY9" s="2">
        <f t="shared" si="17"/>
        <v>382433338.91237152</v>
      </c>
      <c r="AZ9" s="2">
        <f t="shared" si="12"/>
        <v>377382118.91237152</v>
      </c>
      <c r="BA9" s="3">
        <f t="shared" si="18"/>
        <v>75.711083443677268</v>
      </c>
      <c r="BB9" s="2"/>
      <c r="BC9" s="3"/>
    </row>
    <row r="10" spans="1:55" x14ac:dyDescent="0.25">
      <c r="A10" s="1" t="s">
        <v>11</v>
      </c>
      <c r="B10" s="1" t="s">
        <v>1</v>
      </c>
      <c r="C10" s="3">
        <v>2.13</v>
      </c>
      <c r="D10" s="2">
        <f>252561</f>
        <v>252561</v>
      </c>
      <c r="E10" s="2">
        <v>50</v>
      </c>
      <c r="F10" s="2">
        <f>D10*E10</f>
        <v>12628050</v>
      </c>
      <c r="G10" s="2">
        <f t="shared" si="3"/>
        <v>12628050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f t="shared" si="7"/>
        <v>12628050</v>
      </c>
      <c r="R10" s="2">
        <v>382074</v>
      </c>
      <c r="S10">
        <v>852</v>
      </c>
      <c r="T10" s="1">
        <f t="shared" si="4"/>
        <v>0.17</v>
      </c>
      <c r="U10" s="2">
        <f>R10*T10</f>
        <v>64952.58</v>
      </c>
      <c r="V10" s="2">
        <v>1710</v>
      </c>
      <c r="W10" s="2">
        <f t="shared" si="8"/>
        <v>436595959.80000001</v>
      </c>
      <c r="X10" s="2">
        <f t="shared" si="5"/>
        <v>43659595.980000004</v>
      </c>
      <c r="Y10" s="2">
        <f t="shared" si="5"/>
        <v>42387957.26213593</v>
      </c>
      <c r="Z10" s="2">
        <f t="shared" si="5"/>
        <v>41153356.56518051</v>
      </c>
      <c r="AA10" s="2">
        <f t="shared" si="5"/>
        <v>39954715.111825742</v>
      </c>
      <c r="AB10" s="2">
        <f t="shared" si="5"/>
        <v>38790985.545461886</v>
      </c>
      <c r="AC10" s="2">
        <f t="shared" si="5"/>
        <v>37661151.015011542</v>
      </c>
      <c r="AD10" s="2">
        <f t="shared" si="5"/>
        <v>36564224.286418974</v>
      </c>
      <c r="AE10" s="2">
        <f t="shared" si="5"/>
        <v>35499246.880018413</v>
      </c>
      <c r="AF10" s="2">
        <f t="shared" si="5"/>
        <v>34465288.233027592</v>
      </c>
      <c r="AG10" s="2">
        <f t="shared" si="5"/>
        <v>33461444.886434555</v>
      </c>
      <c r="AH10" s="2">
        <f t="shared" si="9"/>
        <v>383597965.76551515</v>
      </c>
      <c r="AI10" s="2">
        <v>116</v>
      </c>
      <c r="AJ10" s="2">
        <v>10</v>
      </c>
      <c r="AK10" s="2">
        <f>AJ10*AI10</f>
        <v>1160</v>
      </c>
      <c r="AL10" s="2">
        <f>AK10*0.17</f>
        <v>197.20000000000002</v>
      </c>
      <c r="AM10" s="2">
        <f t="shared" si="10"/>
        <v>1325532</v>
      </c>
      <c r="AN10" s="2">
        <f t="shared" si="11"/>
        <v>380914</v>
      </c>
      <c r="AO10" s="2">
        <f t="shared" si="6"/>
        <v>43527042.780000001</v>
      </c>
      <c r="AP10" s="2">
        <f t="shared" si="6"/>
        <v>42259264.83495146</v>
      </c>
      <c r="AQ10" s="2">
        <f t="shared" si="6"/>
        <v>41028412.461117916</v>
      </c>
      <c r="AR10" s="2">
        <f t="shared" si="6"/>
        <v>39833410.156425163</v>
      </c>
      <c r="AS10" s="2">
        <f t="shared" si="6"/>
        <v>38673213.744102105</v>
      </c>
      <c r="AT10" s="2">
        <f t="shared" si="6"/>
        <v>37546809.460293308</v>
      </c>
      <c r="AU10" s="2">
        <f t="shared" si="6"/>
        <v>36453213.068245932</v>
      </c>
      <c r="AV10" s="2">
        <f t="shared" si="6"/>
        <v>35391468.998297013</v>
      </c>
      <c r="AW10" s="2">
        <f t="shared" si="6"/>
        <v>34360649.512909725</v>
      </c>
      <c r="AX10" s="2">
        <f t="shared" si="6"/>
        <v>33359853.896028861</v>
      </c>
      <c r="AY10" s="2">
        <f t="shared" si="17"/>
        <v>382433338.91237152</v>
      </c>
      <c r="AZ10" s="2">
        <f t="shared" si="12"/>
        <v>369805288.91237152</v>
      </c>
      <c r="BA10" s="3">
        <f t="shared" si="18"/>
        <v>30.284433377470908</v>
      </c>
      <c r="BB10" s="2"/>
      <c r="BC10" s="3"/>
    </row>
    <row r="11" spans="1:55" x14ac:dyDescent="0.25">
      <c r="A11" s="1" t="s">
        <v>12</v>
      </c>
      <c r="B11" s="1" t="s">
        <v>0</v>
      </c>
      <c r="C11" s="3">
        <v>0.92</v>
      </c>
      <c r="D11" s="2">
        <v>0</v>
      </c>
      <c r="E11" s="2"/>
      <c r="F11" s="2">
        <f>D11*E11</f>
        <v>0</v>
      </c>
      <c r="G11" s="2">
        <f t="shared" si="3"/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f t="shared" si="7"/>
        <v>0</v>
      </c>
      <c r="R11" s="2">
        <v>130</v>
      </c>
      <c r="S11">
        <v>852</v>
      </c>
      <c r="T11" s="1">
        <f t="shared" si="4"/>
        <v>0.17</v>
      </c>
      <c r="U11" s="2">
        <f>R11*T11</f>
        <v>22.1</v>
      </c>
      <c r="V11" s="2">
        <v>1710</v>
      </c>
      <c r="W11" s="2">
        <f t="shared" si="8"/>
        <v>148551</v>
      </c>
      <c r="X11" s="2">
        <f t="shared" si="5"/>
        <v>14855.1</v>
      </c>
      <c r="Y11" s="2">
        <f t="shared" si="5"/>
        <v>14422.42718446602</v>
      </c>
      <c r="Z11" s="2">
        <f t="shared" si="5"/>
        <v>14002.356489772834</v>
      </c>
      <c r="AA11" s="2">
        <f t="shared" si="5"/>
        <v>13594.520863857122</v>
      </c>
      <c r="AB11" s="2">
        <f t="shared" si="5"/>
        <v>13198.563945492351</v>
      </c>
      <c r="AC11" s="2">
        <f t="shared" si="5"/>
        <v>12814.139752905197</v>
      </c>
      <c r="AD11" s="2">
        <f t="shared" si="5"/>
        <v>12440.912381461356</v>
      </c>
      <c r="AE11" s="2">
        <f t="shared" si="5"/>
        <v>12078.555710156656</v>
      </c>
      <c r="AF11" s="2">
        <f t="shared" si="5"/>
        <v>11726.753116656946</v>
      </c>
      <c r="AG11" s="2">
        <f t="shared" si="5"/>
        <v>11385.197200637813</v>
      </c>
      <c r="AH11" s="2">
        <f t="shared" si="9"/>
        <v>130518.52664540627</v>
      </c>
      <c r="AI11" s="2">
        <v>13</v>
      </c>
      <c r="AJ11" s="2">
        <v>10</v>
      </c>
      <c r="AK11" s="2">
        <f>AJ11*AI11</f>
        <v>130</v>
      </c>
      <c r="AL11" s="2">
        <f>AK11*0.17</f>
        <v>22.1</v>
      </c>
      <c r="AM11" s="2">
        <f t="shared" si="10"/>
        <v>148551</v>
      </c>
      <c r="AN11" s="2">
        <f t="shared" si="11"/>
        <v>0</v>
      </c>
      <c r="AO11" s="2">
        <f t="shared" si="6"/>
        <v>0</v>
      </c>
      <c r="AP11" s="2">
        <f t="shared" si="6"/>
        <v>0</v>
      </c>
      <c r="AQ11" s="2">
        <f t="shared" si="6"/>
        <v>0</v>
      </c>
      <c r="AR11" s="2">
        <f t="shared" si="6"/>
        <v>0</v>
      </c>
      <c r="AS11" s="2">
        <f t="shared" si="6"/>
        <v>0</v>
      </c>
      <c r="AT11" s="2">
        <f t="shared" si="6"/>
        <v>0</v>
      </c>
      <c r="AU11" s="2">
        <f t="shared" si="6"/>
        <v>0</v>
      </c>
      <c r="AV11" s="2">
        <f t="shared" si="6"/>
        <v>0</v>
      </c>
      <c r="AW11" s="2">
        <f t="shared" si="6"/>
        <v>0</v>
      </c>
      <c r="AX11" s="2">
        <f t="shared" si="6"/>
        <v>0</v>
      </c>
      <c r="AY11" s="2">
        <f t="shared" si="17"/>
        <v>0</v>
      </c>
      <c r="AZ11" s="2">
        <f>AY11-Q11</f>
        <v>0</v>
      </c>
      <c r="BA11" s="3" t="e">
        <f t="shared" si="18"/>
        <v>#DIV/0!</v>
      </c>
      <c r="BB11" s="2"/>
      <c r="BC11" s="3"/>
    </row>
    <row r="12" spans="1:55" x14ac:dyDescent="0.25">
      <c r="A12" s="1" t="s">
        <v>12</v>
      </c>
      <c r="B12" s="1" t="s">
        <v>0</v>
      </c>
      <c r="C12" s="3">
        <v>1.19</v>
      </c>
      <c r="D12" s="2">
        <f>80000</f>
        <v>80000</v>
      </c>
      <c r="E12" s="2">
        <v>20</v>
      </c>
      <c r="F12" s="2">
        <f>D12*E12</f>
        <v>1600000</v>
      </c>
      <c r="G12" s="2">
        <f t="shared" si="3"/>
        <v>1600000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f>SUM(G12:P12)</f>
        <v>1600000</v>
      </c>
      <c r="R12" s="2">
        <v>2200</v>
      </c>
      <c r="S12">
        <v>852</v>
      </c>
      <c r="T12" s="1">
        <f>0.17</f>
        <v>0.17</v>
      </c>
      <c r="U12" s="2">
        <f>R12*T12</f>
        <v>374</v>
      </c>
      <c r="V12" s="2">
        <v>1710</v>
      </c>
      <c r="W12" s="2">
        <f t="shared" si="8"/>
        <v>2513940</v>
      </c>
      <c r="X12" s="2">
        <f t="shared" si="5"/>
        <v>251394</v>
      </c>
      <c r="Y12" s="2">
        <f t="shared" si="5"/>
        <v>244071.84466019418</v>
      </c>
      <c r="Z12" s="2">
        <f t="shared" si="5"/>
        <v>236962.95598077105</v>
      </c>
      <c r="AA12" s="2">
        <f t="shared" si="5"/>
        <v>230061.12231142822</v>
      </c>
      <c r="AB12" s="2">
        <f t="shared" si="5"/>
        <v>223360.31292371673</v>
      </c>
      <c r="AC12" s="2">
        <f t="shared" si="5"/>
        <v>216854.67274147255</v>
      </c>
      <c r="AD12" s="2">
        <f t="shared" si="5"/>
        <v>210538.51722473063</v>
      </c>
      <c r="AE12" s="2">
        <f t="shared" si="5"/>
        <v>204406.32740265108</v>
      </c>
      <c r="AF12" s="2">
        <f t="shared" si="5"/>
        <v>198452.74505111756</v>
      </c>
      <c r="AG12" s="2">
        <f t="shared" si="5"/>
        <v>192672.56801079377</v>
      </c>
      <c r="AH12" s="2">
        <f t="shared" si="9"/>
        <v>2208775.066306876</v>
      </c>
      <c r="AI12" s="2">
        <v>145</v>
      </c>
      <c r="AJ12" s="2">
        <v>10</v>
      </c>
      <c r="AK12" s="2">
        <f>AJ12*AI12</f>
        <v>1450</v>
      </c>
      <c r="AL12" s="2">
        <f>AK12*0.17</f>
        <v>246.50000000000003</v>
      </c>
      <c r="AM12" s="2">
        <f t="shared" si="10"/>
        <v>1656915</v>
      </c>
      <c r="AN12" s="2">
        <f t="shared" si="11"/>
        <v>750</v>
      </c>
      <c r="AO12" s="2">
        <f t="shared" si="6"/>
        <v>85702.5</v>
      </c>
      <c r="AP12" s="2">
        <f t="shared" si="6"/>
        <v>83206.310679611648</v>
      </c>
      <c r="AQ12" s="2">
        <f t="shared" si="6"/>
        <v>80782.82590253558</v>
      </c>
      <c r="AR12" s="2">
        <f t="shared" si="6"/>
        <v>78429.928060714155</v>
      </c>
      <c r="AS12" s="2">
        <f t="shared" si="6"/>
        <v>76145.561223994329</v>
      </c>
      <c r="AT12" s="2">
        <f t="shared" si="6"/>
        <v>73927.729343683823</v>
      </c>
      <c r="AU12" s="2">
        <f t="shared" si="6"/>
        <v>71774.4945084309</v>
      </c>
      <c r="AV12" s="2">
        <f t="shared" si="6"/>
        <v>69683.975250903779</v>
      </c>
      <c r="AW12" s="2">
        <f t="shared" si="6"/>
        <v>67654.344903790072</v>
      </c>
      <c r="AX12" s="2">
        <f t="shared" si="6"/>
        <v>65683.830003679686</v>
      </c>
      <c r="AY12" s="2">
        <f t="shared" si="17"/>
        <v>752991.499877344</v>
      </c>
      <c r="AZ12" s="2">
        <f t="shared" si="12"/>
        <v>-847008.500122656</v>
      </c>
      <c r="BA12" s="3">
        <f t="shared" si="18"/>
        <v>0.47061968742333998</v>
      </c>
      <c r="BB12" s="2"/>
      <c r="BC12" s="3"/>
    </row>
    <row r="13" spans="1:55" x14ac:dyDescent="0.25">
      <c r="A13" s="1" t="s">
        <v>12</v>
      </c>
      <c r="B13" s="1" t="s">
        <v>0</v>
      </c>
      <c r="C13" s="3">
        <v>1.19</v>
      </c>
      <c r="D13" s="2">
        <f>80000</f>
        <v>80000</v>
      </c>
      <c r="E13" s="2">
        <v>50</v>
      </c>
      <c r="F13" s="2">
        <f t="shared" ref="F13:F15" si="19">D13*E13</f>
        <v>4000000</v>
      </c>
      <c r="G13" s="2">
        <f t="shared" si="3"/>
        <v>4000000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f t="shared" si="7"/>
        <v>4000000</v>
      </c>
      <c r="R13" s="2">
        <v>2200</v>
      </c>
      <c r="S13">
        <v>852</v>
      </c>
      <c r="T13" s="1">
        <f t="shared" si="4"/>
        <v>0.17</v>
      </c>
      <c r="U13" s="2">
        <f t="shared" ref="U13:U15" si="20">R13*T13</f>
        <v>374</v>
      </c>
      <c r="V13" s="2">
        <v>1710</v>
      </c>
      <c r="W13" s="2">
        <f t="shared" si="8"/>
        <v>2513940</v>
      </c>
      <c r="X13" s="2">
        <f t="shared" si="5"/>
        <v>251394</v>
      </c>
      <c r="Y13" s="2">
        <f t="shared" si="5"/>
        <v>244071.84466019418</v>
      </c>
      <c r="Z13" s="2">
        <f t="shared" si="5"/>
        <v>236962.95598077105</v>
      </c>
      <c r="AA13" s="2">
        <f t="shared" si="5"/>
        <v>230061.12231142822</v>
      </c>
      <c r="AB13" s="2">
        <f t="shared" si="5"/>
        <v>223360.31292371673</v>
      </c>
      <c r="AC13" s="2">
        <f t="shared" si="5"/>
        <v>216854.67274147255</v>
      </c>
      <c r="AD13" s="2">
        <f t="shared" si="5"/>
        <v>210538.51722473063</v>
      </c>
      <c r="AE13" s="2">
        <f t="shared" si="5"/>
        <v>204406.32740265108</v>
      </c>
      <c r="AF13" s="2">
        <f t="shared" si="5"/>
        <v>198452.74505111756</v>
      </c>
      <c r="AG13" s="2">
        <f t="shared" si="5"/>
        <v>192672.56801079377</v>
      </c>
      <c r="AH13" s="2">
        <f t="shared" si="9"/>
        <v>2208775.066306876</v>
      </c>
      <c r="AI13" s="2">
        <v>145</v>
      </c>
      <c r="AJ13" s="2">
        <v>10</v>
      </c>
      <c r="AK13" s="2">
        <f t="shared" ref="AK13:AK15" si="21">AJ13*AI13</f>
        <v>1450</v>
      </c>
      <c r="AL13" s="2">
        <f t="shared" ref="AL13:AL15" si="22">AK13*0.17</f>
        <v>246.50000000000003</v>
      </c>
      <c r="AM13" s="2">
        <f t="shared" si="10"/>
        <v>1656915</v>
      </c>
      <c r="AN13" s="2">
        <f t="shared" si="11"/>
        <v>750</v>
      </c>
      <c r="AO13" s="2">
        <f t="shared" si="6"/>
        <v>85702.5</v>
      </c>
      <c r="AP13" s="2">
        <f t="shared" si="6"/>
        <v>83206.310679611648</v>
      </c>
      <c r="AQ13" s="2">
        <f t="shared" si="6"/>
        <v>80782.82590253558</v>
      </c>
      <c r="AR13" s="2">
        <f t="shared" si="6"/>
        <v>78429.928060714155</v>
      </c>
      <c r="AS13" s="2">
        <f t="shared" si="6"/>
        <v>76145.561223994329</v>
      </c>
      <c r="AT13" s="2">
        <f t="shared" si="6"/>
        <v>73927.729343683823</v>
      </c>
      <c r="AU13" s="2">
        <f t="shared" si="6"/>
        <v>71774.4945084309</v>
      </c>
      <c r="AV13" s="2">
        <f t="shared" si="6"/>
        <v>69683.975250903779</v>
      </c>
      <c r="AW13" s="2">
        <f t="shared" si="6"/>
        <v>67654.344903790072</v>
      </c>
      <c r="AX13" s="2">
        <f t="shared" si="6"/>
        <v>65683.830003679686</v>
      </c>
      <c r="AY13" s="2">
        <f t="shared" si="17"/>
        <v>752991.499877344</v>
      </c>
      <c r="AZ13" s="2">
        <f t="shared" si="12"/>
        <v>-3247008.5001226561</v>
      </c>
      <c r="BA13" s="3">
        <f t="shared" si="18"/>
        <v>0.18824787496933601</v>
      </c>
      <c r="BB13" s="2"/>
      <c r="BC13" s="3"/>
    </row>
    <row r="14" spans="1:55" x14ac:dyDescent="0.25">
      <c r="A14" s="1" t="s">
        <v>11</v>
      </c>
      <c r="B14" s="1" t="s">
        <v>1</v>
      </c>
      <c r="C14" s="3">
        <v>1.82</v>
      </c>
      <c r="D14" s="2">
        <v>208153</v>
      </c>
      <c r="E14" s="2">
        <v>20</v>
      </c>
      <c r="F14" s="2">
        <f t="shared" si="19"/>
        <v>4163060</v>
      </c>
      <c r="G14" s="2">
        <f t="shared" si="3"/>
        <v>4163060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f t="shared" si="7"/>
        <v>4163060</v>
      </c>
      <c r="R14" s="2">
        <v>2200</v>
      </c>
      <c r="S14">
        <v>852</v>
      </c>
      <c r="T14" s="1">
        <f t="shared" si="4"/>
        <v>0.17</v>
      </c>
      <c r="U14" s="2">
        <f t="shared" si="20"/>
        <v>374</v>
      </c>
      <c r="V14" s="2">
        <v>1710</v>
      </c>
      <c r="W14" s="2">
        <f t="shared" si="8"/>
        <v>2513940</v>
      </c>
      <c r="X14" s="2">
        <f t="shared" si="5"/>
        <v>251394</v>
      </c>
      <c r="Y14" s="2">
        <f t="shared" si="5"/>
        <v>244071.84466019418</v>
      </c>
      <c r="Z14" s="2">
        <f t="shared" si="5"/>
        <v>236962.95598077105</v>
      </c>
      <c r="AA14" s="2">
        <f t="shared" si="5"/>
        <v>230061.12231142822</v>
      </c>
      <c r="AB14" s="2">
        <f t="shared" si="5"/>
        <v>223360.31292371673</v>
      </c>
      <c r="AC14" s="2">
        <f t="shared" si="5"/>
        <v>216854.67274147255</v>
      </c>
      <c r="AD14" s="2">
        <f t="shared" si="5"/>
        <v>210538.51722473063</v>
      </c>
      <c r="AE14" s="2">
        <f t="shared" si="5"/>
        <v>204406.32740265108</v>
      </c>
      <c r="AF14" s="2">
        <f t="shared" si="5"/>
        <v>198452.74505111756</v>
      </c>
      <c r="AG14" s="2">
        <f t="shared" si="5"/>
        <v>192672.56801079377</v>
      </c>
      <c r="AH14" s="2">
        <f t="shared" si="9"/>
        <v>2208775.066306876</v>
      </c>
      <c r="AI14" s="2">
        <v>116</v>
      </c>
      <c r="AJ14" s="2">
        <v>10</v>
      </c>
      <c r="AK14" s="2">
        <f t="shared" si="21"/>
        <v>1160</v>
      </c>
      <c r="AL14" s="2">
        <f t="shared" si="22"/>
        <v>197.20000000000002</v>
      </c>
      <c r="AM14" s="2">
        <f t="shared" si="10"/>
        <v>1325532</v>
      </c>
      <c r="AN14" s="2">
        <f t="shared" si="11"/>
        <v>1040</v>
      </c>
      <c r="AO14" s="2">
        <f t="shared" si="6"/>
        <v>118840.8</v>
      </c>
      <c r="AP14" s="2">
        <f t="shared" si="6"/>
        <v>115379.41747572816</v>
      </c>
      <c r="AQ14" s="2">
        <f t="shared" si="6"/>
        <v>112018.85191818267</v>
      </c>
      <c r="AR14" s="2">
        <f t="shared" si="6"/>
        <v>108756.16691085698</v>
      </c>
      <c r="AS14" s="2">
        <f t="shared" si="6"/>
        <v>105588.51156393881</v>
      </c>
      <c r="AT14" s="2">
        <f t="shared" si="6"/>
        <v>102513.11802324158</v>
      </c>
      <c r="AU14" s="2">
        <f t="shared" si="6"/>
        <v>99527.299051690847</v>
      </c>
      <c r="AV14" s="2">
        <f t="shared" si="6"/>
        <v>96628.445681253244</v>
      </c>
      <c r="AW14" s="2">
        <f t="shared" si="6"/>
        <v>93814.024933255569</v>
      </c>
      <c r="AX14" s="2">
        <f t="shared" si="6"/>
        <v>91081.577605102502</v>
      </c>
      <c r="AY14" s="2">
        <f t="shared" si="17"/>
        <v>1044148.2131632501</v>
      </c>
      <c r="AZ14" s="2">
        <f t="shared" si="12"/>
        <v>-3118911.7868367499</v>
      </c>
      <c r="BA14" s="3">
        <f t="shared" si="18"/>
        <v>0.25081267461032275</v>
      </c>
      <c r="BB14" s="2"/>
      <c r="BC14" s="3"/>
    </row>
    <row r="15" spans="1:55" x14ac:dyDescent="0.25">
      <c r="A15" s="1" t="s">
        <v>11</v>
      </c>
      <c r="B15" s="1" t="s">
        <v>1</v>
      </c>
      <c r="C15" s="3">
        <v>1.82</v>
      </c>
      <c r="D15" s="2">
        <v>208153</v>
      </c>
      <c r="E15" s="2">
        <v>50</v>
      </c>
      <c r="F15" s="2">
        <f t="shared" si="19"/>
        <v>10407650</v>
      </c>
      <c r="G15" s="2">
        <f t="shared" si="3"/>
        <v>10407650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f t="shared" si="7"/>
        <v>10407650</v>
      </c>
      <c r="R15" s="2">
        <v>2200</v>
      </c>
      <c r="S15">
        <v>852</v>
      </c>
      <c r="T15" s="1">
        <f t="shared" si="4"/>
        <v>0.17</v>
      </c>
      <c r="U15" s="2">
        <f t="shared" si="20"/>
        <v>374</v>
      </c>
      <c r="V15" s="2">
        <v>1710</v>
      </c>
      <c r="W15" s="2">
        <f t="shared" si="8"/>
        <v>2513940</v>
      </c>
      <c r="X15" s="2">
        <f t="shared" si="5"/>
        <v>251394</v>
      </c>
      <c r="Y15" s="2">
        <f t="shared" si="5"/>
        <v>244071.84466019418</v>
      </c>
      <c r="Z15" s="2">
        <f t="shared" si="5"/>
        <v>236962.95598077105</v>
      </c>
      <c r="AA15" s="2">
        <f t="shared" si="5"/>
        <v>230061.12231142822</v>
      </c>
      <c r="AB15" s="2">
        <f t="shared" si="5"/>
        <v>223360.31292371673</v>
      </c>
      <c r="AC15" s="2">
        <f t="shared" si="5"/>
        <v>216854.67274147255</v>
      </c>
      <c r="AD15" s="2">
        <f t="shared" si="5"/>
        <v>210538.51722473063</v>
      </c>
      <c r="AE15" s="2">
        <f t="shared" si="5"/>
        <v>204406.32740265108</v>
      </c>
      <c r="AF15" s="2">
        <f t="shared" si="5"/>
        <v>198452.74505111756</v>
      </c>
      <c r="AG15" s="2">
        <f t="shared" si="5"/>
        <v>192672.56801079377</v>
      </c>
      <c r="AH15" s="2">
        <f t="shared" si="9"/>
        <v>2208775.066306876</v>
      </c>
      <c r="AI15" s="2">
        <v>116</v>
      </c>
      <c r="AJ15" s="2">
        <v>10</v>
      </c>
      <c r="AK15" s="2">
        <f t="shared" si="21"/>
        <v>1160</v>
      </c>
      <c r="AL15" s="2">
        <f t="shared" si="22"/>
        <v>197.20000000000002</v>
      </c>
      <c r="AM15" s="2">
        <f t="shared" si="10"/>
        <v>1325532</v>
      </c>
      <c r="AN15" s="2">
        <f t="shared" si="11"/>
        <v>1040</v>
      </c>
      <c r="AO15" s="2">
        <f t="shared" si="6"/>
        <v>118840.8</v>
      </c>
      <c r="AP15" s="2">
        <f t="shared" si="6"/>
        <v>115379.41747572816</v>
      </c>
      <c r="AQ15" s="2">
        <f t="shared" si="6"/>
        <v>112018.85191818267</v>
      </c>
      <c r="AR15" s="2">
        <f t="shared" si="6"/>
        <v>108756.16691085698</v>
      </c>
      <c r="AS15" s="2">
        <f t="shared" si="6"/>
        <v>105588.51156393881</v>
      </c>
      <c r="AT15" s="2">
        <f t="shared" si="6"/>
        <v>102513.11802324158</v>
      </c>
      <c r="AU15" s="2">
        <f t="shared" si="6"/>
        <v>99527.299051690847</v>
      </c>
      <c r="AV15" s="2">
        <f t="shared" si="6"/>
        <v>96628.445681253244</v>
      </c>
      <c r="AW15" s="2">
        <f t="shared" si="6"/>
        <v>93814.024933255569</v>
      </c>
      <c r="AX15" s="2">
        <f t="shared" si="6"/>
        <v>91081.577605102502</v>
      </c>
      <c r="AY15" s="2">
        <f t="shared" si="17"/>
        <v>1044148.2131632501</v>
      </c>
      <c r="AZ15" s="2">
        <f t="shared" si="12"/>
        <v>-9363501.7868367508</v>
      </c>
      <c r="BA15" s="3">
        <f t="shared" si="18"/>
        <v>0.10032506984412909</v>
      </c>
      <c r="BB15" s="2"/>
      <c r="BC15" s="3"/>
    </row>
    <row r="16" spans="1:55" x14ac:dyDescent="0.25">
      <c r="A16" s="1" t="s">
        <v>11</v>
      </c>
      <c r="B16" s="1" t="s">
        <v>1</v>
      </c>
      <c r="C16" s="3">
        <v>2.13</v>
      </c>
      <c r="D16" s="2">
        <f>252561</f>
        <v>252561</v>
      </c>
      <c r="E16" s="2">
        <v>20</v>
      </c>
      <c r="F16" s="2">
        <f>D16*E16</f>
        <v>5051220</v>
      </c>
      <c r="G16" s="2">
        <f t="shared" si="3"/>
        <v>5051220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f t="shared" si="7"/>
        <v>5051220</v>
      </c>
      <c r="R16" s="2">
        <v>2200</v>
      </c>
      <c r="S16">
        <v>852</v>
      </c>
      <c r="T16" s="1">
        <f t="shared" si="4"/>
        <v>0.17</v>
      </c>
      <c r="U16" s="2">
        <f>R16*T16</f>
        <v>374</v>
      </c>
      <c r="V16" s="2">
        <v>1710</v>
      </c>
      <c r="W16" s="2">
        <f t="shared" si="8"/>
        <v>2513940</v>
      </c>
      <c r="X16" s="2">
        <f t="shared" si="5"/>
        <v>251394</v>
      </c>
      <c r="Y16" s="2">
        <f t="shared" si="5"/>
        <v>244071.84466019418</v>
      </c>
      <c r="Z16" s="2">
        <f t="shared" si="5"/>
        <v>236962.95598077105</v>
      </c>
      <c r="AA16" s="2">
        <f t="shared" si="5"/>
        <v>230061.12231142822</v>
      </c>
      <c r="AB16" s="2">
        <f t="shared" si="5"/>
        <v>223360.31292371673</v>
      </c>
      <c r="AC16" s="2">
        <f t="shared" si="5"/>
        <v>216854.67274147255</v>
      </c>
      <c r="AD16" s="2">
        <f t="shared" si="5"/>
        <v>210538.51722473063</v>
      </c>
      <c r="AE16" s="2">
        <f t="shared" si="5"/>
        <v>204406.32740265108</v>
      </c>
      <c r="AF16" s="2">
        <f t="shared" si="5"/>
        <v>198452.74505111756</v>
      </c>
      <c r="AG16" s="2">
        <f t="shared" si="5"/>
        <v>192672.56801079377</v>
      </c>
      <c r="AH16" s="2">
        <f t="shared" si="9"/>
        <v>2208775.066306876</v>
      </c>
      <c r="AI16" s="2">
        <v>116</v>
      </c>
      <c r="AJ16" s="2">
        <v>10</v>
      </c>
      <c r="AK16" s="2">
        <f>AJ16*AI16</f>
        <v>1160</v>
      </c>
      <c r="AL16" s="2">
        <f>AK16*0.17</f>
        <v>197.20000000000002</v>
      </c>
      <c r="AM16" s="2">
        <f t="shared" si="10"/>
        <v>1325532</v>
      </c>
      <c r="AN16" s="2">
        <f t="shared" si="11"/>
        <v>1040</v>
      </c>
      <c r="AO16" s="2">
        <f t="shared" si="6"/>
        <v>118840.8</v>
      </c>
      <c r="AP16" s="2">
        <f t="shared" si="6"/>
        <v>115379.41747572816</v>
      </c>
      <c r="AQ16" s="2">
        <f t="shared" si="6"/>
        <v>112018.85191818267</v>
      </c>
      <c r="AR16" s="2">
        <f t="shared" si="6"/>
        <v>108756.16691085698</v>
      </c>
      <c r="AS16" s="2">
        <f t="shared" si="6"/>
        <v>105588.51156393881</v>
      </c>
      <c r="AT16" s="2">
        <f t="shared" si="6"/>
        <v>102513.11802324158</v>
      </c>
      <c r="AU16" s="2">
        <f t="shared" si="6"/>
        <v>99527.299051690847</v>
      </c>
      <c r="AV16" s="2">
        <f t="shared" si="6"/>
        <v>96628.445681253244</v>
      </c>
      <c r="AW16" s="2">
        <f t="shared" si="6"/>
        <v>93814.024933255569</v>
      </c>
      <c r="AX16" s="2">
        <f t="shared" si="6"/>
        <v>91081.577605102502</v>
      </c>
      <c r="AY16" s="2">
        <f t="shared" si="17"/>
        <v>1044148.2131632501</v>
      </c>
      <c r="AZ16" s="2">
        <f t="shared" si="12"/>
        <v>-4007071.7868367499</v>
      </c>
      <c r="BA16" s="3">
        <f t="shared" si="18"/>
        <v>0.20671208404370631</v>
      </c>
      <c r="BB16" s="2"/>
      <c r="BC16" s="3"/>
    </row>
    <row r="17" spans="1:55" x14ac:dyDescent="0.25">
      <c r="A17" s="1" t="s">
        <v>11</v>
      </c>
      <c r="B17" s="1" t="s">
        <v>1</v>
      </c>
      <c r="C17" s="3">
        <v>2.13</v>
      </c>
      <c r="D17" s="2">
        <f>252561</f>
        <v>252561</v>
      </c>
      <c r="E17" s="2">
        <v>50</v>
      </c>
      <c r="F17" s="2">
        <f>D17*E17</f>
        <v>12628050</v>
      </c>
      <c r="G17" s="2">
        <f t="shared" si="3"/>
        <v>12628050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f t="shared" si="7"/>
        <v>12628050</v>
      </c>
      <c r="R17" s="2">
        <v>2200</v>
      </c>
      <c r="S17">
        <v>852</v>
      </c>
      <c r="T17" s="1">
        <f t="shared" si="4"/>
        <v>0.17</v>
      </c>
      <c r="U17" s="2">
        <f>R17*T17</f>
        <v>374</v>
      </c>
      <c r="V17" s="2">
        <v>1710</v>
      </c>
      <c r="W17" s="2">
        <f t="shared" si="8"/>
        <v>2513940</v>
      </c>
      <c r="X17" s="2">
        <f t="shared" si="5"/>
        <v>251394</v>
      </c>
      <c r="Y17" s="2">
        <f t="shared" si="5"/>
        <v>244071.84466019418</v>
      </c>
      <c r="Z17" s="2">
        <f t="shared" si="5"/>
        <v>236962.95598077105</v>
      </c>
      <c r="AA17" s="2">
        <f t="shared" si="5"/>
        <v>230061.12231142822</v>
      </c>
      <c r="AB17" s="2">
        <f t="shared" si="5"/>
        <v>223360.31292371673</v>
      </c>
      <c r="AC17" s="2">
        <f t="shared" si="5"/>
        <v>216854.67274147255</v>
      </c>
      <c r="AD17" s="2">
        <f t="shared" si="5"/>
        <v>210538.51722473063</v>
      </c>
      <c r="AE17" s="2">
        <f t="shared" si="5"/>
        <v>204406.32740265108</v>
      </c>
      <c r="AF17" s="2">
        <f t="shared" si="5"/>
        <v>198452.74505111756</v>
      </c>
      <c r="AG17" s="2">
        <f t="shared" si="5"/>
        <v>192672.56801079377</v>
      </c>
      <c r="AH17" s="2">
        <f t="shared" si="9"/>
        <v>2208775.066306876</v>
      </c>
      <c r="AI17" s="2">
        <v>116</v>
      </c>
      <c r="AJ17" s="2">
        <v>10</v>
      </c>
      <c r="AK17" s="2">
        <f>AJ17*AI17</f>
        <v>1160</v>
      </c>
      <c r="AL17" s="2">
        <f>AK17*0.17</f>
        <v>197.20000000000002</v>
      </c>
      <c r="AM17" s="2">
        <f t="shared" si="10"/>
        <v>1325532</v>
      </c>
      <c r="AN17" s="2">
        <f t="shared" si="11"/>
        <v>1040</v>
      </c>
      <c r="AO17" s="2">
        <f t="shared" si="6"/>
        <v>118840.8</v>
      </c>
      <c r="AP17" s="2">
        <f t="shared" si="6"/>
        <v>115379.41747572816</v>
      </c>
      <c r="AQ17" s="2">
        <f t="shared" si="6"/>
        <v>112018.85191818267</v>
      </c>
      <c r="AR17" s="2">
        <f t="shared" si="6"/>
        <v>108756.16691085698</v>
      </c>
      <c r="AS17" s="2">
        <f t="shared" si="6"/>
        <v>105588.51156393881</v>
      </c>
      <c r="AT17" s="2">
        <f t="shared" si="6"/>
        <v>102513.11802324158</v>
      </c>
      <c r="AU17" s="2">
        <f t="shared" si="6"/>
        <v>99527.299051690847</v>
      </c>
      <c r="AV17" s="2">
        <f t="shared" si="6"/>
        <v>96628.445681253244</v>
      </c>
      <c r="AW17" s="2">
        <f t="shared" si="6"/>
        <v>93814.024933255569</v>
      </c>
      <c r="AX17" s="2">
        <f t="shared" si="6"/>
        <v>91081.577605102502</v>
      </c>
      <c r="AY17" s="2">
        <f t="shared" si="17"/>
        <v>1044148.2131632501</v>
      </c>
      <c r="AZ17" s="2">
        <f t="shared" si="12"/>
        <v>-11583901.786836751</v>
      </c>
      <c r="BA17" s="3">
        <f t="shared" si="18"/>
        <v>8.2684833617482523E-2</v>
      </c>
      <c r="BB17" s="2"/>
      <c r="BC1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worksheet</vt:lpstr>
      <vt:lpstr>tab_paper_sims</vt:lpstr>
      <vt:lpstr>tab_paper_average</vt:lpstr>
      <vt:lpstr>discounting</vt:lpstr>
      <vt:lpstr>discount_rate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2014-08-21T01:10:27Z</dcterms:created>
  <dcterms:modified xsi:type="dcterms:W3CDTF">2014-09-01T06:58:53Z</dcterms:modified>
</cp:coreProperties>
</file>