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9" yWindow="58" windowWidth="13029" windowHeight="10161"/>
  </bookViews>
  <sheets>
    <sheet name="RX7 Pro Injector planner" sheetId="1" r:id="rId1"/>
  </sheets>
  <calcPr calcId="124519"/>
</workbook>
</file>

<file path=xl/calcChain.xml><?xml version="1.0" encoding="utf-8"?>
<calcChain xmlns="http://schemas.openxmlformats.org/spreadsheetml/2006/main">
  <c r="C21" i="1"/>
  <c r="B21"/>
  <c r="D21"/>
  <c r="C20"/>
  <c r="F35"/>
  <c r="F36" s="1"/>
  <c r="F30"/>
  <c r="F31" s="1"/>
  <c r="F12"/>
  <c r="F13" s="1"/>
  <c r="B23" s="1"/>
  <c r="F25"/>
  <c r="F26" s="1"/>
  <c r="F18"/>
  <c r="F19" s="1"/>
  <c r="F28"/>
  <c r="F27"/>
  <c r="C19"/>
  <c r="C17" s="1"/>
  <c r="C35" l="1"/>
  <c r="C37" s="1"/>
  <c r="C34"/>
  <c r="C28"/>
  <c r="C23"/>
  <c r="B25"/>
  <c r="C18"/>
  <c r="C29" l="1"/>
  <c r="C30"/>
  <c r="C31" s="1"/>
  <c r="C24"/>
  <c r="C25"/>
  <c r="C26" s="1"/>
  <c r="C36"/>
</calcChain>
</file>

<file path=xl/sharedStrings.xml><?xml version="1.0" encoding="utf-8"?>
<sst xmlns="http://schemas.openxmlformats.org/spreadsheetml/2006/main" count="88" uniqueCount="68">
  <si>
    <t>cc/min</t>
  </si>
  <si>
    <t>rotors</t>
  </si>
  <si>
    <t>rwkw</t>
  </si>
  <si>
    <t>rwhp</t>
  </si>
  <si>
    <t>by Xavier Borg</t>
  </si>
  <si>
    <t xml:space="preserve">Fuel type </t>
  </si>
  <si>
    <t>Select primary injectors size</t>
  </si>
  <si>
    <t>Select secondary injectors size</t>
  </si>
  <si>
    <t>GPH</t>
  </si>
  <si>
    <t>Fuel pump flow rate @ Max power</t>
  </si>
  <si>
    <t>lbs/hr</t>
  </si>
  <si>
    <t>ps</t>
  </si>
  <si>
    <t>Requires pump upgrade for max power</t>
  </si>
  <si>
    <t>Requires pump wiring upgrade for max power</t>
  </si>
  <si>
    <t>Extra secondary injectors (default 0)</t>
  </si>
  <si>
    <t>Number of rotors in engine (default 2)</t>
  </si>
  <si>
    <t>psi</t>
  </si>
  <si>
    <t>Select your preferred safe injector duty</t>
  </si>
  <si>
    <t>Max controlled duty</t>
  </si>
  <si>
    <t>Max rear wheel power @ static (100%) inj duty</t>
  </si>
  <si>
    <t>Best safe duty</t>
  </si>
  <si>
    <t>Stock injectors</t>
  </si>
  <si>
    <t>Most aftermarket</t>
  </si>
  <si>
    <t>Single turbo</t>
  </si>
  <si>
    <t>Stock twins @ &lt;12psi</t>
  </si>
  <si>
    <t>Stock twins @ &gt;12psi</t>
  </si>
  <si>
    <t xml:space="preserve">Pro Injector Planner for RX7 FD3S </t>
  </si>
  <si>
    <t>Efini twins @ &lt;14psi</t>
  </si>
  <si>
    <t>Efini twins @ &gt;14psi</t>
  </si>
  <si>
    <t>Front primary inj factor</t>
  </si>
  <si>
    <t>Rear primary inj factor</t>
  </si>
  <si>
    <t>BSFC selection</t>
  </si>
  <si>
    <t>Extreme duty</t>
  </si>
  <si>
    <t>BSFC effic</t>
  </si>
  <si>
    <t>Boost tuned as</t>
  </si>
  <si>
    <t>Boost tune</t>
  </si>
  <si>
    <t>Boost factor</t>
  </si>
  <si>
    <t>Conservative</t>
  </si>
  <si>
    <t>Moderate</t>
  </si>
  <si>
    <t>Aggressive</t>
  </si>
  <si>
    <t>Duty select</t>
  </si>
  <si>
    <t>Duty effic</t>
  </si>
  <si>
    <t>Turbo setup</t>
  </si>
  <si>
    <t>43.5 psi</t>
  </si>
  <si>
    <t>Injector rating guide</t>
  </si>
  <si>
    <t>Q Primary injector (real flow rate)</t>
  </si>
  <si>
    <t>Q Secondary injector (real flow rate)</t>
  </si>
  <si>
    <t>Your fuel pressure (choose 38psi for stock FPR)</t>
  </si>
  <si>
    <t>quoted at</t>
  </si>
  <si>
    <t>%</t>
  </si>
  <si>
    <t>38 psi</t>
  </si>
  <si>
    <t>(vented FPR)</t>
  </si>
  <si>
    <t>FC-Edit Settings (set before tuning with new injectors or FPR)</t>
  </si>
  <si>
    <t>Fuel selection</t>
  </si>
  <si>
    <t>E85</t>
  </si>
  <si>
    <t>Fuel factor</t>
  </si>
  <si>
    <t xml:space="preserve">98 RON / 93 AKI </t>
  </si>
  <si>
    <t>95 RON / 91 AKI</t>
  </si>
  <si>
    <t>Max flywheel power @ static (100%) inj duty</t>
  </si>
  <si>
    <t>hp</t>
  </si>
  <si>
    <t>Mazda 93-95 ECU</t>
  </si>
  <si>
    <t>Select smallest possible size for primary injectors. Avoid &gt;850cc /min for use with PFC</t>
  </si>
  <si>
    <t>Transmission type</t>
  </si>
  <si>
    <t>Manual</t>
  </si>
  <si>
    <t>Automatic</t>
  </si>
  <si>
    <t>loss factor</t>
  </si>
  <si>
    <t>Select smallest secondary injectors which give you the desired wheel horsepower</t>
  </si>
  <si>
    <t>Download FC-Tweak shareware for RX7 Power FC Tuning from: www.tinyurl.com/getfct    Simply open zip file and drag folder to C:\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</si>
</sst>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 applyProtection="1">
      <protection hidden="1"/>
    </xf>
    <xf numFmtId="0" fontId="0" fillId="2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hidden="1"/>
    </xf>
    <xf numFmtId="0" fontId="0" fillId="6" borderId="0" xfId="0" applyFill="1" applyBorder="1" applyAlignment="1" applyProtection="1">
      <alignment horizontal="center"/>
      <protection hidden="1"/>
    </xf>
    <xf numFmtId="0" fontId="0" fillId="5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1" fontId="0" fillId="3" borderId="0" xfId="0" applyNumberFormat="1" applyFill="1" applyBorder="1" applyAlignment="1" applyProtection="1">
      <alignment horizontal="center"/>
      <protection hidden="1"/>
    </xf>
    <xf numFmtId="1" fontId="0" fillId="4" borderId="0" xfId="0" applyNumberFormat="1" applyFill="1" applyBorder="1" applyAlignment="1" applyProtection="1">
      <alignment horizontal="center"/>
      <protection hidden="1"/>
    </xf>
    <xf numFmtId="1" fontId="0" fillId="9" borderId="0" xfId="0" applyNumberFormat="1" applyFill="1" applyBorder="1" applyAlignment="1" applyProtection="1">
      <alignment horizontal="center"/>
      <protection hidden="1"/>
    </xf>
    <xf numFmtId="0" fontId="0" fillId="5" borderId="0" xfId="0" applyFill="1" applyBorder="1" applyProtection="1">
      <protection hidden="1"/>
    </xf>
    <xf numFmtId="1" fontId="0" fillId="5" borderId="0" xfId="0" applyNumberFormat="1" applyFill="1" applyBorder="1" applyProtection="1">
      <protection hidden="1"/>
    </xf>
    <xf numFmtId="0" fontId="0" fillId="0" borderId="0" xfId="0" applyBorder="1"/>
    <xf numFmtId="0" fontId="0" fillId="0" borderId="4" xfId="0" applyBorder="1" applyProtection="1">
      <protection hidden="1"/>
    </xf>
    <xf numFmtId="0" fontId="0" fillId="0" borderId="5" xfId="0" applyBorder="1"/>
    <xf numFmtId="0" fontId="5" fillId="5" borderId="4" xfId="0" applyFont="1" applyFill="1" applyBorder="1" applyAlignment="1" applyProtection="1">
      <alignment horizontal="left"/>
      <protection hidden="1"/>
    </xf>
    <xf numFmtId="0" fontId="0" fillId="5" borderId="4" xfId="0" applyFill="1" applyBorder="1" applyProtection="1">
      <protection hidden="1"/>
    </xf>
    <xf numFmtId="0" fontId="0" fillId="0" borderId="4" xfId="0" applyFill="1" applyBorder="1" applyProtection="1">
      <protection hidden="1"/>
    </xf>
    <xf numFmtId="1" fontId="0" fillId="0" borderId="0" xfId="0" applyNumberFormat="1" applyBorder="1" applyAlignment="1" applyProtection="1">
      <alignment horizontal="center"/>
      <protection hidden="1"/>
    </xf>
    <xf numFmtId="1" fontId="0" fillId="7" borderId="0" xfId="0" applyNumberFormat="1" applyFill="1" applyBorder="1" applyAlignment="1" applyProtection="1">
      <alignment horizontal="center"/>
      <protection hidden="1"/>
    </xf>
    <xf numFmtId="1" fontId="0" fillId="8" borderId="0" xfId="0" applyNumberFormat="1" applyFill="1" applyBorder="1" applyAlignment="1" applyProtection="1">
      <alignment horizontal="center"/>
      <protection hidden="1"/>
    </xf>
    <xf numFmtId="9" fontId="0" fillId="0" borderId="0" xfId="0" applyNumberFormat="1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6" fillId="0" borderId="0" xfId="0" applyFont="1" applyFill="1" applyBorder="1" applyProtection="1">
      <protection hidden="1"/>
    </xf>
    <xf numFmtId="0" fontId="6" fillId="0" borderId="0" xfId="0" applyFont="1" applyFill="1" applyProtection="1">
      <protection hidden="1"/>
    </xf>
    <xf numFmtId="9" fontId="6" fillId="0" borderId="0" xfId="0" applyNumberFormat="1" applyFont="1" applyFill="1" applyProtection="1">
      <protection hidden="1"/>
    </xf>
    <xf numFmtId="9" fontId="6" fillId="0" borderId="0" xfId="0" applyNumberFormat="1" applyFont="1" applyFill="1" applyBorder="1" applyProtection="1">
      <protection hidden="1"/>
    </xf>
    <xf numFmtId="1" fontId="6" fillId="0" borderId="0" xfId="0" applyNumberFormat="1" applyFont="1" applyFill="1" applyBorder="1" applyProtection="1">
      <protection hidden="1"/>
    </xf>
    <xf numFmtId="2" fontId="6" fillId="0" borderId="0" xfId="0" applyNumberFormat="1" applyFont="1" applyFill="1" applyBorder="1" applyProtection="1">
      <protection hidden="1"/>
    </xf>
    <xf numFmtId="0" fontId="0" fillId="0" borderId="5" xfId="0" applyBorder="1" applyProtection="1">
      <protection hidden="1"/>
    </xf>
    <xf numFmtId="0" fontId="0" fillId="12" borderId="0" xfId="0" applyFill="1" applyBorder="1" applyProtection="1">
      <protection hidden="1"/>
    </xf>
    <xf numFmtId="0" fontId="0" fillId="11" borderId="0" xfId="0" applyFill="1" applyBorder="1" applyProtection="1">
      <protection hidden="1"/>
    </xf>
    <xf numFmtId="1" fontId="0" fillId="6" borderId="0" xfId="0" applyNumberFormat="1" applyFill="1" applyAlignment="1" applyProtection="1">
      <alignment horizontal="center"/>
      <protection hidden="1"/>
    </xf>
    <xf numFmtId="164" fontId="0" fillId="2" borderId="0" xfId="0" applyNumberFormat="1" applyFill="1" applyBorder="1" applyProtection="1">
      <protection locked="0"/>
    </xf>
    <xf numFmtId="9" fontId="0" fillId="2" borderId="0" xfId="0" applyNumberForma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4" fillId="10" borderId="1" xfId="0" applyFont="1" applyFill="1" applyBorder="1" applyAlignment="1" applyProtection="1">
      <alignment horizontal="center"/>
      <protection hidden="1"/>
    </xf>
    <xf numFmtId="0" fontId="4" fillId="10" borderId="2" xfId="0" applyFont="1" applyFill="1" applyBorder="1" applyAlignment="1" applyProtection="1">
      <alignment horizontal="center"/>
      <protection hidden="1"/>
    </xf>
    <xf numFmtId="0" fontId="0" fillId="0" borderId="2" xfId="0" applyBorder="1" applyAlignment="1" applyProtection="1">
      <protection hidden="1"/>
    </xf>
    <xf numFmtId="0" fontId="0" fillId="0" borderId="3" xfId="0" applyBorder="1" applyAlignment="1" applyProtection="1">
      <protection hidden="1"/>
    </xf>
    <xf numFmtId="0" fontId="2" fillId="5" borderId="4" xfId="0" applyFont="1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0" fillId="0" borderId="0" xfId="0" applyBorder="1" applyAlignment="1" applyProtection="1">
      <protection hidden="1"/>
    </xf>
    <xf numFmtId="0" fontId="0" fillId="0" borderId="5" xfId="0" applyBorder="1" applyAlignment="1" applyProtection="1">
      <protection hidden="1"/>
    </xf>
    <xf numFmtId="0" fontId="6" fillId="10" borderId="4" xfId="0" applyFont="1" applyFill="1" applyBorder="1" applyProtection="1">
      <protection hidden="1"/>
    </xf>
    <xf numFmtId="0" fontId="6" fillId="10" borderId="0" xfId="0" applyFont="1" applyFill="1" applyBorder="1" applyProtection="1">
      <protection hidden="1"/>
    </xf>
    <xf numFmtId="0" fontId="6" fillId="10" borderId="5" xfId="0" applyFont="1" applyFill="1" applyBorder="1" applyProtection="1">
      <protection hidden="1"/>
    </xf>
    <xf numFmtId="0" fontId="3" fillId="5" borderId="4" xfId="0" applyFont="1" applyFill="1" applyBorder="1" applyAlignment="1" applyProtection="1">
      <alignment horizontal="center"/>
      <protection hidden="1"/>
    </xf>
    <xf numFmtId="0" fontId="3" fillId="0" borderId="0" xfId="0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0" fontId="1" fillId="5" borderId="4" xfId="0" applyFont="1" applyFill="1" applyBorder="1" applyAlignment="1" applyProtection="1">
      <alignment horizontal="center"/>
      <protection hidden="1"/>
    </xf>
    <xf numFmtId="164" fontId="0" fillId="5" borderId="0" xfId="0" applyNumberFormat="1" applyFill="1" applyBorder="1" applyProtection="1">
      <protection hidden="1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1"/>
  <sheetViews>
    <sheetView tabSelected="1" zoomScale="80" zoomScaleNormal="80" workbookViewId="0">
      <selection activeCell="C5" sqref="C5"/>
    </sheetView>
  </sheetViews>
  <sheetFormatPr defaultRowHeight="14.4"/>
  <cols>
    <col min="1" max="1" width="4.3984375" customWidth="1"/>
    <col min="2" max="2" width="39.09765625" customWidth="1"/>
    <col min="3" max="3" width="19.296875" customWidth="1"/>
    <col min="5" max="5" width="16.796875" customWidth="1"/>
    <col min="6" max="6" width="10.69921875" customWidth="1"/>
    <col min="8" max="8" width="15.8984375" customWidth="1"/>
  </cols>
  <sheetData>
    <row r="1" spans="2:7" ht="15" thickBot="1"/>
    <row r="2" spans="2:7" ht="18.45" thickTop="1">
      <c r="B2" s="36" t="s">
        <v>26</v>
      </c>
      <c r="C2" s="37"/>
      <c r="D2" s="37"/>
      <c r="E2" s="38"/>
      <c r="F2" s="38"/>
      <c r="G2" s="39"/>
    </row>
    <row r="3" spans="2:7">
      <c r="B3" s="40" t="s">
        <v>4</v>
      </c>
      <c r="C3" s="41"/>
      <c r="D3" s="41"/>
      <c r="E3" s="42"/>
      <c r="F3" s="42"/>
      <c r="G3" s="43"/>
    </row>
    <row r="4" spans="2:7">
      <c r="B4" s="13"/>
      <c r="C4" s="1"/>
      <c r="D4" s="1"/>
      <c r="E4" s="1"/>
      <c r="F4" s="1"/>
      <c r="G4" s="29"/>
    </row>
    <row r="5" spans="2:7">
      <c r="B5" s="13" t="s">
        <v>6</v>
      </c>
      <c r="C5" s="2">
        <v>550</v>
      </c>
      <c r="D5" s="1" t="s">
        <v>0</v>
      </c>
      <c r="E5" s="12" t="s">
        <v>48</v>
      </c>
      <c r="F5" s="33">
        <v>43.5</v>
      </c>
      <c r="G5" s="14" t="s">
        <v>16</v>
      </c>
    </row>
    <row r="6" spans="2:7">
      <c r="B6" s="13" t="s">
        <v>7</v>
      </c>
      <c r="C6" s="2">
        <v>1700</v>
      </c>
      <c r="D6" s="1" t="s">
        <v>0</v>
      </c>
      <c r="E6" s="12" t="s">
        <v>48</v>
      </c>
      <c r="F6" s="33">
        <v>43.5</v>
      </c>
      <c r="G6" s="14" t="s">
        <v>16</v>
      </c>
    </row>
    <row r="7" spans="2:7">
      <c r="B7" s="13" t="s">
        <v>14</v>
      </c>
      <c r="C7" s="2">
        <v>0</v>
      </c>
      <c r="D7" s="1" t="s">
        <v>0</v>
      </c>
      <c r="E7" s="12" t="s">
        <v>48</v>
      </c>
      <c r="F7" s="33">
        <v>43.5</v>
      </c>
      <c r="G7" s="14" t="s">
        <v>16</v>
      </c>
    </row>
    <row r="8" spans="2:7">
      <c r="B8" s="13" t="s">
        <v>15</v>
      </c>
      <c r="C8" s="2">
        <v>2</v>
      </c>
      <c r="D8" s="1" t="s">
        <v>1</v>
      </c>
      <c r="E8" s="1"/>
      <c r="F8" s="1"/>
      <c r="G8" s="29"/>
    </row>
    <row r="9" spans="2:7">
      <c r="B9" s="13" t="s">
        <v>5</v>
      </c>
      <c r="C9" s="2" t="s">
        <v>56</v>
      </c>
      <c r="D9" s="1"/>
      <c r="E9" s="30" t="s">
        <v>44</v>
      </c>
      <c r="F9" s="30" t="s">
        <v>51</v>
      </c>
      <c r="G9" s="29"/>
    </row>
    <row r="10" spans="2:7">
      <c r="B10" s="13" t="s">
        <v>47</v>
      </c>
      <c r="C10" s="2">
        <v>43.5</v>
      </c>
      <c r="D10" s="1" t="s">
        <v>16</v>
      </c>
      <c r="E10" s="31" t="s">
        <v>21</v>
      </c>
      <c r="F10" s="31" t="s">
        <v>50</v>
      </c>
      <c r="G10" s="29"/>
    </row>
    <row r="11" spans="2:7">
      <c r="B11" s="13" t="s">
        <v>17</v>
      </c>
      <c r="C11" s="34" t="s">
        <v>20</v>
      </c>
      <c r="D11" s="1"/>
      <c r="E11" s="31" t="s">
        <v>22</v>
      </c>
      <c r="F11" s="31" t="s">
        <v>43</v>
      </c>
      <c r="G11" s="29"/>
    </row>
    <row r="12" spans="2:7">
      <c r="B12" s="13" t="s">
        <v>42</v>
      </c>
      <c r="C12" s="2" t="s">
        <v>23</v>
      </c>
      <c r="D12" s="1"/>
      <c r="E12" s="23" t="s">
        <v>40</v>
      </c>
      <c r="F12" s="23">
        <f>MATCH(C11,E14:E17,0)</f>
        <v>2</v>
      </c>
      <c r="G12" s="29"/>
    </row>
    <row r="13" spans="2:7">
      <c r="B13" s="13" t="s">
        <v>34</v>
      </c>
      <c r="C13" s="2" t="s">
        <v>37</v>
      </c>
      <c r="D13" s="1"/>
      <c r="E13" s="23" t="s">
        <v>41</v>
      </c>
      <c r="F13" s="23">
        <f ca="1">OFFSET(F14,F12-1,0)</f>
        <v>0.8</v>
      </c>
      <c r="G13" s="29"/>
    </row>
    <row r="14" spans="2:7">
      <c r="B14" s="17" t="s">
        <v>62</v>
      </c>
      <c r="C14" s="35" t="s">
        <v>63</v>
      </c>
      <c r="D14" s="1"/>
      <c r="E14" s="24" t="s">
        <v>60</v>
      </c>
      <c r="F14" s="25">
        <v>0.63</v>
      </c>
      <c r="G14" s="29"/>
    </row>
    <row r="15" spans="2:7">
      <c r="B15" s="13"/>
      <c r="C15" s="1"/>
      <c r="D15" s="1"/>
      <c r="E15" s="23" t="s">
        <v>20</v>
      </c>
      <c r="F15" s="26">
        <v>0.8</v>
      </c>
      <c r="G15" s="29"/>
    </row>
    <row r="16" spans="2:7">
      <c r="B16" s="15" t="s">
        <v>52</v>
      </c>
      <c r="C16" s="10"/>
      <c r="D16" s="10"/>
      <c r="E16" s="23" t="s">
        <v>18</v>
      </c>
      <c r="F16" s="26">
        <v>0.85</v>
      </c>
      <c r="G16" s="29"/>
    </row>
    <row r="17" spans="2:7">
      <c r="B17" s="16" t="s">
        <v>29</v>
      </c>
      <c r="C17" s="52">
        <f>550/C19*100</f>
        <v>100</v>
      </c>
      <c r="D17" s="10" t="s">
        <v>49</v>
      </c>
      <c r="E17" s="23" t="s">
        <v>32</v>
      </c>
      <c r="F17" s="26">
        <v>0.9</v>
      </c>
      <c r="G17" s="29"/>
    </row>
    <row r="18" spans="2:7">
      <c r="B18" s="16" t="s">
        <v>30</v>
      </c>
      <c r="C18" s="52">
        <f>C17</f>
        <v>100</v>
      </c>
      <c r="D18" s="10" t="s">
        <v>49</v>
      </c>
      <c r="E18" s="23" t="s">
        <v>31</v>
      </c>
      <c r="F18" s="23">
        <f>MATCH(C12,E20:E24,0)</f>
        <v>1</v>
      </c>
      <c r="G18" s="29"/>
    </row>
    <row r="19" spans="2:7">
      <c r="B19" s="16" t="s">
        <v>45</v>
      </c>
      <c r="C19" s="11">
        <f>C5*(C10/F5)^0.5</f>
        <v>550</v>
      </c>
      <c r="D19" s="10" t="s">
        <v>0</v>
      </c>
      <c r="E19" s="23" t="s">
        <v>33</v>
      </c>
      <c r="F19" s="23">
        <f ca="1">OFFSET(F20,F18-1,0)</f>
        <v>0.62</v>
      </c>
      <c r="G19" s="29"/>
    </row>
    <row r="20" spans="2:7">
      <c r="B20" s="16" t="s">
        <v>46</v>
      </c>
      <c r="C20" s="11">
        <f>C6*(C10/F6)^0.5</f>
        <v>1700</v>
      </c>
      <c r="D20" s="10" t="s">
        <v>0</v>
      </c>
      <c r="E20" s="23" t="s">
        <v>23</v>
      </c>
      <c r="F20" s="26">
        <v>0.62</v>
      </c>
      <c r="G20" s="29"/>
    </row>
    <row r="21" spans="2:7">
      <c r="B21" s="17" t="str">
        <f>IF(C7=0,"","Q Extra injector (real flow rate)")</f>
        <v/>
      </c>
      <c r="C21" s="1" t="str">
        <f>IF(C7=0,"",C7*(C10/F7)^0.5)</f>
        <v/>
      </c>
      <c r="D21" s="1" t="str">
        <f>IF(C7=0,"","cc/min")</f>
        <v/>
      </c>
      <c r="E21" s="23" t="s">
        <v>24</v>
      </c>
      <c r="F21" s="26">
        <v>0.64</v>
      </c>
      <c r="G21" s="29"/>
    </row>
    <row r="22" spans="2:7">
      <c r="B22" s="17"/>
      <c r="C22" s="21"/>
      <c r="D22" s="22"/>
      <c r="E22" s="23" t="s">
        <v>25</v>
      </c>
      <c r="F22" s="26">
        <v>0.66</v>
      </c>
      <c r="G22" s="29"/>
    </row>
    <row r="23" spans="2:7">
      <c r="B23" s="13" t="str">
        <f ca="1">"Nominal rear wheel power @ " &amp;100*F13 &amp;"% inj duty"</f>
        <v>Nominal rear wheel power @ 80% inj duty</v>
      </c>
      <c r="C23" s="7">
        <f ca="1">F26*C8*(C19+C20+C7*(C10/F7)^0.5)/10.49*F13/F19/F36*F31</f>
        <v>453.52999129642353</v>
      </c>
      <c r="D23" s="1" t="s">
        <v>3</v>
      </c>
      <c r="E23" s="23" t="s">
        <v>27</v>
      </c>
      <c r="F23" s="26">
        <v>0.63</v>
      </c>
      <c r="G23" s="29"/>
    </row>
    <row r="24" spans="2:7">
      <c r="B24" s="13"/>
      <c r="C24" s="8">
        <f ca="1">0.74567*C23</f>
        <v>338.18370861000415</v>
      </c>
      <c r="D24" s="1" t="s">
        <v>2</v>
      </c>
      <c r="E24" s="23" t="s">
        <v>28</v>
      </c>
      <c r="F24" s="26">
        <v>0.65</v>
      </c>
      <c r="G24" s="29"/>
    </row>
    <row r="25" spans="2:7">
      <c r="B25" s="13" t="str">
        <f ca="1">"Nominal flywheel power @ " &amp;100*F13 &amp;"% inj duty"</f>
        <v>Nominal flywheel power @ 80% inj duty</v>
      </c>
      <c r="C25" s="32">
        <f ca="1">F36*C23</f>
        <v>528.36243986033344</v>
      </c>
      <c r="D25" s="22" t="s">
        <v>59</v>
      </c>
      <c r="E25" s="23" t="s">
        <v>35</v>
      </c>
      <c r="F25" s="27">
        <f>MATCH(C13,E27:E29,0)</f>
        <v>1</v>
      </c>
      <c r="G25" s="29"/>
    </row>
    <row r="26" spans="2:7">
      <c r="B26" s="13"/>
      <c r="C26" s="9">
        <f ca="1">1.0143*C25</f>
        <v>535.91802275033615</v>
      </c>
      <c r="D26" s="1" t="s">
        <v>11</v>
      </c>
      <c r="E26" s="23" t="s">
        <v>36</v>
      </c>
      <c r="F26" s="28">
        <f ca="1">OFFSET(F27,F25-1,0)</f>
        <v>0.95454545454545459</v>
      </c>
      <c r="G26" s="29"/>
    </row>
    <row r="27" spans="2:7">
      <c r="B27" s="13"/>
      <c r="C27" s="6"/>
      <c r="D27" s="1"/>
      <c r="E27" s="23" t="s">
        <v>37</v>
      </c>
      <c r="F27" s="28">
        <f>10.5/11</f>
        <v>0.95454545454545459</v>
      </c>
      <c r="G27" s="29"/>
    </row>
    <row r="28" spans="2:7">
      <c r="B28" s="13" t="s">
        <v>19</v>
      </c>
      <c r="C28" s="7">
        <f ca="1">F26*C8*(C19+C20+C7*(C10/F7)^0.5)/10.49*1/F19/F36*F31</f>
        <v>566.91248912052936</v>
      </c>
      <c r="D28" s="1" t="s">
        <v>3</v>
      </c>
      <c r="E28" s="23" t="s">
        <v>38</v>
      </c>
      <c r="F28" s="28">
        <f>10.8/11</f>
        <v>0.98181818181818192</v>
      </c>
      <c r="G28" s="29"/>
    </row>
    <row r="29" spans="2:7">
      <c r="B29" s="13"/>
      <c r="C29" s="8">
        <f ca="1">0.74567*C28</f>
        <v>422.72963576250515</v>
      </c>
      <c r="D29" s="1" t="s">
        <v>2</v>
      </c>
      <c r="E29" s="23" t="s">
        <v>39</v>
      </c>
      <c r="F29" s="28">
        <v>1</v>
      </c>
      <c r="G29" s="29"/>
    </row>
    <row r="30" spans="2:7">
      <c r="B30" s="13" t="s">
        <v>58</v>
      </c>
      <c r="C30" s="32">
        <f ca="1">F36*C28</f>
        <v>660.45304982541677</v>
      </c>
      <c r="D30" s="3" t="s">
        <v>59</v>
      </c>
      <c r="E30" s="23" t="s">
        <v>53</v>
      </c>
      <c r="F30" s="24">
        <f>MATCH(C9,E32:E34,0)</f>
        <v>1</v>
      </c>
      <c r="G30" s="29"/>
    </row>
    <row r="31" spans="2:7">
      <c r="B31" s="13"/>
      <c r="C31" s="9">
        <f ca="1">1.0143*C30</f>
        <v>669.89752843792019</v>
      </c>
      <c r="D31" s="1" t="s">
        <v>11</v>
      </c>
      <c r="E31" s="23" t="s">
        <v>55</v>
      </c>
      <c r="F31" s="24">
        <f ca="1">OFFSET(F32,F30-1,0)</f>
        <v>1</v>
      </c>
      <c r="G31" s="29"/>
    </row>
    <row r="32" spans="2:7">
      <c r="B32" s="13"/>
      <c r="C32" s="22"/>
      <c r="D32" s="22"/>
      <c r="E32" s="23" t="s">
        <v>56</v>
      </c>
      <c r="F32" s="24">
        <v>1</v>
      </c>
      <c r="G32" s="29"/>
    </row>
    <row r="33" spans="2:7">
      <c r="B33" s="13"/>
      <c r="C33" s="18"/>
      <c r="D33" s="1"/>
      <c r="E33" s="23" t="s">
        <v>57</v>
      </c>
      <c r="F33" s="24">
        <v>0.97499999999999998</v>
      </c>
      <c r="G33" s="29"/>
    </row>
    <row r="34" spans="2:7">
      <c r="B34" s="13" t="s">
        <v>9</v>
      </c>
      <c r="C34" s="19">
        <f ca="1">F13*C8*(C19+C20+C7*(C10/F7)^0.5)/10.49*IF(C9="E85",1.054,1)</f>
        <v>343.18398474737847</v>
      </c>
      <c r="D34" s="1" t="s">
        <v>10</v>
      </c>
      <c r="E34" s="23" t="s">
        <v>54</v>
      </c>
      <c r="F34" s="24">
        <v>0.76</v>
      </c>
      <c r="G34" s="29"/>
    </row>
    <row r="35" spans="2:7">
      <c r="B35" s="13"/>
      <c r="C35" s="20">
        <f ca="1">F13*C8*(C19+C20+C7*(C10/F7)^0.5)/63.091</f>
        <v>57.060436512339315</v>
      </c>
      <c r="D35" s="1" t="s">
        <v>8</v>
      </c>
      <c r="E35" s="23" t="s">
        <v>62</v>
      </c>
      <c r="F35" s="24">
        <f>MATCH(C14,E37:E38,0)</f>
        <v>1</v>
      </c>
      <c r="G35" s="29"/>
    </row>
    <row r="36" spans="2:7">
      <c r="B36" s="13" t="s">
        <v>12</v>
      </c>
      <c r="C36" s="4" t="str">
        <f ca="1">IF(C35&gt;40,"Yes","No")</f>
        <v>Yes</v>
      </c>
      <c r="D36" s="1"/>
      <c r="E36" s="23" t="s">
        <v>65</v>
      </c>
      <c r="F36" s="24">
        <f ca="1">OFFSET(F37,F35-1,0)</f>
        <v>1.165</v>
      </c>
      <c r="G36" s="29"/>
    </row>
    <row r="37" spans="2:7">
      <c r="B37" s="13" t="s">
        <v>13</v>
      </c>
      <c r="C37" s="5" t="str">
        <f ca="1">IF(C35&gt;38,"Yes","No")</f>
        <v>Yes</v>
      </c>
      <c r="D37" s="1"/>
      <c r="E37" s="23" t="s">
        <v>63</v>
      </c>
      <c r="F37" s="24">
        <v>1.165</v>
      </c>
      <c r="G37" s="29"/>
    </row>
    <row r="38" spans="2:7">
      <c r="B38" s="13"/>
      <c r="C38" s="3"/>
      <c r="D38" s="1"/>
      <c r="E38" s="23" t="s">
        <v>64</v>
      </c>
      <c r="F38" s="23">
        <v>1.2</v>
      </c>
      <c r="G38" s="29"/>
    </row>
    <row r="39" spans="2:7">
      <c r="B39" s="47" t="s">
        <v>61</v>
      </c>
      <c r="C39" s="48"/>
      <c r="D39" s="48"/>
      <c r="E39" s="49"/>
      <c r="F39" s="49"/>
      <c r="G39" s="50"/>
    </row>
    <row r="40" spans="2:7">
      <c r="B40" s="51" t="s">
        <v>66</v>
      </c>
      <c r="C40" s="41"/>
      <c r="D40" s="41"/>
      <c r="E40" s="49"/>
      <c r="F40" s="49"/>
      <c r="G40" s="50"/>
    </row>
    <row r="41" spans="2:7">
      <c r="B41" s="44" t="s">
        <v>67</v>
      </c>
      <c r="C41" s="45"/>
      <c r="D41" s="45"/>
      <c r="E41" s="45"/>
      <c r="F41" s="45"/>
      <c r="G41" s="46"/>
    </row>
  </sheetData>
  <sheetProtection password="E3A9" sheet="1" objects="1" scenarios="1" selectLockedCells="1"/>
  <mergeCells count="5">
    <mergeCell ref="B2:G2"/>
    <mergeCell ref="B3:G3"/>
    <mergeCell ref="B41:G41"/>
    <mergeCell ref="B39:G39"/>
    <mergeCell ref="B40:G40"/>
  </mergeCells>
  <conditionalFormatting sqref="C5">
    <cfRule type="cellIs" dxfId="0" priority="1" operator="greaterThan">
      <formula>850</formula>
    </cfRule>
  </conditionalFormatting>
  <dataValidations count="12">
    <dataValidation type="list" showInputMessage="1" showErrorMessage="1" sqref="C13">
      <formula1>$E$27:$E$29</formula1>
    </dataValidation>
    <dataValidation type="list" showInputMessage="1" showErrorMessage="1" sqref="C12">
      <formula1>$E$20:$E$24</formula1>
    </dataValidation>
    <dataValidation type="list" showInputMessage="1" showErrorMessage="1" sqref="C11">
      <formula1>$E$14:$E$17</formula1>
    </dataValidation>
    <dataValidation type="list" allowBlank="1" showInputMessage="1" showErrorMessage="1" sqref="C5">
      <formula1>"550,850,970,980,1000,1050"</formula1>
    </dataValidation>
    <dataValidation type="list" allowBlank="1" showInputMessage="1" showErrorMessage="1" sqref="C6">
      <formula1>"850,970,980,1000,1050,1200,1300,1500,1600,1700,1800,2000,2200,2400,2600"</formula1>
    </dataValidation>
    <dataValidation type="list" allowBlank="1" showInputMessage="1" showErrorMessage="1" sqref="C8">
      <formula1>"2,3,4"</formula1>
    </dataValidation>
    <dataValidation type="list" showInputMessage="1" showErrorMessage="1" sqref="C9">
      <formula1>$E$32:$E$34</formula1>
    </dataValidation>
    <dataValidation type="list" allowBlank="1" showInputMessage="1" showErrorMessage="1" sqref="C7">
      <formula1>"0,550,750,850,970,1000,1050,1200,1300,1500,1600,1700,1800,2000,2200,2400,2600"</formula1>
    </dataValidation>
    <dataValidation type="list" allowBlank="1" showInputMessage="1" showErrorMessage="1" sqref="F5:F6">
      <formula1>"38,43.5"</formula1>
    </dataValidation>
    <dataValidation type="list" showInputMessage="1" showErrorMessage="1" sqref="C10">
      <formula1>"38,40,43.5,45,50,55,60,65,70,75,80,85,90,95,100"</formula1>
    </dataValidation>
    <dataValidation type="list" showInputMessage="1" showErrorMessage="1" sqref="F7">
      <formula1>"38,43.5"</formula1>
    </dataValidation>
    <dataValidation type="list" showInputMessage="1" showErrorMessage="1" sqref="C14">
      <formula1>$E$37:$E$38</formula1>
    </dataValidation>
  </dataValidation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RX7 Pro Injector planner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2021-04-05T09:10:39Z</dcterms:created>
  <dcterms:modified xsi:type="dcterms:W3CDTF">2023-12-10T14:49:57Z</dcterms:modified>
</cp:coreProperties>
</file>