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6380" windowHeight="8190" tabRatio="277"/>
  </bookViews>
  <sheets>
    <sheet name="Transactions" sheetId="1" r:id="rId1"/>
  </sheets>
  <definedNames>
    <definedName name="Excel_BuiltIn_Print_Area_1_1">Transactions!$A$1:$Q$144</definedName>
    <definedName name="_xlnm.Print_Area" localSheetId="0">Transactions!$A$1:$Q$160</definedName>
  </definedNames>
  <calcPr calcId="144525"/>
</workbook>
</file>

<file path=xl/calcChain.xml><?xml version="1.0" encoding="utf-8"?>
<calcChain xmlns="http://schemas.openxmlformats.org/spreadsheetml/2006/main">
  <c r="S4" i="1" l="1"/>
  <c r="T4" i="1"/>
  <c r="T5" i="1" s="1"/>
  <c r="B5" i="1"/>
  <c r="S5" i="1"/>
  <c r="J6" i="1"/>
  <c r="J4" i="1" s="1"/>
  <c r="M8" i="1"/>
  <c r="N8" i="1"/>
  <c r="O8" i="1" s="1"/>
  <c r="M9" i="1"/>
  <c r="N9" i="1"/>
  <c r="O9" i="1"/>
  <c r="M10" i="1"/>
  <c r="N10" i="1"/>
  <c r="O10" i="1"/>
  <c r="M11" i="1"/>
  <c r="N11" i="1"/>
  <c r="O11" i="1"/>
  <c r="M12" i="1"/>
  <c r="O12" i="1" s="1"/>
  <c r="N12" i="1"/>
  <c r="M13" i="1"/>
  <c r="O13" i="1" s="1"/>
  <c r="N13" i="1"/>
  <c r="M14" i="1"/>
  <c r="N14" i="1"/>
  <c r="O14" i="1"/>
  <c r="M15" i="1"/>
  <c r="N15" i="1"/>
  <c r="O15" i="1" s="1"/>
  <c r="M16" i="1"/>
  <c r="N16" i="1"/>
  <c r="O16" i="1" s="1"/>
  <c r="M17" i="1"/>
  <c r="N17" i="1"/>
  <c r="O17" i="1"/>
  <c r="M18" i="1"/>
  <c r="N18" i="1"/>
  <c r="O18" i="1"/>
  <c r="M19" i="1"/>
  <c r="N19" i="1"/>
  <c r="O19" i="1"/>
  <c r="M22" i="1"/>
  <c r="O22" i="1" s="1"/>
  <c r="N22" i="1"/>
  <c r="J23" i="1"/>
  <c r="J21" i="1" s="1"/>
  <c r="M23" i="1"/>
  <c r="N23" i="1"/>
  <c r="O23" i="1"/>
  <c r="M24" i="1"/>
  <c r="O24" i="1" s="1"/>
  <c r="N24" i="1"/>
  <c r="J25" i="1"/>
  <c r="M25" i="1"/>
  <c r="N25" i="1"/>
  <c r="O25" i="1"/>
  <c r="M26" i="1"/>
  <c r="N26" i="1"/>
  <c r="O26" i="1"/>
  <c r="J27" i="1"/>
  <c r="M27" i="1"/>
  <c r="N27" i="1"/>
  <c r="O27" i="1"/>
  <c r="J28" i="1"/>
  <c r="M28" i="1"/>
  <c r="N28" i="1"/>
  <c r="O28" i="1" s="1"/>
  <c r="M29" i="1"/>
  <c r="N29" i="1"/>
  <c r="O29" i="1" s="1"/>
  <c r="J30" i="1"/>
  <c r="M30" i="1"/>
  <c r="N30" i="1"/>
  <c r="O30" i="1"/>
  <c r="M31" i="1"/>
  <c r="N31" i="1"/>
  <c r="O31" i="1" s="1"/>
  <c r="J32" i="1"/>
  <c r="M32" i="1"/>
  <c r="N32" i="1"/>
  <c r="O32" i="1"/>
  <c r="M33" i="1"/>
  <c r="O33" i="1"/>
  <c r="J34" i="1"/>
  <c r="M34" i="1"/>
  <c r="N34" i="1"/>
  <c r="O34" i="1"/>
  <c r="J35" i="1"/>
  <c r="M35" i="1"/>
  <c r="O35" i="1" s="1"/>
  <c r="N35" i="1"/>
  <c r="M36" i="1"/>
  <c r="O36" i="1" s="1"/>
  <c r="N36" i="1"/>
  <c r="M40" i="1"/>
  <c r="O40" i="1"/>
  <c r="M41" i="1"/>
  <c r="O41" i="1"/>
  <c r="M42" i="1"/>
  <c r="O42" i="1" s="1"/>
  <c r="N42" i="1"/>
  <c r="M43" i="1"/>
  <c r="N43" i="1"/>
  <c r="O43" i="1"/>
  <c r="J44" i="1"/>
  <c r="M44" i="1"/>
  <c r="N44" i="1"/>
  <c r="O44" i="1" s="1"/>
  <c r="M45" i="1"/>
  <c r="N45" i="1"/>
  <c r="O45" i="1"/>
  <c r="M46" i="1"/>
  <c r="O46" i="1" s="1"/>
  <c r="N46" i="1"/>
  <c r="J47" i="1"/>
  <c r="J39" i="1" s="1"/>
  <c r="M47" i="1"/>
  <c r="N47" i="1"/>
  <c r="O47" i="1"/>
  <c r="M48" i="1"/>
  <c r="N48" i="1"/>
  <c r="O48" i="1" s="1"/>
  <c r="M49" i="1"/>
  <c r="N49" i="1"/>
  <c r="O49" i="1" s="1"/>
  <c r="M50" i="1"/>
  <c r="M51" i="1"/>
  <c r="N51" i="1"/>
  <c r="O51" i="1"/>
  <c r="M52" i="1"/>
  <c r="N52" i="1"/>
  <c r="O52" i="1"/>
  <c r="M60" i="1"/>
  <c r="N60" i="1"/>
  <c r="O60" i="1"/>
  <c r="M61" i="1"/>
  <c r="O61" i="1" s="1"/>
  <c r="N61" i="1"/>
  <c r="J62" i="1"/>
  <c r="J59" i="1" s="1"/>
  <c r="M62" i="1"/>
  <c r="J63" i="1"/>
  <c r="M63" i="1"/>
  <c r="N63" i="1"/>
  <c r="O63" i="1"/>
  <c r="J64" i="1"/>
  <c r="M64" i="1"/>
  <c r="N64" i="1"/>
  <c r="O64" i="1" s="1"/>
  <c r="J65" i="1"/>
  <c r="M65" i="1"/>
  <c r="O65" i="1"/>
  <c r="M66" i="1"/>
  <c r="O66" i="1" s="1"/>
  <c r="N66" i="1"/>
  <c r="J67" i="1"/>
  <c r="M67" i="1"/>
  <c r="O67" i="1"/>
  <c r="J68" i="1"/>
  <c r="M68" i="1"/>
  <c r="M69" i="1"/>
  <c r="O69" i="1" s="1"/>
  <c r="N69" i="1"/>
  <c r="M70" i="1"/>
  <c r="O70" i="1" s="1"/>
  <c r="N70" i="1"/>
  <c r="M71" i="1"/>
  <c r="N71" i="1"/>
  <c r="O71" i="1"/>
  <c r="M72" i="1"/>
  <c r="N72" i="1"/>
  <c r="O72" i="1"/>
  <c r="M73" i="1"/>
  <c r="N73" i="1"/>
  <c r="O73" i="1"/>
  <c r="J80" i="1"/>
  <c r="J79" i="1" s="1"/>
  <c r="M80" i="1"/>
  <c r="N80" i="1"/>
  <c r="O80" i="1"/>
  <c r="M81" i="1"/>
  <c r="N81" i="1"/>
  <c r="O81" i="1"/>
  <c r="M82" i="1"/>
  <c r="N82" i="1"/>
  <c r="O82" i="1" s="1"/>
  <c r="M83" i="1"/>
  <c r="N83" i="1"/>
  <c r="O83" i="1" s="1"/>
  <c r="J84" i="1"/>
  <c r="M84" i="1"/>
  <c r="N84" i="1"/>
  <c r="O84" i="1"/>
  <c r="M85" i="1"/>
  <c r="N85" i="1"/>
  <c r="O85" i="1"/>
  <c r="J86" i="1"/>
  <c r="M86" i="1"/>
  <c r="N86" i="1"/>
  <c r="O86" i="1"/>
  <c r="M87" i="1"/>
  <c r="O87" i="1" s="1"/>
  <c r="N87" i="1"/>
  <c r="J88" i="1"/>
  <c r="M88" i="1"/>
  <c r="N88" i="1"/>
  <c r="O88" i="1"/>
  <c r="M89" i="1"/>
  <c r="N89" i="1"/>
  <c r="O89" i="1" s="1"/>
  <c r="J90" i="1"/>
  <c r="M90" i="1"/>
  <c r="O90" i="1" s="1"/>
  <c r="N90" i="1"/>
  <c r="J95" i="1"/>
  <c r="M96" i="1"/>
  <c r="N96" i="1"/>
  <c r="O96" i="1" s="1"/>
  <c r="M97" i="1"/>
  <c r="N97" i="1"/>
  <c r="O97" i="1" s="1"/>
  <c r="J98" i="1"/>
  <c r="M98" i="1"/>
  <c r="N98" i="1"/>
  <c r="O98" i="1"/>
  <c r="M99" i="1"/>
  <c r="N99" i="1"/>
  <c r="O99" i="1"/>
  <c r="M100" i="1"/>
  <c r="N100" i="1"/>
  <c r="O100" i="1"/>
  <c r="M101" i="1"/>
  <c r="N101" i="1"/>
  <c r="O101" i="1" s="1"/>
  <c r="M102" i="1"/>
  <c r="N102" i="1"/>
  <c r="O102" i="1" s="1"/>
  <c r="M103" i="1"/>
  <c r="N103" i="1"/>
  <c r="O103" i="1"/>
  <c r="M104" i="1"/>
  <c r="O104" i="1" s="1"/>
  <c r="N104" i="1"/>
  <c r="J109" i="1"/>
  <c r="M110" i="1"/>
  <c r="N110" i="1"/>
  <c r="O110" i="1"/>
  <c r="M111" i="1"/>
  <c r="N111" i="1"/>
  <c r="O111" i="1" s="1"/>
  <c r="M112" i="1"/>
  <c r="N112" i="1"/>
  <c r="O112" i="1" s="1"/>
  <c r="M113" i="1"/>
  <c r="N113" i="1"/>
  <c r="O113" i="1"/>
  <c r="M114" i="1"/>
  <c r="O114" i="1" s="1"/>
  <c r="N114" i="1"/>
  <c r="J119" i="1"/>
  <c r="M120" i="1"/>
  <c r="N120" i="1"/>
  <c r="O120" i="1"/>
  <c r="M121" i="1"/>
  <c r="N121" i="1"/>
  <c r="O121" i="1" s="1"/>
  <c r="M122" i="1"/>
  <c r="N122" i="1"/>
  <c r="O122" i="1" s="1"/>
  <c r="M123" i="1"/>
  <c r="N123" i="1"/>
  <c r="O123" i="1"/>
  <c r="M124" i="1"/>
  <c r="O124" i="1" s="1"/>
  <c r="N124" i="1"/>
  <c r="M125" i="1"/>
  <c r="O125" i="1" s="1"/>
  <c r="N125" i="1"/>
  <c r="M126" i="1"/>
  <c r="N126" i="1"/>
  <c r="O126" i="1"/>
  <c r="M127" i="1"/>
  <c r="N127" i="1"/>
  <c r="O127" i="1"/>
  <c r="M128" i="1"/>
  <c r="N128" i="1"/>
  <c r="O128" i="1"/>
  <c r="M129" i="1"/>
  <c r="N129" i="1"/>
  <c r="O129" i="1" s="1"/>
  <c r="M130" i="1"/>
  <c r="N130" i="1"/>
  <c r="O130" i="1" s="1"/>
  <c r="J135" i="1"/>
  <c r="M136" i="1"/>
  <c r="N136" i="1"/>
  <c r="O136" i="1"/>
  <c r="M137" i="1"/>
  <c r="N137" i="1"/>
  <c r="O137" i="1"/>
  <c r="M138" i="1"/>
  <c r="N138" i="1"/>
  <c r="O138" i="1"/>
  <c r="M139" i="1"/>
  <c r="N139" i="1"/>
  <c r="O139" i="1" s="1"/>
  <c r="M140" i="1"/>
  <c r="N140" i="1"/>
  <c r="O140" i="1" s="1"/>
  <c r="M141" i="1"/>
  <c r="N141" i="1"/>
  <c r="O141" i="1"/>
  <c r="M142" i="1"/>
  <c r="O142" i="1" s="1"/>
  <c r="N142" i="1"/>
  <c r="J146" i="1"/>
  <c r="M147" i="1"/>
  <c r="N147" i="1"/>
  <c r="O147" i="1"/>
  <c r="M148" i="1"/>
  <c r="N148" i="1"/>
  <c r="O148" i="1" s="1"/>
  <c r="M149" i="1"/>
  <c r="N149" i="1"/>
  <c r="O149" i="1" s="1"/>
  <c r="M150" i="1"/>
  <c r="N150" i="1"/>
  <c r="O150" i="1"/>
  <c r="M151" i="1"/>
  <c r="O151" i="1" s="1"/>
  <c r="N151" i="1"/>
  <c r="M152" i="1"/>
  <c r="O152" i="1" s="1"/>
  <c r="N152" i="1"/>
  <c r="M153" i="1"/>
  <c r="N153" i="1"/>
  <c r="O153" i="1"/>
  <c r="M154" i="1"/>
  <c r="N154" i="1"/>
  <c r="O154" i="1"/>
  <c r="M155" i="1"/>
  <c r="N155" i="1"/>
  <c r="O155" i="1"/>
  <c r="M156" i="1"/>
  <c r="N156" i="1"/>
  <c r="O156" i="1" s="1"/>
  <c r="M157" i="1"/>
  <c r="N157" i="1"/>
  <c r="O157" i="1" s="1"/>
  <c r="M158" i="1"/>
  <c r="N158" i="1"/>
  <c r="O158" i="1"/>
  <c r="S6" i="1" l="1"/>
  <c r="T6" i="1" s="1"/>
  <c r="S7" i="1" l="1"/>
  <c r="T7" i="1"/>
  <c r="S8" i="1" l="1"/>
  <c r="T8" i="1"/>
  <c r="S9" i="1" l="1"/>
  <c r="T9" i="1" s="1"/>
  <c r="S10" i="1" l="1"/>
  <c r="T10" i="1"/>
  <c r="S11" i="1" l="1"/>
  <c r="T11" i="1"/>
  <c r="S12" i="1" l="1"/>
  <c r="T12" i="1" s="1"/>
  <c r="S13" i="1" l="1"/>
  <c r="T13" i="1" s="1"/>
  <c r="S14" i="1" l="1"/>
  <c r="T14" i="1"/>
  <c r="S15" i="1" l="1"/>
  <c r="T15" i="1"/>
  <c r="S16" i="1" l="1"/>
  <c r="T16" i="1"/>
  <c r="S17" i="1" l="1"/>
  <c r="T17" i="1" s="1"/>
  <c r="S18" i="1" l="1"/>
  <c r="T18" i="1"/>
  <c r="S19" i="1" l="1"/>
  <c r="T19" i="1"/>
  <c r="S20" i="1" l="1"/>
  <c r="T20" i="1" s="1"/>
  <c r="S21" i="1" l="1"/>
  <c r="T21" i="1" s="1"/>
  <c r="S22" i="1" l="1"/>
  <c r="T22" i="1" s="1"/>
  <c r="S23" i="1" l="1"/>
  <c r="T23" i="1"/>
  <c r="S24" i="1" l="1"/>
  <c r="T24" i="1"/>
  <c r="S25" i="1" l="1"/>
  <c r="T25" i="1"/>
  <c r="S26" i="1" l="1"/>
  <c r="T26" i="1"/>
  <c r="T27" i="1" l="1"/>
  <c r="S27" i="1"/>
  <c r="S28" i="1" l="1"/>
  <c r="T28" i="1"/>
  <c r="S29" i="1" l="1"/>
  <c r="T29" i="1"/>
  <c r="S30" i="1" l="1"/>
  <c r="T30" i="1"/>
</calcChain>
</file>

<file path=xl/comments1.xml><?xml version="1.0" encoding="utf-8"?>
<comments xmlns="http://schemas.openxmlformats.org/spreadsheetml/2006/main">
  <authors>
    <author/>
  </authors>
  <commentList>
    <comment ref="I7" authorId="0">
      <text>
        <r>
          <rPr>
            <sz val="10"/>
            <color indexed="8"/>
            <rFont val="Times New Roman"/>
            <family val="1"/>
          </rPr>
          <t xml:space="preserve">This is planned TP as to get the full move. TP however is taken in 2 stages most of the time as to secure profit at the end of the day. 1st TP is not at the figure given here and depends on  S/R lines as well as MA's etc or a fixed amount of pips for that trade. If the R:R to the planned full TP is less than 1, then addisional confirmation have to be supplied to verify the reason for the overrule otherwise the deal is ignored as not worth the risk
</t>
        </r>
      </text>
    </comment>
    <comment ref="K8" authorId="0">
      <text>
        <r>
          <rPr>
            <sz val="8"/>
            <color indexed="8"/>
            <rFont val="Times New Roman"/>
            <family val="1"/>
          </rPr>
          <t>Aggressive turnaround after good run so correction was anticipated. Waited for the second red candle before entering on MACD confirmation. TP ± 21EMA</t>
        </r>
      </text>
    </comment>
    <comment ref="K9" authorId="0">
      <text>
        <r>
          <rPr>
            <sz val="8"/>
            <color indexed="8"/>
            <rFont val="Times New Roman"/>
            <family val="1"/>
          </rPr>
          <t>This was an early entry off the 1H due to pullback to breakout level.</t>
        </r>
      </text>
    </comment>
    <comment ref="K10" authorId="0">
      <text>
        <r>
          <rPr>
            <sz val="8"/>
            <color indexed="8"/>
            <rFont val="Times New Roman"/>
            <family val="1"/>
          </rPr>
          <t>This is a Friday deal. In and out. 15 Trailing stop
Trail was hit with 36 Gain</t>
        </r>
      </text>
    </comment>
    <comment ref="K11" authorId="0">
      <text>
        <r>
          <rPr>
            <sz val="8"/>
            <color indexed="8"/>
            <rFont val="Times New Roman"/>
            <family val="1"/>
          </rPr>
          <t>± 2.0300 Level take 66% profit.
0.7 lots closed at 2.0305 for gain 26pips
Remainder set at BE with manual stoploss
Close remainder 0.3 lots at TP level 2.0280 for 51Gain</t>
        </r>
      </text>
    </comment>
    <comment ref="K12" authorId="0">
      <text>
        <r>
          <rPr>
            <sz val="8"/>
            <color indexed="8"/>
            <rFont val="Times New Roman"/>
            <family val="1"/>
          </rPr>
          <t>If it goes I will try to stay as long as possible
Still according to plan.
16:00 Stoploss to below 8EMA
Took Partial profit (0.7 lots)at TP level 1.4235
Remainder at 12/10/2007 SL still at 1.4145
14/10/2007  
08:00 Add to position 0.7lots
12:00 Stoploss at 1.4175</t>
        </r>
      </text>
    </comment>
    <comment ref="K13" authorId="0">
      <text>
        <r>
          <rPr>
            <sz val="8"/>
            <color indexed="8"/>
            <rFont val="Times New Roman"/>
            <family val="1"/>
          </rPr>
          <t>Set stoploss to BE after 25-30 pips
SL set to BE after 30 pip gain @ 2.0275 with 30 trailing stop
+27 Pips. Trailing stop was hit</t>
        </r>
      </text>
    </comment>
    <comment ref="K14" authorId="0">
      <text>
        <r>
          <rPr>
            <sz val="8"/>
            <color indexed="8"/>
            <rFont val="Times New Roman"/>
            <family val="1"/>
          </rPr>
          <t>12:00 TP as per market rhythm. Market has start to move according to Rhythm so will try to stay as long as possible. 21ema will be manual stoploss for now
16/10/2007
08:00-12:00 Total closed for BE</t>
        </r>
      </text>
    </comment>
    <comment ref="K15" authorId="0">
      <text>
        <r>
          <rPr>
            <sz val="8"/>
            <color indexed="8"/>
            <rFont val="Times New Roman"/>
            <family val="1"/>
          </rPr>
          <t>16/10/2007
EurUsd.
08:00 No TC yet. Wait for next candle.
12:00 Break down to 89. Will wait for further candles.
16:00 Uncertain
GbpUsd
08:00  Countertrend. Like the perfect rounding of RT. Quick in and out
08:00  Countertrend. Entry at 2.0414 SL 2.0440 TP ±2.0479. Like the perfect rounding of RT. Quick in and out 12:00 Movement was quick.  Partial TP shifted to 89 @ ±2.0355. Pricr moved past 89m. Partial profit taken at 89 @ 2.0353. TP on remainder shifted to 200 @ ±2.0260. SL just above 89 @ 2.0355
16:00 Total closed at 2.0355 for + 58 gain after retracement above 89 hitting manual trailing stop on remainder</t>
        </r>
      </text>
    </comment>
    <comment ref="K16" authorId="0">
      <text>
        <r>
          <rPr>
            <sz val="10"/>
            <rFont val="Arial"/>
            <family val="2"/>
          </rPr>
          <t>10:30 Took EurUsd long after Gbp news and a retracement to the breakout level on 30min chart and move away @ 1.4245.( Moved back about 75% of retracement) I am aware of the possibility of a false breakout level. Will get out if it retrace to below breakout level @ 1.4225 Stoploss
I anticipated a long move from the 4H chart therefore my decision to go to 30min and trade from there
Set SL to BE when price has reached 4265
Took partial profit at 1.4270 and rest still at BE @ 1.4245
Remainder profit taken at 1.4300</t>
        </r>
      </text>
    </comment>
    <comment ref="K17" authorId="0">
      <text>
        <r>
          <rPr>
            <sz val="10"/>
            <rFont val="Arial"/>
            <family val="2"/>
          </rPr>
          <t>08:00 Slight RT. I liked the 2 red candles with minimal risk</t>
        </r>
      </text>
    </comment>
    <comment ref="K18" authorId="0">
      <text>
        <r>
          <rPr>
            <sz val="10"/>
            <rFont val="Arial"/>
            <family val="2"/>
          </rPr>
          <t>12:00
Nice RT off TL. Will take close look at 8EMA as possible TC
16:00
Took profit after candle close at 1.4400</t>
        </r>
      </text>
    </comment>
    <comment ref="J19" authorId="0">
      <text>
        <r>
          <rPr>
            <sz val="8"/>
            <color indexed="8"/>
            <rFont val="Times New Roman"/>
            <family val="1"/>
          </rPr>
          <t xml:space="preserve">Close before Interest rate decision
</t>
        </r>
      </text>
    </comment>
    <comment ref="K19" authorId="0">
      <text>
        <r>
          <rPr>
            <sz val="10"/>
            <rFont val="Arial"/>
            <family val="2"/>
          </rPr>
          <t>EurUsd
08:00 Spinner against top Res. MACD divergence with lower high. 21EMA as TP1(1.4405) and 1.4363 TL support
Watch for stophunting up to 1.4475
Close position at 1.4450 before Interest Rate decision</t>
        </r>
      </text>
    </comment>
    <comment ref="K22" authorId="0">
      <text>
        <r>
          <rPr>
            <sz val="10"/>
            <rFont val="Arial"/>
            <family val="2"/>
          </rPr>
          <t>I went long on EurUsd.
Support on Supline 5 times
Zero bounce
1Hour has given engulfing candle off the 89SMA(Added later when I looked at 1H)
Entry @ 1.4453
SL @ 1.4416
TP 1 @ 1.4490 (1.4500 is strong resistance.) Will give TP2 chance to upper Res line
BE @ 1.4475 ( I will watch closely for a sudden turnaround as we are at strong resistant levels at overbought levels. 1.4500 Is strong resistance. Stop hunting might be on the cards. Will close position the moment there is a change in direction below 1.4440.) 
Edit 1.
1.4470 was reached 5 short of BE. Will watch this level as it might be RES.
I am at home so can watch this trade live
Edit 2
Price got stuck against Daily R1
Edit 3
1.4473 was reached above R1 so set position to BE. 2Pips short of 1.4475 but to me that is OK
Edit 4
Price is staying around 1.4470. I have decided to take 50% profit @ 1.4468 giving me +15pips on 50% and I have set the rest to SL 1.4438 so that the average of the 2 gives me breakeven. If price retrace to the 1.4453 which was a mini breakout level then my second 50% have a chance should it bounce off 1.4453. I then have the oppertunity to add the 50% again should it bounce
Edit 5
Price is now staying just above 1.4470 above the Daily R1(1.4467) trying to establish a support which looks good for our 1.4490 first profit target.
Edit 6
Looks like R1 has been broken down so 1.4453 might be tested.
Edit 7
This thing is jumping up and down around R1. I am going to sit and wait till it is running.
Edit 8
Price has reached 1.4487(3 short of 1.4490 for me OK to go BE). Set remainder to BE at 1.4453
Edit 9
We had a fatal accident on the mine. have to go to work to prepare plans for Mine Inspector.
Close position @ 1.4476</t>
        </r>
      </text>
    </comment>
    <comment ref="E23" authorId="0">
      <text>
        <r>
          <rPr>
            <sz val="8"/>
            <color indexed="8"/>
            <rFont val="Times New Roman"/>
            <family val="1"/>
          </rPr>
          <t xml:space="preserve">Set alarm for 04:00 as RT might be formed against Res line with possible turnaround.
Tails on Friday candles
</t>
        </r>
      </text>
    </comment>
    <comment ref="K23" authorId="0">
      <text>
        <r>
          <rPr>
            <sz val="10"/>
            <rFont val="Arial"/>
            <family val="2"/>
          </rPr>
          <t>EurUsd
04:00 Enter short @ 1.4494 SL 1.4532 with 1st TP at 21EMA 1.4460 and 2nd TP to let it rub should it break out. (R:R not 1:1 but the setup was worth taking the risk for a positioning for a possible breakout of the rising wedge) Could get to breakeven after 25-30pips so the risk was worth it.
08:00 Position still on track.
12:00 1st TP has been taken at 1.4460 with gain 34 on 50%. Remaining stoploss set to just above 8EMA @ 1.4490 to give it a chance should it break down out of rising wedge
If breakout occur set stoploss to inbetween 8and 21EMA ±1.4470
16:00 2</t>
        </r>
        <r>
          <rPr>
            <vertAlign val="superscript"/>
            <sz val="10"/>
            <rFont val="Arial"/>
            <family val="2"/>
          </rPr>
          <t>nd</t>
        </r>
        <r>
          <rPr>
            <sz val="10"/>
            <rFont val="Arial"/>
            <family val="2"/>
          </rPr>
          <t xml:space="preserve"> TP was hit after breakout occur and retraced to 1.4470</t>
        </r>
      </text>
    </comment>
    <comment ref="E24" authorId="0">
      <text>
        <r>
          <rPr>
            <sz val="8"/>
            <color indexed="8"/>
            <rFont val="Times New Roman"/>
            <family val="1"/>
          </rPr>
          <t xml:space="preserve">Took entry late after woke up
</t>
        </r>
      </text>
    </comment>
    <comment ref="K24" authorId="0">
      <text>
        <r>
          <rPr>
            <sz val="10"/>
            <rFont val="Arial"/>
            <family val="2"/>
          </rPr>
          <t>EurUsd
04:00  Was still asleep. TC signal with small candles. Normally strong signal.
07:00 Woke up enter at 1.4480. Short 1.4480 SL 1.4455 and TP 1.4520. Support on 21EMA with small candles. Risk low. Triangle forming. Positioning for a breakout to the top. Will monitor move every hour and close if it goes below bott supp line.
08:00 Price has reached 1.4498 (almost 1.4500) I have moved SL to 1.4465. As this is a mini breakout of triangle I will closely watch a retrace back to breakoutlevel.
09:00 1.4514 was reached. Close position 100% as I expect(anticipate-only my feeling) a D/Top on price and previous closeby high(±1.4520) was almost reached.
The speed of the market has been twice below the 21EMA so the speed might be slowing down that is part of the reason for taking full close on position.
NB: When a rising wedge break to the upside the move is most of the time quick and huge. I will have a close look at this scenario as well. I anticipate a RT-AT on a price DT and then I will enter with the plan to be in a downmove to the 89 over the next week or so. It is a matter of positioning for that possibility and will minimise losses as quick as possible.
10:00 Price has reached previous closeby high. Time will tell if position was closed to early and if price is going to turn around.
12:00 I might have closed to early but I stayed with my plan. The next candle will be interesting to see if it shows a testing of upper RL or a weakening for a possible RT-AT
14:00 Move went on on its way to upper TL. Now the scenario is a RT-AT off the top resistance.</t>
        </r>
      </text>
    </comment>
    <comment ref="K25" authorId="0">
      <text>
        <r>
          <rPr>
            <sz val="10"/>
            <rFont val="Arial"/>
            <family val="2"/>
          </rPr>
          <t>EurUsd
21:00 Enter on MACD AT  down to 8ema. Take 50% profit at 8ema and remainder set to BE and let it run with manual trailing stop.
1st TP was hit and remainder set to BE
Remainder was stopped out at BE overnight.</t>
        </r>
      </text>
    </comment>
    <comment ref="K26" authorId="0">
      <text>
        <r>
          <rPr>
            <sz val="10"/>
            <rFont val="Arial"/>
            <family val="2"/>
          </rPr>
          <t>EurUsd
Selling pressure with 3 tails to top</t>
        </r>
        <r>
          <rPr>
            <sz val="12"/>
            <rFont val="Arial"/>
            <family val="2"/>
          </rPr>
          <t xml:space="preserve">.
</t>
        </r>
        <r>
          <rPr>
            <sz val="10"/>
            <rFont val="Arial"/>
            <family val="2"/>
          </rPr>
          <t xml:space="preserve">Divergence
Will take 100% at TP as it is Friday late afternoon
</t>
        </r>
      </text>
    </comment>
    <comment ref="E27" authorId="0">
      <text>
        <r>
          <rPr>
            <sz val="10"/>
            <color indexed="8"/>
            <rFont val="Times New Roman"/>
            <family val="1"/>
          </rPr>
          <t xml:space="preserve">Pullback to breakout level
</t>
        </r>
      </text>
    </comment>
    <comment ref="K27" authorId="0">
      <text>
        <r>
          <rPr>
            <sz val="10"/>
            <rFont val="Arial"/>
            <family val="2"/>
          </rPr>
          <t>EurUsd
I entered the pullback to breakoulevel on the 1H chart 
Entry 1.4556
SL 1.4589
TP 89SMA
Edit 1
Price have moved to 1.4530. Set all to BE
Edit 2
Second 1H candle low at ±1.4530. Took 50% profit and remainder still at BE</t>
        </r>
        <r>
          <rPr>
            <sz val="12"/>
            <rFont val="Arial"/>
            <family val="2"/>
          </rPr>
          <t xml:space="preserve">.
</t>
        </r>
      </text>
    </comment>
    <comment ref="E28" authorId="0">
      <text>
        <r>
          <rPr>
            <sz val="10"/>
            <color indexed="8"/>
            <rFont val="Times New Roman"/>
            <family val="1"/>
          </rPr>
          <t xml:space="preserve">Hanging man. Might see change. Set alarm
</t>
        </r>
      </text>
    </comment>
    <comment ref="K28" authorId="0">
      <text>
        <r>
          <rPr>
            <sz val="10"/>
            <color indexed="8"/>
            <rFont val="Times New Roman"/>
            <family val="1"/>
          </rPr>
          <t xml:space="preserve">EurUsd
04:00 Strong bullish bar after a previous candle where first the bulls and then the bears were in command (hanging man) and then strong bull command made me take that trade. Entry 1.4566 SL 1.4518 and TP 1.4608. The 1.4600 may play an important role so I will watch that closely. BE after 25 pips at least. 1st TP at 1.4590 and remainder set to SL 1.4570
Edit 1
Set to BE after 25
Edit 2
1st TP Taken at 1.4590 and remainder SL on 1.4570
Edit 3
Close remainder after pullback to 1.4620. The rule that the price might be going down to the 89 was the reason for closure.
</t>
        </r>
      </text>
    </comment>
    <comment ref="M28" authorId="0">
      <text>
        <r>
          <rPr>
            <sz val="8"/>
            <color indexed="8"/>
            <rFont val="Times New Roman"/>
            <family val="1"/>
          </rPr>
          <t>Take trade on emotion of candles. Very strong emotions invovled. 
38.2 Fib of last up Support</t>
        </r>
      </text>
    </comment>
    <comment ref="J29" authorId="0">
      <text>
        <r>
          <rPr>
            <sz val="8"/>
            <color indexed="8"/>
            <rFont val="Times New Roman"/>
            <family val="1"/>
          </rPr>
          <t>25 Gain on 50% and remainder closed at -28 for total gain of -3</t>
        </r>
      </text>
    </comment>
    <comment ref="K29" authorId="0">
      <text>
        <r>
          <rPr>
            <sz val="10"/>
            <color indexed="8"/>
            <rFont val="Times New Roman"/>
            <family val="1"/>
          </rPr>
          <t xml:space="preserve">EurUsd
Rule is if it bounce off 21EMA it might go to 89SMA. When the bounce after 1H was strongly down I entered as it was against double Resistance
Entry on 1H  1.4595 
SL 1.4624 
1st TP 1.4534 (±closest low) 
2nd TP at 89SMA on 4H
Will go to BE after 25 pips on 50% and set remaining at -25 stoploss to go breakeven if hit.
The move up was fast so I am aware of the fact that the price might not go lower as the nearby low. When that shows signs I will act accordingly
12:00
50% set to BE and remainder set to -25 stoploss. Reason for it is that the move up today was fast to 21ema so I want to get on BE if it turn towards 21 again yet give 50% a chance to stay in if it rebounce. 
Took 50% profit on 1.4573 close of 1H candle an set remainder to stoploss 1.4620
Remainder was taken out on 1.4620
</t>
        </r>
      </text>
    </comment>
    <comment ref="K30" authorId="0">
      <text>
        <r>
          <rPr>
            <sz val="10"/>
            <color indexed="8"/>
            <rFont val="Times New Roman"/>
            <family val="1"/>
          </rPr>
          <t>GbpUsd
12:00 Stoploss are to big so I will enter on a bit of retrace. Has bounce off top res with tail. Move was fast so I will enter on close of candle
Edit 1
Set to BE after 40pips. Will take partial profit after 60pips.
Edit 2
Take 50% after 60 pips set remainder at SL 2.0690(±30 away from price action)
Edit 3
Remainder was closed at 2.0690</t>
        </r>
      </text>
    </comment>
    <comment ref="J31" authorId="0">
      <text>
        <r>
          <rPr>
            <sz val="8"/>
            <color indexed="8"/>
            <rFont val="Times New Roman"/>
            <family val="1"/>
          </rPr>
          <t>This was a geniune wrong trade. All according to the rules. No rectification needed except that it was a Friday and I did not realy felt good about the trade but was going for a possible breakout to the south</t>
        </r>
      </text>
    </comment>
    <comment ref="K31" authorId="0">
      <text>
        <r>
          <rPr>
            <sz val="10"/>
            <color indexed="8"/>
            <rFont val="Times New Roman"/>
            <family val="1"/>
          </rPr>
          <t>EurUsd
12:00 Enter on tail(emotions) last 3-4 candles and a close below support. 1stTP at 89SMA and second at bott supp if it breaks 89.
Edit 1
Stoploss was hit for -35</t>
        </r>
      </text>
    </comment>
    <comment ref="K32" authorId="0">
      <text>
        <r>
          <rPr>
            <sz val="10"/>
            <color indexed="8"/>
            <rFont val="Times New Roman"/>
            <family val="1"/>
          </rPr>
          <t>EurUsd
08:00 Enter on candle close. Will take partial profit depending on move.
Edit 1
Took 50% after 40pips. Set remainder at BE. Will try to stay in and go for the breakout down. If it does not happen I will close the position.
Edit 2
Price did not go below previous candle low of 1.4620 so remainder was closed at 1.4650</t>
        </r>
      </text>
    </comment>
    <comment ref="K33" authorId="0">
      <text>
        <r>
          <rPr>
            <sz val="10"/>
            <color indexed="8"/>
            <rFont val="Times New Roman"/>
            <family val="1"/>
          </rPr>
          <t>UsdJpy
20:00
I normally dont trade the UsdJpy but you dont get better setups than this. Already at BE
Entry 109.90
SL 110.23
1st TP 109.10
2nd TP on 30 trailing stop. Want to stay in the trade if it run more to the south
Edit 1
Took 50% profit at 109.60 due to pullback
Remainder SL currently at 109.80
Edit 2
Unbelievable pullback. Remainder closed at 109.80.
Total average gain (30+10)/2=20</t>
        </r>
      </text>
    </comment>
    <comment ref="K34" authorId="0">
      <text>
        <r>
          <rPr>
            <sz val="10"/>
            <color indexed="8"/>
            <rFont val="Times New Roman"/>
            <family val="1"/>
          </rPr>
          <t>I went long the EurUsd(had some connection problems during the day)
4H ZB/TC with 1H confirming
Entry 1.4855
SL 1.4821
1st TP 1.4880
2nd TP +1.4920
Edit 1
1.4880 was hit. Closed 50% for +23pips
Remainder to BE
Edit 2
Have to go to bed. Has set remainder on 20 trailing stop
Edit 3
Remainder closed by trailing stop on BE</t>
        </r>
      </text>
    </comment>
    <comment ref="K35" authorId="0">
      <text>
        <r>
          <rPr>
            <sz val="11"/>
            <color indexed="8"/>
            <rFont val="Times New Roman"/>
            <family val="1"/>
          </rPr>
          <t>Entry 2.0723 (Zero break as well as bounce off 89sma with tail on signal candle)
Stoploss 2.0685(Just below 8ema. I feel that with that tail the emotion is up therefore I havent put my stoploss below the candle low as the SL is to big then)
1st TP 2.0750
2nd TP 2.0850
Edit 1
2.0750 was reached. 50% closed on 2.0750 and remainder set at BE with 25 trailing stop as I go to bed now.</t>
        </r>
      </text>
    </comment>
    <comment ref="K36" authorId="0">
      <text>
        <r>
          <rPr>
            <sz val="11"/>
            <color indexed="8"/>
            <rFont val="Times New Roman"/>
            <family val="1"/>
          </rPr>
          <t>EurUsd:
08:00 TC and almost ZBounce. Hanging man candle. Bearish signal
Entry 1.4802
Stoploss 1.4845
TP 1.4740 ( I went for 89SMA taking full profit)</t>
        </r>
      </text>
    </comment>
    <comment ref="E40" authorId="0">
      <text>
        <r>
          <rPr>
            <sz val="10"/>
            <color indexed="8"/>
            <rFont val="Times New Roman"/>
            <family val="1"/>
          </rPr>
          <t xml:space="preserve">Set alarm as possible smooth RB might be formed against 89SMA
</t>
        </r>
      </text>
    </comment>
    <comment ref="K40" authorId="0">
      <text>
        <r>
          <rPr>
            <sz val="11"/>
            <color indexed="8"/>
            <rFont val="Times New Roman"/>
            <family val="1"/>
          </rPr>
          <t xml:space="preserve">Usdjpy
Set alarm as possible RB might bounce off the 89sma. As discussed on the threadin Mp3
04:00
RB off the 89sma with 2 x Engulfing candles
Entry 110.06
Stoploss 109.62 below 89sma
1st TP 110.45
2nd TP 111.09 or 111.71 depending on the market rhythm and motion
Edit 1
08:00 Close 50% at 110.39 and set rest to BE and trailing stop of 30pips
Edit 2
Remainder closed at 110.36 by trailing stop
Total gain 33/2 + 30/2 =63/2 =31.5
</t>
        </r>
      </text>
    </comment>
    <comment ref="K41" authorId="0">
      <text>
        <r>
          <rPr>
            <sz val="11"/>
            <color indexed="8"/>
            <rFont val="Times New Roman"/>
            <family val="1"/>
          </rPr>
          <t xml:space="preserve">TC off the 8ema with a morning star.
Long Entry 111.14
Stoploss 110.75
TP in full at 200SMA 111.60
Will go to breakeven after 25pips
Edit 1
I am not comfortable with the motion(for the last hour and half) at present on UsdJpy. I wont let this one go into negative. Have set it to BE allready.
Previous high of 30/11 might play a role
Edit 2
Got stopped out for BE
</t>
        </r>
      </text>
    </comment>
    <comment ref="K42" authorId="0">
      <text>
        <r>
          <rPr>
            <sz val="10"/>
            <color indexed="8"/>
            <rFont val="Times New Roman"/>
            <family val="1"/>
          </rPr>
          <t>I entered EurUsd long. Strong engulfing closing above 200sma. Aggressive turnaround. I was waiting for a move above the 12:00-16:00 candle at 1.4636.(Just to make sure the 200 is getting support and not resistance) MACD was at -45. Countertrend so the risk as there. Will watch this one live till I am out of dangerzone(+20 to 25pips)and then set to BE. 1H has given strong candle off the 21ema
Entry 1.4636
Stoploss 1.4606
Full TP 1.5666 at the 21ema
That engulfing candle off bottom support made me pull the trigger. Currently the price is at 50% Fib retracement of latest downmove. So I really took the waves on. But I have my flippers on and some safety guards to watch me. At least i will not drown on this one.
Edit
20 Pips gain was reached. Hanging man and time it took to reach the 21ema made me believe that there is resistance so I closed for +20pips and will be waiting for the 21ema bounce.</t>
        </r>
      </text>
    </comment>
    <comment ref="E43" authorId="0">
      <text>
        <r>
          <rPr>
            <sz val="10"/>
            <color indexed="8"/>
            <rFont val="Times New Roman"/>
            <family val="1"/>
          </rPr>
          <t xml:space="preserve">Enter Early on 1H
</t>
        </r>
      </text>
    </comment>
    <comment ref="J43" authorId="0">
      <text>
        <r>
          <rPr>
            <sz val="10"/>
            <color indexed="8"/>
            <rFont val="Times New Roman"/>
            <family val="1"/>
          </rPr>
          <t xml:space="preserve">07:00
I went for an early 1H entry after the price pulled back to the 21ema on 4H with strong bearish 1H candle
</t>
        </r>
        <r>
          <rPr>
            <u/>
            <sz val="10"/>
            <color indexed="8"/>
            <rFont val="Times New Roman"/>
            <family val="1"/>
          </rPr>
          <t>Risks</t>
        </r>
        <r>
          <rPr>
            <sz val="10"/>
            <color indexed="8"/>
            <rFont val="Times New Roman"/>
            <family val="1"/>
          </rPr>
          <t xml:space="preserve"> 
</t>
        </r>
        <r>
          <rPr>
            <b/>
            <u/>
            <sz val="10"/>
            <color indexed="10"/>
            <rFont val="Times New Roman"/>
            <family val="1"/>
          </rPr>
          <t xml:space="preserve">No 4H signal yet to go short
</t>
        </r>
        <r>
          <rPr>
            <sz val="10"/>
            <color indexed="8"/>
            <rFont val="Times New Roman"/>
            <family val="1"/>
          </rPr>
          <t xml:space="preserve">1. 200sma support
2. Stoploss should have been above 21ema. Too large.
3. Friday and NFP
</t>
        </r>
      </text>
    </comment>
    <comment ref="K43" authorId="0">
      <text>
        <r>
          <rPr>
            <sz val="10"/>
            <color indexed="8"/>
            <rFont val="Times New Roman"/>
            <family val="1"/>
          </rPr>
          <t xml:space="preserve">07:00 EurUsd
</t>
        </r>
      </text>
    </comment>
    <comment ref="E44" authorId="0">
      <text>
        <r>
          <rPr>
            <sz val="8"/>
            <color indexed="8"/>
            <rFont val="Times New Roman"/>
            <family val="1"/>
          </rPr>
          <t xml:space="preserve">Waiting for the high of recent candles to be breached as the TC given on the 8:00 candle was very little. 1 Hour confirmation given.
</t>
        </r>
      </text>
    </comment>
    <comment ref="K44" authorId="0">
      <text>
        <r>
          <rPr>
            <sz val="10"/>
            <color indexed="8"/>
            <rFont val="Times New Roman"/>
            <family val="1"/>
          </rPr>
          <t>11:00 EurUsd
Waiting for the high of recent candles to be breached as the TC given on the 8:00 candle was very little. 1 Hour confirmation given.
Entry 1.4660 On 1H confirmation.
SL 1.4627
1st TP 1.4697 at Res Line
2nd TP 1.4742 at 89SMA
Edit 1
1.4685 was reached. Set all to BE.
Edit 2
50% closed at 1.4697. There is double resistance at 1.4700. Will monitor closely and will close remainder if any weakness(candle confirmation) is evidence. Remainder still at BE.
Edit 3
SL moved to below support at 1.4695 as price breached the 1.4700 double resistance. Price is currently in a short term tri-angle. Will wait to see direction of move which are indicative upwards. Will close deal when breakout is south.
Edit4
Price have broken out of triangle upwards and has gone to 89sma. I will use the 8ema as my trailing stop to give the position a chance to go above the 89 if it wants to but close it if it shows signs of weakness. If the price breached the 89 by +25 pips I will set the stop at the 21ema and trail it at the 21ema till it gets stopped out or when there is prove of a turnaround.
Edit 5
Price bounced off the 89 like a rocket. The move was fast so I closed my position at 1.4725
Total gain for the deal (37) on one minilot and (65) on second minilot for an average of 51</t>
        </r>
      </text>
    </comment>
    <comment ref="K45" authorId="0">
      <text>
        <r>
          <rPr>
            <sz val="10"/>
            <color indexed="8"/>
            <rFont val="Times New Roman"/>
            <family val="1"/>
          </rPr>
          <t>EurUsd
Strong morning star off the 200sma. MACD not zerobreak yet but the emotion is strong off the 200sma.
Entry 1.4689
SL 1.4648
TP  1.4729
Just be aware of 1.4700 price level.
Edit 1
Go to BE after +20(as total TP might only be 40 I decided on BE after 20)
Edit 2
1.4720 was reached. Close 50% and set remainder to 1.4695. If this is a run through 89sma I want the remainder to be part of it.
Edit 3
Remainder was closed at 1.4695
Total gain 13.5</t>
        </r>
      </text>
    </comment>
    <comment ref="K46" authorId="0">
      <text>
        <r>
          <rPr>
            <sz val="10"/>
            <color indexed="8"/>
            <rFont val="Times New Roman"/>
            <family val="1"/>
          </rPr>
          <t>EurUsd
I did not enter on the first MACD short signal due to the fact that the candle was still small and a breakout to the top above 89 was a possibility. I therefor entered on the candle as on the graph. That tail and the bearish candle was the confirmation.
EurUsd
12:00 Enter on Bearish candle on 4H and 1H, MACD divergence and lower high. My aim is to be in the deal if it breaks through 200sma down.
Will go to breakeven after 20pips as to minimise the risk of a 200sma bounce up. Might take 50% profit after 20 and set remainder to -20 as to give the remainder some breathing space away from the 200sma and settle for a BE if it turns around.
Edit 1
50% profit taken for +20. Remainder set at -20 to go breakeven if it turns around with a 40 trailing stop on remainder.
Edit 2
Set remainder at BE after 1.4650 was reached
Edit 3
Set remainder to 1.4670 just above 200 for a possible pullback
Edit 4
Remainder to 1.4650
Edit 5
Remainder to 1.4625
Edit 6
Remainder was closed on 1.4610 after a pullback
Total gain 20 on 50% and 76 on remainder = 48 average</t>
        </r>
      </text>
    </comment>
    <comment ref="E47" authorId="0">
      <text>
        <r>
          <rPr>
            <sz val="10"/>
            <color indexed="8"/>
            <rFont val="Times New Roman"/>
            <family val="1"/>
          </rPr>
          <t xml:space="preserve">Waited for 1H confirmation of pullback to 4H breakoutlevel to enter on continiuation of downmove.
</t>
        </r>
      </text>
    </comment>
    <comment ref="K47" authorId="0">
      <text>
        <r>
          <rPr>
            <sz val="10"/>
            <color indexed="8"/>
            <rFont val="Times New Roman"/>
            <family val="1"/>
          </rPr>
          <t>EurUsd 09:00
Engulfing after 1H in the new candle. 1H shows evening star. Pullback was expected. Worth taking the risk as the motion is in line with what I expected.
Entry 1.4625
SL 1.4659
TP full 1.4578
Edit 1
Move was fast. Decided to take 50% at 1.4560
Remainder set to 30 trailing stop
I have trendline just below 1.4500 so will look to close remainder ± 1.4500
Edit 2
1.4500 has been reached and bottom trendline has been reached. Close remainder at 1.4495</t>
        </r>
      </text>
    </comment>
    <comment ref="E48" authorId="0">
      <text>
        <r>
          <rPr>
            <sz val="8"/>
            <color indexed="8"/>
            <rFont val="Times New Roman"/>
            <family val="1"/>
          </rPr>
          <t xml:space="preserve">Why did I decided to go for the breakout south. The breakout last week was major. You dont see EurUsd going 200pips without reason and the reason was short therefore I was favouring a further short move and was looking for any signs of emotions showing it and the oppertunity came in the 1H. 
If it does not break the bottom TL. at least there were some pips to be made till there.
</t>
        </r>
      </text>
    </comment>
    <comment ref="K48" authorId="0">
      <text>
        <r>
          <rPr>
            <sz val="10"/>
            <color indexed="8"/>
            <rFont val="Times New Roman"/>
            <family val="1"/>
          </rPr>
          <t xml:space="preserve">Why did I decided to go for the breakout south. The breakout last week was major. You dont see EurUsd going 200pips without reason and the reason was short therefore I was favouring a further short move and was looking for any signs of emotions showing it and the oppertunity came in the 1H. 
If it does not break the bottom TL. at least there were some pips to be made till there.
Entry 1.4416 ( I see that I was filled on 1.4414)
SL 1.4439
TP 1.4380 50% at bott TL and remainder at 25 trailing stop.
Edit 1
50% profit taken at 1.4380 and remainder on 25trailing stop
Edit 2
Stoploss fixed at 1.4403 to see if 1.4400 is going to hold. Will only put it on traling once the bottom TL is broken if it is going to happen.
1.4399 was reached so still save with SL
Edit 3
Stoploss set at 1.4380 to protect against pullback to TL
Edit 4
Price moved below 1.4350 so set trailingstop of 30 from the 1.4380level
Edit 5
Remainder closed at 1.4350
Total gain 34+64=48 on average
</t>
        </r>
      </text>
    </comment>
    <comment ref="K49" authorId="0">
      <text>
        <r>
          <rPr>
            <sz val="10"/>
            <color indexed="8"/>
            <rFont val="Times New Roman"/>
            <family val="1"/>
          </rPr>
          <t xml:space="preserve">GbpUsd trade 07:00
This is just to show you how market motion is used to enter an early trade off the 1H but still within the concept of 4H rules. There are several concepts used in this example. It is a high risk trade but I purely based it on the resistance level that was holding the attack and the red candle moving away indicating a possible continuation of the direction. The tail at the bottom of the 1H candle show that there could be a retracement into the previous candle so to get a better position a 50% to 61.8% will be a better position to enter. To wait for a better confirmation if the price retraced to 50% and above you can wait for the price to come down below the 38.2% FIB and then enter as the price movement is in the anticipated direction. A bit more advance entry for those that like challenges. Lets see how it works out.
Edit 1
Waiting for a pullback to get a better entry so that my stoploss can be manageable around 40pips. I still believe that the shoulder level is going to be reached. </t>
        </r>
        <r>
          <rPr>
            <b/>
            <sz val="10"/>
            <color indexed="57"/>
            <rFont val="Times New Roman"/>
            <family val="1"/>
          </rPr>
          <t xml:space="preserve">That 2 year TL should be strong
</t>
        </r>
        <r>
          <rPr>
            <sz val="10"/>
            <color indexed="8"/>
            <rFont val="Times New Roman"/>
            <family val="1"/>
          </rPr>
          <t>Edit 2
Pullback was to above 75%. (</t>
        </r>
        <r>
          <rPr>
            <b/>
            <sz val="10"/>
            <color indexed="10"/>
            <rFont val="Times New Roman"/>
            <family val="1"/>
          </rPr>
          <t>Decision time as to place orders</t>
        </r>
        <r>
          <rPr>
            <sz val="10"/>
            <color indexed="8"/>
            <rFont val="Times New Roman"/>
            <family val="1"/>
          </rPr>
          <t xml:space="preserve">) Set order at 2.0189(61.8%) and at 2.0179(38.2%) FIB levels. Price closed at 2.0186 just above the 50% retracement and the first order was filled at 2.0189. Cancel second order as the price did not retraced back below 50% FIB. Orders only valid for that 1H candle. Those not filled must be cancelled as the price did not go to 38.2% and ended green is no good sign short term. As the first order was fill stoploss was set at 2.0228 and TP at 2.0149 makink R:R=1.
Edit 3
Price retraced further to the breakout level. Lots of emotion involved with up and down movements below the breakout level. It is a matter of hanging on to that stoploss above the breakout level.
Edit 4
Price moved down and retraced once again forming a sort of a hanging man. This is a good sign should the next candle moves down.
Edit 5
Next candle moved down so now I have hope even that it made a little tail.
Edit 6
Price has moved past 2.0149 profit target.
Total gain 40
This was one of the difficult trades that really played with my emotions. Therefore it is better to only look hourly and make decisions based upon what is in front of you and then leave it alone. The tendency is there to close the deal when it reaches bearable level after running 35 pips against you. In this case it worked out.
</t>
        </r>
      </text>
    </comment>
    <comment ref="K50" authorId="0">
      <text>
        <r>
          <rPr>
            <sz val="10"/>
            <color indexed="8"/>
            <rFont val="Times New Roman"/>
            <family val="1"/>
          </rPr>
          <t xml:space="preserve">20:00 Candle trade. Was a bit late for the 20:00 candle so enter a bit higher.
Entry 113.32
SL 113.03
1st TP 113.52 (Might break to the top so will give it chance to do so)
2nd TP depending if breakthrough happens.
Edit 1
The previous 2 candles indicated good movement upwards. Price is in a shortterm channel. Entered to high and position will allways be risky before it might broke out to the top as the reason for the entry was. Top resistance line looks strong as it hold.
R:R not to good at entry point 113.32 which was 7pips higher than candle close. At candle close R:R was 1:1 the reason for taking the trade.
Edit 2
Afterthought made me realise too many risky points.
    1. Enters to high up on shortterm channel.
    2. Was late on the candle close so entered 7 pips higher.
    3. Previous candle had tail to top.
    4. Should have entered earlier for a positioning for a breakout to the top.
    5. The channel is angling down making it worse as time is passing bringing profit target down with it.
    6. EurUsd and GbpUsd give possible signals(20/12/2007 at 08:00) which might be better propositions
Edit 3
Plan of action as to minimize loss. Stoploss is currently just below 21ema making it the best place to be should it bounce off 21ema so no action taken. Will have to bear the loss or bail out now. 
Decided to give it a chance and take the knock if wrong.
Edit 4
Stoploss was hit.
Conclusion:
Not a good judgement entry. Analyses was not done properly because of late entry after candle has closed. </t>
        </r>
      </text>
    </comment>
    <comment ref="K51" authorId="0">
      <text>
        <r>
          <rPr>
            <sz val="10"/>
            <color indexed="8"/>
            <rFont val="Times New Roman"/>
            <family val="1"/>
          </rPr>
          <t xml:space="preserve">16:00 GbpUsd
I took this GbpUsd trade based on TC 1H and a pullback to the 8ema as well as strong engulfing candle. 4H move is strong and below the 8ema.
Entry 1.9856
SL 1.9896
1st TP 1.9826 and set remainder to 25 trailing stop
Edit 1
1st TP taken at 1.9826 and remainder set at 25 trailing stop
Remainder closed out on trailingstop at 1.9835
Total gain 30+21=25.5 average
</t>
        </r>
      </text>
    </comment>
    <comment ref="K52" authorId="0">
      <text>
        <r>
          <rPr>
            <sz val="10"/>
            <color indexed="8"/>
            <rFont val="Times New Roman"/>
            <family val="1"/>
          </rPr>
          <t xml:space="preserve">GbpUsd 09:00
Hanging man, shooting star and bearish candle on 1H off the 21ema. Wll go to BE after 20pips. All according to 4H motion off the 21ema.
</t>
        </r>
      </text>
    </comment>
    <comment ref="K60" authorId="0">
      <text>
        <r>
          <rPr>
            <sz val="11"/>
            <color indexed="8"/>
            <rFont val="Times New Roman"/>
            <family val="1"/>
          </rPr>
          <t>I will enter on a positioning for a tri-angle breakout to the top. There ia a double top that might be honored but I take the odds on that if it breaks to the top I will gain much as it will run heavy. R:R within triangle not good but if it breaks out it will be very good. If it turns south I will take the breakout trade at ±1.4695-90 and try to recover the loss as I believe if it comes south it will run more then the 25 risked for the long. I will then take 50% at +25gain and set the rest at 25trailing stop.
Entered 1.4725
Stoploss 1.4700
Will go breakeven at 1.4740
Edit 1
Price has hit my stoploss -25pips. So I also start with a loss for 2008. This will be one of the few for 2008. I declare it.
Edit 2
Will see how it developes for the breakout trade south to try and recover the 25 loss. Candle emotion MUST confirm downmove. If they turn it around to go long again this was only a stophunt below the tri-angle bottom and then I WILL take the long the moment the candle emotion confirms. I will be very carefull for a double takeout as the break south might be the real false one and they collect both sides.
Edit 3
We have lost internet signal at work. Not able to monitor price movement</t>
        </r>
      </text>
    </comment>
    <comment ref="G61" authorId="0">
      <text>
        <r>
          <rPr>
            <sz val="10"/>
            <color indexed="8"/>
            <rFont val="Times New Roman"/>
            <family val="1"/>
          </rPr>
          <t>Entered in 3 stages. See Action Comment</t>
        </r>
      </text>
    </comment>
    <comment ref="J61" authorId="0">
      <text>
        <r>
          <rPr>
            <sz val="8"/>
            <color indexed="8"/>
            <rFont val="Times New Roman"/>
            <family val="1"/>
          </rPr>
          <t xml:space="preserve">Average on 3 lots
</t>
        </r>
      </text>
    </comment>
    <comment ref="K61" authorId="0">
      <text>
        <r>
          <rPr>
            <sz val="10"/>
            <color indexed="8"/>
            <rFont val="Times New Roman"/>
            <family val="1"/>
          </rPr>
          <t xml:space="preserve">GbpUsd 08:00
TC given. Stoploss to big so will enter on 3 stages. 1St enter at 50% Fib at 1.9708, 2nd enter at 1.9697 inbetween 38,2% and 23,6% Fib and 3rd enter at 0% Fib at 1.9680. 
1st TP after 50 pips and 2nd after 30 pips with 3rd set at BE after TP on 1 and 2 was taken with 3rd TP at ± 1.9600 at bottom TL
Edit 1
1st and 2nd lots were closed at +50 and +30 pips. 3rd lot set to BE at 1.9680
Edit 2
3rd lot was close at BE after turnaround.
</t>
        </r>
        <r>
          <rPr>
            <u/>
            <sz val="10"/>
            <color indexed="8"/>
            <rFont val="Times New Roman"/>
            <family val="1"/>
          </rPr>
          <t xml:space="preserve">IMPORTANT:
</t>
        </r>
        <r>
          <rPr>
            <sz val="10"/>
            <color indexed="8"/>
            <rFont val="Times New Roman"/>
            <family val="1"/>
          </rPr>
          <t>The importance of managing your trade with partial profits once again proven.
Average +26 on 3 lots</t>
        </r>
      </text>
    </comment>
    <comment ref="K62" authorId="0">
      <text>
        <r>
          <rPr>
            <sz val="10"/>
            <color indexed="8"/>
            <rFont val="Times New Roman"/>
            <family val="1"/>
          </rPr>
          <t>UsdCad 12:00
Double hanging man with a shooting star. Could not resist this oppertunity.
Enter 1.0027
Stoploss 1.0064
As I am unformiliar with the UsdCad caracter I will take 50% profit at 8ema and use that profit as a stoploss on the remainder to give the remainder the oppertunity to go to 200sm
1st TP at 8ema 1.0010 and set remainder at 1.0044 to break even overall if taken out but to give remainder a chance should it go to 200sma
We had a move above the 89sma and 200sma and the mood is bullish. I purely take the trade on candle emotion and MACD RT above the 45hor line to go countertrend therefore my concervative approach.
Edit 1
1st TP closed for 17 at 1.0010 gain and remainder set to -17 for a total BE
Edit 2
Remainder closed at 0.9980</t>
        </r>
      </text>
    </comment>
    <comment ref="K63" authorId="0">
      <text>
        <r>
          <rPr>
            <sz val="10"/>
            <color indexed="8"/>
            <rFont val="Times New Roman"/>
            <family val="1"/>
          </rPr>
          <t>Info
Entered at 1.4683
Stoploss 1.4718
1st TP at 200sma
2nd TP at 89sma unless 200sma prove to be support
Edit 1
50% closed at 1.4647. (was filled at 1.4648) Remainder set at BE
Edit 2
Pullback missed my BE by 3pips on the remainder
Edit 3
Set remainder on trailing stop
Edit 4
Remainder closed at 1.4664 bt trailing stop
Total average gain +27</t>
        </r>
      </text>
    </comment>
    <comment ref="K64" authorId="0">
      <text>
        <r>
          <rPr>
            <sz val="10"/>
            <color indexed="8"/>
            <rFont val="Times New Roman"/>
            <family val="1"/>
          </rPr>
          <t>EurUsd 08:00
MACD RT. Small hanging man and small shooting star making risk small. ±1.4800 was resistance previousely(04/01/2008) and could be again therefore this position. Stoploss might be to tight but that is what I am prepared to risk to make my R:R ok if it turns out that 8ema is support. I also can watch this position more often to manage it.
Entered 1.4792
Stoploss 1.4817
1st TP 8ema ±1.4764
2nd TP 21ema
Edit 1
Stoploss was just missed when I had a look(09:20). 1.4800 seems to be a resistance level and might be tested more then once so stoploss should remain above 1.4800 to give the position a chance or take 15pips gain and that is it. I however feel that 1.4800 might be strong resistance. Only my feeling. I will go to BE after 1.4765 is reached and give the position a chance to come down. It will be either a nice move or BE. 
Edit 2
If the price move fast through 8ema after it went above 1.4800 and starting to come down I will not take profit at 8ema but will give it a chance to run.
Edit 3
Motion to the 8ema was slow so I took 50% at 1.4767 and set rest at BE.</t>
        </r>
      </text>
    </comment>
    <comment ref="K65" authorId="0">
      <text>
        <r>
          <rPr>
            <sz val="11"/>
            <color indexed="8"/>
            <rFont val="Times New Roman"/>
            <family val="1"/>
          </rPr>
          <t>UsdJpy 08:00
TC as well as perfect motion off the 8ema on 1Hour.
Set stoploss accoring to 1H previous candle.
Could only watch at 08:00 but would have entered 1H earlier due to 1H movement.
Entered 108.40 (Was filled at 108.40)
Stoploss 108.65
TP 108.05 and will see how price react at this level. Possible 50% TP.
Edit 1
108.05 was reached. Set stoploss at 108.25. Will give it a chance to go below 108.00.
Edit 2
Price went below 108.00 (107.88) and retraced to 108.00. Close 50%position on 108.00 and set remainder stoploss to 108.20
Edit 3
Stoploss to 107.90
Edit 4
Remainder closed at 107.90 by stoploss</t>
        </r>
      </text>
    </comment>
    <comment ref="E66" authorId="0">
      <text>
        <r>
          <rPr>
            <sz val="11"/>
            <rFont val="Arial"/>
            <family val="2"/>
          </rPr>
          <t>Entered on a retrace of 50%</t>
        </r>
      </text>
    </comment>
    <comment ref="K66" authorId="0">
      <text>
        <r>
          <rPr>
            <sz val="11"/>
            <rFont val="Arial"/>
            <family val="2"/>
          </rPr>
          <t>GbpUsd 18:00
Entered short on Evening star from the 21ema. MACD on zero to form zero break.
Entered No1 on 50% retrace at 1.9600
Entered No2 on 1.9582
Edit 1
Took 50% profit at 1.9575 and set stoploss at 1.9607 for a BE if turnaround.
Will enter again with 1Lot at 1.9558
Edit
All closed at 1.9550
1st TP +25
2nd TP +32
3rd TP +8
Average +21</t>
        </r>
      </text>
    </comment>
    <comment ref="K67" authorId="0">
      <text>
        <r>
          <rPr>
            <sz val="12"/>
            <rFont val="Arial"/>
            <family val="1"/>
            <charset val="1"/>
          </rPr>
          <t>I did not take the EurUsd trade even that it made a triangle with a flat bottom indicating a possible downmove. I liked the Morning star on the Usdjpy and set my stoploss to max 47pips(only what I am prepared to risk max).
Enter long at 106.52
Stoploss 106.05
TP depending on the move as it might be huge. A lot of emotion is built into the EurUsd so I expect a nice move on Usdjpy as well. 100pips+. Will go to BE after 30pips
Edit 1
Set to BE after 30pips.
Edit 2
Took 50% after 50pips and set remainder stoploss to 106.70
Edit 3
Set remander stoploss to 106.90
Edit 4
Set remainder TP at 107.40
Edit 5
Tp on remainder close at 107.40</t>
        </r>
      </text>
    </comment>
    <comment ref="K68" authorId="0">
      <text>
        <r>
          <rPr>
            <sz val="10"/>
            <color indexed="8"/>
            <rFont val="Arial"/>
            <family val="2"/>
          </rPr>
          <t>Enter short due to shooting star off a channel top and MACD ZB. As the MACD ZB has not been confirmed yet the weight is more to the shooting star therefore I will exit 50% if price retraced more than 75% of stoploss and the rest at stoposs  to spread the risk.
Will take 50% after 30pips and set remainder at BE
Edit 1
50% closed for 30pip gain and remander set to BE
Edit 2
Remainder set to 25 trailing stop after price went +45pips with final TP still at 105.61 if price is halting there. Will let it go as far as possible.
Edit 3
Remainder closed at 105.00
Average gain +84.5</t>
        </r>
      </text>
    </comment>
    <comment ref="K69" authorId="0">
      <text>
        <r>
          <rPr>
            <sz val="10"/>
            <color indexed="8"/>
            <rFont val="Arial"/>
            <family val="2"/>
          </rPr>
          <t>When price go through 89sma it tends to come back to nearest support which is 8ema or 89 itself. Will set TP to about 8ema. MACD aggressive turnaround above 45level. Stoploss is below 30 making R:R worth it.
Short at 1.4759
Stoploss 1.4782
TP 50% after 20pips and remainder at 1.4722
Edit 1
50% closed at +20 and remainder set to BE and 20 trailing stop to allow for a possible test of 89sma
Edit 2
Close remainder at 1.4709
Average gain 20+50=70(Average per minilot 35.0)</t>
        </r>
      </text>
    </comment>
    <comment ref="K70" authorId="0">
      <text>
        <r>
          <rPr>
            <sz val="10"/>
            <color indexed="8"/>
            <rFont val="Arial"/>
            <family val="2"/>
          </rPr>
          <t xml:space="preserve">Aggressive turnaround from 200sma resistance. Tail to the top indicating stophunting.
Stoploss is huge but the tail to the top tells me the damage was allready done so I will set my stoploss at ±80% of the body of the signal candle.
I will take partial profit after 30 pips and set remainder at 25 trailing stop
Edit 1
50% closed after 30pips. Remainder set to 30 trailing stop.
Edit 2
Remainder was closed by 30 trailing stop at 1.9759
Average gain = (30+9 )/2=19.5 pips
</t>
        </r>
      </text>
    </comment>
    <comment ref="K71" authorId="0">
      <text>
        <r>
          <rPr>
            <sz val="10"/>
            <color indexed="8"/>
            <rFont val="Arial"/>
            <family val="2"/>
          </rPr>
          <t xml:space="preserve">EurUsd
Found support on 21ema and closed above 89sma. Same setup as the resistance last week.
Entry 1.4717
Stoploss 1.4670
TP 1.4765
1st TP after 20pips and remainder set at 20 trailing stop 
I will lift my stoploss pip for pip as the price go in my favour until 20pips gain is reached and then set my stoploss to 20pips trailing as from BE
Edit 1
Set stoploss at 1.4680 after 10pips gain
Edit 2
Close 50% for 20pips and set remainder at BE and set remainder on 25 trailing stop
Edit 3
Remainder closed at 1.4770
Average gain (20+53)/2=36.5 pips
</t>
        </r>
      </text>
    </comment>
    <comment ref="K72" authorId="0">
      <text>
        <r>
          <rPr>
            <sz val="10"/>
            <color indexed="8"/>
            <rFont val="Arial"/>
            <family val="2"/>
          </rPr>
          <t>Gbp break of trendline with pullback to breakout level with a TC away from 8ema off the 200sma. They don’t come better than this. I expect a strong move.
Entry 1.9874
Stoploss 1.9832
Tp 1.9994
1st TP after 30pips and set remainder to BE with 30 trailing stop.
Edit 1
50% closed for 30 pips. Will set remainder at BE and leave it there to see if price is going to break the 1.9800 level and continue upwards.
Edit 2
Remainder taken out at BE. This came as a surprise unless there is a turnaround coming or a very strong continuation. Will watch it closely.
Average profit 30/2=15pips</t>
        </r>
      </text>
    </comment>
    <comment ref="K73" authorId="0">
      <text>
        <r>
          <rPr>
            <sz val="11"/>
            <color indexed="8"/>
            <rFont val="Times New Roman"/>
            <family val="1"/>
          </rPr>
          <t xml:space="preserve">TC off the 8ema as well as off bottom support line. First pullback after recent move through 89sma. Market is a bit up and down at the moment(on other pairs) so it might be a bumpy ride. 
Entry 1.4809
Stoploss 1.4770
</t>
        </r>
        <r>
          <rPr>
            <sz val="10"/>
            <color indexed="8"/>
            <rFont val="Arial"/>
            <family val="2"/>
          </rPr>
          <t xml:space="preserve">TP 1.4872 (Don’t ask me why there. I just draw my hor line there and decided to leave it there)
Edit 1
Stoploss taken out by sudden move.
Loss of 39pips
</t>
        </r>
        <r>
          <rPr>
            <u/>
            <sz val="10"/>
            <color indexed="8"/>
            <rFont val="Arial"/>
            <family val="2"/>
          </rPr>
          <t xml:space="preserve">After thoughts
</t>
        </r>
        <r>
          <rPr>
            <sz val="10"/>
            <color indexed="8"/>
            <rFont val="Arial"/>
            <family val="2"/>
          </rPr>
          <t xml:space="preserve">The deal was done according to the rhythm as the move came through the 89 and pulled back to the 8ema with a MACD TC. Previous candles indicated a possible upmove and the TC was the trigger. Move was sudden so it must have been driven by news/info etc. 
Stoploss could have been below 21 then the deal was safe but the stop too large. 8Ema was support so I put stoploss below that.
Just one of the losses that will occur. Rules was not violated.
</t>
        </r>
      </text>
    </comment>
    <comment ref="K80" authorId="0">
      <text>
        <r>
          <rPr>
            <sz val="13"/>
            <color indexed="8"/>
            <rFont val="Times New Roman"/>
            <family val="1"/>
          </rPr>
          <t>Enter at 20:00 on candle with tail after price found resistance against the 200sma and 21ema.
Enter 1.9737
Stoploss 1.9773
TP 1.9679 (Inside bottom of previous low as well as bottom support line)
Will take 50% after 25 pips and set rest to BE. Will take remainder TP at 89sma
Edit 1
50% closed after 25pips. Remainder set at 1.9703 at 89sma.
Edit 2
Remainder closed at 89sma at 1.9703
Total gain +29.5</t>
        </r>
      </text>
    </comment>
    <comment ref="K81" authorId="0">
      <text>
        <r>
          <rPr>
            <sz val="11"/>
            <color indexed="8"/>
            <rFont val="Times New Roman"/>
            <family val="1"/>
          </rPr>
          <t xml:space="preserve">EurUsd
Enter on nice round top on the price itself with pricr going through 21ema and then closing below giving a TC pattern on MACD. The close 0f 8:00 confirmed the direction I feel because it did not close above previous candle.
Edit 1
Closed 50% for 25 pips. Set remainder to BE
Edit 2
Set remainder SL at 1.4705
Edit 3
365ema was reached. Set remainder SL to 1.4682
Edit 4
Remainder closed for 1.4641
Average gain =((25)+(172))/2 = 98.5
</t>
        </r>
      </text>
    </comment>
    <comment ref="K82" authorId="0">
      <text>
        <r>
          <rPr>
            <sz val="10"/>
            <color indexed="8"/>
            <rFont val="Times New Roman"/>
            <family val="1"/>
          </rPr>
          <t>Triangle breakout(flat top) to the top a possibility with morning star forming from the 8ema strengthening the odds for the breakout. Position taken on a possible breakout to the top. Will cut losses when a turnaround is proven depending on the speed of the move.
Edit 1
50% closed at 1.9672 and remainder set at BE
Edit 2
Price goes to 1.9700. Remainder stoploss on 1.9670
Edit 3
Price goes beyond 1.9710. Put remainder stoploss at 1.9690
Edit 4
Remainder closed at stop level 1.9690
Average gain =((23)+(+41))/2 = +32 pips</t>
        </r>
      </text>
    </comment>
    <comment ref="K84" authorId="0">
      <text>
        <r>
          <rPr>
            <sz val="12"/>
            <rFont val="Arial"/>
            <family val="1"/>
            <charset val="1"/>
          </rPr>
          <t>Nice tail from the 21ema with price just coming off the 200and 89. MACD gave TC as well. Profit target at the TL as drawn. 
Enter 1.9580
Stoploss 1.9626
TP 1.9528
Will take 50% after 30 and rest at 1.9528
Edit 1
50% closed at 1.9550 and set remainder at BE
Edit 2
Remainder closed at 1.9528 (Could not watch it live so set TP)</t>
        </r>
      </text>
    </comment>
    <comment ref="K85" authorId="0">
      <text>
        <r>
          <rPr>
            <sz val="11"/>
            <rFont val="Arial"/>
            <family val="2"/>
          </rPr>
          <t>Took breakout trade on 30min chart confirming a pullback and move away.
Entry 1.9433
Edit 1
Took 50% after 25pips. Set remainder to BE
Edit 2
Set remainder at 1.9425(21ema) after retracement started.
Edit 3
Remainder closed at 1.9425</t>
        </r>
      </text>
    </comment>
    <comment ref="K86" authorId="0">
      <text>
        <r>
          <rPr>
            <sz val="11"/>
            <rFont val="Arial"/>
            <family val="2"/>
          </rPr>
          <t xml:space="preserve">MACD zerobreak. Price closed above 200sma with strong bullish candle. Rhythm is above the 89 and 200 and has cross the 200 twice this week.
Enter long at 1.4717 and will take 50% after 30pips and set remainder at -30 to breakeven if it turns against me.
Edit 1
Closed 50% for 30pips. Set remainder at 1.4687
Edit 2
Price went to 1.4750. Set remainder at 1.4725
Edit 3
1.4800 reached. Set remainder at 1.4770
Edit 4
Close remainder at 1.4790 as TP was set there.
</t>
        </r>
      </text>
    </comment>
    <comment ref="E88" authorId="0">
      <text>
        <r>
          <rPr>
            <sz val="10"/>
            <color indexed="8"/>
            <rFont val="Times New Roman"/>
            <family val="1"/>
          </rPr>
          <t xml:space="preserve">Breakout pullback entry
</t>
        </r>
      </text>
    </comment>
    <comment ref="K88" authorId="0">
      <text>
        <r>
          <rPr>
            <sz val="10"/>
            <color indexed="8"/>
            <rFont val="Times New Roman"/>
            <family val="1"/>
          </rPr>
          <t>Last night position for a long breakout closed at BE. 
MACD confirmed the breakout with TC signal. Waiting for 1Hour pullback 
13:00 1 Hour pullback entry
Entry 1.6705
Stoploss 1.9680 (Only prepared to risk 25)
TP 1.9815 at 365ema. Watch for 1.9800 pricelevel
Edit 1
50% closed at 1.9735. Remainder set at 1.9690.</t>
        </r>
      </text>
    </comment>
    <comment ref="K89" authorId="0">
      <text>
        <r>
          <rPr>
            <sz val="12"/>
            <rFont val="Arial"/>
            <family val="1"/>
            <charset val="1"/>
          </rPr>
          <t>Tail as well as MACD agressive turnaround way above 45 level. High probability trade
Enter 1.9860
Stoploss 1.9908
TP 1.9816 at 8ema and 365ema. Will take 50% profit after 20pips
Edit 1
Price have turnaround 1pip from my 1st TP at 1.9841. I will reset my stoplos to 20pips above entry as it gives it then plus minus 40pips from 1.9841. I am not prepared to let it go to my initial stoploss of 1.9908 after it ran 19pips. Only some loss management.
Edit 2
1.9840 was reached. Closed 50% for +17pips. Will use this 17pips as a stoploss for the remainder at 1.9877. That gives me BE
Edit 3
Stoploss moved to 1.9885 after I saw that there are Durable Goods news coming at 15:30. Just to give a bit of room should the tail above the 1.9900 be an indication of the news coming. Does not want to be caught in the crossfire. 30pips is enough.
Edit 4
1.9880 was reached. price is moving below entry level.
Edit 5
1.9825 was reached at 365ema and 8ema. Close remainder at 1.9828
Total gain 32+17 = 49/2 =24,5</t>
        </r>
      </text>
    </comment>
    <comment ref="K90" authorId="0">
      <text>
        <r>
          <rPr>
            <sz val="12"/>
            <rFont val="Arial"/>
            <family val="1"/>
            <charset val="1"/>
          </rPr>
          <t>MACD TC from the 8ema with nice signal bullish candle. Nice small pullback candles to 8ema and then the bullh candle
Enter 1.5140
SL 1.5100
TP at 161,8% Fib Will take 50% after 25 pips
Edit 1
50% closed after 25 pips and remainder set at BE.
Edit 2
Will watch 1.5200 closely for resistance
Edit 3
Closed remainder at 1.5184</t>
        </r>
      </text>
    </comment>
    <comment ref="K96" authorId="0">
      <text>
        <r>
          <rPr>
            <sz val="12"/>
            <rFont val="Arial"/>
            <family val="1"/>
            <charset val="1"/>
          </rPr>
          <t>MACD TC off the 21ema. This is more a positional trade to be in if it breaks to the upside. Will take 50% profit after 25pips and set rest at BE
Entry 1.5221
Stoploss 1.5181
TP 1.5261
Edit 1
Close 50% for +25pips. Set remainder to BE
Edit 2
Remainder closed out at BE</t>
        </r>
      </text>
    </comment>
    <comment ref="K97" authorId="0">
      <text>
        <r>
          <rPr>
            <sz val="10"/>
            <color indexed="8"/>
            <rFont val="Times New Roman"/>
            <family val="1"/>
          </rPr>
          <t>I am taking the odds on that this is a true breakout and pullback. 1st lot entered at 1.5186 and the 2nd lot I will enter at 1.5175 below previous 1H candle after confirmation of the move
Entered 1.5186 and 1.5175
Stoploss 1.5210
TP 1.5150 around previous low. Will give remainder a chance to run. Will close 50% after 20pips and use that as stoploss on remainder.
Edit 1
2</t>
        </r>
        <r>
          <rPr>
            <vertAlign val="superscript"/>
            <sz val="10"/>
            <color indexed="8"/>
            <rFont val="Times New Roman"/>
            <family val="1"/>
          </rPr>
          <t>nd</t>
        </r>
        <r>
          <rPr>
            <sz val="10"/>
            <color indexed="8"/>
            <rFont val="Times New Roman"/>
            <family val="1"/>
          </rPr>
          <t xml:space="preserve"> Lot did not trigger. 1</t>
        </r>
        <r>
          <rPr>
            <vertAlign val="superscript"/>
            <sz val="10"/>
            <color indexed="8"/>
            <rFont val="Times New Roman"/>
            <family val="1"/>
          </rPr>
          <t>st</t>
        </r>
        <r>
          <rPr>
            <sz val="10"/>
            <color indexed="8"/>
            <rFont val="Times New Roman"/>
            <family val="1"/>
          </rPr>
          <t xml:space="preserve"> lot  stopped out
Total loss 24
</t>
        </r>
      </text>
    </comment>
    <comment ref="K98" authorId="0">
      <text>
        <r>
          <rPr>
            <sz val="10"/>
            <rFont val="Arial"/>
            <family val="2"/>
          </rPr>
          <t>Entered on a FIB retracment at 50% on MACD Zbounce as well as triangle breakout to the top after a false break to the south
Edit 1
Entered at 1,5207 with 1st lot. Entered 2nd lot at 1.5227
Edit 2
50% closed after 25pips and remainder set to -25pips
Edit 3
Price reached 161.8% Fib. Remainder set to BE. 1.5300 will be strong resistance
Edit 4
Remainder closed at 1.5290</t>
        </r>
      </text>
    </comment>
    <comment ref="E99" authorId="0">
      <text>
        <r>
          <rPr>
            <sz val="10"/>
            <rFont val="Arial"/>
            <family val="2"/>
          </rPr>
          <t>Breakout trade on 1H</t>
        </r>
      </text>
    </comment>
    <comment ref="K99" authorId="0">
      <text>
        <r>
          <rPr>
            <sz val="10"/>
            <rFont val="Arial"/>
            <family val="2"/>
          </rPr>
          <t>MACD divergence on 1H as well as triangle formed. Breakout long. Waited for confirmation after breakout. Took position after second candle very bullish.
Set TP for both positions at 1,5455. Will go to BE after 25pips on both.
Edit 1
Set BE overall
Edit 2
Positions closed for +56pips</t>
        </r>
      </text>
    </comment>
    <comment ref="K100" authorId="0">
      <text>
        <r>
          <rPr>
            <sz val="10"/>
            <rFont val="Arial"/>
            <family val="2"/>
          </rPr>
          <t>MACD TC pattern. Morning star off the 8ema. Pullback to breakout level.
Enter 1.5774
Stoploss 1.5734
TP 1.5852 Will take 50% after 25pips and set remainder to BE and 25trailing stop.
Edit 1
50% closed for +25
Edit 2
Trailing stop closed at 1.5706
Total gain 25+32 =57/2 = 28.5</t>
        </r>
      </text>
    </comment>
    <comment ref="K101" authorId="0">
      <text>
        <r>
          <rPr>
            <sz val="12"/>
            <rFont val="Arial"/>
            <family val="1"/>
            <charset val="1"/>
          </rPr>
          <t>MACD TC/Zero Bounce short signal. Price went up and test the top TL finding resistance then came down with TC signal
Entry1.5701
SL 1.5738
TP 1.5623 and if it runs then bott TL Will take 50% after 25pips
Edit 1
50% closes after +25pips. SL to BE</t>
        </r>
      </text>
    </comment>
    <comment ref="E102" authorId="0">
      <text>
        <r>
          <rPr>
            <sz val="10"/>
            <rFont val="Arial"/>
            <family val="2"/>
          </rPr>
          <t>Entered on 3 sisters on 4H</t>
        </r>
      </text>
    </comment>
    <comment ref="K102" authorId="0">
      <text>
        <r>
          <rPr>
            <sz val="12"/>
            <rFont val="Arial"/>
            <family val="1"/>
            <charset val="1"/>
          </rPr>
          <t>I normally trade a breakout of the 3sisters on shorter timeframes but decided to do it on 4H. Here is the trade I did after the 3sisters was formed and the motion and movement was confirmed on shorter timeframe. The 4H setup made me go to shorter timeframe to time my entry. 
Entered 1.5619.
SL 1.5640
TP 1.5570
Allready 25pips closed and remainder on BE.
Remainder on 25trailing stop
Remainder closed at 1.5707
Total gain 25+12=37/2 = +18,5pips</t>
        </r>
      </text>
    </comment>
    <comment ref="K103" authorId="0">
      <text>
        <r>
          <rPr>
            <sz val="12"/>
            <rFont val="Arial"/>
            <family val="1"/>
            <charset val="1"/>
          </rPr>
          <t xml:space="preserve">That tail down and the 2 spinners got me interested. The market is slow at the moment so I will monitor the trade. The 200sma will be my cutting losses short. Will go to BE after 20-25pips.
The EurUsd had a close below the 89 and a pullback to the 89 with a 1H red candle. That could mean further downside move. I will have that in mind as well when monitoring this trade. therefore I will not let this trade go below 200sma by more than 5pips.
MACD has given RB. Most of the noice is hopefully sorted out.
It is holiday as well so the volume will be thin. I wont take to much risk either. Get to BE as soon as possible.
Edit 1
Stoploss set to BE (22:38). 8Ema being tested. Might see some noice around that. Got a free ride with SL allready at BE.
Edit 2
Set 25Trailing stop and is starting to move with the price. (23:09)
Edit 3.
Breakout on 5min triangle/wedge. 365Ema on 4H the target as well as 1.9900. Will see how price reacts there.
Edit 4
Price got stuck. Volume very thin.People taken weekend I think. Closed position for +33pips
Edit 5
23:58 Price has retraced. Most probably people taken profit before the weekend willing to sell higher to get there orders filled. Only my opinion. Yet another correct decision to close the trade. The facts are in front of me therefor I will do this and that.
</t>
        </r>
      </text>
    </comment>
    <comment ref="K104" authorId="0">
      <text>
        <r>
          <rPr>
            <sz val="12"/>
            <rFont val="Arial"/>
            <family val="1"/>
            <charset val="1"/>
          </rPr>
          <t>I took this trade purely based on that tail above resistance. Which is part of the 4H MACD Rhythm. Tails have been delt with throughout. It depends where they occur. this one was a must. 21Ema will be watched closely. Then 89sma then bottom TL.
Edit 1
Allready 50% closed for +20 and set remainder to -20 to break even at worst.
Edit 2
Set remainder to BE 1.5815
Edit 3
Closed remainder for +230pips</t>
        </r>
      </text>
    </comment>
    <comment ref="K110" authorId="0">
      <text>
        <r>
          <rPr>
            <sz val="10"/>
            <rFont val="Arial"/>
            <family val="2"/>
          </rPr>
          <t>I liked the second support on the 89sma. Took it after the signal candle as I was not live. I took it on the doji candle with stoploss below the doji candle.
Edit 1
TP was hit</t>
        </r>
      </text>
    </comment>
    <comment ref="K111" authorId="0">
      <text>
        <r>
          <rPr>
            <sz val="10"/>
            <rFont val="Arial"/>
            <family val="2"/>
          </rPr>
          <t>Nice TC off the 89sma as well within a triangle with flat bottom indicatiing possible break to the South. Will trail price with stoploss to give it a chance to break to the bottom and will then put my stop just above the TL for a possible pullback to breakout level and move down agagin.
Edit 1
Set stop at 1.9752
Edit 2
Price pulled back into the triangle and closed at stoplevel</t>
        </r>
      </text>
    </comment>
    <comment ref="K112" authorId="0">
      <text>
        <r>
          <rPr>
            <sz val="10"/>
            <rFont val="Arial"/>
            <family val="2"/>
          </rPr>
          <t>Entered on the spinners formed as well as the price making RB. Nice TC off the 21ema
Edit 1
Closed at 1.5840 after price got stucked.</t>
        </r>
      </text>
    </comment>
    <comment ref="K113" authorId="0">
      <text>
        <r>
          <rPr>
            <sz val="10"/>
            <rFont val="Arial"/>
            <family val="2"/>
          </rPr>
          <t>Price has been in a rising wedge for long. Possible breakout to the bottom. Price came off 1.6000, closed below 21ema, pulled back and gave red candle indicating short trade possinility. As for the wedge I will determine R:R to 89sma but will give the position a chance to run if it wants to. I wont close 50% after 30pips but will stay with the trade.
Edit 1
Price went through 89sma and bottom wedge TL. Set SL to 1.5800
Edit 2
Price went through 200sma. Set SL at 1.5695. I felt the move will be overif price return to that.
Edit 3
SL hit at 1.5695</t>
        </r>
      </text>
    </comment>
    <comment ref="E114" authorId="0">
      <text>
        <r>
          <rPr>
            <sz val="10"/>
            <rFont val="Arial"/>
            <family val="2"/>
          </rPr>
          <t>Entered on a retracement</t>
        </r>
      </text>
    </comment>
    <comment ref="K114" authorId="0">
      <text>
        <r>
          <rPr>
            <sz val="12"/>
            <rFont val="Arial"/>
            <family val="1"/>
            <charset val="1"/>
          </rPr>
          <t xml:space="preserve">I am going to believe that long bearish candle by going short on a 50% retracement. The bottom TL will be my first TP as the price might find support there. Stoploss is at 1.5684 just above 80% retracement.
</t>
        </r>
        <r>
          <rPr>
            <u/>
            <sz val="12"/>
            <color indexed="10"/>
            <rFont val="Arial"/>
            <family val="1"/>
            <charset val="1"/>
          </rPr>
          <t xml:space="preserve">This is a risky trade as there is volatility. If you dont have pips in the bank, skip this one.
</t>
        </r>
        <r>
          <rPr>
            <sz val="12"/>
            <rFont val="Arial"/>
            <family val="1"/>
            <charset val="1"/>
          </rPr>
          <t>Short at 1.5649
SL 1.5684
1st TP 1.5610
2nd TP at 161%Fib 1.5545
Edit 1.
Price ran down quickly 25pips. Closed 50% for +20 and set remainder to -20stoploss to go BE if price turns around. Free ride.
Edit 2
Closed remainder at 1.5550
Total gain (20+99)/2= 55,5</t>
        </r>
      </text>
    </comment>
    <comment ref="K120" authorId="0">
      <text>
        <r>
          <rPr>
            <sz val="10"/>
            <rFont val="Arial"/>
            <family val="2"/>
          </rPr>
          <t>Price made a TC for a short.
There was a nice downcandle. Now let me work out my plan for this TC.
The 21ema and above should be our stoploss area. The 89sma as not far above. So the price might go back to test either of them and to be save my stoplosss must be out of the way.
There is only one way to achieve a stoploss above 21ema and also somehow cover the 89sma for a possible pullback and have a stoploss that is not hurting and that is to enter on a 50% retracement.
So I entered on 1.9767
SL 1.9805
TP 1.9664 more or less. Near the previouse low.
This is a high risk trade.I will cover position at 1.9750 and go to BE.
Edit 1
Set all at BE after +20
Edit 2
Took 50% profit after +25. set remainder to -25 as there is some volitiliaty and this will give me a total BE trade with a chance should it wants to run.
Edit 3
a Lot of volatility due to news I think. Will leave 50%rrmainder on stoploss of 1.9792(-25) to go BE with the +25 profit allready taken on 50%
Edit 4
WOW. Closed out for +25 and -25. Breakeven. 
If it was not for money management and a preset plan I would have been in trouble.</t>
        </r>
      </text>
    </comment>
    <comment ref="K121" authorId="0">
      <text>
        <r>
          <rPr>
            <sz val="12"/>
            <rFont val="Arial"/>
            <family val="1"/>
            <charset val="1"/>
          </rPr>
          <t>TC off the 21ema.
SL to 1.9768.
If to much try to enter on 38% Fib retrace
I am just concern for a possible tripple bottom in the price 1st and 2nd of May with this candle. Lets see how it works out.
Edit 1
Sorry. Was in a restaurant so did quickly post the signal
Entered at 1.9708
SL 1.9758(decided to take 10off to make SL 50). The candle closed strong so I was convinced that it will go.
TP 1.9630 or there about.
Closed 50% after 40pips. Was able to watch a bit live so let it run past the normal25-30 profit taking.Set remainder at BE.
Edit 2
Set remainder on a 30 traling stop
Edit 3
Closed remainder at 1.9660 When TL was hit for the second time.
Total average gain = (+40 +48)/2 = +44</t>
        </r>
      </text>
    </comment>
    <comment ref="K122" authorId="0">
      <text>
        <r>
          <rPr>
            <sz val="12"/>
            <rFont val="Arial"/>
            <family val="1"/>
            <charset val="1"/>
          </rPr>
          <t>The GbpUsd graph was created 2min before candle closure. It has given a red TC bar on the MACD at candle close.
I will enter on a retrace even that SL is less than 50.The reason being that we are in a triangle and price just came off the bottom TL yesterday on its way back up. Price has formed two bars with equal highs off the 21ema. I will go short on 50% retrace and set my stoploss at -30. That will give a chance to bail out of the trade should it goes above the previouse 2 bars indicating an up move. This will just provide me with some space to manage the position.
Will take 50% profit around 1.9700
Entered at 1.9733
SL 1.9763
TP 1.9674
Edit 1
Closed 50% at 1.9710 and set remainder at BE
Edit 2
1.9700 reached. Set remainder 25trailing stop
Edit 3
Remainder closed at 1.9670 by 25 trailing stop
Total gain (23+66)/2 = +44,5</t>
        </r>
      </text>
    </comment>
    <comment ref="K123" authorId="0">
      <text>
        <r>
          <rPr>
            <sz val="12"/>
            <rFont val="Arial"/>
            <family val="1"/>
            <charset val="1"/>
          </rPr>
          <t>EurUsd
I have to believe in the system. That tail tells me the odds may be good. Stoploss I have set 33 pips down as I believe the tail has done the damage.
The reason for the trade is I like trading tails at the right place. This was a pullback to the breakout TL and that price has closed above the 21ema and pulled back to it(below it and went above it with a tail) satisfying the rule that says it might go to the 89sma.
The price action worries me a bit as it went down and up some distance. Lets see if this one is going to work.
I have to believe the system otherwise my word is not worth it.
Entered 1.5524
SL 1.5491
TP 1.5595+
Edit 1.
Closed 50% after 20pips. Set remainder to -20pips for BE at worst
Edit 2
Price went through 1.5550 so set remainder on 30 trailing stop.</t>
        </r>
      </text>
    </comment>
    <comment ref="E124" authorId="0">
      <text>
        <r>
          <rPr>
            <sz val="10"/>
            <rFont val="Arial"/>
            <family val="2"/>
          </rPr>
          <t>Pullback trade after breakout</t>
        </r>
      </text>
    </comment>
    <comment ref="K124" authorId="0">
      <text>
        <r>
          <rPr>
            <sz val="12"/>
            <rFont val="Arial"/>
            <family val="1"/>
            <charset val="1"/>
          </rPr>
          <t>EurUsd pulled back to breakout level and then move down with nice bearish candle and TC on 1H. Typical of the rhythm that was taught. A bit advanced but it was there. Target reached(closest low as target).
+30pip</t>
        </r>
      </text>
    </comment>
    <comment ref="K125" authorId="0">
      <text>
        <r>
          <rPr>
            <sz val="12"/>
            <rFont val="Arial"/>
            <family val="1"/>
            <charset val="1"/>
          </rPr>
          <t>EurUsd
I entered on the BOZ(very slight) but also the bullish signal candle. Trichet was speaking last week also indicating euro stability. Therefor bullish sentiment.
Entered 1.5441
Stoploss 1.5391(max 50 for my risk profile) Just below candle body as i believe the tail show bullish move
TP at 89sma 1.5550 more or less
Will go breakeven after 25pips depending on the speed of the move up to then.
Edit 1
It is moving slow from the entry price. I will move my stop with the price so that my stop remain 50 below the high. After 25pips gain I will close 50% and set remainder at BE
Edit 2
Stoploss set to 1.5406
SL to 1.5412
Edit 2
It is slow in its move up. I expected a faster move. So I will sell 50% for +20 and set remainder at -20 stoploss to go BE if hit.
Got filled with +16. Will keep remainder on -20
Edit 3
1.5466 was reached. Put remainder on BE and on a 30 trailing stop
Edit 4
1.5549 was reached. Stoploss tightened to 1.5530 with 20 trailing stop
Edit 5
Remainder closed at 1.5549
Total average gain (16+108)/2 = +62</t>
        </r>
      </text>
    </comment>
    <comment ref="K126" authorId="0">
      <text>
        <r>
          <rPr>
            <b/>
            <sz val="12"/>
            <rFont val="Arial"/>
            <family val="1"/>
            <charset val="1"/>
          </rPr>
          <t>12:00 Candle</t>
        </r>
        <r>
          <rPr>
            <sz val="12"/>
            <rFont val="Arial"/>
            <family val="1"/>
            <charset val="1"/>
          </rPr>
          <t xml:space="preserve"> 
Candle closed with long tail. Difficult to set a stoploss as the candle does not hav a body. I will not risk very much so I will enter with stoploss set to 30 with half a lot only and add the other half later if a chance is given on MACD signal.
Edit
Will add other 50% after 25pips gain on first 50% and set both to BE
Another way is to enter on a 38% retracement with 50% and the other 50% when price goes 10+ pips below the previouse candle
</t>
        </r>
        <r>
          <rPr>
            <b/>
            <u/>
            <sz val="12"/>
            <rFont val="Arial"/>
            <family val="1"/>
            <charset val="1"/>
          </rPr>
          <t xml:space="preserve">Remember, this is taking the odds on purely on that tail.
</t>
        </r>
        <r>
          <rPr>
            <sz val="12"/>
            <rFont val="Arial"/>
            <family val="1"/>
            <charset val="1"/>
          </rPr>
          <t>Take profit at this stage around bottom TL 1.5430
Edit
It is pulling back towards the 89sma. Lets see if the 89sma is going to be resistance or not. My stoploss is at 1.5517.
Edit 
Stoploss taken out. Will wait to see if it goes below the low of previouse bar and will enter with other 50% if so.
Edit
Re-enter with remaining 50% at 1.5486 and set stoploss to 1.5519(</t>
        </r>
        <r>
          <rPr>
            <b/>
            <u/>
            <sz val="12"/>
            <rFont val="Arial"/>
            <family val="1"/>
            <charset val="1"/>
          </rPr>
          <t>Not 30 but 33. I made a mistake to set stoploss at 30 on the first entry. One of my rules I violated never to set stoploss at equals of 5</t>
        </r>
        <r>
          <rPr>
            <sz val="12"/>
            <rFont val="Arial"/>
            <family val="1"/>
            <charset val="1"/>
          </rPr>
          <t xml:space="preserve">). Set to trailing stop of 25.
Edit
+20 pips reached. Set to BE and 25trailing stop.
Edit
BE taken out on 2nd 50%. Average loss (-30 and 0)/2= -15pips
Way to much up and down movement going on.
</t>
        </r>
        <r>
          <rPr>
            <b/>
            <u/>
            <sz val="12"/>
            <rFont val="Arial"/>
            <family val="1"/>
            <charset val="1"/>
          </rPr>
          <t xml:space="preserve">Afterthoughts
</t>
        </r>
        <r>
          <rPr>
            <sz val="12"/>
            <rFont val="Arial"/>
            <family val="1"/>
            <charset val="1"/>
          </rPr>
          <t xml:space="preserve">As you can see I entered only half a position in the beginning allready showing uncertainty. The candle did not have a body therefore as I said it was difficult to set a stoploss. Therefore my decision to enter half and if it retrace and take my stop out I can enter again when it goes down honouring the tail. It is only my way to manage a position when uncertain.
</t>
        </r>
        <r>
          <rPr>
            <sz val="12"/>
            <color indexed="8"/>
            <rFont val="Arial"/>
            <family val="1"/>
            <charset val="1"/>
          </rPr>
          <t>Late edit
The first interpretation of that tail was correct. The correct entry place should have been on a retrace to the 89sma with a stoploss of at least 35pips. Easy to say afterwards but it is how we learn.</t>
        </r>
      </text>
    </comment>
    <comment ref="K127" authorId="0">
      <text>
        <r>
          <rPr>
            <sz val="12"/>
            <rFont val="Arial"/>
            <family val="1"/>
            <charset val="1"/>
          </rPr>
          <t xml:space="preserve">EurUsd
I have taken the odds on with that </t>
        </r>
        <r>
          <rPr>
            <b/>
            <u/>
            <sz val="12"/>
            <rFont val="Arial"/>
            <family val="1"/>
            <charset val="1"/>
          </rPr>
          <t>tail again</t>
        </r>
        <r>
          <rPr>
            <sz val="12"/>
            <rFont val="Arial"/>
            <family val="1"/>
            <charset val="1"/>
          </rPr>
          <t xml:space="preserve">. Lower high away from top TL. Resistance around the 89sma for the 3rd time. This is a positional trade looking for the bottom TL breakout. 
Entered 50% at 1.5472.
Stoploss 1.5509
TP will see what happens at bottom TL
Will open another 50% after 25pips gain and set both to entry level risking only the 2nd 50%
Edit
Open 2nd 50% after 24pips gain and set stoploss to both at entry level.
Even if I am taken out at entry level I only risk 26pips(got filled at 1.5446) on 50% of the position but it gives me the oppertunity to be part of a breakout to the bottom if it happens.
I know that 26pips stoploss might be to little but lets see what happens
</t>
        </r>
        <r>
          <rPr>
            <b/>
            <u/>
            <sz val="12"/>
            <rFont val="Arial"/>
            <family val="1"/>
            <charset val="1"/>
          </rPr>
          <t xml:space="preserve">Conclusion
</t>
        </r>
        <r>
          <rPr>
            <sz val="12"/>
            <rFont val="Arial"/>
            <family val="1"/>
            <charset val="1"/>
          </rPr>
          <t xml:space="preserve">I have done some back homework and come to the conclusion that this method of opening 50% and after 25pips gain a second 50% position is risky because stoploss is onlt that 25pips away. I will return to my original approach of opening full position and close 50% after 20-25pips gain and use the gain on the 1st as a stoploss on the 2nd giving a BE if taken out. That helps on 50% remaining to make the stoploss wider to give it a fair chance.
Edit
Both positions closed at entry level with total loss of -13pips
</t>
        </r>
        <r>
          <rPr>
            <b/>
            <sz val="12"/>
            <color indexed="10"/>
            <rFont val="Arial"/>
            <family val="1"/>
            <charset val="1"/>
          </rPr>
          <t xml:space="preserve">NOTE:
Ignore this approach as the volitality needs more than 25pips stop. </t>
        </r>
        <r>
          <rPr>
            <b/>
            <u/>
            <sz val="12"/>
            <color indexed="10"/>
            <rFont val="Arial"/>
            <family val="1"/>
            <charset val="1"/>
          </rPr>
          <t>Openining 1Lot and after 25gain close 50% and use the pips gained as a stoploss on the remaning 50% is a far better approach.</t>
        </r>
      </text>
    </comment>
    <comment ref="E128" authorId="0">
      <text>
        <r>
          <rPr>
            <sz val="10"/>
            <rFont val="Arial"/>
            <family val="2"/>
          </rPr>
          <t>Entered on 1H</t>
        </r>
      </text>
    </comment>
    <comment ref="K128" authorId="0">
      <text>
        <r>
          <rPr>
            <sz val="12"/>
            <rFont val="Arial"/>
            <family val="1"/>
            <charset val="1"/>
          </rPr>
          <t>Here is my GbpUsd trade for the day as discussed in this morning 08:00 message. Waited for the price to go above the 20:00 candle high. 1H did give ZB and not TC which is still fine. The previouse candle was a doji with a nice tail indicating upmove also.
Entered 1.9823
SL 1.9786
TP 1.9886(just by feeling)
Edit 1
50% Closed for +20
Remainder set to BE
Edit 2
Remainder taken out at BE
Average gain +10pips.</t>
        </r>
      </text>
    </comment>
    <comment ref="K130" authorId="0">
      <text>
        <r>
          <rPr>
            <sz val="10"/>
            <color indexed="8"/>
            <rFont val="Times New Roman"/>
            <family val="1"/>
          </rPr>
          <t xml:space="preserve">TC on MACD with bullish candle
Lower high only concern.
Will take some profit after 20pips
Edit
Just come home from work(did the deal at work) and open my home MT4 and there it is. HOLIDAY. I totally forgot about it.
Well I am in the deal and all my backtesting was done not even knowing when is it holiday and not so I will stay and trust the system.
Edit 
Took full profit at 1.5796 after some retracement from ±1.5718 high(reason was previouse closeby high). Did not take 50% profit after 20pip gain as the movement was slow due to holiday. I have set at 20 trailing stop and was closed out at 1.5798 by trailing stop.
Total gain +25pips
EurUsd 16:00 Candle 26th May 2008
I entered this trade at work totally forgot that it is holiday in UK and USD. Only on arrival at home I realized that. So what now. The position is open and what is the plan of action. I had to decide on a plan to approach this situation.
1. Where is the closest support and resistance.
· 1.5800 Above entry level.
· 22/05/2008 08:00 candle high of 1.5813.
· Support trendline at 1.5740. Resistance trendline far away.
2. How strong is the signal candle
· Engulfing candle off the 21ema indicating bullish strong.
3. Plan of action
· Signal is strong enough to keep position open but with a NO LOSS strategy put in place if possible.
· Nearby high of 1.5813 as resistance. That gives +40 pips above entry level.
· The holiday will have lack of volume so volatility is a possibility.
· When bedtime arrived there was still no real positive movement so I decided to put all at a 20 trailing stop. There was obvious no driving force at all therefore the prevailing up move is still in play therefore the decision to set trailing stop of 20 so that if 1.5800 is hit I will still be closed out without a loss.
· This morning saw the position going above 1.5800 and decision was made to stay in with 20 trailing stop
4. Position was closed at 1.5796 with a +23pips gain
</t>
        </r>
      </text>
    </comment>
    <comment ref="K137" authorId="0">
      <text>
        <r>
          <rPr>
            <sz val="10"/>
            <color indexed="8"/>
            <rFont val="Times New Roman"/>
            <family val="1"/>
          </rPr>
          <t>12:00 Candle had a tail formed from bottom TL. The motion as well as looks was indicating a high probability trade. Nice RB was forming on the price indicating long direction and then that move down to support TL taking out stops and turnaround forming that tail.
Entered at 1.9556
SL 1.9517
TP 1.9600
Due to the tail coming from TL support the odds is very high that it will go up so I will take profit with 50% at 1.9600 and give remainder a chance should it wants to go to 200sma. Price has been zig zag over the 200sma lately so I expect a test of the 200sma.
Edit 2
Closed 50% at 1.9600 and set remainder on 1.9570 stoploss
Edit 3
Remainder closed at 1.9656
Total gain (44+100)/2 = 77</t>
        </r>
      </text>
    </comment>
    <comment ref="K138" authorId="0">
      <text>
        <r>
          <rPr>
            <sz val="10"/>
            <color indexed="8"/>
            <rFont val="Arial"/>
            <family val="2"/>
            <charset val="1"/>
          </rPr>
          <t xml:space="preserve">4Hour is in a huge triangle. MACD has not given TC yet but I will treat this trade as a positional trade to be part of a move should it happen. There has to be some clear prove in the price action that supports this action. The bottom TL has been tested, then there was a retracement to the 21ema and then price came down forming a spinner followed by another down candle. There is also a possible sHs on the 4H. Price has shot up over 200pips making a false breakout above top TL and turned around all the way back to bottom TL. If the price is going to go below the bottom TL I believe it will run to around 1.5000 level. Only my opinion. I then wanted to position myself for a possibility of the break downwards. The current situation gives me an oppertunity wit a stoploss of ±20-30 pips to be part of the break. </t>
        </r>
        <r>
          <rPr>
            <b/>
            <sz val="10"/>
            <color indexed="8"/>
            <rFont val="Arial"/>
            <family val="2"/>
            <charset val="1"/>
          </rPr>
          <t>Worth taking the risk</t>
        </r>
        <r>
          <rPr>
            <sz val="10"/>
            <color indexed="8"/>
            <rFont val="Arial"/>
            <family val="2"/>
            <charset val="1"/>
          </rPr>
          <t xml:space="preserve">.
I have therefore enter at 1.5441
SL 1.5466
TP 1.5400 (To determine R:R to be OK if it turns around to be able to manage the position to BE at worst)
I will then close 50% after +25pips gain and set remainder at -25 so that BE is obtained at worst. Should 1.5410 to 1.5400 being reached I will set remainder on BE and a 45trailing stop to give it a chance should it break downwards.
Edit 1
Close 50% after 25 gain and set remainder at -25. Another important factor is what is going to happen around the bottom TL. If price is getting stuck there the chances will be good that I will get another chance to get in so I will close remainder if there is evidence that the price stays at the bottom TL.
Edit 2
1.5400 has been reached. Set remainder at 1.5440 and with 45trailing stop. Price then shot down to ±1.5385 indicating orders being filled(possibly long orders) and then start to retrace. GbpUsd has made a green bar with tail so I will watch this position closely as to not lose some pips allready made unnecessary if it turn out to be reversing.
Edit 3
Remainder closed at 1.5320 after 1.5300 was hit
Total gain (25+121)/2 = 73[/quote
</t>
        </r>
      </text>
    </comment>
    <comment ref="K139" authorId="0">
      <text>
        <r>
          <rPr>
            <sz val="10"/>
            <rFont val="Arial"/>
            <family val="2"/>
            <charset val="1"/>
          </rPr>
          <t>There was a gapup opening, then they retraced the price closing the gap and then turned the price around with that tail closing above that bottom trendline. Although the 21ema was in the way upwards after that tail the whole setup was a strong indication of an upmove coming. Just watch 1.5500 level.
Edit
The rule people apply is that a gap tends to be filled. The move prior to the gapup was down so I think the positions was short to be part if the gap is filled and the move continues downwards. When it turned around that far I knew that the upmove could be strong.
Entered 1.5419 Edit(filled at 1.5423)
SL 1.5386
TP 1.5530
Edit 1
Close 50% for +25pips. Set remainder at BE and on a 30trailing stop.
Edit 2
Price is stucked around 1.5460. Will tighten my stop to 1.5443. (To make positive position a round +20 on remainder)
Edit 3
Price moved again. Will trail with 20
Edit 4
1.5510 and 365ema reached. 89Sma the next target. Still trail by 20
Edit
Remainder closed by trailingstop at 1.5496
Total gain (25+73)/2 = +49</t>
        </r>
      </text>
    </comment>
    <comment ref="K140" authorId="0">
      <text>
        <r>
          <rPr>
            <sz val="12"/>
            <rFont val="Arial"/>
            <family val="1"/>
            <charset val="1"/>
          </rPr>
          <t xml:space="preserve">I was hoping for a smaller signal candle to make the risk smaller for a positional trade for a possible breakout on the one hand or a BIG candle closing above the 200sma to set stoploss below 89sma. None happened but I still have a feeling for a breakout to the upside. How much retrace is going to happen I dont know. The 20:00 has been difficult in the past when it gives a signal due to a lack of momentum unless there was some news driving it. The 200sma above the breakout TL is also a concern.
I will therefore only enter 50% of my normal entry size to half the risk and will add the remainder 50% depending on the movement.
Max loss will then be 50% of 46pips which will be 23pips should it turn against me.
I will set the 50% entry on a 25 trailing stop
If this one fails please dont shoot me. I have to trust my own system.
</t>
        </r>
        <r>
          <rPr>
            <sz val="12"/>
            <color indexed="10"/>
            <rFont val="Arial"/>
            <family val="1"/>
            <charset val="1"/>
          </rPr>
          <t xml:space="preserve">THIS IS A HIGH RISK TRADE AS WE ARE STILL WITHIN THE TRIANGLE
</t>
        </r>
        <r>
          <rPr>
            <sz val="12"/>
            <color indexed="8"/>
            <rFont val="Arial"/>
            <family val="1"/>
            <charset val="1"/>
          </rPr>
          <t xml:space="preserve">Edit 1
</t>
        </r>
        <r>
          <rPr>
            <sz val="12"/>
            <rFont val="Arial"/>
            <family val="1"/>
            <charset val="1"/>
          </rPr>
          <t>Set to BE after 25pips
Edit 2
Will keep position open with 35 trailing stop to give it chance to go to top TL. Will make trailing stop smaller as top TL is reached
Edit 3
Remainder closed by trailing stop for +22/2 = 11pips</t>
        </r>
      </text>
    </comment>
    <comment ref="K141" authorId="0">
      <text>
        <r>
          <rPr>
            <sz val="12"/>
            <rFont val="Times New Roman"/>
            <family val="1"/>
          </rPr>
          <t>MACD has given a nice round TC with price making double bott with support on TL. 1St Target at 200sma then the top TL then the top TL further up. Price have shown that it wants to go up with the previous TC and then it retraced to the inside starting to go up again therefore my decision to take the odds on with the MACD confirming with a TC.
Will close 50% after 25 en set the remainder on 25 trailing stop.
Edit 2
Took 50% after 25pips. Set remainder on 25trailing stop.
Edit 2
Remainder closed by trailing stop at 1.5598
Total gain (25+78)/2 = 51.5pips</t>
        </r>
      </text>
    </comment>
    <comment ref="K142" authorId="0">
      <text>
        <r>
          <rPr>
            <sz val="12"/>
            <rFont val="Arial"/>
            <family val="1"/>
            <charset val="1"/>
          </rPr>
          <t xml:space="preserve">This is a positional trade based on that tail and TC for a possible breakout to the top if it occur. 
</t>
        </r>
        <r>
          <rPr>
            <b/>
            <u/>
            <sz val="12"/>
            <rFont val="Arial"/>
            <family val="1"/>
            <charset val="1"/>
          </rPr>
          <t xml:space="preserve">This is a high risk trade
</t>
        </r>
        <r>
          <rPr>
            <sz val="12"/>
            <rFont val="Arial"/>
            <family val="1"/>
            <charset val="1"/>
          </rPr>
          <t>Entered at 1.9719
SL 1.9690
1st TP at top TL 1.9745
Closed 50% after 20 gain and set remainder at BE and 25 trailing stop.
Edit remainder closed at BE
Total gain =(20+0)/2 = 10
The whole purpose for me was to be in the deal should it break out to the top. The worst case I worked to was BE. 10 Pips was achieved so and it did not break through but at least I was in if it did.</t>
        </r>
      </text>
    </comment>
    <comment ref="K147" authorId="0">
      <text>
        <r>
          <rPr>
            <sz val="10"/>
            <color indexed="8"/>
            <rFont val="Times New Roman"/>
            <family val="1"/>
          </rPr>
          <t>TC together with a tail formed from support on TL after a breakout to the top. The speed the tail was formed was a concern as the last stretch to candle close was slow. The candle formation prior to the signal candle looks promising.
Enter 1.5779
SL 1.5736
TP 1.5827
Will close 50% after 25 pips and set remainder on 25 trailing stop.
Edit 1
50% closed for 25pips and remainder set on 25trailing stop.
Edit 2
Remainder closed by trailing stop for +14
Total gain (25+14)/2 = 19.5 pips</t>
        </r>
      </text>
    </comment>
    <comment ref="K148" authorId="0">
      <text>
        <r>
          <t xml:space="preserve">
</t>
        </r>
        <r>
          <rPr>
            <sz val="12"/>
            <rFont val="Arial"/>
            <family val="1"/>
            <charset val="1"/>
          </rPr>
          <t xml:space="preserve">Taking the tail on from resistance ±1.5840
Will close 50% after +20pips and set remainder on -20pips and set remainder on 45 trailing stop
Edit 1
I was very surpriced when I had a look again just before the 12:00-16:00 close to see it turned around completely. I therefore waited for the candle close and a very strong bullish candle as well and entered a long position. 
I will discuss the reason for entering long with the post and chart further on.
</t>
        </r>
        <r>
          <rPr>
            <b/>
            <u/>
            <sz val="12"/>
            <color indexed="10"/>
            <rFont val="Arial"/>
            <family val="1"/>
            <charset val="1"/>
          </rPr>
          <t>Total loss 30pips</t>
        </r>
      </text>
    </comment>
    <comment ref="K149" authorId="0">
      <text>
        <r>
          <rPr>
            <sz val="10"/>
            <rFont val="Arial"/>
            <family val="2"/>
          </rPr>
          <t>Entered long after a tail indicating a short trade failed and has been turned around by an engulfing strong bullish candle.
Enter at 1.5852
SL 1.5821
TP 1.5985
Will close 50% after 25pips gain and set remainder at BE
Edit 1
Close 50% after 25pips. Set remainder at BE and 45Trailing stop.
Edit 2
Price goes above 1.5900. Set remainder to 25 trailing stop
Edit 3
Close remainder closed by trailing stop at 1.5881
Total gain (25+29)/2 = 27</t>
        </r>
      </text>
    </comment>
    <comment ref="K150" authorId="0">
      <text>
        <r>
          <rPr>
            <sz val="12"/>
            <rFont val="Arial"/>
            <family val="1"/>
            <charset val="1"/>
          </rPr>
          <t>The EurUsd has given a TC for a short(allthough not a good signal) after the 08:00-12:00 candle. 
Market rhythm was excellent according to the rules. Closed below 21ema, then a pullback to it and then down to the 89sma. It was also a breakout below a TL, then a pullback to the TL and then a TC on the MACD.
It was holiday in USD so decided to only take 50% position due to possible big moves because of low volume.(The market sometimes jump very much up and down on low volume on holidays).
Entered 1.5690
SL 1.5727
TP full at 1.5660-1.5650(close to 89sma)
Edit 1
Position closed at 1.5660
Total gain (30)/2 = 15pips</t>
        </r>
      </text>
    </comment>
    <comment ref="K151" authorId="0">
      <text>
        <r>
          <rPr>
            <sz val="10"/>
            <color indexed="8"/>
            <rFont val="Times New Roman"/>
            <family val="1"/>
          </rPr>
          <t xml:space="preserve">GbpUsd gave TC 0:00-04:00 but price touched 89sma and closed above. The 04:00-08:00 candle however closed lower below the 89sma with a strong possibility thet it will go down to the 200sma below.
R:R worked out OK to the 200sma
Enter 1.9755
SL 1.9789
TP 1.9818
Will close 50% after 25pips and set remainder at 25 trailing stop.
Edit 1
50% closed after 25pips and remainder set to 25trailing stop
Edit 2
Trailing stop closed for 58pips
Total gain (25+58)/2 = 41.5
</t>
        </r>
      </text>
    </comment>
    <comment ref="K152" authorId="0">
      <text>
        <r>
          <rPr>
            <sz val="12"/>
            <rFont val="Arial"/>
            <family val="1"/>
            <charset val="1"/>
          </rPr>
          <t>There was a TC of the 89sma and also from a 3x higher low coming from TL support. It was within a triangle so for me it was to take the odds on for a breakout. the signal candle also found support on 1.5700 level. All adds up to a high probability trade.
Entered long at 1.5727
SL 1.5688
TP at 1.5800 and Fib 161,8%
I will close 50% after 25pips and set remainder to 25trailingstop.
Edit 1
50% closed for 25pips. Remainder set at 25 trailing stop
Edit 2 
1.5800 was reached so set remainder at 1.5775
Edit 3
Remainder closed at 1.5775
Total gain (25+48)/2 = 36.5pips</t>
        </r>
      </text>
    </comment>
    <comment ref="K153" authorId="0">
      <text>
        <r>
          <rPr>
            <sz val="10"/>
            <color indexed="8"/>
            <rFont val="Times New Roman"/>
            <family val="1"/>
          </rPr>
          <t xml:space="preserve">Price has made a TC from a pullback to breakout TL
Enter 1.5937
SL 1.5900
TP both positions at 1.6000 or closeby
I will go to BE after 25pips gain on both positions and and set TP for both positions around 1.6000 as I anticipate the price to go to that level.
Edit 1
Both positions closed at 1.6000
Total gain 63pips
</t>
        </r>
      </text>
    </comment>
    <comment ref="K154" authorId="0">
      <text>
        <r>
          <rPr>
            <sz val="12"/>
            <rFont val="Arial"/>
            <family val="1"/>
            <charset val="1"/>
          </rPr>
          <t xml:space="preserve">A tail with a spinner and then a bearish candle off the bottom TL after it retraced I will take this position.
</t>
        </r>
        <r>
          <rPr>
            <sz val="12"/>
            <color indexed="10"/>
            <rFont val="Arial"/>
            <family val="1"/>
            <charset val="1"/>
          </rPr>
          <t xml:space="preserve">THIS IS A HIGH RISK TRADE.
</t>
        </r>
        <r>
          <rPr>
            <sz val="12"/>
            <rFont val="Arial"/>
            <family val="1"/>
            <charset val="1"/>
          </rPr>
          <t xml:space="preserve">I like the tails to the top as well
Will close 50% after 20pips and set remainder at -20 to go BE at worst if the price goes 20 at least
I will scale out in two different places with my stoploss as well as to spread the loss should it occur. There is still some volitality and the ride might be bumpy.
*********************************** 
</t>
        </r>
        <r>
          <rPr>
            <sz val="12"/>
            <rFont val="Times New Roman"/>
            <family val="1"/>
          </rPr>
          <t xml:space="preserve">Entered at 1.9953
Stoploss 2.0003
TP 1.9882 but will watch 1.9900 very closely
I will scale out on my stoploss as well. Will close 50% after 30pips loss and remainder at 50pips loss for an average of 40pips
Edit 1
50% Closed for 30pip loss. Will close remainder at 2.0003
Edit 2
20pip profit reached and set remainder at BE. Will set 15 trailingstop when 1.9910 to 1.9900 is reached.
Edit 3
1.9910 is reached. Set remainder to 15 trailingstop
Edit 4
Remainder closed by trailingstop
Total gain (-30 + 32)/2 = 1,0pips
I anticipated a breakdown to the 89sma. It did not happen at first(only gone some distance then turned around at 1.9900) and then I had to minimize my losses. The 2fold scale out stoploss strategy helps to make the loss smaller should it occur.
</t>
        </r>
      </text>
    </comment>
    <comment ref="K155" authorId="0">
      <text>
        <r>
          <t xml:space="preserve">
</t>
        </r>
        <r>
          <rPr>
            <sz val="12"/>
            <rFont val="Arial"/>
            <family val="1"/>
            <charset val="1"/>
          </rPr>
          <t>This is a positional trade for the possibility breakout down. Will post Mp3 tonight to explain.
Entered 1.5847
SL 1.5879
TP Let it run to 89sma and below is my intention.
Edit 1
Closed 50% for +18pips(was filled at that) and keep remainder at 30 pip stoploss.
Edit 2
Price went below 1.5810. Set remainder on BE
Edit 3
Remainder closed at BE
Total pips gain (+18+0)/2 = 9 pips</t>
        </r>
      </text>
    </comment>
    <comment ref="E156" authorId="0">
      <text>
        <r>
          <rPr>
            <sz val="10"/>
            <rFont val="Arial"/>
            <family val="2"/>
          </rPr>
          <t>Took triangle on after morning star on 1hout TF</t>
        </r>
      </text>
    </comment>
    <comment ref="K156" authorId="0">
      <text>
        <r>
          <rPr>
            <sz val="12"/>
            <rFont val="Arial"/>
            <family val="1"/>
            <charset val="1"/>
          </rPr>
          <t>We are still in the triangle waiting for a possible breakout. I switched to 1H and saw the morning star that formed and decided to take the odds on.
This is a positional trade to be part of the breakout to the top should it happen.
Will take 50% after 15 gain and set remainder on -15 for a BE.(Nearby TL was the reason for 15pips closure)
Enter 1.5860
SL 1.5837
TP 1.5900 and above
Edit 1
50% closed for 15pips. Set remainder at -15pips.
Edit 2
Price is squashed between the TL and 8ema. Break will come soon. Can be up or down. See second chart inset 2 hours after the entry.
Edit 3
Price reached 1.5885. Set remainder at BE and on 25trailingstop.
Edit 4
Price reached 1.5897 and stalls there. Set remainder on 15 trailingstop. 
Set remainder at 1.5880. Will wait to see if 1.5900 will be breached.
Edit 5
Bedtime for me. Stoploss at 1.5880 and a 25 trailingstop set if it wants to go north while I am asleep. Will see tommorrow morning what has happened.
Edit 6
Price has reached 1.5935. hHve set stoploss at 1.5890 and remaindet at 35trailingstop.
Edit 7
Remainder closed at 1.5906
Total Gain = (15+46)/2= 30.5pips</t>
        </r>
      </text>
    </comment>
    <comment ref="E157" authorId="0">
      <text>
        <r>
          <rPr>
            <sz val="10"/>
            <rFont val="Arial"/>
            <family val="2"/>
          </rPr>
          <t>1H pullback trade</t>
        </r>
      </text>
    </comment>
    <comment ref="K157" authorId="0">
      <text>
        <r>
          <rPr>
            <sz val="12"/>
            <rFont val="Arial"/>
            <family val="1"/>
            <charset val="1"/>
          </rPr>
          <t>Price pulled back to the 89sma and the 1H gave a nice breakout to the short side with some nice lower high 1H candles
We have discussed pullbacks after some major breakouts and how to look at 1H for entries.
Entry 1.5757
SL 1.5789
TP at 200sma
Will close 50% after 25pips gain and set remainder on 25trailing stop.
Edit 1
Closed 50% after 25pips and set remainder on 25trailing stop.
Edit 2
Remainder closed by trailstop for 17
Total gain (25+17)/2= 21pips</t>
        </r>
      </text>
    </comment>
    <comment ref="E158" authorId="0">
      <text>
        <r>
          <rPr>
            <sz val="10"/>
            <color indexed="8"/>
            <rFont val="Times New Roman"/>
            <family val="1"/>
          </rPr>
          <t xml:space="preserve">Will enter on 50% retacement
</t>
        </r>
      </text>
    </comment>
    <comment ref="K158" authorId="0">
      <text>
        <r>
          <rPr>
            <sz val="12"/>
            <rFont val="Arial"/>
            <family val="1"/>
            <charset val="1"/>
          </rPr>
          <t>Price has made a red candle with huge tail. If it was a green candle I would have entered. The long positions was collected and I think they will bring it down to the 365ema to take out some stoplosses before going up again. As this is a high risk trade with nice gain possibilities if it goes to 21ema I will enter with 50% after a retracement of 50% of the candle height.
Enter at 1.5670
SL 1.5640(Just below the 364ema)
TP at 21ema.
Will go to BE when +25pips is obtained and will manage it from thereon.
Edit 1
Enter at 1.5670 after etracement.
Edit 2
1.5700was reached. Set stoploss to BE
Edit 3
Position was closed at BE</t>
        </r>
      </text>
    </comment>
  </commentList>
</comments>
</file>

<file path=xl/sharedStrings.xml><?xml version="1.0" encoding="utf-8"?>
<sst xmlns="http://schemas.openxmlformats.org/spreadsheetml/2006/main" count="599" uniqueCount="234">
  <si>
    <t>Oct2007 –July 2008</t>
  </si>
  <si>
    <t>10 Months</t>
  </si>
  <si>
    <t>Risk</t>
  </si>
  <si>
    <t>Capital</t>
  </si>
  <si>
    <t xml:space="preserve">       Great Total      </t>
  </si>
  <si>
    <t>Trades</t>
  </si>
  <si>
    <t>9 Losses</t>
  </si>
  <si>
    <t>TOTAL</t>
  </si>
  <si>
    <t>Estimated</t>
  </si>
  <si>
    <t>T/P</t>
  </si>
  <si>
    <t>Gain</t>
  </si>
  <si>
    <t>Reward</t>
  </si>
  <si>
    <t>Post No/Page No</t>
  </si>
  <si>
    <t>EurUsd</t>
  </si>
  <si>
    <t>01/10/2007</t>
  </si>
  <si>
    <t>s</t>
  </si>
  <si>
    <t>1:</t>
  </si>
  <si>
    <t>03/10/2007</t>
  </si>
  <si>
    <t>05/10/2007</t>
  </si>
  <si>
    <t>GbpUsd</t>
  </si>
  <si>
    <t>09/10/2007</t>
  </si>
  <si>
    <t>11/10/2007</t>
  </si>
  <si>
    <t>b</t>
  </si>
  <si>
    <t>7389-493</t>
  </si>
  <si>
    <t>12/10/2007</t>
  </si>
  <si>
    <t>15/10/2007</t>
  </si>
  <si>
    <t>BE Managed</t>
  </si>
  <si>
    <t>16/10/2007</t>
  </si>
  <si>
    <t>18/10/2007</t>
  </si>
  <si>
    <t>24/10/2007</t>
  </si>
  <si>
    <t>7665-511</t>
  </si>
  <si>
    <t>29/10/2007</t>
  </si>
  <si>
    <t>31/10/2007</t>
  </si>
  <si>
    <t>Managed</t>
  </si>
  <si>
    <t>Post No</t>
  </si>
  <si>
    <t>Page No</t>
  </si>
  <si>
    <t xml:space="preserve">                       NOV 2007</t>
  </si>
  <si>
    <t>02/11/2007</t>
  </si>
  <si>
    <t>05/11/2007</t>
  </si>
  <si>
    <t>7939-530</t>
  </si>
  <si>
    <t>06/11/2007</t>
  </si>
  <si>
    <t>8115-541</t>
  </si>
  <si>
    <t>07/11/2007</t>
  </si>
  <si>
    <t>09/11/2007</t>
  </si>
  <si>
    <t>8048-537</t>
  </si>
  <si>
    <t>12/11/2007</t>
  </si>
  <si>
    <t>8389-560</t>
  </si>
  <si>
    <t>13/11/2007</t>
  </si>
  <si>
    <t>8423-562</t>
  </si>
  <si>
    <t>8426-562</t>
  </si>
  <si>
    <t>14/11/2007</t>
  </si>
  <si>
    <t>16/11/2007</t>
  </si>
  <si>
    <t>Loss</t>
  </si>
  <si>
    <t>19/11/2007</t>
  </si>
  <si>
    <t>UsdJpy</t>
  </si>
  <si>
    <t>20/11/2007</t>
  </si>
  <si>
    <t>8641-577</t>
  </si>
  <si>
    <t>27/11/2007</t>
  </si>
  <si>
    <t>8721-582</t>
  </si>
  <si>
    <t>28/11/2007</t>
  </si>
  <si>
    <t>8846-590</t>
  </si>
  <si>
    <t>29/11/2007</t>
  </si>
  <si>
    <t>8875-592</t>
  </si>
  <si>
    <t xml:space="preserve">                       DEC 2007</t>
  </si>
  <si>
    <t>05/12/2007</t>
  </si>
  <si>
    <t>9105-607</t>
  </si>
  <si>
    <t>06/12/2007</t>
  </si>
  <si>
    <t>9165-611</t>
  </si>
  <si>
    <t>9169/70-612</t>
  </si>
  <si>
    <t>07/12/2007</t>
  </si>
  <si>
    <t>9195-613</t>
  </si>
  <si>
    <t>10/12/2007</t>
  </si>
  <si>
    <t>9282(9334)-619</t>
  </si>
  <si>
    <t>12/12/2008</t>
  </si>
  <si>
    <t>9367-625</t>
  </si>
  <si>
    <t>13/12/2007</t>
  </si>
  <si>
    <t>9428-629</t>
  </si>
  <si>
    <t>14/12/2007</t>
  </si>
  <si>
    <t>9488-633</t>
  </si>
  <si>
    <t>17/12/2007</t>
  </si>
  <si>
    <t>9566-638</t>
  </si>
  <si>
    <t>18/12/2007</t>
  </si>
  <si>
    <t>9640-643</t>
  </si>
  <si>
    <t>19/12/2007</t>
  </si>
  <si>
    <t>9707-648 / 9724-649</t>
  </si>
  <si>
    <t>20/12/2007</t>
  </si>
  <si>
    <t>9726-649</t>
  </si>
  <si>
    <t>21/12/2007</t>
  </si>
  <si>
    <t>9749-650</t>
  </si>
  <si>
    <t xml:space="preserve">                       JAN 2008</t>
  </si>
  <si>
    <t>03/01/2008</t>
  </si>
  <si>
    <t>9973-665</t>
  </si>
  <si>
    <t>07/01/2008</t>
  </si>
  <si>
    <t>10069-672</t>
  </si>
  <si>
    <t>UsdCad</t>
  </si>
  <si>
    <t>10070-672</t>
  </si>
  <si>
    <t>09/01/2008</t>
  </si>
  <si>
    <t>10209-681</t>
  </si>
  <si>
    <t>11/01/2008</t>
  </si>
  <si>
    <t>10308-688 / 10330-689</t>
  </si>
  <si>
    <t>14/01/2008</t>
  </si>
  <si>
    <t>10360-691 / 10366-692</t>
  </si>
  <si>
    <t>10377-692</t>
  </si>
  <si>
    <t>16/01/2008</t>
  </si>
  <si>
    <t>10463-698</t>
  </si>
  <si>
    <t>23/01/2008</t>
  </si>
  <si>
    <t>10656-711</t>
  </si>
  <si>
    <t>25/01/2008</t>
  </si>
  <si>
    <t>10729-716 / 10744-717</t>
  </si>
  <si>
    <t>28/01/2008</t>
  </si>
  <si>
    <t>10783-719 / 10810-721</t>
  </si>
  <si>
    <t>10792-720 / 10810-721</t>
  </si>
  <si>
    <t>29/01/2008</t>
  </si>
  <si>
    <t>10871-725</t>
  </si>
  <si>
    <t>30/01/2008</t>
  </si>
  <si>
    <t>10951-731 / 10960-731</t>
  </si>
  <si>
    <t xml:space="preserve">                       FEB 2008</t>
  </si>
  <si>
    <t>04/02/2008</t>
  </si>
  <si>
    <t>11250-750</t>
  </si>
  <si>
    <t>05/02/2008</t>
  </si>
  <si>
    <t>11209-748</t>
  </si>
  <si>
    <t>14/02/2008</t>
  </si>
  <si>
    <t>11690 – 780</t>
  </si>
  <si>
    <t>11707 – 781</t>
  </si>
  <si>
    <t>18/02/2008</t>
  </si>
  <si>
    <t>11859 - 791</t>
  </si>
  <si>
    <t>20/02/2008</t>
  </si>
  <si>
    <t>11985 – 799</t>
  </si>
  <si>
    <t>21/02/2008</t>
  </si>
  <si>
    <t>12072 – 805</t>
  </si>
  <si>
    <t>25/02/2008</t>
  </si>
  <si>
    <t>12179 – 812</t>
  </si>
  <si>
    <t>26/02/2008</t>
  </si>
  <si>
    <t>12218 – 815</t>
  </si>
  <si>
    <t>27/02/2008</t>
  </si>
  <si>
    <t>12273 – 819</t>
  </si>
  <si>
    <t>28/02/2008</t>
  </si>
  <si>
    <t>12348 – 824</t>
  </si>
  <si>
    <t>Mch 2008</t>
  </si>
  <si>
    <t>04/03/2008</t>
  </si>
  <si>
    <t>12474 – 832</t>
  </si>
  <si>
    <t>05/03/2008</t>
  </si>
  <si>
    <t>12508 – 834</t>
  </si>
  <si>
    <t>11/03/2008</t>
  </si>
  <si>
    <t>12745 – 850</t>
  </si>
  <si>
    <t>18/03/2008</t>
  </si>
  <si>
    <t>12958 – 864</t>
  </si>
  <si>
    <t>19/03/2008</t>
  </si>
  <si>
    <t>13005 – 867</t>
  </si>
  <si>
    <t>13015 – 868</t>
  </si>
  <si>
    <t>20/03/2008</t>
  </si>
  <si>
    <t>13058 – 871</t>
  </si>
  <si>
    <t>31/03/2008</t>
  </si>
  <si>
    <t>13280 – 886</t>
  </si>
  <si>
    <t>April 2008</t>
  </si>
  <si>
    <t>07/04/2008</t>
  </si>
  <si>
    <t>13485 – 899</t>
  </si>
  <si>
    <t>08/04/2008</t>
  </si>
  <si>
    <t>13509 – 901</t>
  </si>
  <si>
    <t>09/04/2008</t>
  </si>
  <si>
    <t>13543 – 903</t>
  </si>
  <si>
    <t>23/04/2008</t>
  </si>
  <si>
    <t>Not Posted</t>
  </si>
  <si>
    <t>28/04/2008</t>
  </si>
  <si>
    <t>55,5</t>
  </si>
  <si>
    <t>14024 – 935</t>
  </si>
  <si>
    <t>02/05/2008</t>
  </si>
  <si>
    <t>14183 – 946</t>
  </si>
  <si>
    <t>05/05/2008</t>
  </si>
  <si>
    <t>14252 – 951</t>
  </si>
  <si>
    <t>06/05/2008</t>
  </si>
  <si>
    <t>14291 – 953</t>
  </si>
  <si>
    <t>14343 – 957</t>
  </si>
  <si>
    <t>07/05/2008</t>
  </si>
  <si>
    <t>14431 – 963</t>
  </si>
  <si>
    <t>12/05/2008</t>
  </si>
  <si>
    <t>14660 – 978</t>
  </si>
  <si>
    <t>15/05/2008</t>
  </si>
  <si>
    <t>14832 – 989</t>
  </si>
  <si>
    <t>16/05/2008</t>
  </si>
  <si>
    <t>14868 – 992</t>
  </si>
  <si>
    <t>23/05/2008</t>
  </si>
  <si>
    <t>15050 – 1004</t>
  </si>
  <si>
    <t>15054 – 1004</t>
  </si>
  <si>
    <t>27/05/2008</t>
  </si>
  <si>
    <t>15093 - 1007</t>
  </si>
  <si>
    <t>June 2008</t>
  </si>
  <si>
    <t>02/06/2008</t>
  </si>
  <si>
    <t>15251 – 1017</t>
  </si>
  <si>
    <t>11/06/2008</t>
  </si>
  <si>
    <t>15445 – 1030</t>
  </si>
  <si>
    <t>13/06/2008</t>
  </si>
  <si>
    <t>15521 – 1035</t>
  </si>
  <si>
    <t>16/06/2008</t>
  </si>
  <si>
    <t>15537 – 1036</t>
  </si>
  <si>
    <t>18/06/2008</t>
  </si>
  <si>
    <t>15608 – 1041</t>
  </si>
  <si>
    <t>20/06/2008</t>
  </si>
  <si>
    <t>15632 – 1043</t>
  </si>
  <si>
    <t>25/06/2008</t>
  </si>
  <si>
    <t>15705 – 1047</t>
  </si>
  <si>
    <t>July 2008</t>
  </si>
  <si>
    <t>01/07/2008</t>
  </si>
  <si>
    <t>15822 – 1055</t>
  </si>
  <si>
    <t>02/07/2008</t>
  </si>
  <si>
    <t>15838 – 1056</t>
  </si>
  <si>
    <t>15852 – 1057</t>
  </si>
  <si>
    <t>04/07/2008</t>
  </si>
  <si>
    <t>15919 – 1062</t>
  </si>
  <si>
    <t>07/07/2008</t>
  </si>
  <si>
    <t>15950- 1064</t>
  </si>
  <si>
    <t>10/07/2007</t>
  </si>
  <si>
    <t>16043- 1070</t>
  </si>
  <si>
    <t>15/07/2008</t>
  </si>
  <si>
    <t>16133-1076</t>
  </si>
  <si>
    <t>18/07/2008</t>
  </si>
  <si>
    <t>16217-1082</t>
  </si>
  <si>
    <t>16220-1082</t>
  </si>
  <si>
    <t>21/07/2008</t>
  </si>
  <si>
    <t>16247-1084</t>
  </si>
  <si>
    <t>23/07/2008</t>
  </si>
  <si>
    <t>16292-1087</t>
  </si>
  <si>
    <t>14/07/2008</t>
  </si>
  <si>
    <t>16314-1088</t>
  </si>
  <si>
    <t>序号</t>
    <phoneticPr fontId="28" type="noConversion"/>
  </si>
  <si>
    <t>货币对</t>
    <phoneticPr fontId="28" type="noConversion"/>
  </si>
  <si>
    <t>日期</t>
    <phoneticPr fontId="28" type="noConversion"/>
  </si>
  <si>
    <t>时间</t>
    <phoneticPr fontId="28" type="noConversion"/>
  </si>
  <si>
    <r>
      <rPr>
        <sz val="10"/>
        <rFont val="宋体"/>
        <family val="3"/>
        <charset val="134"/>
      </rPr>
      <t>动作</t>
    </r>
    <r>
      <rPr>
        <sz val="10"/>
        <rFont val="Arial"/>
        <family val="2"/>
      </rPr>
      <t xml:space="preserve"> </t>
    </r>
    <phoneticPr fontId="28" type="noConversion"/>
  </si>
  <si>
    <t>Entry</t>
    <phoneticPr fontId="28" type="noConversion"/>
  </si>
  <si>
    <t>S/L</t>
    <phoneticPr fontId="28" type="noConversion"/>
  </si>
  <si>
    <t>Action</t>
    <phoneticPr fontId="28" type="noConversion"/>
  </si>
  <si>
    <t>R:R</t>
    <phoneticPr fontId="28" type="noConversion"/>
  </si>
  <si>
    <t xml:space="preserve">               OCT 2007</t>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</si>
</sst>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0000"/>
    <numFmt numFmtId="177" formatCode="0.0"/>
    <numFmt numFmtId="178" formatCode="dd\-mmm\-yy"/>
    <numFmt numFmtId="179" formatCode="hh:mm"/>
    <numFmt numFmtId="180" formatCode="yyyy/mm/dd"/>
    <numFmt numFmtId="181" formatCode="yy/mm/dd"/>
    <numFmt numFmtId="182" formatCode="#.0"/>
  </numFmts>
  <fonts count="30" x14ac:knownFonts="1">
    <font>
      <sz val="10"/>
      <name val="Arial"/>
      <family val="2"/>
    </font>
    <font>
      <sz val="10"/>
      <color indexed="8"/>
      <name val="Times New Roman"/>
      <family val="1"/>
    </font>
    <font>
      <sz val="8"/>
      <color indexed="8"/>
      <name val="Times New Roman"/>
      <family val="1"/>
    </font>
    <font>
      <vertAlign val="superscript"/>
      <sz val="10"/>
      <name val="Arial"/>
      <family val="2"/>
    </font>
    <font>
      <sz val="12"/>
      <name val="Arial"/>
      <family val="2"/>
    </font>
    <font>
      <b/>
      <sz val="10"/>
      <color indexed="10"/>
      <name val="Arial"/>
      <family val="2"/>
    </font>
    <font>
      <sz val="11"/>
      <color indexed="8"/>
      <name val="Times New Roman"/>
      <family val="1"/>
    </font>
    <font>
      <u/>
      <sz val="10"/>
      <color indexed="8"/>
      <name val="Times New Roman"/>
      <family val="1"/>
    </font>
    <font>
      <b/>
      <u/>
      <sz val="10"/>
      <color indexed="10"/>
      <name val="Times New Roman"/>
      <family val="1"/>
    </font>
    <font>
      <b/>
      <sz val="10"/>
      <color indexed="57"/>
      <name val="Times New Roman"/>
      <family val="1"/>
    </font>
    <font>
      <b/>
      <sz val="10"/>
      <color indexed="10"/>
      <name val="Times New Roman"/>
      <family val="1"/>
    </font>
    <font>
      <sz val="11"/>
      <name val="Arial"/>
      <family val="2"/>
    </font>
    <font>
      <sz val="12"/>
      <name val="Arial"/>
      <family val="1"/>
      <charset val="1"/>
    </font>
    <font>
      <sz val="10"/>
      <color indexed="8"/>
      <name val="Arial"/>
      <family val="2"/>
    </font>
    <font>
      <u/>
      <sz val="10"/>
      <color indexed="8"/>
      <name val="Arial"/>
      <family val="2"/>
    </font>
    <font>
      <sz val="13"/>
      <color indexed="8"/>
      <name val="Times New Roman"/>
      <family val="1"/>
    </font>
    <font>
      <vertAlign val="superscript"/>
      <sz val="10"/>
      <color indexed="8"/>
      <name val="Times New Roman"/>
      <family val="1"/>
    </font>
    <font>
      <u/>
      <sz val="12"/>
      <color indexed="10"/>
      <name val="Arial"/>
      <family val="1"/>
      <charset val="1"/>
    </font>
    <font>
      <b/>
      <sz val="12"/>
      <name val="Arial"/>
      <family val="1"/>
      <charset val="1"/>
    </font>
    <font>
      <b/>
      <u/>
      <sz val="12"/>
      <name val="Arial"/>
      <family val="1"/>
      <charset val="1"/>
    </font>
    <font>
      <sz val="12"/>
      <color indexed="8"/>
      <name val="Arial"/>
      <family val="1"/>
      <charset val="1"/>
    </font>
    <font>
      <b/>
      <sz val="12"/>
      <color indexed="10"/>
      <name val="Arial"/>
      <family val="1"/>
      <charset val="1"/>
    </font>
    <font>
      <b/>
      <u/>
      <sz val="12"/>
      <color indexed="10"/>
      <name val="Arial"/>
      <family val="1"/>
      <charset val="1"/>
    </font>
    <font>
      <sz val="10"/>
      <color indexed="8"/>
      <name val="Arial"/>
      <family val="2"/>
      <charset val="1"/>
    </font>
    <font>
      <b/>
      <sz val="10"/>
      <color indexed="8"/>
      <name val="Arial"/>
      <family val="2"/>
      <charset val="1"/>
    </font>
    <font>
      <sz val="10"/>
      <name val="Arial"/>
      <family val="2"/>
      <charset val="1"/>
    </font>
    <font>
      <sz val="12"/>
      <color indexed="10"/>
      <name val="Arial"/>
      <family val="1"/>
      <charset val="1"/>
    </font>
    <font>
      <sz val="12"/>
      <name val="Times New Roman"/>
      <family val="1"/>
    </font>
    <font>
      <sz val="9"/>
      <name val="宋体"/>
      <family val="3"/>
      <charset val="134"/>
    </font>
    <font>
      <sz val="10"/>
      <name val="宋体"/>
      <family val="3"/>
      <charset val="134"/>
    </font>
  </fonts>
  <fills count="8">
    <fill>
      <patternFill patternType="none"/>
    </fill>
    <fill>
      <patternFill patternType="gray125"/>
    </fill>
    <fill>
      <patternFill patternType="solid">
        <fgColor indexed="13"/>
        <bgColor indexed="34"/>
      </patternFill>
    </fill>
    <fill>
      <patternFill patternType="solid">
        <fgColor indexed="42"/>
        <bgColor indexed="27"/>
      </patternFill>
    </fill>
    <fill>
      <patternFill patternType="solid">
        <fgColor indexed="44"/>
        <bgColor indexed="31"/>
      </patternFill>
    </fill>
    <fill>
      <patternFill patternType="solid">
        <fgColor indexed="47"/>
        <bgColor indexed="22"/>
      </patternFill>
    </fill>
    <fill>
      <patternFill patternType="solid">
        <fgColor indexed="43"/>
        <bgColor indexed="26"/>
      </patternFill>
    </fill>
    <fill>
      <patternFill patternType="solid">
        <fgColor indexed="45"/>
        <bgColor indexed="29"/>
      </patternFill>
    </fill>
  </fills>
  <borders count="22">
    <border>
      <left/>
      <right/>
      <top/>
      <bottom/>
      <diagonal/>
    </border>
    <border>
      <left style="medium">
        <color indexed="8"/>
      </left>
      <right style="medium">
        <color indexed="8"/>
      </right>
      <top style="medium">
        <color indexed="8"/>
      </top>
      <bottom style="medium">
        <color indexed="8"/>
      </bottom>
      <diagonal/>
    </border>
    <border>
      <left/>
      <right style="thin">
        <color indexed="8"/>
      </right>
      <top style="thin">
        <color indexed="8"/>
      </top>
      <bottom style="thin">
        <color indexed="8"/>
      </bottom>
      <diagonal/>
    </border>
    <border>
      <left/>
      <right/>
      <top/>
      <bottom style="thin">
        <color indexed="8"/>
      </bottom>
      <diagonal/>
    </border>
    <border>
      <left style="thin">
        <color indexed="8"/>
      </left>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right/>
      <top style="medium">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hair">
        <color indexed="8"/>
      </left>
      <right/>
      <top style="hair">
        <color indexed="8"/>
      </top>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right style="hair">
        <color indexed="8"/>
      </right>
      <top style="hair">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s>
  <cellStyleXfs count="1">
    <xf numFmtId="0" fontId="0" fillId="0" borderId="0"/>
  </cellStyleXfs>
  <cellXfs count="156">
    <xf numFmtId="0" fontId="0" fillId="0" borderId="0" xfId="0"/>
    <xf numFmtId="0" fontId="0" fillId="0" borderId="0" xfId="0" applyAlignment="1">
      <alignment horizontal="center"/>
    </xf>
    <xf numFmtId="176" fontId="0" fillId="0" borderId="0" xfId="0" applyNumberFormat="1"/>
    <xf numFmtId="177" fontId="0" fillId="0" borderId="0" xfId="0" applyNumberFormat="1"/>
    <xf numFmtId="2" fontId="0" fillId="0" borderId="0" xfId="0" applyNumberFormat="1" applyAlignment="1">
      <alignment horizontal="left"/>
    </xf>
    <xf numFmtId="1" fontId="0" fillId="0" borderId="0" xfId="0" applyNumberFormat="1"/>
    <xf numFmtId="176" fontId="0" fillId="0" borderId="0" xfId="0" applyNumberFormat="1" applyFont="1" applyBorder="1" applyAlignment="1">
      <alignment horizontal="center"/>
    </xf>
    <xf numFmtId="176" fontId="0" fillId="0" borderId="0" xfId="0" applyNumberFormat="1" applyFont="1" applyAlignment="1">
      <alignment horizontal="center"/>
    </xf>
    <xf numFmtId="0" fontId="0" fillId="2" borderId="1" xfId="0" applyFill="1" applyBorder="1"/>
    <xf numFmtId="0" fontId="0" fillId="0" borderId="2" xfId="0" applyBorder="1"/>
    <xf numFmtId="177" fontId="0" fillId="0" borderId="0" xfId="0" applyNumberFormat="1" applyBorder="1"/>
    <xf numFmtId="17" fontId="0" fillId="0" borderId="0" xfId="0" applyNumberFormat="1"/>
    <xf numFmtId="0" fontId="0" fillId="0" borderId="4" xfId="0" applyFont="1" applyBorder="1" applyAlignment="1">
      <alignment horizontal="center"/>
    </xf>
    <xf numFmtId="0" fontId="0" fillId="0" borderId="2" xfId="0" applyFont="1" applyBorder="1" applyAlignment="1">
      <alignment horizontal="center"/>
    </xf>
    <xf numFmtId="177" fontId="0" fillId="0" borderId="6" xfId="0" applyNumberFormat="1" applyBorder="1"/>
    <xf numFmtId="0"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176" fontId="0" fillId="0" borderId="9" xfId="0" applyNumberFormat="1" applyBorder="1"/>
    <xf numFmtId="176" fontId="0" fillId="0" borderId="8" xfId="0" applyNumberFormat="1" applyFont="1" applyBorder="1"/>
    <xf numFmtId="177" fontId="0" fillId="0" borderId="10" xfId="0" applyNumberFormat="1" applyBorder="1"/>
    <xf numFmtId="0" fontId="0" fillId="0" borderId="11" xfId="0" applyBorder="1" applyAlignment="1">
      <alignment horizontal="center"/>
    </xf>
    <xf numFmtId="0" fontId="0" fillId="0" borderId="12" xfId="0" applyBorder="1"/>
    <xf numFmtId="0" fontId="0" fillId="0" borderId="13" xfId="0" applyFont="1" applyBorder="1" applyAlignment="1">
      <alignment horizontal="center"/>
    </xf>
    <xf numFmtId="0" fontId="0" fillId="0" borderId="14" xfId="0" applyFont="1" applyBorder="1" applyAlignment="1">
      <alignment horizontal="center"/>
    </xf>
    <xf numFmtId="176" fontId="0" fillId="0" borderId="14" xfId="0" applyNumberFormat="1" applyFont="1" applyBorder="1" applyAlignment="1">
      <alignment horizontal="center"/>
    </xf>
    <xf numFmtId="177" fontId="0" fillId="0" borderId="14" xfId="0" applyNumberFormat="1" applyFont="1" applyBorder="1" applyAlignment="1">
      <alignment horizontal="center"/>
    </xf>
    <xf numFmtId="1" fontId="0" fillId="0" borderId="14" xfId="0" applyNumberFormat="1" applyFont="1" applyBorder="1" applyAlignment="1">
      <alignment horizontal="center"/>
    </xf>
    <xf numFmtId="0" fontId="0" fillId="0" borderId="15" xfId="0" applyFont="1" applyBorder="1" applyAlignment="1">
      <alignment horizontal="center"/>
    </xf>
    <xf numFmtId="0" fontId="0" fillId="0" borderId="0" xfId="0" applyBorder="1"/>
    <xf numFmtId="0" fontId="0" fillId="0" borderId="0" xfId="0" applyFont="1" applyBorder="1"/>
    <xf numFmtId="178" fontId="0" fillId="0" borderId="0" xfId="0" applyNumberFormat="1" applyFont="1" applyBorder="1" applyAlignment="1">
      <alignment horizontal="left"/>
    </xf>
    <xf numFmtId="179" fontId="0" fillId="0" borderId="0" xfId="0" applyNumberFormat="1" applyBorder="1"/>
    <xf numFmtId="0" fontId="0" fillId="0" borderId="0" xfId="0" applyFont="1" applyBorder="1" applyAlignment="1">
      <alignment horizontal="center"/>
    </xf>
    <xf numFmtId="176" fontId="0" fillId="0" borderId="0" xfId="0" applyNumberFormat="1" applyBorder="1"/>
    <xf numFmtId="179" fontId="0" fillId="0" borderId="0" xfId="0" applyNumberFormat="1" applyFont="1" applyBorder="1" applyAlignment="1">
      <alignment horizontal="right"/>
    </xf>
    <xf numFmtId="2" fontId="0" fillId="0" borderId="0" xfId="0" applyNumberFormat="1" applyBorder="1" applyAlignment="1">
      <alignment horizontal="left"/>
    </xf>
    <xf numFmtId="1" fontId="0" fillId="0" borderId="0" xfId="0" applyNumberFormat="1" applyBorder="1"/>
    <xf numFmtId="0" fontId="0" fillId="0" borderId="0" xfId="0" applyNumberFormat="1" applyBorder="1"/>
    <xf numFmtId="0" fontId="0" fillId="3" borderId="16" xfId="0" applyFill="1" applyBorder="1" applyAlignment="1">
      <alignment horizontal="center"/>
    </xf>
    <xf numFmtId="177" fontId="0" fillId="0" borderId="0" xfId="0" applyNumberFormat="1" applyAlignment="1">
      <alignment horizontal="center"/>
    </xf>
    <xf numFmtId="0" fontId="0" fillId="4" borderId="0" xfId="0" applyFill="1" applyBorder="1"/>
    <xf numFmtId="0" fontId="0" fillId="0" borderId="0" xfId="0" applyFont="1" applyBorder="1" applyAlignment="1">
      <alignment horizontal="left"/>
    </xf>
    <xf numFmtId="176" fontId="0" fillId="0" borderId="0" xfId="0" applyNumberFormat="1" applyBorder="1" applyAlignment="1">
      <alignment horizontal="right"/>
    </xf>
    <xf numFmtId="177" fontId="0" fillId="3" borderId="0" xfId="0" applyNumberFormat="1" applyFill="1" applyBorder="1"/>
    <xf numFmtId="0" fontId="0" fillId="0" borderId="3" xfId="0" applyBorder="1"/>
    <xf numFmtId="0" fontId="0" fillId="0" borderId="3" xfId="0" applyFont="1" applyBorder="1"/>
    <xf numFmtId="180" fontId="0" fillId="0" borderId="3" xfId="0" applyNumberFormat="1" applyFont="1" applyBorder="1" applyAlignment="1">
      <alignment horizontal="left"/>
    </xf>
    <xf numFmtId="179" fontId="0" fillId="0" borderId="3" xfId="0" applyNumberFormat="1" applyBorder="1"/>
    <xf numFmtId="0" fontId="0" fillId="0" borderId="3" xfId="0" applyFont="1" applyBorder="1" applyAlignment="1">
      <alignment horizontal="center"/>
    </xf>
    <xf numFmtId="176" fontId="0" fillId="0" borderId="3" xfId="0" applyNumberFormat="1" applyBorder="1"/>
    <xf numFmtId="177" fontId="0" fillId="5" borderId="3" xfId="0" applyNumberFormat="1" applyFill="1" applyBorder="1"/>
    <xf numFmtId="179" fontId="0" fillId="0" borderId="3" xfId="0" applyNumberFormat="1" applyFont="1" applyBorder="1" applyAlignment="1">
      <alignment horizontal="right"/>
    </xf>
    <xf numFmtId="2" fontId="0" fillId="0" borderId="3" xfId="0" applyNumberFormat="1" applyBorder="1" applyAlignment="1">
      <alignment horizontal="left"/>
    </xf>
    <xf numFmtId="1" fontId="0" fillId="0" borderId="3" xfId="0" applyNumberFormat="1" applyBorder="1"/>
    <xf numFmtId="0" fontId="0" fillId="0" borderId="3" xfId="0" applyNumberFormat="1" applyBorder="1"/>
    <xf numFmtId="0" fontId="0" fillId="3" borderId="17" xfId="0" applyFill="1" applyBorder="1" applyAlignment="1">
      <alignment horizontal="center"/>
    </xf>
    <xf numFmtId="0" fontId="0" fillId="0" borderId="0" xfId="0" applyFill="1" applyBorder="1"/>
    <xf numFmtId="180" fontId="0" fillId="0" borderId="0" xfId="0" applyNumberFormat="1" applyAlignment="1">
      <alignment horizontal="left"/>
    </xf>
    <xf numFmtId="179" fontId="0" fillId="0" borderId="0" xfId="0" applyNumberFormat="1"/>
    <xf numFmtId="179" fontId="0" fillId="0" borderId="0" xfId="0" applyNumberFormat="1" applyFont="1" applyAlignment="1">
      <alignment horizontal="right"/>
    </xf>
    <xf numFmtId="0" fontId="0" fillId="0" borderId="17" xfId="0" applyFont="1" applyBorder="1" applyAlignment="1">
      <alignment horizontal="center"/>
    </xf>
    <xf numFmtId="181" fontId="0" fillId="0" borderId="9" xfId="0" applyNumberFormat="1" applyFont="1" applyBorder="1"/>
    <xf numFmtId="179" fontId="0" fillId="0" borderId="9" xfId="0" applyNumberFormat="1" applyBorder="1"/>
    <xf numFmtId="177" fontId="0" fillId="0" borderId="9" xfId="0" applyNumberFormat="1" applyBorder="1"/>
    <xf numFmtId="0" fontId="0" fillId="0" borderId="9" xfId="0" applyFont="1" applyBorder="1" applyAlignment="1">
      <alignment horizontal="center"/>
    </xf>
    <xf numFmtId="179" fontId="0" fillId="0" borderId="9" xfId="0" applyNumberFormat="1" applyFont="1" applyBorder="1" applyAlignment="1">
      <alignment horizontal="right"/>
    </xf>
    <xf numFmtId="2" fontId="0" fillId="0" borderId="9" xfId="0" applyNumberFormat="1" applyBorder="1" applyAlignment="1">
      <alignment horizontal="left"/>
    </xf>
    <xf numFmtId="1" fontId="0" fillId="0" borderId="9" xfId="0" applyNumberFormat="1" applyBorder="1"/>
    <xf numFmtId="0" fontId="0" fillId="0" borderId="10" xfId="0" applyNumberFormat="1" applyBorder="1"/>
    <xf numFmtId="0" fontId="0" fillId="3" borderId="11" xfId="0" applyFill="1" applyBorder="1" applyAlignment="1">
      <alignment horizontal="center"/>
    </xf>
    <xf numFmtId="0" fontId="0" fillId="0" borderId="18" xfId="0" applyBorder="1"/>
    <xf numFmtId="0" fontId="0" fillId="0" borderId="19" xfId="0" applyNumberFormat="1" applyBorder="1"/>
    <xf numFmtId="180" fontId="0" fillId="0" borderId="0" xfId="0" applyNumberFormat="1" applyFont="1" applyBorder="1"/>
    <xf numFmtId="177" fontId="0" fillId="5" borderId="0" xfId="0" applyNumberFormat="1" applyFill="1" applyBorder="1"/>
    <xf numFmtId="0" fontId="0" fillId="4" borderId="18" xfId="0" applyFill="1" applyBorder="1"/>
    <xf numFmtId="0" fontId="5" fillId="0" borderId="0" xfId="0" applyFont="1" applyBorder="1" applyAlignment="1">
      <alignment horizontal="center"/>
    </xf>
    <xf numFmtId="0" fontId="0" fillId="6" borderId="18" xfId="0" applyFill="1" applyBorder="1"/>
    <xf numFmtId="2" fontId="0" fillId="0" borderId="0" xfId="0" applyNumberFormat="1" applyBorder="1"/>
    <xf numFmtId="1" fontId="0" fillId="0" borderId="19" xfId="0" applyNumberFormat="1" applyBorder="1" applyAlignment="1">
      <alignment horizontal="right"/>
    </xf>
    <xf numFmtId="0" fontId="0" fillId="0" borderId="0" xfId="0" applyFont="1" applyFill="1" applyBorder="1"/>
    <xf numFmtId="0" fontId="0" fillId="0" borderId="20" xfId="0" applyBorder="1"/>
    <xf numFmtId="177" fontId="0" fillId="0" borderId="3" xfId="0" applyNumberFormat="1" applyBorder="1"/>
    <xf numFmtId="0" fontId="0" fillId="0" borderId="21" xfId="0" applyNumberFormat="1" applyBorder="1"/>
    <xf numFmtId="0" fontId="0" fillId="6" borderId="8" xfId="0" applyFill="1" applyBorder="1"/>
    <xf numFmtId="0" fontId="0" fillId="0" borderId="9" xfId="0" applyFont="1" applyFill="1" applyBorder="1"/>
    <xf numFmtId="2" fontId="0" fillId="0" borderId="9" xfId="0" applyNumberFormat="1" applyBorder="1"/>
    <xf numFmtId="1" fontId="0" fillId="0" borderId="10" xfId="0" applyNumberFormat="1" applyBorder="1" applyAlignment="1">
      <alignment horizontal="right"/>
    </xf>
    <xf numFmtId="176" fontId="0" fillId="0" borderId="0" xfId="0" applyNumberFormat="1" applyFill="1" applyBorder="1"/>
    <xf numFmtId="177" fontId="0" fillId="0" borderId="0" xfId="0" applyNumberFormat="1" applyFill="1" applyBorder="1"/>
    <xf numFmtId="0" fontId="0" fillId="0" borderId="0" xfId="0" applyFont="1" applyFill="1" applyBorder="1" applyAlignment="1">
      <alignment horizontal="center"/>
    </xf>
    <xf numFmtId="0" fontId="0" fillId="0" borderId="0" xfId="0" applyFill="1" applyBorder="1" applyAlignment="1">
      <alignment horizontal="center"/>
    </xf>
    <xf numFmtId="2" fontId="0" fillId="0" borderId="0" xfId="0" applyNumberFormat="1" applyFill="1" applyBorder="1" applyAlignment="1">
      <alignment horizontal="left"/>
    </xf>
    <xf numFmtId="0" fontId="0" fillId="0" borderId="18" xfId="0" applyFill="1" applyBorder="1"/>
    <xf numFmtId="179" fontId="0" fillId="0" borderId="0" xfId="0" applyNumberFormat="1" applyFont="1" applyFill="1" applyBorder="1" applyAlignment="1">
      <alignment horizontal="right"/>
    </xf>
    <xf numFmtId="2" fontId="0" fillId="0" borderId="0" xfId="0" applyNumberFormat="1" applyFill="1" applyBorder="1"/>
    <xf numFmtId="0" fontId="5" fillId="0" borderId="0" xfId="0" applyFont="1" applyFill="1" applyBorder="1" applyAlignment="1">
      <alignment horizontal="center"/>
    </xf>
    <xf numFmtId="176" fontId="0" fillId="0" borderId="9" xfId="0" applyNumberFormat="1" applyBorder="1" applyAlignment="1">
      <alignment horizontal="right"/>
    </xf>
    <xf numFmtId="177" fontId="0" fillId="5" borderId="9" xfId="0" applyNumberFormat="1" applyFill="1" applyBorder="1"/>
    <xf numFmtId="0" fontId="5" fillId="0" borderId="9" xfId="0" applyFont="1" applyBorder="1" applyAlignment="1">
      <alignment horizontal="center"/>
    </xf>
    <xf numFmtId="0" fontId="0" fillId="7" borderId="18" xfId="0" applyFill="1" applyBorder="1"/>
    <xf numFmtId="2" fontId="0" fillId="0" borderId="0" xfId="0" applyNumberFormat="1" applyBorder="1" applyAlignment="1">
      <alignment horizontal="right"/>
    </xf>
    <xf numFmtId="176" fontId="0" fillId="0" borderId="3" xfId="0" applyNumberFormat="1" applyBorder="1" applyAlignment="1">
      <alignment horizontal="right"/>
    </xf>
    <xf numFmtId="0" fontId="0" fillId="4" borderId="8" xfId="0" applyFill="1" applyBorder="1"/>
    <xf numFmtId="177" fontId="0" fillId="0" borderId="9" xfId="0" applyNumberFormat="1" applyFill="1" applyBorder="1"/>
    <xf numFmtId="0" fontId="0" fillId="3" borderId="19" xfId="0" applyFont="1" applyFill="1" applyBorder="1" applyAlignment="1">
      <alignment horizontal="center"/>
    </xf>
    <xf numFmtId="0" fontId="0" fillId="3" borderId="21" xfId="0" applyFill="1" applyBorder="1" applyAlignment="1">
      <alignment horizontal="center"/>
    </xf>
    <xf numFmtId="0" fontId="0" fillId="0" borderId="11" xfId="0" applyFont="1" applyBorder="1" applyAlignment="1">
      <alignment horizontal="center"/>
    </xf>
    <xf numFmtId="0" fontId="0" fillId="0" borderId="9" xfId="0" applyFill="1" applyBorder="1"/>
    <xf numFmtId="0" fontId="0" fillId="3" borderId="10" xfId="0" applyFont="1" applyFill="1" applyBorder="1" applyAlignment="1">
      <alignment horizontal="center"/>
    </xf>
    <xf numFmtId="176" fontId="5" fillId="0" borderId="0" xfId="0" applyNumberFormat="1" applyFont="1" applyBorder="1" applyAlignment="1">
      <alignment horizontal="center"/>
    </xf>
    <xf numFmtId="176" fontId="0" fillId="0" borderId="0" xfId="0" applyNumberFormat="1" applyFill="1" applyBorder="1" applyAlignment="1">
      <alignment horizontal="right"/>
    </xf>
    <xf numFmtId="0" fontId="0" fillId="0" borderId="3" xfId="0" applyFill="1" applyBorder="1"/>
    <xf numFmtId="0" fontId="0" fillId="0" borderId="3" xfId="0" applyFont="1" applyFill="1" applyBorder="1"/>
    <xf numFmtId="176" fontId="0" fillId="0" borderId="3" xfId="0" applyNumberFormat="1" applyFill="1" applyBorder="1"/>
    <xf numFmtId="176" fontId="0" fillId="0" borderId="3" xfId="0" applyNumberFormat="1" applyFill="1" applyBorder="1" applyAlignment="1">
      <alignment horizontal="right"/>
    </xf>
    <xf numFmtId="177" fontId="0" fillId="0" borderId="3" xfId="0" applyNumberFormat="1" applyFill="1" applyBorder="1"/>
    <xf numFmtId="2" fontId="0" fillId="0" borderId="3" xfId="0" applyNumberFormat="1" applyFill="1" applyBorder="1"/>
    <xf numFmtId="179" fontId="0" fillId="0" borderId="3" xfId="0" applyNumberFormat="1" applyFont="1" applyFill="1" applyBorder="1" applyAlignment="1">
      <alignment horizontal="right"/>
    </xf>
    <xf numFmtId="1" fontId="0" fillId="0" borderId="21" xfId="0" applyNumberFormat="1" applyBorder="1" applyAlignment="1">
      <alignment horizontal="right"/>
    </xf>
    <xf numFmtId="0" fontId="0" fillId="3" borderId="21" xfId="0" applyFont="1" applyFill="1" applyBorder="1" applyAlignment="1">
      <alignment horizontal="center"/>
    </xf>
    <xf numFmtId="0" fontId="0" fillId="0" borderId="8" xfId="0" applyFill="1" applyBorder="1"/>
    <xf numFmtId="182" fontId="0" fillId="0" borderId="9" xfId="0" applyNumberFormat="1" applyBorder="1"/>
    <xf numFmtId="182" fontId="0" fillId="0" borderId="10" xfId="0" applyNumberFormat="1" applyBorder="1" applyAlignment="1">
      <alignment horizontal="right"/>
    </xf>
    <xf numFmtId="182" fontId="0" fillId="0" borderId="0" xfId="0" applyNumberFormat="1" applyBorder="1"/>
    <xf numFmtId="182" fontId="0" fillId="0" borderId="19" xfId="0" applyNumberFormat="1" applyBorder="1" applyAlignment="1">
      <alignment horizontal="right"/>
    </xf>
    <xf numFmtId="177" fontId="0" fillId="0" borderId="0" xfId="0" applyNumberFormat="1" applyFont="1" applyFill="1" applyBorder="1" applyAlignment="1">
      <alignment horizontal="right"/>
    </xf>
    <xf numFmtId="0" fontId="0" fillId="0" borderId="20" xfId="0" applyFill="1" applyBorder="1"/>
    <xf numFmtId="182" fontId="0" fillId="0" borderId="3" xfId="0" applyNumberFormat="1" applyBorder="1"/>
    <xf numFmtId="182" fontId="0" fillId="0" borderId="21" xfId="0" applyNumberFormat="1" applyBorder="1" applyAlignment="1">
      <alignment horizontal="right"/>
    </xf>
    <xf numFmtId="176" fontId="0" fillId="3" borderId="9" xfId="0" applyNumberFormat="1" applyFill="1" applyBorder="1"/>
    <xf numFmtId="0" fontId="13" fillId="0" borderId="9" xfId="0" applyFont="1" applyBorder="1" applyAlignment="1">
      <alignment horizontal="center"/>
    </xf>
    <xf numFmtId="182" fontId="0" fillId="0" borderId="9" xfId="0" applyNumberFormat="1" applyBorder="1" applyAlignment="1">
      <alignment horizontal="right"/>
    </xf>
    <xf numFmtId="0" fontId="0" fillId="3" borderId="11" xfId="0" applyFont="1" applyFill="1" applyBorder="1" applyAlignment="1">
      <alignment horizontal="center"/>
    </xf>
    <xf numFmtId="182" fontId="0" fillId="0" borderId="0" xfId="0" applyNumberFormat="1" applyBorder="1" applyAlignment="1">
      <alignment horizontal="left"/>
    </xf>
    <xf numFmtId="182" fontId="0" fillId="0" borderId="0" xfId="0" applyNumberFormat="1" applyBorder="1" applyAlignment="1">
      <alignment horizontal="right"/>
    </xf>
    <xf numFmtId="0" fontId="0" fillId="3" borderId="16" xfId="0" applyFont="1" applyFill="1" applyBorder="1" applyAlignment="1">
      <alignment horizontal="center"/>
    </xf>
    <xf numFmtId="177" fontId="0" fillId="0" borderId="0" xfId="0" applyNumberFormat="1" applyFill="1" applyBorder="1" applyAlignment="1">
      <alignment horizontal="right"/>
    </xf>
    <xf numFmtId="176" fontId="0" fillId="0" borderId="0" xfId="0" applyNumberFormat="1" applyFont="1" applyFill="1" applyBorder="1" applyAlignment="1">
      <alignment horizontal="center"/>
    </xf>
    <xf numFmtId="0" fontId="0" fillId="0" borderId="3" xfId="0" applyBorder="1" applyAlignment="1">
      <alignment horizontal="center"/>
    </xf>
    <xf numFmtId="0" fontId="0" fillId="3" borderId="17" xfId="0" applyFont="1" applyFill="1" applyBorder="1" applyAlignment="1">
      <alignment horizontal="center"/>
    </xf>
    <xf numFmtId="176" fontId="0" fillId="0" borderId="3" xfId="0" applyNumberFormat="1" applyFont="1" applyBorder="1" applyAlignment="1">
      <alignment horizontal="center"/>
    </xf>
    <xf numFmtId="176" fontId="0" fillId="0" borderId="5" xfId="0" applyNumberFormat="1" applyFont="1" applyBorder="1" applyAlignment="1">
      <alignment horizontal="right"/>
    </xf>
    <xf numFmtId="176" fontId="0" fillId="0" borderId="7" xfId="0" applyNumberFormat="1" applyBorder="1" applyAlignment="1">
      <alignment horizontal="center"/>
    </xf>
    <xf numFmtId="2" fontId="0" fillId="0" borderId="9" xfId="0" applyNumberFormat="1" applyFont="1" applyBorder="1" applyAlignment="1">
      <alignment horizontal="center"/>
    </xf>
    <xf numFmtId="2" fontId="0" fillId="0" borderId="4" xfId="0" applyNumberFormat="1" applyFont="1" applyBorder="1" applyAlignment="1">
      <alignment horizontal="center"/>
    </xf>
    <xf numFmtId="0" fontId="0" fillId="0" borderId="13" xfId="0" applyFont="1" applyBorder="1" applyAlignment="1">
      <alignment horizontal="center" textRotation="90"/>
    </xf>
    <xf numFmtId="0" fontId="0" fillId="0" borderId="4" xfId="0" applyFont="1" applyBorder="1" applyAlignment="1">
      <alignment horizontal="center" textRotation="90"/>
    </xf>
    <xf numFmtId="0" fontId="0" fillId="0" borderId="13" xfId="0" applyFont="1" applyBorder="1" applyAlignment="1">
      <alignment horizontal="center" vertical="center" textRotation="90"/>
    </xf>
    <xf numFmtId="0" fontId="0" fillId="0" borderId="4" xfId="0" applyFont="1" applyBorder="1" applyAlignment="1">
      <alignment horizontal="center" vertical="center" textRotation="90"/>
    </xf>
    <xf numFmtId="17" fontId="0" fillId="0" borderId="4" xfId="0" applyNumberFormat="1" applyFont="1" applyBorder="1" applyAlignment="1">
      <alignment horizontal="center" vertical="center" textRotation="90"/>
    </xf>
    <xf numFmtId="0" fontId="0" fillId="0" borderId="0" xfId="0" applyFont="1" applyBorder="1" applyAlignment="1">
      <alignment horizontal="center" vertical="center" textRotation="90"/>
    </xf>
    <xf numFmtId="0" fontId="29" fillId="0" borderId="13" xfId="0" applyFont="1" applyBorder="1" applyAlignment="1">
      <alignment horizontal="center"/>
    </xf>
    <xf numFmtId="0" fontId="29" fillId="0" borderId="14" xfId="0" applyFont="1" applyBorder="1" applyAlignment="1">
      <alignment horizontal="center"/>
    </xf>
    <xf numFmtId="0" fontId="29" fillId="0" borderId="4" xfId="0" applyFont="1" applyBorder="1" applyAlignment="1">
      <alignment horizontal="center"/>
    </xf>
  </cellXfs>
  <cellStyles count="1">
    <cellStyle name="常规"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61"/>
  <sheetViews>
    <sheetView tabSelected="1" zoomScale="85" zoomScaleNormal="85" workbookViewId="0">
      <pane ySplit="5" topLeftCell="A6" activePane="bottomLeft" state="frozen"/>
      <selection pane="bottomLeft" activeCell="C8" sqref="C8"/>
    </sheetView>
  </sheetViews>
  <sheetFormatPr defaultRowHeight="12.75" x14ac:dyDescent="0.2"/>
  <cols>
    <col min="1" max="2" width="5" customWidth="1"/>
    <col min="3" max="3" width="10.7109375" customWidth="1"/>
    <col min="4" max="4" width="10.42578125" customWidth="1"/>
    <col min="6" max="6" width="9.140625" style="1"/>
    <col min="7" max="7" width="8.85546875" style="2" customWidth="1"/>
    <col min="8" max="8" width="9.140625" style="2"/>
    <col min="9" max="9" width="9.5703125" style="2" customWidth="1"/>
    <col min="10" max="10" width="9.140625" style="3"/>
    <col min="11" max="11" width="12" style="1" customWidth="1"/>
    <col min="12" max="12" width="3.42578125" customWidth="1"/>
    <col min="13" max="13" width="5.7109375" style="4" customWidth="1"/>
    <col min="14" max="14" width="9.140625" style="5"/>
    <col min="15" max="15" width="14.140625" customWidth="1"/>
    <col min="16" max="16" width="23" style="1" customWidth="1"/>
    <col min="17" max="17" width="4.85546875" customWidth="1"/>
    <col min="18" max="18" width="23.42578125" style="1" customWidth="1"/>
    <col min="21" max="21" width="5.140625" customWidth="1"/>
  </cols>
  <sheetData>
    <row r="1" spans="1:21" x14ac:dyDescent="0.2">
      <c r="G1" s="6"/>
      <c r="H1" s="6"/>
      <c r="I1" s="7"/>
      <c r="S1" s="8">
        <v>1500</v>
      </c>
      <c r="T1" s="9">
        <v>2</v>
      </c>
    </row>
    <row r="2" spans="1:21" x14ac:dyDescent="0.2">
      <c r="G2" s="6"/>
      <c r="H2" s="6"/>
      <c r="I2" s="6"/>
      <c r="J2" s="10"/>
    </row>
    <row r="3" spans="1:21" x14ac:dyDescent="0.2">
      <c r="C3" s="11"/>
      <c r="H3" s="142" t="s">
        <v>0</v>
      </c>
      <c r="I3" s="142"/>
      <c r="J3" s="142"/>
      <c r="K3" s="1" t="s">
        <v>1</v>
      </c>
      <c r="S3" s="12" t="s">
        <v>2</v>
      </c>
      <c r="T3" s="13" t="s">
        <v>3</v>
      </c>
    </row>
    <row r="4" spans="1:21" x14ac:dyDescent="0.2">
      <c r="H4" s="143" t="s">
        <v>4</v>
      </c>
      <c r="I4" s="143"/>
      <c r="J4" s="14">
        <f>J6+J21+J39+J59+J79+J95+J109+J119+J135+J146</f>
        <v>3305</v>
      </c>
      <c r="S4" s="15">
        <f>S1*($T$1/100)</f>
        <v>30</v>
      </c>
      <c r="T4" s="15">
        <f>S1-S4</f>
        <v>1470</v>
      </c>
      <c r="U4">
        <v>1</v>
      </c>
    </row>
    <row r="5" spans="1:21" x14ac:dyDescent="0.2">
      <c r="B5" s="15">
        <f>COUNT(B8:B189)</f>
        <v>109</v>
      </c>
      <c r="C5" t="s">
        <v>5</v>
      </c>
      <c r="D5" t="s">
        <v>6</v>
      </c>
      <c r="H5" s="144"/>
      <c r="I5" s="144"/>
      <c r="J5" s="144"/>
      <c r="S5" s="3">
        <f t="shared" ref="S5:S30" si="0">T4*($T$1/100)</f>
        <v>29.400000000000002</v>
      </c>
      <c r="T5" s="3">
        <f t="shared" ref="T5:T30" si="1">T4-S5</f>
        <v>1440.6</v>
      </c>
      <c r="U5">
        <v>2</v>
      </c>
    </row>
    <row r="6" spans="1:21" x14ac:dyDescent="0.2">
      <c r="B6" s="16"/>
      <c r="C6" s="17"/>
      <c r="D6" s="17"/>
      <c r="E6" s="17"/>
      <c r="F6" s="18"/>
      <c r="G6" s="19"/>
      <c r="H6" s="19"/>
      <c r="I6" s="20" t="s">
        <v>7</v>
      </c>
      <c r="J6" s="21">
        <f>SUM(J8:J19)</f>
        <v>379.5</v>
      </c>
      <c r="K6" s="18"/>
      <c r="L6" s="16"/>
      <c r="M6" s="145" t="s">
        <v>8</v>
      </c>
      <c r="N6" s="145"/>
      <c r="O6" s="145"/>
      <c r="P6" s="22"/>
      <c r="S6" s="3">
        <f t="shared" si="0"/>
        <v>28.811999999999998</v>
      </c>
      <c r="T6" s="3">
        <f t="shared" si="1"/>
        <v>1411.788</v>
      </c>
      <c r="U6">
        <v>3</v>
      </c>
    </row>
    <row r="7" spans="1:21" x14ac:dyDescent="0.2">
      <c r="A7" s="23"/>
      <c r="B7" s="153" t="s">
        <v>224</v>
      </c>
      <c r="C7" s="155" t="s">
        <v>225</v>
      </c>
      <c r="D7" s="154" t="s">
        <v>226</v>
      </c>
      <c r="E7" s="154" t="s">
        <v>227</v>
      </c>
      <c r="F7" s="25" t="s">
        <v>228</v>
      </c>
      <c r="G7" s="26" t="s">
        <v>229</v>
      </c>
      <c r="H7" s="26" t="s">
        <v>230</v>
      </c>
      <c r="I7" s="26" t="s">
        <v>9</v>
      </c>
      <c r="J7" s="27" t="s">
        <v>10</v>
      </c>
      <c r="K7" s="26" t="s">
        <v>231</v>
      </c>
      <c r="L7" s="146" t="s">
        <v>232</v>
      </c>
      <c r="M7" s="146"/>
      <c r="N7" s="28" t="s">
        <v>2</v>
      </c>
      <c r="O7" s="26" t="s">
        <v>11</v>
      </c>
      <c r="P7" s="24" t="s">
        <v>12</v>
      </c>
      <c r="R7" s="29"/>
      <c r="S7" s="3">
        <f t="shared" si="0"/>
        <v>28.235759999999999</v>
      </c>
      <c r="T7" s="3">
        <f t="shared" si="1"/>
        <v>1383.55224</v>
      </c>
      <c r="U7">
        <v>4</v>
      </c>
    </row>
    <row r="8" spans="1:21" x14ac:dyDescent="0.2">
      <c r="A8" s="147" t="s">
        <v>233</v>
      </c>
      <c r="B8" s="30">
        <v>1</v>
      </c>
      <c r="C8" s="31" t="s">
        <v>13</v>
      </c>
      <c r="D8" s="32" t="s">
        <v>14</v>
      </c>
      <c r="E8" s="33">
        <v>0.33333333333333331</v>
      </c>
      <c r="F8" s="34" t="s">
        <v>15</v>
      </c>
      <c r="G8" s="35">
        <v>1.4254</v>
      </c>
      <c r="H8" s="35">
        <v>1.4287000000000001</v>
      </c>
      <c r="I8" s="35">
        <v>1.4206000000000001</v>
      </c>
      <c r="J8" s="10">
        <v>48</v>
      </c>
      <c r="K8" s="34"/>
      <c r="L8" s="36" t="s">
        <v>16</v>
      </c>
      <c r="M8" s="37">
        <f t="shared" ref="M8:M19" si="2">IF((I8-G8)/(H8-G8)&lt;0,(I8-G8)/(H8-G8)*-1,(I8-G8)/(H8-G8))</f>
        <v>1.4545454545453933</v>
      </c>
      <c r="N8" s="38">
        <f t="shared" ref="N8:N19" si="3">IF((G8-H8)*10000&lt;1,(G8-H8)*-1*10000,(G8-H8)*10000)</f>
        <v>33.00000000000081</v>
      </c>
      <c r="O8" s="39">
        <f t="shared" ref="O8:O19" si="4">N8*M8</f>
        <v>47.999999999999154</v>
      </c>
      <c r="P8" s="40"/>
      <c r="R8" s="41"/>
      <c r="S8" s="3">
        <f t="shared" si="0"/>
        <v>27.671044800000001</v>
      </c>
      <c r="T8" s="3">
        <f t="shared" si="1"/>
        <v>1355.8811952000001</v>
      </c>
      <c r="U8">
        <v>5</v>
      </c>
    </row>
    <row r="9" spans="1:21" x14ac:dyDescent="0.2">
      <c r="A9" s="147"/>
      <c r="B9" s="30">
        <v>2</v>
      </c>
      <c r="C9" s="31" t="s">
        <v>13</v>
      </c>
      <c r="D9" s="32" t="s">
        <v>17</v>
      </c>
      <c r="E9" s="33">
        <v>0.66666666666666663</v>
      </c>
      <c r="F9" s="34" t="s">
        <v>15</v>
      </c>
      <c r="G9" s="35">
        <v>1.415</v>
      </c>
      <c r="H9" s="35">
        <v>1.4187000000000001</v>
      </c>
      <c r="I9" s="35">
        <v>1.4108000000000001</v>
      </c>
      <c r="J9" s="10">
        <v>42</v>
      </c>
      <c r="K9" s="34"/>
      <c r="L9" s="36" t="s">
        <v>16</v>
      </c>
      <c r="M9" s="37">
        <f t="shared" si="2"/>
        <v>1.1351351351351189</v>
      </c>
      <c r="N9" s="38">
        <f t="shared" si="3"/>
        <v>37.000000000000369</v>
      </c>
      <c r="O9" s="39">
        <f t="shared" si="4"/>
        <v>41.999999999999815</v>
      </c>
      <c r="P9" s="40"/>
      <c r="R9" s="41"/>
      <c r="S9" s="3">
        <f t="shared" si="0"/>
        <v>27.117623904000002</v>
      </c>
      <c r="T9" s="3">
        <f t="shared" si="1"/>
        <v>1328.763571296</v>
      </c>
      <c r="U9">
        <v>6</v>
      </c>
    </row>
    <row r="10" spans="1:21" x14ac:dyDescent="0.2">
      <c r="A10" s="147"/>
      <c r="B10" s="30">
        <v>3</v>
      </c>
      <c r="C10" s="31" t="s">
        <v>13</v>
      </c>
      <c r="D10" s="32" t="s">
        <v>18</v>
      </c>
      <c r="E10" s="33">
        <v>0.5</v>
      </c>
      <c r="F10" s="34" t="s">
        <v>15</v>
      </c>
      <c r="G10" s="35">
        <v>1.4126000000000001</v>
      </c>
      <c r="H10" s="35">
        <v>1.4145000000000001</v>
      </c>
      <c r="I10" s="35">
        <v>1.409</v>
      </c>
      <c r="J10" s="10">
        <v>36</v>
      </c>
      <c r="K10" s="34"/>
      <c r="L10" s="36" t="s">
        <v>16</v>
      </c>
      <c r="M10" s="37">
        <f t="shared" si="2"/>
        <v>1.8947368421052755</v>
      </c>
      <c r="N10" s="38">
        <f t="shared" si="3"/>
        <v>19.000000000000128</v>
      </c>
      <c r="O10" s="39">
        <f t="shared" si="4"/>
        <v>36.000000000000476</v>
      </c>
      <c r="P10" s="40"/>
      <c r="R10" s="41"/>
      <c r="S10" s="3">
        <f t="shared" si="0"/>
        <v>26.57527142592</v>
      </c>
      <c r="T10" s="3">
        <f t="shared" si="1"/>
        <v>1302.1882998700801</v>
      </c>
      <c r="U10">
        <v>7</v>
      </c>
    </row>
    <row r="11" spans="1:21" x14ac:dyDescent="0.2">
      <c r="A11" s="147"/>
      <c r="B11" s="42">
        <v>4</v>
      </c>
      <c r="C11" s="31" t="s">
        <v>19</v>
      </c>
      <c r="D11" s="32" t="s">
        <v>20</v>
      </c>
      <c r="E11" s="33">
        <v>0.33333333333333331</v>
      </c>
      <c r="F11" s="34" t="s">
        <v>15</v>
      </c>
      <c r="G11" s="35">
        <v>2.0331000000000001</v>
      </c>
      <c r="H11" s="35">
        <v>2.0367999999999999</v>
      </c>
      <c r="I11" s="35">
        <v>2.028</v>
      </c>
      <c r="J11" s="10">
        <v>33.5</v>
      </c>
      <c r="K11" s="34"/>
      <c r="L11" s="36" t="s">
        <v>16</v>
      </c>
      <c r="M11" s="37">
        <f t="shared" si="2"/>
        <v>1.3783783783784758</v>
      </c>
      <c r="N11" s="38">
        <f t="shared" si="3"/>
        <v>36.999999999998145</v>
      </c>
      <c r="O11" s="39">
        <f t="shared" si="4"/>
        <v>51.000000000001044</v>
      </c>
      <c r="P11" s="40"/>
      <c r="R11" s="41"/>
      <c r="S11" s="3">
        <f t="shared" si="0"/>
        <v>26.043765997401604</v>
      </c>
      <c r="T11" s="3">
        <f t="shared" si="1"/>
        <v>1276.1445338726785</v>
      </c>
      <c r="U11">
        <v>8</v>
      </c>
    </row>
    <row r="12" spans="1:21" x14ac:dyDescent="0.2">
      <c r="A12" s="147"/>
      <c r="B12" s="30">
        <v>5</v>
      </c>
      <c r="C12" s="31" t="s">
        <v>13</v>
      </c>
      <c r="D12" s="43" t="s">
        <v>21</v>
      </c>
      <c r="E12" s="33">
        <v>0.33333333333333331</v>
      </c>
      <c r="F12" s="34" t="s">
        <v>22</v>
      </c>
      <c r="G12" s="35">
        <v>1.4161999999999999</v>
      </c>
      <c r="H12" s="35">
        <v>1.4125000000000001</v>
      </c>
      <c r="I12" s="35">
        <v>1.4235</v>
      </c>
      <c r="J12" s="10">
        <v>51</v>
      </c>
      <c r="K12" s="34"/>
      <c r="L12" s="36" t="s">
        <v>16</v>
      </c>
      <c r="M12" s="37">
        <f t="shared" si="2"/>
        <v>1.9729729729730947</v>
      </c>
      <c r="N12" s="38">
        <f t="shared" si="3"/>
        <v>36.999999999998145</v>
      </c>
      <c r="O12" s="39">
        <f t="shared" si="4"/>
        <v>73.000000000000838</v>
      </c>
      <c r="P12" s="40" t="s">
        <v>23</v>
      </c>
      <c r="R12" s="41"/>
      <c r="S12" s="3">
        <f t="shared" si="0"/>
        <v>25.522890677453571</v>
      </c>
      <c r="T12" s="3">
        <f t="shared" si="1"/>
        <v>1250.621643195225</v>
      </c>
      <c r="U12">
        <v>9</v>
      </c>
    </row>
    <row r="13" spans="1:21" x14ac:dyDescent="0.2">
      <c r="A13" s="147"/>
      <c r="B13" s="42">
        <v>6</v>
      </c>
      <c r="C13" s="31" t="s">
        <v>19</v>
      </c>
      <c r="D13" s="32" t="s">
        <v>24</v>
      </c>
      <c r="E13" s="33">
        <v>0.33333333333333331</v>
      </c>
      <c r="F13" s="34" t="s">
        <v>15</v>
      </c>
      <c r="G13" s="35">
        <v>2.0305</v>
      </c>
      <c r="H13" s="35">
        <v>2.0337999999999998</v>
      </c>
      <c r="I13" s="35">
        <v>2.0245000000000002</v>
      </c>
      <c r="J13" s="10">
        <v>27</v>
      </c>
      <c r="K13" s="34"/>
      <c r="L13" s="36" t="s">
        <v>16</v>
      </c>
      <c r="M13" s="37">
        <f t="shared" si="2"/>
        <v>1.8181818181818303</v>
      </c>
      <c r="N13" s="38">
        <f t="shared" si="3"/>
        <v>32.999999999998586</v>
      </c>
      <c r="O13" s="39">
        <f t="shared" si="4"/>
        <v>59.999999999997833</v>
      </c>
      <c r="P13" s="40"/>
      <c r="R13" s="41"/>
      <c r="S13" s="3">
        <f t="shared" si="0"/>
        <v>25.0124328639045</v>
      </c>
      <c r="T13" s="3">
        <f t="shared" si="1"/>
        <v>1225.6092103313206</v>
      </c>
      <c r="U13">
        <v>10</v>
      </c>
    </row>
    <row r="14" spans="1:21" x14ac:dyDescent="0.2">
      <c r="A14" s="147"/>
      <c r="B14" s="30">
        <v>7</v>
      </c>
      <c r="C14" s="31" t="s">
        <v>13</v>
      </c>
      <c r="D14" s="32" t="s">
        <v>25</v>
      </c>
      <c r="E14" s="33">
        <v>0.33333333333333331</v>
      </c>
      <c r="F14" s="34" t="s">
        <v>22</v>
      </c>
      <c r="G14" s="35">
        <v>1.4184000000000001</v>
      </c>
      <c r="H14" s="35">
        <v>1.4156</v>
      </c>
      <c r="I14" s="44">
        <v>1.4274</v>
      </c>
      <c r="J14" s="45">
        <v>0</v>
      </c>
      <c r="K14" s="34" t="s">
        <v>26</v>
      </c>
      <c r="L14" s="36" t="s">
        <v>16</v>
      </c>
      <c r="M14" s="37">
        <f t="shared" si="2"/>
        <v>3.2142857142855217</v>
      </c>
      <c r="N14" s="38">
        <f t="shared" si="3"/>
        <v>28.000000000001357</v>
      </c>
      <c r="O14" s="39">
        <f t="shared" si="4"/>
        <v>89.999999999998963</v>
      </c>
      <c r="P14" s="40"/>
      <c r="R14" s="41"/>
      <c r="S14" s="3">
        <f t="shared" si="0"/>
        <v>24.512184206626412</v>
      </c>
      <c r="T14" s="3">
        <f t="shared" si="1"/>
        <v>1201.0970261246941</v>
      </c>
      <c r="U14">
        <v>11</v>
      </c>
    </row>
    <row r="15" spans="1:21" x14ac:dyDescent="0.2">
      <c r="A15" s="147"/>
      <c r="B15" s="42">
        <v>8</v>
      </c>
      <c r="C15" s="31" t="s">
        <v>19</v>
      </c>
      <c r="D15" s="32" t="s">
        <v>27</v>
      </c>
      <c r="E15" s="33">
        <v>0.33333333333333331</v>
      </c>
      <c r="F15" s="34" t="s">
        <v>15</v>
      </c>
      <c r="G15" s="35">
        <v>2.0413000000000001</v>
      </c>
      <c r="H15" s="35">
        <v>2.044</v>
      </c>
      <c r="I15" s="35">
        <v>2.0354999999999999</v>
      </c>
      <c r="J15" s="10">
        <v>58</v>
      </c>
      <c r="K15" s="34"/>
      <c r="L15" s="36" t="s">
        <v>16</v>
      </c>
      <c r="M15" s="37">
        <f t="shared" si="2"/>
        <v>2.1481481481483002</v>
      </c>
      <c r="N15" s="38">
        <f t="shared" si="3"/>
        <v>26.999999999999247</v>
      </c>
      <c r="O15" s="39">
        <f t="shared" si="4"/>
        <v>58.000000000002487</v>
      </c>
      <c r="P15" s="40"/>
      <c r="R15" s="41"/>
      <c r="S15" s="3">
        <f t="shared" si="0"/>
        <v>24.021940522493882</v>
      </c>
      <c r="T15" s="3">
        <f t="shared" si="1"/>
        <v>1177.0750856022003</v>
      </c>
      <c r="U15">
        <v>12</v>
      </c>
    </row>
    <row r="16" spans="1:21" x14ac:dyDescent="0.2">
      <c r="A16" s="147"/>
      <c r="B16" s="30">
        <v>9</v>
      </c>
      <c r="C16" s="31" t="s">
        <v>13</v>
      </c>
      <c r="D16" s="43" t="s">
        <v>28</v>
      </c>
      <c r="E16" s="33">
        <v>0.4375</v>
      </c>
      <c r="F16" s="34" t="s">
        <v>22</v>
      </c>
      <c r="G16" s="35">
        <v>1.4245000000000001</v>
      </c>
      <c r="H16" s="35">
        <v>1.4225000000000001</v>
      </c>
      <c r="I16" s="35">
        <v>1.43</v>
      </c>
      <c r="J16" s="10">
        <v>32</v>
      </c>
      <c r="K16" s="34"/>
      <c r="L16" s="36" t="s">
        <v>16</v>
      </c>
      <c r="M16" s="37">
        <f t="shared" si="2"/>
        <v>2.7499999999999165</v>
      </c>
      <c r="N16" s="38">
        <f t="shared" si="3"/>
        <v>20.000000000000018</v>
      </c>
      <c r="O16" s="39">
        <f t="shared" si="4"/>
        <v>54.99999999999838</v>
      </c>
      <c r="P16" s="40"/>
      <c r="R16" s="41"/>
      <c r="S16" s="3">
        <f t="shared" si="0"/>
        <v>23.541501712044006</v>
      </c>
      <c r="T16" s="3">
        <f t="shared" si="1"/>
        <v>1153.5335838901563</v>
      </c>
      <c r="U16">
        <v>13</v>
      </c>
    </row>
    <row r="17" spans="1:21" x14ac:dyDescent="0.2">
      <c r="A17" s="147"/>
      <c r="B17" s="30">
        <v>10</v>
      </c>
      <c r="C17" s="31" t="s">
        <v>13</v>
      </c>
      <c r="D17" s="32" t="s">
        <v>29</v>
      </c>
      <c r="E17" s="33">
        <v>0.33333333333333331</v>
      </c>
      <c r="F17" s="34" t="s">
        <v>15</v>
      </c>
      <c r="G17" s="35">
        <v>1.425</v>
      </c>
      <c r="H17" s="35">
        <v>1.4273</v>
      </c>
      <c r="I17" s="35">
        <v>1.4205000000000001</v>
      </c>
      <c r="J17" s="10">
        <v>45</v>
      </c>
      <c r="K17" s="34"/>
      <c r="L17" s="36" t="s">
        <v>16</v>
      </c>
      <c r="M17" s="37">
        <f t="shared" si="2"/>
        <v>1.956521739130439</v>
      </c>
      <c r="N17" s="38">
        <f t="shared" si="3"/>
        <v>22.999999999999687</v>
      </c>
      <c r="O17" s="39">
        <f t="shared" si="4"/>
        <v>44.999999999999488</v>
      </c>
      <c r="P17" s="40" t="s">
        <v>30</v>
      </c>
      <c r="R17" s="41"/>
      <c r="S17" s="3">
        <f t="shared" si="0"/>
        <v>23.070671677803126</v>
      </c>
      <c r="T17" s="3">
        <f t="shared" si="1"/>
        <v>1130.4629122123531</v>
      </c>
      <c r="U17">
        <v>14</v>
      </c>
    </row>
    <row r="18" spans="1:21" x14ac:dyDescent="0.2">
      <c r="A18" s="147"/>
      <c r="B18" s="30">
        <v>11</v>
      </c>
      <c r="C18" s="31" t="s">
        <v>13</v>
      </c>
      <c r="D18" s="32" t="s">
        <v>31</v>
      </c>
      <c r="E18" s="33">
        <v>0.5</v>
      </c>
      <c r="F18" s="34" t="s">
        <v>15</v>
      </c>
      <c r="G18" s="35">
        <v>1.4415</v>
      </c>
      <c r="H18" s="35">
        <v>1.4448000000000001</v>
      </c>
      <c r="I18" s="35">
        <v>1.4355</v>
      </c>
      <c r="J18" s="10">
        <v>15</v>
      </c>
      <c r="K18" s="34"/>
      <c r="L18" s="36" t="s">
        <v>16</v>
      </c>
      <c r="M18" s="37">
        <f t="shared" si="2"/>
        <v>1.8181818181817753</v>
      </c>
      <c r="N18" s="38">
        <f t="shared" si="3"/>
        <v>33.00000000000081</v>
      </c>
      <c r="O18" s="39">
        <f t="shared" si="4"/>
        <v>60.000000000000057</v>
      </c>
      <c r="P18" s="40"/>
      <c r="R18" s="41"/>
      <c r="S18" s="3">
        <f t="shared" si="0"/>
        <v>22.609258244247062</v>
      </c>
      <c r="T18" s="3">
        <f t="shared" si="1"/>
        <v>1107.8536539681061</v>
      </c>
      <c r="U18">
        <v>15</v>
      </c>
    </row>
    <row r="19" spans="1:21" x14ac:dyDescent="0.2">
      <c r="A19" s="147"/>
      <c r="B19" s="46">
        <v>12</v>
      </c>
      <c r="C19" s="47" t="s">
        <v>13</v>
      </c>
      <c r="D19" s="48" t="s">
        <v>32</v>
      </c>
      <c r="E19" s="49">
        <v>0.33333333333333331</v>
      </c>
      <c r="F19" s="50" t="s">
        <v>15</v>
      </c>
      <c r="G19" s="51">
        <v>1.4441999999999999</v>
      </c>
      <c r="H19" s="51">
        <v>1.448</v>
      </c>
      <c r="I19" s="51">
        <v>1.4370000000000001</v>
      </c>
      <c r="J19" s="52">
        <v>-8</v>
      </c>
      <c r="K19" s="50" t="s">
        <v>33</v>
      </c>
      <c r="L19" s="53" t="s">
        <v>16</v>
      </c>
      <c r="M19" s="54">
        <f t="shared" si="2"/>
        <v>1.8947368421052171</v>
      </c>
      <c r="N19" s="55">
        <f t="shared" si="3"/>
        <v>38.000000000000256</v>
      </c>
      <c r="O19" s="56">
        <f t="shared" si="4"/>
        <v>71.999999999998735</v>
      </c>
      <c r="P19" s="57"/>
      <c r="R19" s="41"/>
      <c r="S19" s="3">
        <f t="shared" si="0"/>
        <v>22.157073079362121</v>
      </c>
      <c r="T19" s="3">
        <f t="shared" si="1"/>
        <v>1085.6965808887439</v>
      </c>
      <c r="U19">
        <v>16</v>
      </c>
    </row>
    <row r="20" spans="1:21" x14ac:dyDescent="0.2">
      <c r="B20" s="58"/>
      <c r="D20" s="59"/>
      <c r="E20" s="60"/>
      <c r="K20" s="34"/>
      <c r="L20" s="61"/>
      <c r="O20" s="15"/>
      <c r="P20" s="22" t="s">
        <v>34</v>
      </c>
      <c r="R20" s="41"/>
      <c r="S20" s="3">
        <f t="shared" si="0"/>
        <v>21.713931617774879</v>
      </c>
      <c r="T20" s="3">
        <f t="shared" si="1"/>
        <v>1063.982649270969</v>
      </c>
      <c r="U20">
        <v>17</v>
      </c>
    </row>
    <row r="21" spans="1:21" x14ac:dyDescent="0.2">
      <c r="I21" s="20" t="s">
        <v>7</v>
      </c>
      <c r="J21" s="21">
        <f>SUM(J22:J36)</f>
        <v>335</v>
      </c>
      <c r="P21" s="62" t="s">
        <v>35</v>
      </c>
      <c r="R21" s="41"/>
      <c r="S21" s="3">
        <f t="shared" si="0"/>
        <v>21.279652985419379</v>
      </c>
      <c r="T21" s="3">
        <f t="shared" si="1"/>
        <v>1042.7029962855495</v>
      </c>
      <c r="U21">
        <v>18</v>
      </c>
    </row>
    <row r="22" spans="1:21" ht="12.75" customHeight="1" x14ac:dyDescent="0.2">
      <c r="A22" s="147" t="s">
        <v>36</v>
      </c>
      <c r="B22" s="16">
        <v>1</v>
      </c>
      <c r="C22" s="17" t="s">
        <v>13</v>
      </c>
      <c r="D22" s="63" t="s">
        <v>37</v>
      </c>
      <c r="E22" s="64">
        <v>0.33333333333333331</v>
      </c>
      <c r="F22" s="18" t="s">
        <v>15</v>
      </c>
      <c r="G22" s="19">
        <v>1.4453</v>
      </c>
      <c r="H22" s="19">
        <v>1.4416</v>
      </c>
      <c r="I22" s="19">
        <v>1.4490000000000001</v>
      </c>
      <c r="J22" s="65">
        <v>19</v>
      </c>
      <c r="K22" s="66"/>
      <c r="L22" s="67" t="s">
        <v>16</v>
      </c>
      <c r="M22" s="68">
        <f t="shared" ref="M22:M36" si="5">IF((I22-G22)/(H22-G22)&lt;0,(I22-G22)/(H22-G22)*-1,(I22-G22)/(H22-G22))</f>
        <v>1</v>
      </c>
      <c r="N22" s="69">
        <f t="shared" ref="N22:N32" si="6">IF((G22-H22)*10000&lt;1,(G22-H22)*-1*10000,(G22-H22)*10000)</f>
        <v>37.000000000000369</v>
      </c>
      <c r="O22" s="70">
        <f t="shared" ref="O22:O36" si="7">N22*M22</f>
        <v>37.000000000000369</v>
      </c>
      <c r="P22" s="71"/>
      <c r="R22" s="41"/>
      <c r="S22" s="3">
        <f t="shared" si="0"/>
        <v>20.854059925710992</v>
      </c>
      <c r="T22" s="3">
        <f t="shared" si="1"/>
        <v>1021.8489363598385</v>
      </c>
      <c r="U22">
        <v>19</v>
      </c>
    </row>
    <row r="23" spans="1:21" x14ac:dyDescent="0.2">
      <c r="A23" s="147"/>
      <c r="B23" s="72">
        <v>2</v>
      </c>
      <c r="C23" s="30" t="s">
        <v>13</v>
      </c>
      <c r="D23" s="30" t="s">
        <v>38</v>
      </c>
      <c r="E23" s="33">
        <v>0.16666666666666666</v>
      </c>
      <c r="F23" s="34" t="s">
        <v>15</v>
      </c>
      <c r="G23" s="35">
        <v>1.4494</v>
      </c>
      <c r="H23" s="35">
        <v>1.4532</v>
      </c>
      <c r="I23" s="35">
        <v>1.4460999999999999</v>
      </c>
      <c r="J23" s="10">
        <f>(34*0.5)+(24*0.5)</f>
        <v>29</v>
      </c>
      <c r="K23" s="34"/>
      <c r="L23" s="36" t="s">
        <v>16</v>
      </c>
      <c r="M23" s="37">
        <f t="shared" si="5"/>
        <v>0.8684210526315943</v>
      </c>
      <c r="N23" s="38">
        <f t="shared" si="6"/>
        <v>38.000000000000256</v>
      </c>
      <c r="O23" s="73">
        <f t="shared" si="7"/>
        <v>33.000000000000803</v>
      </c>
      <c r="P23" s="40" t="s">
        <v>39</v>
      </c>
      <c r="R23" s="41"/>
      <c r="S23" s="3">
        <f t="shared" si="0"/>
        <v>20.43697872719677</v>
      </c>
      <c r="T23" s="3">
        <f t="shared" si="1"/>
        <v>1001.4119576326417</v>
      </c>
      <c r="U23">
        <v>20</v>
      </c>
    </row>
    <row r="24" spans="1:21" x14ac:dyDescent="0.2">
      <c r="A24" s="147"/>
      <c r="B24" s="72">
        <v>3</v>
      </c>
      <c r="C24" s="30" t="s">
        <v>13</v>
      </c>
      <c r="D24" s="74" t="s">
        <v>40</v>
      </c>
      <c r="E24" s="33">
        <v>0.29166666666666669</v>
      </c>
      <c r="F24" s="34" t="s">
        <v>22</v>
      </c>
      <c r="G24" s="35">
        <v>1.448</v>
      </c>
      <c r="H24" s="35">
        <v>1.4455</v>
      </c>
      <c r="I24" s="35">
        <v>1.4519</v>
      </c>
      <c r="J24" s="10">
        <v>28</v>
      </c>
      <c r="K24" s="34"/>
      <c r="L24" s="36" t="s">
        <v>16</v>
      </c>
      <c r="M24" s="37">
        <f t="shared" si="5"/>
        <v>1.5600000000000391</v>
      </c>
      <c r="N24" s="38">
        <f t="shared" si="6"/>
        <v>24.999999999999467</v>
      </c>
      <c r="O24" s="73">
        <f t="shared" si="7"/>
        <v>39.000000000000149</v>
      </c>
      <c r="P24" s="40" t="s">
        <v>41</v>
      </c>
      <c r="R24" s="41"/>
      <c r="S24" s="3">
        <f t="shared" si="0"/>
        <v>20.028239152652834</v>
      </c>
      <c r="T24" s="3">
        <f t="shared" si="1"/>
        <v>981.38371847998883</v>
      </c>
      <c r="U24">
        <v>21</v>
      </c>
    </row>
    <row r="25" spans="1:21" x14ac:dyDescent="0.2">
      <c r="A25" s="147"/>
      <c r="B25" s="72">
        <v>4</v>
      </c>
      <c r="C25" s="30" t="s">
        <v>13</v>
      </c>
      <c r="D25" s="30" t="s">
        <v>42</v>
      </c>
      <c r="E25" s="33">
        <v>0.875</v>
      </c>
      <c r="F25" s="34" t="s">
        <v>15</v>
      </c>
      <c r="G25" s="35">
        <v>1.4664999999999999</v>
      </c>
      <c r="H25" s="35">
        <v>1.4686999999999999</v>
      </c>
      <c r="I25" s="35">
        <v>1.4637</v>
      </c>
      <c r="J25" s="10">
        <f>28*0.5</f>
        <v>14</v>
      </c>
      <c r="K25" s="34"/>
      <c r="L25" s="36" t="s">
        <v>16</v>
      </c>
      <c r="M25" s="37">
        <f t="shared" si="5"/>
        <v>1.2727272727272452</v>
      </c>
      <c r="N25" s="38">
        <f t="shared" si="6"/>
        <v>21.999999999999797</v>
      </c>
      <c r="O25" s="73">
        <f t="shared" si="7"/>
        <v>27.999999999999137</v>
      </c>
      <c r="P25" s="40"/>
      <c r="R25" s="41"/>
      <c r="S25" s="3">
        <f t="shared" si="0"/>
        <v>19.627674369599777</v>
      </c>
      <c r="T25" s="3">
        <f t="shared" si="1"/>
        <v>961.7560441103891</v>
      </c>
      <c r="U25">
        <v>22</v>
      </c>
    </row>
    <row r="26" spans="1:21" x14ac:dyDescent="0.2">
      <c r="A26" s="147"/>
      <c r="B26" s="72">
        <v>5</v>
      </c>
      <c r="C26" s="30" t="s">
        <v>13</v>
      </c>
      <c r="D26" s="30" t="s">
        <v>43</v>
      </c>
      <c r="E26" s="33">
        <v>0.66666666666666663</v>
      </c>
      <c r="F26" s="34" t="s">
        <v>15</v>
      </c>
      <c r="G26" s="35">
        <v>1.4674</v>
      </c>
      <c r="H26" s="35">
        <v>1.4708000000000001</v>
      </c>
      <c r="I26" s="35">
        <v>1.464</v>
      </c>
      <c r="J26" s="10">
        <v>34</v>
      </c>
      <c r="K26" s="34"/>
      <c r="L26" s="36" t="s">
        <v>16</v>
      </c>
      <c r="M26" s="37">
        <f t="shared" si="5"/>
        <v>1</v>
      </c>
      <c r="N26" s="38">
        <f t="shared" si="6"/>
        <v>34.000000000000696</v>
      </c>
      <c r="O26" s="73">
        <f t="shared" si="7"/>
        <v>34.000000000000696</v>
      </c>
      <c r="P26" s="40" t="s">
        <v>44</v>
      </c>
      <c r="R26" s="41"/>
      <c r="S26" s="3">
        <f t="shared" si="0"/>
        <v>19.235120882207781</v>
      </c>
      <c r="T26" s="3">
        <f t="shared" si="1"/>
        <v>942.52092322818135</v>
      </c>
      <c r="U26">
        <v>23</v>
      </c>
    </row>
    <row r="27" spans="1:21" x14ac:dyDescent="0.2">
      <c r="A27" s="147"/>
      <c r="B27" s="72">
        <v>6</v>
      </c>
      <c r="C27" s="30" t="s">
        <v>13</v>
      </c>
      <c r="D27" s="30" t="s">
        <v>45</v>
      </c>
      <c r="E27" s="33">
        <v>0.58333333333333326</v>
      </c>
      <c r="F27" s="34" t="s">
        <v>15</v>
      </c>
      <c r="G27" s="35">
        <v>1.4556</v>
      </c>
      <c r="H27" s="35">
        <v>1.4589000000000001</v>
      </c>
      <c r="I27" s="35">
        <v>1.4508000000000001</v>
      </c>
      <c r="J27" s="10">
        <f>0.5*24</f>
        <v>12</v>
      </c>
      <c r="K27" s="34"/>
      <c r="L27" s="36" t="s">
        <v>16</v>
      </c>
      <c r="M27" s="37">
        <f t="shared" si="5"/>
        <v>1.4545454545453933</v>
      </c>
      <c r="N27" s="38">
        <f t="shared" si="6"/>
        <v>33.00000000000081</v>
      </c>
      <c r="O27" s="73">
        <f t="shared" si="7"/>
        <v>47.999999999999154</v>
      </c>
      <c r="P27" s="40" t="s">
        <v>46</v>
      </c>
      <c r="R27" s="41"/>
      <c r="S27" s="3">
        <f t="shared" si="0"/>
        <v>18.850418464563628</v>
      </c>
      <c r="T27" s="3">
        <f t="shared" si="1"/>
        <v>923.67050476361771</v>
      </c>
      <c r="U27">
        <v>24</v>
      </c>
    </row>
    <row r="28" spans="1:21" x14ac:dyDescent="0.2">
      <c r="A28" s="147"/>
      <c r="B28" s="72">
        <v>7</v>
      </c>
      <c r="C28" s="30" t="s">
        <v>13</v>
      </c>
      <c r="D28" s="30" t="s">
        <v>47</v>
      </c>
      <c r="E28" s="33">
        <v>0.16666666666666666</v>
      </c>
      <c r="F28" s="34" t="s">
        <v>22</v>
      </c>
      <c r="G28" s="35">
        <v>1.4565999999999999</v>
      </c>
      <c r="H28" s="35">
        <v>1.4518</v>
      </c>
      <c r="I28" s="35">
        <v>1.4608000000000001</v>
      </c>
      <c r="J28" s="10">
        <f>(0.5*24)+(0.5*54)</f>
        <v>39</v>
      </c>
      <c r="K28" s="34"/>
      <c r="L28" s="36" t="s">
        <v>16</v>
      </c>
      <c r="M28" s="37">
        <f t="shared" si="5"/>
        <v>0.87500000000005784</v>
      </c>
      <c r="N28" s="38">
        <f t="shared" si="6"/>
        <v>47.999999999999154</v>
      </c>
      <c r="O28" s="73">
        <f t="shared" si="7"/>
        <v>42.000000000002039</v>
      </c>
      <c r="P28" s="40" t="s">
        <v>48</v>
      </c>
      <c r="R28" s="41"/>
      <c r="S28" s="3">
        <f t="shared" si="0"/>
        <v>18.473410095272353</v>
      </c>
      <c r="T28" s="3">
        <f t="shared" si="1"/>
        <v>905.19709466834536</v>
      </c>
      <c r="U28">
        <v>25</v>
      </c>
    </row>
    <row r="29" spans="1:21" x14ac:dyDescent="0.2">
      <c r="A29" s="147"/>
      <c r="B29" s="72">
        <v>8</v>
      </c>
      <c r="C29" s="30" t="s">
        <v>13</v>
      </c>
      <c r="D29" s="30" t="s">
        <v>47</v>
      </c>
      <c r="E29" s="33">
        <v>0.375</v>
      </c>
      <c r="F29" s="34" t="s">
        <v>15</v>
      </c>
      <c r="G29" s="35">
        <v>1.4595</v>
      </c>
      <c r="H29" s="35">
        <v>1.4623999999999999</v>
      </c>
      <c r="I29" s="35">
        <v>1.4534</v>
      </c>
      <c r="J29" s="75">
        <v>-3</v>
      </c>
      <c r="K29" s="34" t="s">
        <v>33</v>
      </c>
      <c r="L29" s="36" t="s">
        <v>16</v>
      </c>
      <c r="M29" s="37">
        <f t="shared" si="5"/>
        <v>2.1034482758621378</v>
      </c>
      <c r="N29" s="38">
        <f t="shared" si="6"/>
        <v>28.999999999999027</v>
      </c>
      <c r="O29" s="73">
        <f t="shared" si="7"/>
        <v>60.99999999999995</v>
      </c>
      <c r="P29" s="40" t="s">
        <v>49</v>
      </c>
      <c r="R29" s="41"/>
      <c r="S29" s="3">
        <f t="shared" si="0"/>
        <v>18.103941893366908</v>
      </c>
      <c r="T29" s="3">
        <f t="shared" si="1"/>
        <v>887.09315277497842</v>
      </c>
      <c r="U29">
        <v>26</v>
      </c>
    </row>
    <row r="30" spans="1:21" x14ac:dyDescent="0.2">
      <c r="A30" s="147"/>
      <c r="B30" s="76">
        <v>9</v>
      </c>
      <c r="C30" s="30" t="s">
        <v>19</v>
      </c>
      <c r="D30" s="30" t="s">
        <v>50</v>
      </c>
      <c r="E30" s="33">
        <v>0.5</v>
      </c>
      <c r="F30" s="34" t="s">
        <v>15</v>
      </c>
      <c r="G30" s="35">
        <v>2.0718999999999999</v>
      </c>
      <c r="H30" s="35">
        <v>2.0773000000000001</v>
      </c>
      <c r="I30" s="35">
        <v>2.06</v>
      </c>
      <c r="J30" s="10">
        <f>(0.5*60)+(0.5*29)</f>
        <v>44.5</v>
      </c>
      <c r="K30" s="34"/>
      <c r="L30" s="36" t="s">
        <v>16</v>
      </c>
      <c r="M30" s="37">
        <f t="shared" si="5"/>
        <v>2.203703703703547</v>
      </c>
      <c r="N30" s="38">
        <f t="shared" si="6"/>
        <v>54.000000000002935</v>
      </c>
      <c r="O30" s="73">
        <f t="shared" si="7"/>
        <v>118.999999999998</v>
      </c>
      <c r="P30" s="40"/>
      <c r="R30" s="41"/>
      <c r="S30" s="3">
        <f t="shared" si="0"/>
        <v>17.741863055499568</v>
      </c>
      <c r="T30" s="3">
        <f t="shared" si="1"/>
        <v>869.35128971947881</v>
      </c>
      <c r="U30">
        <v>27</v>
      </c>
    </row>
    <row r="31" spans="1:21" x14ac:dyDescent="0.2">
      <c r="A31" s="147"/>
      <c r="B31" s="72">
        <v>10</v>
      </c>
      <c r="C31" s="30" t="s">
        <v>13</v>
      </c>
      <c r="D31" s="30" t="s">
        <v>51</v>
      </c>
      <c r="E31" s="33">
        <v>0.5</v>
      </c>
      <c r="F31" s="34" t="s">
        <v>15</v>
      </c>
      <c r="G31" s="35">
        <v>1.4593</v>
      </c>
      <c r="H31" s="35">
        <v>1.4628000000000001</v>
      </c>
      <c r="I31" s="35">
        <v>1.4557</v>
      </c>
      <c r="J31" s="75">
        <v>-35</v>
      </c>
      <c r="K31" s="77" t="s">
        <v>52</v>
      </c>
      <c r="L31" s="36" t="s">
        <v>16</v>
      </c>
      <c r="M31" s="37">
        <f t="shared" si="5"/>
        <v>1.0285714285714249</v>
      </c>
      <c r="N31" s="38">
        <f t="shared" si="6"/>
        <v>35.000000000000583</v>
      </c>
      <c r="O31" s="73">
        <f t="shared" si="7"/>
        <v>36.000000000000469</v>
      </c>
      <c r="P31" s="40"/>
      <c r="R31" s="41"/>
    </row>
    <row r="32" spans="1:21" x14ac:dyDescent="0.2">
      <c r="A32" s="147"/>
      <c r="B32" s="72">
        <v>11</v>
      </c>
      <c r="C32" s="30" t="s">
        <v>13</v>
      </c>
      <c r="D32" s="30" t="s">
        <v>53</v>
      </c>
      <c r="E32" s="33">
        <v>0.33333333333333331</v>
      </c>
      <c r="F32" s="34" t="s">
        <v>15</v>
      </c>
      <c r="G32" s="35">
        <v>1.4665999999999999</v>
      </c>
      <c r="H32" s="35">
        <v>1.4694</v>
      </c>
      <c r="I32" s="35">
        <v>1.4604999999999999</v>
      </c>
      <c r="J32" s="10">
        <f>(0.5*40)+(0.5*16)</f>
        <v>28</v>
      </c>
      <c r="K32" s="34"/>
      <c r="L32" s="36" t="s">
        <v>16</v>
      </c>
      <c r="M32" s="37">
        <f t="shared" si="5"/>
        <v>2.1785714285713209</v>
      </c>
      <c r="N32" s="38">
        <f t="shared" si="6"/>
        <v>28.000000000001357</v>
      </c>
      <c r="O32" s="73">
        <f t="shared" si="7"/>
        <v>60.999999999999943</v>
      </c>
      <c r="P32" s="40"/>
      <c r="R32" s="41"/>
    </row>
    <row r="33" spans="1:18" x14ac:dyDescent="0.2">
      <c r="A33" s="147"/>
      <c r="B33" s="78">
        <v>12</v>
      </c>
      <c r="C33" s="30" t="s">
        <v>54</v>
      </c>
      <c r="D33" s="30" t="s">
        <v>55</v>
      </c>
      <c r="E33" s="33">
        <v>0.83333333333333326</v>
      </c>
      <c r="F33" s="34" t="s">
        <v>15</v>
      </c>
      <c r="G33" s="79">
        <v>109.9</v>
      </c>
      <c r="H33" s="79">
        <v>110.23</v>
      </c>
      <c r="I33" s="79">
        <v>109.1</v>
      </c>
      <c r="J33" s="10">
        <v>20</v>
      </c>
      <c r="K33" s="34"/>
      <c r="L33" s="36" t="s">
        <v>16</v>
      </c>
      <c r="M33" s="37">
        <f t="shared" si="5"/>
        <v>2.4242424242424714</v>
      </c>
      <c r="N33" s="38">
        <v>33</v>
      </c>
      <c r="O33" s="73">
        <f t="shared" si="7"/>
        <v>80.000000000001549</v>
      </c>
      <c r="P33" s="40" t="s">
        <v>56</v>
      </c>
      <c r="R33" s="41"/>
    </row>
    <row r="34" spans="1:18" x14ac:dyDescent="0.2">
      <c r="A34" s="147"/>
      <c r="B34" s="72">
        <v>13</v>
      </c>
      <c r="C34" s="30" t="s">
        <v>13</v>
      </c>
      <c r="D34" s="30" t="s">
        <v>57</v>
      </c>
      <c r="E34" s="33">
        <v>0.83333333333333337</v>
      </c>
      <c r="F34" s="34" t="s">
        <v>22</v>
      </c>
      <c r="G34" s="35">
        <v>1.4855</v>
      </c>
      <c r="H34" s="35">
        <v>1.4821</v>
      </c>
      <c r="I34" s="35">
        <v>1.492</v>
      </c>
      <c r="J34" s="10">
        <f>23*0.5</f>
        <v>11.5</v>
      </c>
      <c r="K34" s="34"/>
      <c r="L34" s="36" t="s">
        <v>16</v>
      </c>
      <c r="M34" s="37">
        <f t="shared" si="5"/>
        <v>1.9117647058822991</v>
      </c>
      <c r="N34" s="38">
        <f>IF((G34-H34)*10000&lt;1,(G34-H34)*-1*10000,(G34-H34)*10000)</f>
        <v>34.000000000000696</v>
      </c>
      <c r="O34" s="80">
        <f t="shared" si="7"/>
        <v>64.999999999999503</v>
      </c>
      <c r="P34" s="40" t="s">
        <v>58</v>
      </c>
      <c r="R34" s="41"/>
    </row>
    <row r="35" spans="1:18" x14ac:dyDescent="0.2">
      <c r="A35" s="147"/>
      <c r="B35" s="76">
        <v>14</v>
      </c>
      <c r="C35" s="30" t="s">
        <v>19</v>
      </c>
      <c r="D35" s="30" t="s">
        <v>59</v>
      </c>
      <c r="E35" s="33">
        <v>0.83333333333333337</v>
      </c>
      <c r="F35" s="34" t="s">
        <v>22</v>
      </c>
      <c r="G35" s="35">
        <v>2.0722999999999998</v>
      </c>
      <c r="H35" s="35">
        <v>2.0684999999999998</v>
      </c>
      <c r="I35" s="35">
        <v>2.0849000000000002</v>
      </c>
      <c r="J35" s="10">
        <f>((50-23)+(60-23))/2</f>
        <v>32</v>
      </c>
      <c r="K35" s="34"/>
      <c r="L35" s="36" t="s">
        <v>16</v>
      </c>
      <c r="M35" s="37">
        <f t="shared" si="5"/>
        <v>3.3157894736842906</v>
      </c>
      <c r="N35" s="38">
        <f>IF((G35-H35)*10000&lt;1,(G35-H35)*-1*10000,(G35-H35)*10000)</f>
        <v>38.000000000000256</v>
      </c>
      <c r="O35" s="80">
        <f t="shared" si="7"/>
        <v>126.00000000000389</v>
      </c>
      <c r="P35" s="40" t="s">
        <v>60</v>
      </c>
      <c r="R35" s="41"/>
    </row>
    <row r="36" spans="1:18" x14ac:dyDescent="0.2">
      <c r="A36" s="147"/>
      <c r="B36" s="72">
        <v>15</v>
      </c>
      <c r="C36" s="81" t="s">
        <v>13</v>
      </c>
      <c r="D36" s="81" t="s">
        <v>61</v>
      </c>
      <c r="E36" s="33">
        <v>0.33333333333333331</v>
      </c>
      <c r="F36" s="34" t="s">
        <v>15</v>
      </c>
      <c r="G36" s="35">
        <v>1.4802</v>
      </c>
      <c r="H36" s="35">
        <v>1.4844999999999999</v>
      </c>
      <c r="I36" s="35">
        <v>1.474</v>
      </c>
      <c r="J36" s="10">
        <v>62</v>
      </c>
      <c r="K36" s="34"/>
      <c r="L36" s="36" t="s">
        <v>16</v>
      </c>
      <c r="M36" s="37">
        <f t="shared" si="5"/>
        <v>1.4418604651162852</v>
      </c>
      <c r="N36" s="38">
        <f>IF((G36-H36)*10000&lt;1,(G36-H36)*-1*10000,(G36-H36)*10000)</f>
        <v>42.999999999999702</v>
      </c>
      <c r="O36" s="80">
        <f t="shared" si="7"/>
        <v>61.999999999999829</v>
      </c>
      <c r="P36" s="40" t="s">
        <v>62</v>
      </c>
      <c r="R36" s="41"/>
    </row>
    <row r="37" spans="1:18" x14ac:dyDescent="0.2">
      <c r="A37" s="147"/>
      <c r="B37" s="82"/>
      <c r="C37" s="46"/>
      <c r="D37" s="46"/>
      <c r="E37" s="46"/>
      <c r="F37" s="50"/>
      <c r="G37" s="51"/>
      <c r="H37" s="51"/>
      <c r="I37" s="51"/>
      <c r="J37" s="83"/>
      <c r="K37" s="50"/>
      <c r="L37" s="53"/>
      <c r="M37" s="54"/>
      <c r="N37" s="55"/>
      <c r="O37" s="84"/>
      <c r="P37" s="57"/>
      <c r="R37" s="41"/>
    </row>
    <row r="38" spans="1:18" x14ac:dyDescent="0.2">
      <c r="L38" s="61"/>
      <c r="O38" s="15"/>
      <c r="P38" s="22" t="s">
        <v>34</v>
      </c>
      <c r="R38" s="41"/>
    </row>
    <row r="39" spans="1:18" x14ac:dyDescent="0.2">
      <c r="I39" s="20" t="s">
        <v>7</v>
      </c>
      <c r="J39" s="21">
        <f>SUM(J40:J54)</f>
        <v>319.5</v>
      </c>
      <c r="P39" s="62" t="s">
        <v>35</v>
      </c>
      <c r="R39" s="41"/>
    </row>
    <row r="40" spans="1:18" x14ac:dyDescent="0.2">
      <c r="A40" s="147" t="s">
        <v>63</v>
      </c>
      <c r="B40" s="85">
        <v>1</v>
      </c>
      <c r="C40" s="86" t="s">
        <v>54</v>
      </c>
      <c r="D40" s="86" t="s">
        <v>64</v>
      </c>
      <c r="E40" s="64">
        <v>0.16666666666666666</v>
      </c>
      <c r="F40" s="18" t="s">
        <v>22</v>
      </c>
      <c r="G40" s="87">
        <v>110.06</v>
      </c>
      <c r="H40" s="87">
        <v>109.62</v>
      </c>
      <c r="I40" s="87">
        <v>111.09</v>
      </c>
      <c r="J40" s="65">
        <v>31.5</v>
      </c>
      <c r="K40" s="18"/>
      <c r="L40" s="67" t="s">
        <v>16</v>
      </c>
      <c r="M40" s="68">
        <f t="shared" ref="M40:M52" si="8">IF((I40-G40)/(H40-G40)&lt;0,(I40-G40)/(H40-G40)*-1,(I40-G40)/(H40-G40))</f>
        <v>2.3409090909091055</v>
      </c>
      <c r="N40" s="69">
        <v>44</v>
      </c>
      <c r="O40" s="88">
        <f t="shared" ref="O40:O49" si="9">N40*M40</f>
        <v>103.00000000000064</v>
      </c>
      <c r="P40" s="71" t="s">
        <v>65</v>
      </c>
      <c r="R40" s="41"/>
    </row>
    <row r="41" spans="1:18" x14ac:dyDescent="0.2">
      <c r="A41" s="147"/>
      <c r="B41" s="78">
        <v>2</v>
      </c>
      <c r="C41" s="81" t="s">
        <v>54</v>
      </c>
      <c r="D41" s="81" t="s">
        <v>66</v>
      </c>
      <c r="E41" s="33">
        <v>0.66666666666666663</v>
      </c>
      <c r="F41" s="34" t="s">
        <v>22</v>
      </c>
      <c r="G41" s="79">
        <v>111.14</v>
      </c>
      <c r="H41" s="79">
        <v>110.75</v>
      </c>
      <c r="I41" s="79">
        <v>111.6</v>
      </c>
      <c r="J41" s="45">
        <v>0</v>
      </c>
      <c r="K41" s="34" t="s">
        <v>26</v>
      </c>
      <c r="L41" s="36" t="s">
        <v>16</v>
      </c>
      <c r="M41" s="37">
        <f t="shared" si="8"/>
        <v>1.1794871794871618</v>
      </c>
      <c r="N41" s="38">
        <v>39</v>
      </c>
      <c r="O41" s="80">
        <f t="shared" si="9"/>
        <v>45.999999999999311</v>
      </c>
      <c r="P41" s="40" t="s">
        <v>67</v>
      </c>
      <c r="R41" s="41"/>
    </row>
    <row r="42" spans="1:18" x14ac:dyDescent="0.2">
      <c r="A42" s="147"/>
      <c r="B42" s="72">
        <v>3</v>
      </c>
      <c r="C42" s="30" t="s">
        <v>13</v>
      </c>
      <c r="D42" s="74" t="s">
        <v>66</v>
      </c>
      <c r="E42" s="33">
        <v>0.66666666666666663</v>
      </c>
      <c r="F42" s="34" t="s">
        <v>22</v>
      </c>
      <c r="G42" s="35">
        <v>1.4636</v>
      </c>
      <c r="H42" s="35">
        <v>1.4605999999999999</v>
      </c>
      <c r="I42" s="35">
        <v>1.4665999999999999</v>
      </c>
      <c r="J42" s="10">
        <v>20</v>
      </c>
      <c r="K42" s="34"/>
      <c r="L42" s="36" t="s">
        <v>16</v>
      </c>
      <c r="M42" s="37">
        <f t="shared" si="8"/>
        <v>0.99999999999992595</v>
      </c>
      <c r="N42" s="38">
        <f t="shared" ref="N42:N49" si="10">IF((G42-H42)*10000&lt;1,(G42-H42)*-1*10000,(G42-H42)*10000)</f>
        <v>30.000000000001137</v>
      </c>
      <c r="O42" s="73">
        <f t="shared" si="9"/>
        <v>29.999999999998916</v>
      </c>
      <c r="P42" s="40" t="s">
        <v>68</v>
      </c>
      <c r="R42" s="41"/>
    </row>
    <row r="43" spans="1:18" x14ac:dyDescent="0.2">
      <c r="A43" s="147"/>
      <c r="B43" s="72">
        <v>4</v>
      </c>
      <c r="C43" s="81" t="s">
        <v>13</v>
      </c>
      <c r="D43" s="81" t="s">
        <v>69</v>
      </c>
      <c r="E43" s="33">
        <v>0.29166666666666669</v>
      </c>
      <c r="F43" s="34" t="s">
        <v>15</v>
      </c>
      <c r="G43" s="35">
        <v>1.4605999999999999</v>
      </c>
      <c r="H43" s="35">
        <v>1.4643999999999999</v>
      </c>
      <c r="I43" s="35">
        <v>1.454</v>
      </c>
      <c r="J43" s="75">
        <v>-38</v>
      </c>
      <c r="K43" s="77" t="s">
        <v>52</v>
      </c>
      <c r="L43" s="36" t="s">
        <v>16</v>
      </c>
      <c r="M43" s="37">
        <f t="shared" si="8"/>
        <v>1.7368421052631302</v>
      </c>
      <c r="N43" s="38">
        <f t="shared" si="10"/>
        <v>38.000000000000256</v>
      </c>
      <c r="O43" s="73">
        <f t="shared" si="9"/>
        <v>65.999999999999389</v>
      </c>
      <c r="P43" s="40" t="s">
        <v>70</v>
      </c>
      <c r="R43" s="41"/>
    </row>
    <row r="44" spans="1:18" x14ac:dyDescent="0.2">
      <c r="A44" s="147"/>
      <c r="B44" s="72">
        <v>5</v>
      </c>
      <c r="C44" s="81" t="s">
        <v>13</v>
      </c>
      <c r="D44" s="81" t="s">
        <v>71</v>
      </c>
      <c r="E44" s="33">
        <v>0.45833333333333331</v>
      </c>
      <c r="F44" s="34" t="s">
        <v>22</v>
      </c>
      <c r="G44" s="35">
        <v>1.466</v>
      </c>
      <c r="H44" s="35">
        <v>1.4626999999999999</v>
      </c>
      <c r="I44" s="89">
        <v>1.4742</v>
      </c>
      <c r="J44" s="90">
        <f>(0.5*37)+(0.5*65)</f>
        <v>51</v>
      </c>
      <c r="K44" s="34"/>
      <c r="L44" s="36" t="s">
        <v>16</v>
      </c>
      <c r="M44" s="37">
        <f t="shared" si="8"/>
        <v>2.4848484848484196</v>
      </c>
      <c r="N44" s="38">
        <f t="shared" si="10"/>
        <v>33.00000000000081</v>
      </c>
      <c r="O44" s="73">
        <f t="shared" si="9"/>
        <v>81.999999999999858</v>
      </c>
      <c r="P44" s="40" t="s">
        <v>72</v>
      </c>
      <c r="R44" s="41"/>
    </row>
    <row r="45" spans="1:18" x14ac:dyDescent="0.2">
      <c r="A45" s="147"/>
      <c r="B45" s="72">
        <v>6</v>
      </c>
      <c r="C45" s="81" t="s">
        <v>13</v>
      </c>
      <c r="D45" s="81" t="s">
        <v>73</v>
      </c>
      <c r="E45" s="33">
        <v>0.33333333333333331</v>
      </c>
      <c r="F45" s="34" t="s">
        <v>22</v>
      </c>
      <c r="G45" s="35">
        <v>1.4689000000000001</v>
      </c>
      <c r="H45" s="35">
        <v>1.4648000000000001</v>
      </c>
      <c r="I45" s="89">
        <v>1.4729000000000001</v>
      </c>
      <c r="J45" s="90">
        <v>13.5</v>
      </c>
      <c r="K45" s="91"/>
      <c r="L45" s="36" t="s">
        <v>16</v>
      </c>
      <c r="M45" s="37">
        <f t="shared" si="8"/>
        <v>0.97560975609756362</v>
      </c>
      <c r="N45" s="38">
        <f t="shared" si="10"/>
        <v>40.999999999999929</v>
      </c>
      <c r="O45" s="73">
        <f t="shared" si="9"/>
        <v>40.000000000000036</v>
      </c>
      <c r="P45" s="40" t="s">
        <v>74</v>
      </c>
      <c r="R45" s="41"/>
    </row>
    <row r="46" spans="1:18" x14ac:dyDescent="0.2">
      <c r="A46" s="147"/>
      <c r="B46" s="72">
        <v>7</v>
      </c>
      <c r="C46" s="81" t="s">
        <v>13</v>
      </c>
      <c r="D46" s="81" t="s">
        <v>75</v>
      </c>
      <c r="E46" s="33">
        <v>0.5</v>
      </c>
      <c r="F46" s="34" t="s">
        <v>15</v>
      </c>
      <c r="G46" s="35">
        <v>1.4685999999999999</v>
      </c>
      <c r="H46" s="35">
        <v>1.4711000000000001</v>
      </c>
      <c r="I46" s="89">
        <v>1.4578</v>
      </c>
      <c r="J46" s="90">
        <v>48</v>
      </c>
      <c r="K46" s="92"/>
      <c r="L46" s="36" t="s">
        <v>16</v>
      </c>
      <c r="M46" s="93">
        <f t="shared" si="8"/>
        <v>4.319999999999677</v>
      </c>
      <c r="N46" s="38">
        <f t="shared" si="10"/>
        <v>25.000000000001688</v>
      </c>
      <c r="O46" s="73">
        <f t="shared" si="9"/>
        <v>107.99999999999922</v>
      </c>
      <c r="P46" s="40" t="s">
        <v>76</v>
      </c>
      <c r="R46" s="41"/>
    </row>
    <row r="47" spans="1:18" x14ac:dyDescent="0.2">
      <c r="A47" s="147"/>
      <c r="B47" s="94">
        <v>8</v>
      </c>
      <c r="C47" s="81" t="s">
        <v>13</v>
      </c>
      <c r="D47" s="81" t="s">
        <v>77</v>
      </c>
      <c r="E47" s="33">
        <v>0.375</v>
      </c>
      <c r="F47" s="34" t="s">
        <v>15</v>
      </c>
      <c r="G47" s="35">
        <v>1.4625000000000001</v>
      </c>
      <c r="H47" s="35">
        <v>1.4659</v>
      </c>
      <c r="I47" s="89">
        <v>1.4578</v>
      </c>
      <c r="J47" s="90">
        <f>(0.5*65)+(130*0.5)</f>
        <v>97.5</v>
      </c>
      <c r="K47" s="92"/>
      <c r="L47" s="36" t="s">
        <v>16</v>
      </c>
      <c r="M47" s="93">
        <f t="shared" si="8"/>
        <v>1.3823529411765763</v>
      </c>
      <c r="N47" s="38">
        <f t="shared" si="10"/>
        <v>33.999999999998479</v>
      </c>
      <c r="O47" s="73">
        <f t="shared" si="9"/>
        <v>47.000000000001492</v>
      </c>
      <c r="P47" s="40" t="s">
        <v>78</v>
      </c>
      <c r="R47" s="41"/>
    </row>
    <row r="48" spans="1:18" x14ac:dyDescent="0.2">
      <c r="A48" s="147"/>
      <c r="B48" s="94">
        <v>9</v>
      </c>
      <c r="C48" s="81" t="s">
        <v>13</v>
      </c>
      <c r="D48" s="30" t="s">
        <v>79</v>
      </c>
      <c r="E48" s="33">
        <v>0.41666666666666702</v>
      </c>
      <c r="F48" s="34" t="s">
        <v>15</v>
      </c>
      <c r="G48" s="35">
        <v>1.4414</v>
      </c>
      <c r="H48" s="35">
        <v>1.4439</v>
      </c>
      <c r="I48" s="89">
        <v>1.4379999999999999</v>
      </c>
      <c r="J48" s="90">
        <v>48</v>
      </c>
      <c r="K48" s="92"/>
      <c r="L48" s="95" t="s">
        <v>16</v>
      </c>
      <c r="M48" s="93">
        <f t="shared" si="8"/>
        <v>1.3600000000000569</v>
      </c>
      <c r="N48" s="38">
        <f t="shared" si="10"/>
        <v>24.999999999999467</v>
      </c>
      <c r="O48" s="73">
        <f t="shared" si="9"/>
        <v>34.000000000000696</v>
      </c>
      <c r="P48" s="40" t="s">
        <v>80</v>
      </c>
      <c r="R48" s="41"/>
    </row>
    <row r="49" spans="1:18" x14ac:dyDescent="0.2">
      <c r="A49" s="147"/>
      <c r="B49" s="76">
        <v>10</v>
      </c>
      <c r="C49" s="81" t="s">
        <v>19</v>
      </c>
      <c r="D49" s="81" t="s">
        <v>81</v>
      </c>
      <c r="E49" s="33">
        <v>0.29166666666666669</v>
      </c>
      <c r="F49" s="34" t="s">
        <v>15</v>
      </c>
      <c r="G49" s="35">
        <v>2.0188999999999999</v>
      </c>
      <c r="H49" s="35">
        <v>2.0228999999999999</v>
      </c>
      <c r="I49" s="89">
        <v>2.0146999999999999</v>
      </c>
      <c r="J49" s="90">
        <v>40</v>
      </c>
      <c r="K49" s="92"/>
      <c r="L49" s="95" t="s">
        <v>16</v>
      </c>
      <c r="M49" s="93">
        <f t="shared" si="8"/>
        <v>1.0499999999999945</v>
      </c>
      <c r="N49" s="38">
        <f t="shared" si="10"/>
        <v>40.000000000000036</v>
      </c>
      <c r="O49" s="73">
        <f t="shared" si="9"/>
        <v>41.999999999999815</v>
      </c>
      <c r="P49" s="40" t="s">
        <v>82</v>
      </c>
      <c r="R49" s="41"/>
    </row>
    <row r="50" spans="1:18" x14ac:dyDescent="0.2">
      <c r="A50" s="147"/>
      <c r="B50" s="78">
        <v>11</v>
      </c>
      <c r="C50" s="81" t="s">
        <v>54</v>
      </c>
      <c r="D50" s="81" t="s">
        <v>83</v>
      </c>
      <c r="E50" s="33">
        <v>0.83333333333333337</v>
      </c>
      <c r="F50" s="34" t="s">
        <v>22</v>
      </c>
      <c r="G50" s="79">
        <v>113.32</v>
      </c>
      <c r="H50" s="79">
        <v>113.03</v>
      </c>
      <c r="I50" s="96">
        <v>113.52</v>
      </c>
      <c r="J50" s="75">
        <v>-29</v>
      </c>
      <c r="K50" s="97" t="s">
        <v>52</v>
      </c>
      <c r="L50" s="95" t="s">
        <v>16</v>
      </c>
      <c r="M50" s="93">
        <f t="shared" si="8"/>
        <v>0.68965517241382179</v>
      </c>
      <c r="N50" s="38">
        <v>29</v>
      </c>
      <c r="O50" s="73">
        <v>20</v>
      </c>
      <c r="P50" s="40" t="s">
        <v>84</v>
      </c>
      <c r="R50" s="41"/>
    </row>
    <row r="51" spans="1:18" x14ac:dyDescent="0.2">
      <c r="A51" s="147"/>
      <c r="B51" s="76">
        <v>12</v>
      </c>
      <c r="C51" s="81" t="s">
        <v>19</v>
      </c>
      <c r="D51" s="81" t="s">
        <v>85</v>
      </c>
      <c r="E51" s="33">
        <v>0.83333333333333337</v>
      </c>
      <c r="F51" s="34" t="s">
        <v>15</v>
      </c>
      <c r="G51" s="35">
        <v>1.9856</v>
      </c>
      <c r="H51" s="35">
        <v>1.9896</v>
      </c>
      <c r="I51" s="35">
        <v>1.9816</v>
      </c>
      <c r="J51" s="10">
        <v>25.5</v>
      </c>
      <c r="K51" s="34"/>
      <c r="L51" s="36" t="s">
        <v>16</v>
      </c>
      <c r="M51" s="37">
        <f t="shared" si="8"/>
        <v>1</v>
      </c>
      <c r="N51" s="38">
        <f>IF((G51-H51)*10000&lt;1,(G51-H51)*-1*10000,(G51-H51)*10000)</f>
        <v>40.000000000000036</v>
      </c>
      <c r="O51" s="73">
        <f>N51*M51</f>
        <v>40.000000000000036</v>
      </c>
      <c r="P51" s="40" t="s">
        <v>86</v>
      </c>
      <c r="R51" s="41"/>
    </row>
    <row r="52" spans="1:18" x14ac:dyDescent="0.2">
      <c r="A52" s="147"/>
      <c r="B52" s="76">
        <v>13</v>
      </c>
      <c r="C52" s="81" t="s">
        <v>19</v>
      </c>
      <c r="D52" s="81" t="s">
        <v>87</v>
      </c>
      <c r="E52" s="33">
        <v>0.375</v>
      </c>
      <c r="F52" s="34" t="s">
        <v>15</v>
      </c>
      <c r="G52" s="35">
        <v>1.9851000000000001</v>
      </c>
      <c r="H52" s="35">
        <v>1.9884999999999999</v>
      </c>
      <c r="I52" s="35">
        <v>1.9817</v>
      </c>
      <c r="J52" s="10">
        <v>11.5</v>
      </c>
      <c r="K52" s="34"/>
      <c r="L52" s="36" t="s">
        <v>16</v>
      </c>
      <c r="M52" s="37">
        <f t="shared" si="8"/>
        <v>1.0000000000000653</v>
      </c>
      <c r="N52" s="38">
        <f>IF((G52-H52)*10000&lt;1,(G52-H52)*-1*10000,(G52-H52)*10000)</f>
        <v>33.999999999998479</v>
      </c>
      <c r="O52" s="80">
        <f>N52*M52</f>
        <v>34.000000000000696</v>
      </c>
      <c r="P52" s="40" t="s">
        <v>88</v>
      </c>
      <c r="R52" s="41"/>
    </row>
    <row r="53" spans="1:18" x14ac:dyDescent="0.2">
      <c r="A53" s="147"/>
      <c r="B53" s="94"/>
      <c r="C53" s="81"/>
      <c r="D53" s="30"/>
      <c r="E53" s="33"/>
      <c r="F53" s="34"/>
      <c r="G53" s="35"/>
      <c r="H53" s="35"/>
      <c r="I53" s="35"/>
      <c r="J53" s="10"/>
      <c r="K53" s="34"/>
      <c r="L53" s="36"/>
      <c r="M53" s="37"/>
      <c r="N53" s="38"/>
      <c r="O53" s="80"/>
      <c r="P53" s="40"/>
      <c r="R53" s="41"/>
    </row>
    <row r="54" spans="1:18" x14ac:dyDescent="0.2">
      <c r="A54" s="147"/>
      <c r="B54" s="72"/>
      <c r="C54" s="81"/>
      <c r="D54" s="81"/>
      <c r="E54" s="33"/>
      <c r="F54" s="34"/>
      <c r="G54" s="35"/>
      <c r="H54" s="35"/>
      <c r="I54" s="35"/>
      <c r="J54" s="10"/>
      <c r="K54" s="34"/>
      <c r="L54" s="36"/>
      <c r="M54" s="37"/>
      <c r="N54" s="38"/>
      <c r="O54" s="80"/>
      <c r="P54" s="40"/>
      <c r="R54" s="41"/>
    </row>
    <row r="55" spans="1:18" x14ac:dyDescent="0.2">
      <c r="A55" s="147"/>
      <c r="B55" s="82"/>
      <c r="C55" s="46"/>
      <c r="D55" s="46"/>
      <c r="E55" s="46"/>
      <c r="F55" s="50"/>
      <c r="G55" s="51"/>
      <c r="H55" s="51"/>
      <c r="I55" s="51"/>
      <c r="J55" s="83"/>
      <c r="K55" s="50"/>
      <c r="L55" s="53"/>
      <c r="M55" s="54"/>
      <c r="N55" s="55"/>
      <c r="O55" s="84"/>
      <c r="P55" s="57"/>
      <c r="R55" s="41"/>
    </row>
    <row r="58" spans="1:18" x14ac:dyDescent="0.2">
      <c r="L58" s="61"/>
      <c r="O58" s="15"/>
      <c r="P58" s="22"/>
    </row>
    <row r="59" spans="1:18" x14ac:dyDescent="0.2">
      <c r="I59" s="20" t="s">
        <v>7</v>
      </c>
      <c r="J59" s="21">
        <f>SUM(J60:J75)</f>
        <v>347.5</v>
      </c>
      <c r="P59" s="62" t="s">
        <v>12</v>
      </c>
    </row>
    <row r="60" spans="1:18" x14ac:dyDescent="0.2">
      <c r="A60" s="147" t="s">
        <v>89</v>
      </c>
      <c r="B60" s="17">
        <v>1</v>
      </c>
      <c r="C60" s="86" t="s">
        <v>13</v>
      </c>
      <c r="D60" s="86" t="s">
        <v>90</v>
      </c>
      <c r="E60" s="64">
        <v>0.33333333333333331</v>
      </c>
      <c r="F60" s="18" t="s">
        <v>22</v>
      </c>
      <c r="G60" s="19">
        <v>1.4724999999999999</v>
      </c>
      <c r="H60" s="19">
        <v>1.47</v>
      </c>
      <c r="I60" s="98">
        <v>1.4744999999999999</v>
      </c>
      <c r="J60" s="99">
        <v>-25</v>
      </c>
      <c r="K60" s="100" t="s">
        <v>52</v>
      </c>
      <c r="L60" s="67" t="s">
        <v>16</v>
      </c>
      <c r="M60" s="68">
        <f>IF((I60-G60)/(H60-G60)&lt;0,(I60-G60)/(H60-G60)*-1,(I60-G60)/(H60-G60))</f>
        <v>0.80000000000001781</v>
      </c>
      <c r="N60" s="69">
        <f>IF((G60-H60)*10000&lt;1,(G60-H60)*-1*10000,(G60-H60)*10000)</f>
        <v>24.999999999999467</v>
      </c>
      <c r="O60" s="88">
        <f>N60*M60</f>
        <v>20.000000000000018</v>
      </c>
      <c r="P60" s="71" t="s">
        <v>91</v>
      </c>
    </row>
    <row r="61" spans="1:18" x14ac:dyDescent="0.2">
      <c r="A61" s="147"/>
      <c r="B61" s="76">
        <v>2</v>
      </c>
      <c r="C61" s="81" t="s">
        <v>19</v>
      </c>
      <c r="D61" s="81" t="s">
        <v>92</v>
      </c>
      <c r="E61" s="33">
        <v>0.33333333333333331</v>
      </c>
      <c r="F61" s="34" t="s">
        <v>15</v>
      </c>
      <c r="G61" s="35">
        <v>1.9708000000000001</v>
      </c>
      <c r="H61" s="35">
        <v>1.9742000000000002</v>
      </c>
      <c r="I61" s="44">
        <v>1.9650000000000001</v>
      </c>
      <c r="J61" s="10">
        <v>26</v>
      </c>
      <c r="K61" s="35"/>
      <c r="L61" s="36" t="s">
        <v>16</v>
      </c>
      <c r="M61" s="37">
        <f>IF((I61-G61)/(H61-G61)&lt;0,(I61-G61)/(H61-G61)*-1,(I61-G61)/(H61-G61))</f>
        <v>1.7058823529411495</v>
      </c>
      <c r="N61" s="38">
        <f>IF((G61-H61)*10000&lt;1,(G61-H61)*-1*10000,(G61-H61)*10000)</f>
        <v>34.000000000000696</v>
      </c>
      <c r="O61" s="73">
        <f>N61*M61</f>
        <v>58.00000000000027</v>
      </c>
      <c r="P61" s="40" t="s">
        <v>93</v>
      </c>
    </row>
    <row r="62" spans="1:18" x14ac:dyDescent="0.2">
      <c r="A62" s="147"/>
      <c r="B62" s="101">
        <v>3</v>
      </c>
      <c r="C62" s="30" t="s">
        <v>94</v>
      </c>
      <c r="D62" s="74" t="s">
        <v>92</v>
      </c>
      <c r="E62" s="33">
        <v>0.5</v>
      </c>
      <c r="F62" s="34" t="s">
        <v>15</v>
      </c>
      <c r="G62" s="35">
        <v>1.0026999999999999</v>
      </c>
      <c r="H62" s="35">
        <v>1.0064</v>
      </c>
      <c r="I62" s="44">
        <v>0.998</v>
      </c>
      <c r="J62" s="10">
        <f>(17+27)/2</f>
        <v>22</v>
      </c>
      <c r="K62" s="35"/>
      <c r="L62" s="36" t="s">
        <v>16</v>
      </c>
      <c r="M62" s="37">
        <f>O62/N62</f>
        <v>1.2702702702702702</v>
      </c>
      <c r="N62" s="38">
        <v>37</v>
      </c>
      <c r="O62" s="73">
        <v>47</v>
      </c>
      <c r="P62" s="40" t="s">
        <v>95</v>
      </c>
    </row>
    <row r="63" spans="1:18" x14ac:dyDescent="0.2">
      <c r="A63" s="147"/>
      <c r="B63" s="72">
        <v>4</v>
      </c>
      <c r="C63" s="81" t="s">
        <v>13</v>
      </c>
      <c r="D63" s="81" t="s">
        <v>96</v>
      </c>
      <c r="E63" s="33">
        <v>0.66666666666666663</v>
      </c>
      <c r="F63" s="34" t="s">
        <v>15</v>
      </c>
      <c r="G63" s="35">
        <v>1.4683000000000002</v>
      </c>
      <c r="H63" s="35">
        <v>1.4718</v>
      </c>
      <c r="I63" s="44">
        <v>1.4648000000000001</v>
      </c>
      <c r="J63" s="10">
        <f>((83-48)+(83-64))/2</f>
        <v>27</v>
      </c>
      <c r="K63" s="35"/>
      <c r="L63" s="36" t="s">
        <v>16</v>
      </c>
      <c r="M63" s="37">
        <f>IF((I63-G63)/(H63-G63)&lt;0,(I63-G63)/(H63-G63)*-1,(I63-G63)/(H63-G63))</f>
        <v>1.0000000000000635</v>
      </c>
      <c r="N63" s="38">
        <f>IF((G63-H63)*10000&lt;1,(G63-H63)*-1*10000,(G63-H63)*10000)</f>
        <v>34.999999999998366</v>
      </c>
      <c r="O63" s="73">
        <f>N63*M63</f>
        <v>35.00000000000059</v>
      </c>
      <c r="P63" s="40" t="s">
        <v>97</v>
      </c>
    </row>
    <row r="64" spans="1:18" x14ac:dyDescent="0.2">
      <c r="A64" s="147"/>
      <c r="B64" s="72">
        <v>5</v>
      </c>
      <c r="C64" s="81" t="s">
        <v>13</v>
      </c>
      <c r="D64" s="81" t="s">
        <v>98</v>
      </c>
      <c r="E64" s="33">
        <v>0.33333333333333331</v>
      </c>
      <c r="F64" s="34" t="s">
        <v>15</v>
      </c>
      <c r="G64" s="35">
        <v>1.4792000000000001</v>
      </c>
      <c r="H64" s="35">
        <v>1.4817</v>
      </c>
      <c r="I64" s="44">
        <v>1.4763999999999999</v>
      </c>
      <c r="J64" s="10">
        <f>((92-67)+(0))/2</f>
        <v>12.5</v>
      </c>
      <c r="K64" s="35"/>
      <c r="L64" s="36" t="s">
        <v>16</v>
      </c>
      <c r="M64" s="37">
        <f>IF((I64-G64)/(H64-G64)&lt;0,(I64-G64)/(H64-G64)*-1,(I64-G64)/(H64-G64))</f>
        <v>1.1200000000000783</v>
      </c>
      <c r="N64" s="38">
        <f>IF((G64-H64)*10000&lt;1,(G64-H64)*-1*10000,(G64-H64)*10000)</f>
        <v>24.999999999999467</v>
      </c>
      <c r="O64" s="73">
        <f>N64*M64</f>
        <v>28.000000000001361</v>
      </c>
      <c r="P64" s="40" t="s">
        <v>99</v>
      </c>
    </row>
    <row r="65" spans="1:16" x14ac:dyDescent="0.2">
      <c r="A65" s="147"/>
      <c r="B65" s="78">
        <v>6</v>
      </c>
      <c r="C65" s="81" t="s">
        <v>54</v>
      </c>
      <c r="D65" s="81" t="s">
        <v>100</v>
      </c>
      <c r="E65" s="33">
        <v>0.33333333333333331</v>
      </c>
      <c r="F65" s="34" t="s">
        <v>15</v>
      </c>
      <c r="G65" s="79">
        <v>108.4</v>
      </c>
      <c r="H65" s="79">
        <v>108.65</v>
      </c>
      <c r="I65" s="102">
        <v>108.05</v>
      </c>
      <c r="J65" s="10">
        <f>((40)+(50))/2</f>
        <v>45</v>
      </c>
      <c r="K65" s="35"/>
      <c r="L65" s="36" t="s">
        <v>16</v>
      </c>
      <c r="M65" s="37">
        <f>IF((I65-G65)/(H65-G65)&lt;0,(I65-G65)/(H65-G65)*-1,(I65-G65)/(H65-G65))</f>
        <v>1.4000000000000341</v>
      </c>
      <c r="N65" s="38">
        <v>25</v>
      </c>
      <c r="O65" s="73">
        <f>N65*M65</f>
        <v>35.000000000000853</v>
      </c>
      <c r="P65" s="40" t="s">
        <v>101</v>
      </c>
    </row>
    <row r="66" spans="1:16" x14ac:dyDescent="0.2">
      <c r="A66" s="147"/>
      <c r="B66" s="76">
        <v>7</v>
      </c>
      <c r="C66" s="81" t="s">
        <v>19</v>
      </c>
      <c r="D66" s="81" t="s">
        <v>100</v>
      </c>
      <c r="E66" s="33">
        <v>0.75</v>
      </c>
      <c r="F66" s="34" t="s">
        <v>15</v>
      </c>
      <c r="G66" s="35">
        <v>1.96</v>
      </c>
      <c r="H66" s="35">
        <v>1.9625000000000001</v>
      </c>
      <c r="I66" s="44">
        <v>1.95</v>
      </c>
      <c r="J66" s="10">
        <v>21</v>
      </c>
      <c r="K66" s="35"/>
      <c r="L66" s="36" t="s">
        <v>16</v>
      </c>
      <c r="M66" s="37">
        <f>IF((I66-G66)/(H66-G66)&lt;0,(I66-G66)/(H66-G66)*-1,(I66-G66)/(H66-G66))</f>
        <v>3.9999999999997335</v>
      </c>
      <c r="N66" s="38">
        <f>IF((G66-H66)*10000&lt;1,(G66-H66)*-1*10000,(G66-H66)*10000)</f>
        <v>25.000000000001688</v>
      </c>
      <c r="O66" s="73">
        <f>N66*M66</f>
        <v>100.00000000000009</v>
      </c>
      <c r="P66" s="40" t="s">
        <v>102</v>
      </c>
    </row>
    <row r="67" spans="1:16" x14ac:dyDescent="0.2">
      <c r="A67" s="147"/>
      <c r="B67" s="78">
        <v>8</v>
      </c>
      <c r="C67" s="81" t="s">
        <v>54</v>
      </c>
      <c r="D67" s="81" t="s">
        <v>103</v>
      </c>
      <c r="E67" s="33">
        <v>0.66666666666666663</v>
      </c>
      <c r="F67" s="34" t="s">
        <v>22</v>
      </c>
      <c r="G67" s="79">
        <v>106.52</v>
      </c>
      <c r="H67" s="79">
        <v>106.05</v>
      </c>
      <c r="I67" s="102">
        <v>107.42</v>
      </c>
      <c r="J67" s="10">
        <f>((50)+(88))/2</f>
        <v>69</v>
      </c>
      <c r="K67" s="35"/>
      <c r="L67" s="36" t="s">
        <v>16</v>
      </c>
      <c r="M67" s="37">
        <f>IF((I67-G67)/(H67-G67)&lt;0,(I67-G67)/(H67-G67)*-1,(I67-G67)/(H67-G67))</f>
        <v>1.9148936170212933</v>
      </c>
      <c r="N67" s="38">
        <v>47</v>
      </c>
      <c r="O67" s="73">
        <f>N67*M67</f>
        <v>90.000000000000782</v>
      </c>
      <c r="P67" s="40" t="s">
        <v>104</v>
      </c>
    </row>
    <row r="68" spans="1:16" x14ac:dyDescent="0.2">
      <c r="A68" s="147"/>
      <c r="B68" s="78">
        <v>9</v>
      </c>
      <c r="C68" s="81" t="s">
        <v>54</v>
      </c>
      <c r="D68" s="81" t="s">
        <v>105</v>
      </c>
      <c r="E68" s="33">
        <v>0.33333333333333331</v>
      </c>
      <c r="F68" s="34" t="s">
        <v>15</v>
      </c>
      <c r="G68" s="79">
        <v>106.39</v>
      </c>
      <c r="H68" s="79">
        <v>106.81</v>
      </c>
      <c r="I68" s="102">
        <v>105.61</v>
      </c>
      <c r="J68" s="10">
        <f>((30)+(139))/2</f>
        <v>84.5</v>
      </c>
      <c r="K68" s="35"/>
      <c r="L68" s="95" t="s">
        <v>16</v>
      </c>
      <c r="M68" s="93">
        <f>O68/N68</f>
        <v>1.8571428571428572</v>
      </c>
      <c r="N68" s="38">
        <v>42</v>
      </c>
      <c r="O68" s="73">
        <v>78</v>
      </c>
      <c r="P68" s="40" t="s">
        <v>106</v>
      </c>
    </row>
    <row r="69" spans="1:16" x14ac:dyDescent="0.2">
      <c r="A69" s="147"/>
      <c r="B69" s="72">
        <v>10</v>
      </c>
      <c r="C69" s="81" t="s">
        <v>13</v>
      </c>
      <c r="D69" s="81" t="s">
        <v>107</v>
      </c>
      <c r="E69" s="33">
        <v>0.33333333333333331</v>
      </c>
      <c r="F69" s="34" t="s">
        <v>15</v>
      </c>
      <c r="G69" s="35">
        <v>1.4759</v>
      </c>
      <c r="H69" s="35">
        <v>1.4782</v>
      </c>
      <c r="I69" s="44">
        <v>1.4722</v>
      </c>
      <c r="J69" s="10">
        <v>35</v>
      </c>
      <c r="K69" s="79"/>
      <c r="L69" s="95" t="s">
        <v>16</v>
      </c>
      <c r="M69" s="37">
        <f>IF((I69-G69)/(H69-G69)&lt;0,(I69-G69)/(H69-G69)*-1,(I69-G69)/(H69-G69))</f>
        <v>1.6086956521739508</v>
      </c>
      <c r="N69" s="38">
        <f>IF((G69-H69)*10000&lt;1,(G69-H69)*-1*10000,(G69-H69)*10000)</f>
        <v>22.999999999999687</v>
      </c>
      <c r="O69" s="73">
        <f>N69*M69</f>
        <v>37.000000000000369</v>
      </c>
      <c r="P69" s="40" t="s">
        <v>108</v>
      </c>
    </row>
    <row r="70" spans="1:16" x14ac:dyDescent="0.2">
      <c r="A70" s="147"/>
      <c r="B70" s="76">
        <v>11</v>
      </c>
      <c r="C70" s="58" t="s">
        <v>19</v>
      </c>
      <c r="D70" s="81" t="s">
        <v>109</v>
      </c>
      <c r="E70" s="33">
        <v>0.16666666666666666</v>
      </c>
      <c r="F70" s="34" t="s">
        <v>15</v>
      </c>
      <c r="G70" s="35">
        <v>1.9767999999999999</v>
      </c>
      <c r="H70" s="35">
        <v>1.9818</v>
      </c>
      <c r="I70" s="44">
        <v>1.9706999999999999</v>
      </c>
      <c r="J70" s="10">
        <v>19.5</v>
      </c>
      <c r="K70" s="35"/>
      <c r="L70" s="95" t="s">
        <v>16</v>
      </c>
      <c r="M70" s="93">
        <f>IF((I70-G70)/(H70-G70)&lt;0,(I70-G70)/(H70-G70)*-1,(I70-G70)/(H70-G70))</f>
        <v>1.2199999999999707</v>
      </c>
      <c r="N70" s="38">
        <f>IF((G70-H70)*10000&lt;1,(G70-H70)*-1*10000,(G70-H70)*10000)</f>
        <v>50.000000000001151</v>
      </c>
      <c r="O70" s="73">
        <f>N70*M70</f>
        <v>60.999999999999936</v>
      </c>
      <c r="P70" s="40" t="s">
        <v>110</v>
      </c>
    </row>
    <row r="71" spans="1:16" x14ac:dyDescent="0.2">
      <c r="A71" s="147"/>
      <c r="B71" s="72">
        <v>12</v>
      </c>
      <c r="C71" s="58" t="s">
        <v>13</v>
      </c>
      <c r="D71" s="81" t="s">
        <v>109</v>
      </c>
      <c r="E71" s="33">
        <v>0.5</v>
      </c>
      <c r="F71" s="34" t="s">
        <v>22</v>
      </c>
      <c r="G71" s="35">
        <v>1.4717</v>
      </c>
      <c r="H71" s="35">
        <v>1.4670000000000001</v>
      </c>
      <c r="I71" s="44">
        <v>1.4764999999999999</v>
      </c>
      <c r="J71" s="10">
        <v>35</v>
      </c>
      <c r="K71" s="35"/>
      <c r="L71" s="36" t="s">
        <v>16</v>
      </c>
      <c r="M71" s="37">
        <f>IF((I71-G71)/(H71-G71)&lt;0,(I71-G71)/(H71-G71)*-1,(I71-G71)/(H71-G71))</f>
        <v>1.0212765957446788</v>
      </c>
      <c r="N71" s="38">
        <f>IF((G71-H71)*10000&lt;1,(G71-H71)*-1*10000,(G71-H71)*10000)</f>
        <v>46.999999999999261</v>
      </c>
      <c r="O71" s="73">
        <f>N71*M71</f>
        <v>47.999999999999147</v>
      </c>
      <c r="P71" s="40" t="s">
        <v>111</v>
      </c>
    </row>
    <row r="72" spans="1:16" x14ac:dyDescent="0.2">
      <c r="A72" s="147"/>
      <c r="B72" s="76">
        <v>13</v>
      </c>
      <c r="C72" s="58" t="s">
        <v>19</v>
      </c>
      <c r="D72" s="81" t="s">
        <v>112</v>
      </c>
      <c r="E72" s="33">
        <v>0.5</v>
      </c>
      <c r="F72" s="34" t="s">
        <v>22</v>
      </c>
      <c r="G72" s="35">
        <v>1.9874000000000001</v>
      </c>
      <c r="H72" s="35">
        <v>1.9832000000000001</v>
      </c>
      <c r="I72" s="44">
        <v>1.9994000000000001</v>
      </c>
      <c r="J72" s="10">
        <v>15</v>
      </c>
      <c r="K72" s="34"/>
      <c r="L72" s="36" t="s">
        <v>16</v>
      </c>
      <c r="M72" s="37">
        <f>IF((I72-G72)/(H72-G72)&lt;0,(I72-G72)/(H72-G72)*-1,(I72-G72)/(H72-G72))</f>
        <v>2.8571428571428723</v>
      </c>
      <c r="N72" s="38">
        <f>IF((G72-H72)*10000&lt;1,(G72-H72)*-1*10000,(G72-H72)*10000)</f>
        <v>41.999999999999815</v>
      </c>
      <c r="O72" s="73">
        <f>N72*M72</f>
        <v>120.00000000000011</v>
      </c>
      <c r="P72" s="40" t="s">
        <v>113</v>
      </c>
    </row>
    <row r="73" spans="1:16" x14ac:dyDescent="0.2">
      <c r="A73" s="147"/>
      <c r="B73" s="72">
        <v>14</v>
      </c>
      <c r="C73" s="81" t="s">
        <v>13</v>
      </c>
      <c r="D73" s="30" t="s">
        <v>114</v>
      </c>
      <c r="E73" s="33">
        <v>0.5</v>
      </c>
      <c r="F73" s="34" t="s">
        <v>22</v>
      </c>
      <c r="G73" s="35">
        <v>1.4809000000000001</v>
      </c>
      <c r="H73" s="35">
        <v>1.4770000000000001</v>
      </c>
      <c r="I73" s="44">
        <v>1.4872000000000001</v>
      </c>
      <c r="J73" s="75">
        <v>-39</v>
      </c>
      <c r="K73" s="77" t="s">
        <v>52</v>
      </c>
      <c r="L73" s="36" t="s">
        <v>16</v>
      </c>
      <c r="M73" s="37">
        <f>IF((I73-G73)/(H73-G73)&lt;0,(I73-G73)/(H73-G73)*-1,(I73-G73)/(H73-G73))</f>
        <v>1.6153846153846023</v>
      </c>
      <c r="N73" s="38">
        <f>IF((G73-H73)*10000&lt;1,(G73-H73)*-1*10000,(G73-H73)*10000)</f>
        <v>39.000000000000142</v>
      </c>
      <c r="O73" s="73">
        <f>N73*M73</f>
        <v>62.999999999999723</v>
      </c>
      <c r="P73" s="40" t="s">
        <v>115</v>
      </c>
    </row>
    <row r="74" spans="1:16" x14ac:dyDescent="0.2">
      <c r="A74" s="147"/>
      <c r="B74" s="72"/>
      <c r="C74" s="81"/>
      <c r="D74" s="81"/>
      <c r="E74" s="33"/>
      <c r="F74" s="34"/>
      <c r="G74" s="35"/>
      <c r="H74" s="35"/>
      <c r="I74" s="44"/>
      <c r="J74" s="10"/>
      <c r="K74" s="34"/>
      <c r="L74" s="36"/>
      <c r="M74" s="37"/>
      <c r="N74" s="38"/>
      <c r="O74" s="80"/>
      <c r="P74" s="40"/>
    </row>
    <row r="75" spans="1:16" x14ac:dyDescent="0.2">
      <c r="A75" s="147"/>
      <c r="B75" s="82"/>
      <c r="C75" s="46"/>
      <c r="D75" s="46"/>
      <c r="E75" s="46"/>
      <c r="F75" s="50"/>
      <c r="G75" s="51"/>
      <c r="H75" s="51"/>
      <c r="I75" s="103"/>
      <c r="J75" s="83"/>
      <c r="K75" s="50"/>
      <c r="L75" s="53"/>
      <c r="M75" s="54"/>
      <c r="N75" s="55"/>
      <c r="O75" s="84"/>
      <c r="P75" s="57"/>
    </row>
    <row r="79" spans="1:16" x14ac:dyDescent="0.2">
      <c r="I79" s="20" t="s">
        <v>7</v>
      </c>
      <c r="J79" s="21">
        <f>SUM(J80:J91)</f>
        <v>394.5</v>
      </c>
      <c r="P79" s="24" t="s">
        <v>12</v>
      </c>
    </row>
    <row r="80" spans="1:16" x14ac:dyDescent="0.2">
      <c r="A80" s="148" t="s">
        <v>116</v>
      </c>
      <c r="B80" s="104">
        <v>1</v>
      </c>
      <c r="C80" s="86" t="s">
        <v>19</v>
      </c>
      <c r="D80" s="86" t="s">
        <v>117</v>
      </c>
      <c r="E80" s="64">
        <v>0.83333333333333337</v>
      </c>
      <c r="F80" s="18" t="s">
        <v>15</v>
      </c>
      <c r="G80" s="19">
        <v>1.9737</v>
      </c>
      <c r="H80" s="19">
        <v>1.9771000000000001</v>
      </c>
      <c r="I80" s="98">
        <v>1.9702999999999999</v>
      </c>
      <c r="J80" s="105">
        <f>((25)+(34))/2</f>
        <v>29.5</v>
      </c>
      <c r="K80" s="100"/>
      <c r="L80" s="67" t="s">
        <v>16</v>
      </c>
      <c r="M80" s="68">
        <f t="shared" ref="M80:M90" si="11">IF((I80-G80)/(H80-G80)&lt;0,(I80-G80)/(H80-G80)*-1,(I80-G80)/(H80-G80))</f>
        <v>1</v>
      </c>
      <c r="N80" s="69">
        <f t="shared" ref="N80:N90" si="12">IF((G80-H80)*10000&lt;1,(G80-H80)*-1*10000,(G80-H80)*10000)</f>
        <v>34.000000000000696</v>
      </c>
      <c r="O80" s="88">
        <f t="shared" ref="O80:O90" si="13">N80*M80</f>
        <v>34.000000000000696</v>
      </c>
      <c r="P80" s="106" t="s">
        <v>118</v>
      </c>
    </row>
    <row r="81" spans="1:16" x14ac:dyDescent="0.2">
      <c r="A81" s="148"/>
      <c r="B81" s="94">
        <v>2</v>
      </c>
      <c r="C81" s="58" t="s">
        <v>13</v>
      </c>
      <c r="D81" s="58" t="s">
        <v>119</v>
      </c>
      <c r="E81" s="33">
        <v>0.33333333333333331</v>
      </c>
      <c r="F81" s="34" t="s">
        <v>15</v>
      </c>
      <c r="G81" s="35">
        <v>1.4813000000000001</v>
      </c>
      <c r="H81" s="35">
        <v>1.4849000000000001</v>
      </c>
      <c r="I81" s="44">
        <v>1.4726999999999999</v>
      </c>
      <c r="J81" s="90">
        <v>98.5</v>
      </c>
      <c r="K81" s="35"/>
      <c r="L81" s="36" t="s">
        <v>16</v>
      </c>
      <c r="M81" s="37">
        <f t="shared" si="11"/>
        <v>2.3888888888889026</v>
      </c>
      <c r="N81" s="38">
        <f t="shared" si="12"/>
        <v>36.000000000000476</v>
      </c>
      <c r="O81" s="80">
        <f t="shared" si="13"/>
        <v>86.000000000001634</v>
      </c>
      <c r="P81" s="106" t="s">
        <v>120</v>
      </c>
    </row>
    <row r="82" spans="1:16" x14ac:dyDescent="0.2">
      <c r="A82" s="148"/>
      <c r="B82" s="76">
        <v>3</v>
      </c>
      <c r="C82" s="58" t="s">
        <v>19</v>
      </c>
      <c r="D82" s="74" t="s">
        <v>121</v>
      </c>
      <c r="E82" s="33">
        <v>0.33333333333333331</v>
      </c>
      <c r="F82" s="34" t="s">
        <v>22</v>
      </c>
      <c r="G82" s="35">
        <v>1.9649000000000001</v>
      </c>
      <c r="H82" s="35">
        <v>1.9612000000000001</v>
      </c>
      <c r="I82" s="44">
        <v>1.9689000000000001</v>
      </c>
      <c r="J82" s="90">
        <v>32</v>
      </c>
      <c r="K82" s="35"/>
      <c r="L82" s="36" t="s">
        <v>16</v>
      </c>
      <c r="M82" s="37">
        <f t="shared" si="11"/>
        <v>1.0810810810810714</v>
      </c>
      <c r="N82" s="38">
        <f t="shared" si="12"/>
        <v>37.000000000000369</v>
      </c>
      <c r="O82" s="80">
        <f t="shared" si="13"/>
        <v>40.000000000000043</v>
      </c>
      <c r="P82" s="106" t="s">
        <v>122</v>
      </c>
    </row>
    <row r="83" spans="1:16" x14ac:dyDescent="0.2">
      <c r="A83" s="148"/>
      <c r="B83" s="76">
        <v>4</v>
      </c>
      <c r="C83" s="81" t="s">
        <v>19</v>
      </c>
      <c r="D83" s="81" t="s">
        <v>121</v>
      </c>
      <c r="E83" s="33">
        <v>0.66666666666666663</v>
      </c>
      <c r="F83" s="34" t="s">
        <v>22</v>
      </c>
      <c r="G83" s="35">
        <v>1.9704000000000002</v>
      </c>
      <c r="H83" s="35">
        <v>1.9669000000000001</v>
      </c>
      <c r="I83" s="44">
        <v>1.9738</v>
      </c>
      <c r="J83" s="90">
        <v>10</v>
      </c>
      <c r="K83" s="35"/>
      <c r="L83" s="36" t="s">
        <v>16</v>
      </c>
      <c r="M83" s="37">
        <f t="shared" si="11"/>
        <v>0.97142857142851158</v>
      </c>
      <c r="N83" s="38">
        <f t="shared" si="12"/>
        <v>35.000000000000583</v>
      </c>
      <c r="O83" s="80">
        <f t="shared" si="13"/>
        <v>33.999999999998472</v>
      </c>
      <c r="P83" s="106" t="s">
        <v>123</v>
      </c>
    </row>
    <row r="84" spans="1:16" x14ac:dyDescent="0.2">
      <c r="A84" s="148"/>
      <c r="B84" s="76">
        <v>5</v>
      </c>
      <c r="C84" s="81" t="s">
        <v>19</v>
      </c>
      <c r="D84" s="81" t="s">
        <v>124</v>
      </c>
      <c r="E84" s="33">
        <v>0.33333333333333331</v>
      </c>
      <c r="F84" s="34" t="s">
        <v>15</v>
      </c>
      <c r="G84" s="35">
        <v>1.9580000000000002</v>
      </c>
      <c r="H84" s="35">
        <v>1.9626000000000001</v>
      </c>
      <c r="I84" s="44">
        <v>1.9528000000000001</v>
      </c>
      <c r="J84" s="90">
        <f>((30)+(52))/2</f>
        <v>41</v>
      </c>
      <c r="K84" s="35"/>
      <c r="L84" s="36" t="s">
        <v>16</v>
      </c>
      <c r="M84" s="37">
        <f t="shared" si="11"/>
        <v>1.1304347826087313</v>
      </c>
      <c r="N84" s="38">
        <f t="shared" si="12"/>
        <v>45.999999999999375</v>
      </c>
      <c r="O84" s="80">
        <f t="shared" si="13"/>
        <v>52.000000000000931</v>
      </c>
      <c r="P84" s="106" t="s">
        <v>125</v>
      </c>
    </row>
    <row r="85" spans="1:16" x14ac:dyDescent="0.2">
      <c r="A85" s="148"/>
      <c r="B85" s="76">
        <v>6</v>
      </c>
      <c r="C85" s="81" t="s">
        <v>19</v>
      </c>
      <c r="D85" s="81" t="s">
        <v>126</v>
      </c>
      <c r="E85" s="33">
        <v>0.52083333333333326</v>
      </c>
      <c r="F85" s="34" t="s">
        <v>15</v>
      </c>
      <c r="G85" s="35">
        <v>1.9433</v>
      </c>
      <c r="H85" s="35">
        <v>1.9470000000000001</v>
      </c>
      <c r="I85" s="44">
        <v>1.9340000000000002</v>
      </c>
      <c r="J85" s="90">
        <v>16.5</v>
      </c>
      <c r="K85" s="35"/>
      <c r="L85" s="36" t="s">
        <v>16</v>
      </c>
      <c r="M85" s="37">
        <f t="shared" si="11"/>
        <v>2.5135135135134519</v>
      </c>
      <c r="N85" s="38">
        <f t="shared" si="12"/>
        <v>37.000000000000369</v>
      </c>
      <c r="O85" s="80">
        <f t="shared" si="13"/>
        <v>92.99999999999865</v>
      </c>
      <c r="P85" s="106" t="s">
        <v>127</v>
      </c>
    </row>
    <row r="86" spans="1:16" x14ac:dyDescent="0.2">
      <c r="A86" s="148"/>
      <c r="B86" s="94">
        <v>7</v>
      </c>
      <c r="C86" s="81" t="s">
        <v>13</v>
      </c>
      <c r="D86" s="81" t="s">
        <v>128</v>
      </c>
      <c r="E86" s="33">
        <v>0.83333333333333326</v>
      </c>
      <c r="F86" s="34" t="s">
        <v>22</v>
      </c>
      <c r="G86" s="35">
        <v>1.4717</v>
      </c>
      <c r="H86" s="35">
        <v>1.468</v>
      </c>
      <c r="I86" s="44">
        <v>1.4790000000000001</v>
      </c>
      <c r="J86" s="90">
        <f>((30)+(73))/2</f>
        <v>51.5</v>
      </c>
      <c r="K86" s="35"/>
      <c r="L86" s="36" t="s">
        <v>16</v>
      </c>
      <c r="M86" s="37">
        <f t="shared" si="11"/>
        <v>1.9729729729729761</v>
      </c>
      <c r="N86" s="38">
        <f t="shared" si="12"/>
        <v>37.000000000000369</v>
      </c>
      <c r="O86" s="80">
        <f t="shared" si="13"/>
        <v>73.000000000000853</v>
      </c>
      <c r="P86" s="106" t="s">
        <v>129</v>
      </c>
    </row>
    <row r="87" spans="1:16" x14ac:dyDescent="0.2">
      <c r="A87" s="148"/>
      <c r="B87" s="76">
        <v>8</v>
      </c>
      <c r="C87" s="81" t="s">
        <v>19</v>
      </c>
      <c r="D87" s="81" t="s">
        <v>130</v>
      </c>
      <c r="E87" s="33">
        <v>0.83333333333333337</v>
      </c>
      <c r="F87" s="34" t="s">
        <v>22</v>
      </c>
      <c r="G87" s="35">
        <v>1.9661</v>
      </c>
      <c r="H87" s="35">
        <v>1.9625000000000001</v>
      </c>
      <c r="I87" s="44">
        <v>1.9815</v>
      </c>
      <c r="J87" s="45">
        <v>0</v>
      </c>
      <c r="K87" s="6" t="s">
        <v>33</v>
      </c>
      <c r="L87" s="36" t="s">
        <v>16</v>
      </c>
      <c r="M87" s="37">
        <f t="shared" si="11"/>
        <v>4.2777777777780077</v>
      </c>
      <c r="N87" s="38">
        <f t="shared" si="12"/>
        <v>35.999999999998252</v>
      </c>
      <c r="O87" s="80">
        <f t="shared" si="13"/>
        <v>154.0000000000008</v>
      </c>
      <c r="P87" s="106" t="s">
        <v>131</v>
      </c>
    </row>
    <row r="88" spans="1:16" x14ac:dyDescent="0.2">
      <c r="A88" s="148"/>
      <c r="B88" s="76">
        <v>9</v>
      </c>
      <c r="C88" s="81" t="s">
        <v>19</v>
      </c>
      <c r="D88" s="81" t="s">
        <v>132</v>
      </c>
      <c r="E88" s="33">
        <v>0.54166666666666663</v>
      </c>
      <c r="F88" s="34" t="s">
        <v>22</v>
      </c>
      <c r="G88" s="35">
        <v>1.9704999999999999</v>
      </c>
      <c r="H88" s="35">
        <v>1.968</v>
      </c>
      <c r="I88" s="44">
        <v>1.9815</v>
      </c>
      <c r="J88" s="90">
        <f>((20)+(93))/2</f>
        <v>56.5</v>
      </c>
      <c r="K88" s="35"/>
      <c r="L88" s="95" t="s">
        <v>16</v>
      </c>
      <c r="M88" s="37">
        <f t="shared" si="11"/>
        <v>4.4000000000001425</v>
      </c>
      <c r="N88" s="38">
        <f t="shared" si="12"/>
        <v>24.999999999999467</v>
      </c>
      <c r="O88" s="80">
        <f t="shared" si="13"/>
        <v>110.00000000000122</v>
      </c>
      <c r="P88" s="106" t="s">
        <v>133</v>
      </c>
    </row>
    <row r="89" spans="1:16" x14ac:dyDescent="0.2">
      <c r="A89" s="148"/>
      <c r="B89" s="76">
        <v>10</v>
      </c>
      <c r="C89" s="81" t="s">
        <v>19</v>
      </c>
      <c r="D89" s="81" t="s">
        <v>134</v>
      </c>
      <c r="E89" s="33">
        <v>0.5</v>
      </c>
      <c r="F89" s="34" t="s">
        <v>15</v>
      </c>
      <c r="G89" s="35">
        <v>1.9860000000000002</v>
      </c>
      <c r="H89" s="35">
        <v>1.9908000000000001</v>
      </c>
      <c r="I89" s="44">
        <v>1.9816</v>
      </c>
      <c r="J89" s="90">
        <v>24.5</v>
      </c>
      <c r="K89" s="79"/>
      <c r="L89" s="95" t="s">
        <v>16</v>
      </c>
      <c r="M89" s="37">
        <f t="shared" si="11"/>
        <v>0.91666666666672059</v>
      </c>
      <c r="N89" s="38">
        <f t="shared" si="12"/>
        <v>47.999999999999154</v>
      </c>
      <c r="O89" s="80">
        <f t="shared" si="13"/>
        <v>44.000000000001812</v>
      </c>
      <c r="P89" s="106" t="s">
        <v>135</v>
      </c>
    </row>
    <row r="90" spans="1:16" x14ac:dyDescent="0.2">
      <c r="A90" s="148"/>
      <c r="B90" s="94">
        <v>11</v>
      </c>
      <c r="C90" s="58" t="s">
        <v>13</v>
      </c>
      <c r="D90" s="81" t="s">
        <v>136</v>
      </c>
      <c r="E90" s="33">
        <v>0.66666666666666663</v>
      </c>
      <c r="F90" s="34" t="s">
        <v>22</v>
      </c>
      <c r="G90" s="35">
        <v>1.514</v>
      </c>
      <c r="H90" s="35">
        <v>1.51</v>
      </c>
      <c r="I90" s="44">
        <v>1.52</v>
      </c>
      <c r="J90" s="90">
        <f>((25)+(44))/2</f>
        <v>34.5</v>
      </c>
      <c r="K90" s="35"/>
      <c r="L90" s="95" t="s">
        <v>16</v>
      </c>
      <c r="M90" s="37">
        <f t="shared" si="11"/>
        <v>1.5</v>
      </c>
      <c r="N90" s="38">
        <f t="shared" si="12"/>
        <v>40.000000000000036</v>
      </c>
      <c r="O90" s="80">
        <f t="shared" si="13"/>
        <v>60.000000000000057</v>
      </c>
      <c r="P90" s="106" t="s">
        <v>137</v>
      </c>
    </row>
    <row r="91" spans="1:16" x14ac:dyDescent="0.2">
      <c r="A91" s="148"/>
      <c r="B91" s="82"/>
      <c r="C91" s="46"/>
      <c r="D91" s="46"/>
      <c r="E91" s="46"/>
      <c r="F91" s="50"/>
      <c r="G91" s="51"/>
      <c r="H91" s="51"/>
      <c r="I91" s="103"/>
      <c r="J91" s="83"/>
      <c r="K91" s="50"/>
      <c r="L91" s="53"/>
      <c r="M91" s="54"/>
      <c r="N91" s="55"/>
      <c r="O91" s="84"/>
      <c r="P91" s="107"/>
    </row>
    <row r="95" spans="1:16" x14ac:dyDescent="0.2">
      <c r="I95" s="20" t="s">
        <v>7</v>
      </c>
      <c r="J95" s="21">
        <f>SUM(J96:J105)</f>
        <v>331.5</v>
      </c>
      <c r="P95" s="108" t="s">
        <v>12</v>
      </c>
    </row>
    <row r="96" spans="1:16" x14ac:dyDescent="0.2">
      <c r="A96" s="149" t="s">
        <v>138</v>
      </c>
      <c r="B96" s="109">
        <v>1</v>
      </c>
      <c r="C96" s="86" t="s">
        <v>13</v>
      </c>
      <c r="D96" s="86" t="s">
        <v>139</v>
      </c>
      <c r="E96" s="64">
        <v>0.5</v>
      </c>
      <c r="F96" s="66" t="s">
        <v>22</v>
      </c>
      <c r="G96" s="19">
        <v>1.5221</v>
      </c>
      <c r="H96" s="19">
        <v>1.5181</v>
      </c>
      <c r="I96" s="98">
        <v>1.5261</v>
      </c>
      <c r="J96" s="105">
        <v>12.5</v>
      </c>
      <c r="K96" s="100"/>
      <c r="L96" s="67" t="s">
        <v>16</v>
      </c>
      <c r="M96" s="68">
        <f t="shared" ref="M96:M104" si="14">IF((I96-G96)/(H96-G96)&lt;0,(I96-G96)/(H96-G96)*-1,(I96-G96)/(H96-G96))</f>
        <v>1</v>
      </c>
      <c r="N96" s="69">
        <f t="shared" ref="N96:N104" si="15">IF((G96-H96)*10000&lt;1,(G96-H96)*-1*10000,(G96-H96)*10000)</f>
        <v>40.000000000000036</v>
      </c>
      <c r="O96" s="88">
        <f t="shared" ref="O96:O104" si="16">N96*M96</f>
        <v>40.000000000000036</v>
      </c>
      <c r="P96" s="110" t="s">
        <v>140</v>
      </c>
    </row>
    <row r="97" spans="1:16" x14ac:dyDescent="0.2">
      <c r="A97" s="149"/>
      <c r="B97" s="58">
        <v>2</v>
      </c>
      <c r="C97" s="58" t="s">
        <v>13</v>
      </c>
      <c r="D97" s="58" t="s">
        <v>141</v>
      </c>
      <c r="E97" s="33">
        <v>0.5</v>
      </c>
      <c r="F97" s="34" t="s">
        <v>15</v>
      </c>
      <c r="G97" s="35">
        <v>1.5185999999999999</v>
      </c>
      <c r="H97" s="35">
        <v>1.5209999999999999</v>
      </c>
      <c r="I97" s="44">
        <v>1.5150000000000001</v>
      </c>
      <c r="J97" s="75">
        <v>-24</v>
      </c>
      <c r="K97" s="111" t="s">
        <v>52</v>
      </c>
      <c r="L97" s="36" t="s">
        <v>16</v>
      </c>
      <c r="M97" s="37">
        <f t="shared" si="14"/>
        <v>1.4999999999999538</v>
      </c>
      <c r="N97" s="38">
        <f t="shared" si="15"/>
        <v>23.999999999999577</v>
      </c>
      <c r="O97" s="80">
        <f t="shared" si="16"/>
        <v>35.999999999998259</v>
      </c>
      <c r="P97" s="106" t="s">
        <v>142</v>
      </c>
    </row>
    <row r="98" spans="1:16" x14ac:dyDescent="0.2">
      <c r="A98" s="149"/>
      <c r="B98" s="58">
        <v>3</v>
      </c>
      <c r="C98" s="58" t="s">
        <v>13</v>
      </c>
      <c r="D98" s="74" t="s">
        <v>141</v>
      </c>
      <c r="E98" s="33">
        <v>0.66666666666666663</v>
      </c>
      <c r="F98" s="34" t="s">
        <v>22</v>
      </c>
      <c r="G98" s="35">
        <v>1.5207000000000002</v>
      </c>
      <c r="H98" s="35">
        <v>1.5169999999999999</v>
      </c>
      <c r="I98" s="44">
        <v>1.53</v>
      </c>
      <c r="J98" s="90">
        <f>((25)+(63))/2</f>
        <v>44</v>
      </c>
      <c r="K98" s="35"/>
      <c r="L98" s="36" t="s">
        <v>16</v>
      </c>
      <c r="M98" s="37">
        <f t="shared" si="14"/>
        <v>2.5135135135133009</v>
      </c>
      <c r="N98" s="38">
        <f t="shared" si="15"/>
        <v>37.000000000002586</v>
      </c>
      <c r="O98" s="80">
        <f t="shared" si="16"/>
        <v>92.999999999998636</v>
      </c>
      <c r="P98" s="106" t="s">
        <v>142</v>
      </c>
    </row>
    <row r="99" spans="1:16" x14ac:dyDescent="0.2">
      <c r="A99" s="149"/>
      <c r="B99" s="58">
        <v>4</v>
      </c>
      <c r="C99" s="81" t="s">
        <v>13</v>
      </c>
      <c r="D99" s="81" t="s">
        <v>143</v>
      </c>
      <c r="E99" s="33">
        <v>0.41666666666666663</v>
      </c>
      <c r="F99" s="34" t="s">
        <v>22</v>
      </c>
      <c r="G99" s="89">
        <v>1.5399</v>
      </c>
      <c r="H99" s="89">
        <v>1.5366</v>
      </c>
      <c r="I99" s="112">
        <v>1.5455000000000001</v>
      </c>
      <c r="J99" s="90">
        <v>56</v>
      </c>
      <c r="K99" s="89"/>
      <c r="L99" s="36" t="s">
        <v>16</v>
      </c>
      <c r="M99" s="37">
        <f t="shared" si="14"/>
        <v>1.6969696969696704</v>
      </c>
      <c r="N99" s="38">
        <f t="shared" si="15"/>
        <v>33.00000000000081</v>
      </c>
      <c r="O99" s="80">
        <f t="shared" si="16"/>
        <v>56.000000000000497</v>
      </c>
      <c r="P99" s="106" t="s">
        <v>144</v>
      </c>
    </row>
    <row r="100" spans="1:16" x14ac:dyDescent="0.2">
      <c r="A100" s="149"/>
      <c r="B100" s="58">
        <v>5</v>
      </c>
      <c r="C100" s="81" t="s">
        <v>13</v>
      </c>
      <c r="D100" s="81" t="s">
        <v>145</v>
      </c>
      <c r="E100" s="33">
        <v>0.33333333333333331</v>
      </c>
      <c r="F100" s="34" t="s">
        <v>22</v>
      </c>
      <c r="G100" s="89">
        <v>1.5773999999999999</v>
      </c>
      <c r="H100" s="89">
        <v>1.5733999999999999</v>
      </c>
      <c r="I100" s="112">
        <v>1.5851999999999999</v>
      </c>
      <c r="J100" s="90">
        <v>28.5</v>
      </c>
      <c r="K100" s="89"/>
      <c r="L100" s="36" t="s">
        <v>16</v>
      </c>
      <c r="M100" s="37">
        <f t="shared" si="14"/>
        <v>1.9500000000000055</v>
      </c>
      <c r="N100" s="38">
        <f t="shared" si="15"/>
        <v>40.000000000000036</v>
      </c>
      <c r="O100" s="80">
        <f t="shared" si="16"/>
        <v>78.000000000000284</v>
      </c>
      <c r="P100" s="106" t="s">
        <v>146</v>
      </c>
    </row>
    <row r="101" spans="1:16" x14ac:dyDescent="0.2">
      <c r="A101" s="149"/>
      <c r="B101" s="58">
        <v>6</v>
      </c>
      <c r="C101" s="81" t="s">
        <v>13</v>
      </c>
      <c r="D101" s="81" t="s">
        <v>147</v>
      </c>
      <c r="E101" s="33">
        <v>0.66666666666666663</v>
      </c>
      <c r="F101" s="34" t="s">
        <v>15</v>
      </c>
      <c r="G101" s="89">
        <v>1.5701000000000001</v>
      </c>
      <c r="H101" s="89">
        <v>1.5737999999999999</v>
      </c>
      <c r="I101" s="112">
        <v>1.5623</v>
      </c>
      <c r="J101" s="90">
        <v>38</v>
      </c>
      <c r="K101" s="89"/>
      <c r="L101" s="36" t="s">
        <v>16</v>
      </c>
      <c r="M101" s="37">
        <f t="shared" si="14"/>
        <v>2.1081081081082216</v>
      </c>
      <c r="N101" s="38">
        <f t="shared" si="15"/>
        <v>36.999999999998145</v>
      </c>
      <c r="O101" s="80">
        <f t="shared" si="16"/>
        <v>78.000000000000284</v>
      </c>
      <c r="P101" s="106" t="s">
        <v>148</v>
      </c>
    </row>
    <row r="102" spans="1:16" x14ac:dyDescent="0.2">
      <c r="A102" s="149"/>
      <c r="B102" s="58">
        <v>7</v>
      </c>
      <c r="C102" s="81" t="s">
        <v>13</v>
      </c>
      <c r="D102" s="81" t="s">
        <v>147</v>
      </c>
      <c r="E102" s="33">
        <v>0.70833333333333326</v>
      </c>
      <c r="F102" s="34" t="s">
        <v>15</v>
      </c>
      <c r="G102" s="89">
        <v>1.5619000000000001</v>
      </c>
      <c r="H102" s="89">
        <v>1.5640000000000001</v>
      </c>
      <c r="I102" s="112">
        <v>1.5569999999999999</v>
      </c>
      <c r="J102" s="90">
        <v>18.5</v>
      </c>
      <c r="K102" s="89"/>
      <c r="L102" s="36" t="s">
        <v>16</v>
      </c>
      <c r="M102" s="37">
        <f t="shared" si="14"/>
        <v>2.3333333333334036</v>
      </c>
      <c r="N102" s="38">
        <f t="shared" si="15"/>
        <v>20.999999999999908</v>
      </c>
      <c r="O102" s="80">
        <f t="shared" si="16"/>
        <v>49.000000000001258</v>
      </c>
      <c r="P102" s="106" t="s">
        <v>149</v>
      </c>
    </row>
    <row r="103" spans="1:16" x14ac:dyDescent="0.2">
      <c r="A103" s="149"/>
      <c r="B103" s="58">
        <v>8</v>
      </c>
      <c r="C103" s="81" t="s">
        <v>19</v>
      </c>
      <c r="D103" s="81" t="s">
        <v>150</v>
      </c>
      <c r="E103" s="33">
        <v>0.66666666666666663</v>
      </c>
      <c r="F103" s="34" t="s">
        <v>22</v>
      </c>
      <c r="G103" s="89">
        <v>1.9832000000000001</v>
      </c>
      <c r="H103" s="89">
        <v>1.9795</v>
      </c>
      <c r="I103" s="112">
        <v>1.9904999999999999</v>
      </c>
      <c r="J103" s="90">
        <v>33</v>
      </c>
      <c r="K103" s="89"/>
      <c r="L103" s="36" t="s">
        <v>16</v>
      </c>
      <c r="M103" s="37">
        <f t="shared" si="14"/>
        <v>1.9729729729729162</v>
      </c>
      <c r="N103" s="38">
        <f t="shared" si="15"/>
        <v>37.000000000000369</v>
      </c>
      <c r="O103" s="80">
        <f t="shared" si="16"/>
        <v>72.999999999998622</v>
      </c>
      <c r="P103" s="106" t="s">
        <v>151</v>
      </c>
    </row>
    <row r="104" spans="1:16" x14ac:dyDescent="0.2">
      <c r="A104" s="149"/>
      <c r="B104" s="58">
        <v>9</v>
      </c>
      <c r="C104" s="81" t="s">
        <v>13</v>
      </c>
      <c r="D104" s="81" t="s">
        <v>152</v>
      </c>
      <c r="E104" s="33">
        <v>0.66666666666666663</v>
      </c>
      <c r="F104" s="34" t="s">
        <v>15</v>
      </c>
      <c r="G104" s="89">
        <v>1.5815000000000001</v>
      </c>
      <c r="H104" s="89">
        <v>1.5848</v>
      </c>
      <c r="I104" s="112">
        <v>1.5569999999999999</v>
      </c>
      <c r="J104" s="90">
        <v>125</v>
      </c>
      <c r="K104" s="89"/>
      <c r="L104" s="95" t="s">
        <v>16</v>
      </c>
      <c r="M104" s="37">
        <f t="shared" si="14"/>
        <v>7.4242424242427996</v>
      </c>
      <c r="N104" s="38">
        <f t="shared" si="15"/>
        <v>32.999999999998586</v>
      </c>
      <c r="O104" s="80">
        <f t="shared" si="16"/>
        <v>245.00000000000188</v>
      </c>
      <c r="P104" s="106" t="s">
        <v>153</v>
      </c>
    </row>
    <row r="105" spans="1:16" x14ac:dyDescent="0.2">
      <c r="A105" s="149"/>
      <c r="B105" s="113"/>
      <c r="C105" s="114"/>
      <c r="D105" s="114"/>
      <c r="E105" s="49"/>
      <c r="F105" s="50"/>
      <c r="G105" s="115"/>
      <c r="H105" s="115"/>
      <c r="I105" s="116"/>
      <c r="J105" s="117"/>
      <c r="K105" s="118"/>
      <c r="L105" s="119"/>
      <c r="M105" s="54"/>
      <c r="N105" s="55"/>
      <c r="O105" s="120"/>
      <c r="P105" s="121"/>
    </row>
    <row r="109" spans="1:16" x14ac:dyDescent="0.2">
      <c r="I109" s="20" t="s">
        <v>7</v>
      </c>
      <c r="J109" s="21">
        <f>SUM(J110:J116)</f>
        <v>456</v>
      </c>
      <c r="P109" s="108" t="s">
        <v>12</v>
      </c>
    </row>
    <row r="110" spans="1:16" x14ac:dyDescent="0.2">
      <c r="A110" s="150" t="s">
        <v>154</v>
      </c>
      <c r="B110" s="122">
        <v>1</v>
      </c>
      <c r="C110" s="86" t="s">
        <v>13</v>
      </c>
      <c r="D110" s="86" t="s">
        <v>155</v>
      </c>
      <c r="E110" s="64">
        <v>0.66666666666666663</v>
      </c>
      <c r="F110" s="66" t="s">
        <v>22</v>
      </c>
      <c r="G110" s="19">
        <v>1.5710000000000002</v>
      </c>
      <c r="H110" s="19">
        <v>1.5676999999999999</v>
      </c>
      <c r="I110" s="98">
        <v>1.5768</v>
      </c>
      <c r="J110" s="105">
        <v>58</v>
      </c>
      <c r="K110" s="100"/>
      <c r="L110" s="67" t="s">
        <v>16</v>
      </c>
      <c r="M110" s="68">
        <f>IF((I110-G110)/(H110-G110)&lt;0,(I110-G110)/(H110-G110)*-1,(I110-G110)/(H110-G110))</f>
        <v>1.7575757575755373</v>
      </c>
      <c r="N110" s="123">
        <f>IF((G110-H110)*10000&lt;1,(G110-H110)*-1*10000,(G110-H110)*10000)</f>
        <v>33.000000000003027</v>
      </c>
      <c r="O110" s="124">
        <f>N110*M110</f>
        <v>57.999999999998053</v>
      </c>
      <c r="P110" s="110" t="s">
        <v>156</v>
      </c>
    </row>
    <row r="111" spans="1:16" x14ac:dyDescent="0.2">
      <c r="A111" s="150"/>
      <c r="B111" s="94">
        <v>2</v>
      </c>
      <c r="C111" s="58" t="s">
        <v>19</v>
      </c>
      <c r="D111" s="58" t="s">
        <v>157</v>
      </c>
      <c r="E111" s="33">
        <v>0.33333333333333331</v>
      </c>
      <c r="F111" s="34" t="s">
        <v>15</v>
      </c>
      <c r="G111" s="35">
        <v>1.9855</v>
      </c>
      <c r="H111" s="35">
        <v>1.9897</v>
      </c>
      <c r="I111" s="44">
        <v>1.9752000000000001</v>
      </c>
      <c r="J111" s="90">
        <v>103</v>
      </c>
      <c r="K111" s="111"/>
      <c r="L111" s="36" t="s">
        <v>16</v>
      </c>
      <c r="M111" s="37">
        <f>IF((I111-G111)/(H111-G111)&lt;0,(I111-G111)/(H111-G111)*-1,(I111-G111)/(H111-G111))</f>
        <v>2.4523809523809574</v>
      </c>
      <c r="N111" s="125">
        <f>IF((G111-H111)*10000&lt;1,(G111-H111)*-1*10000,(G111-H111)*10000)</f>
        <v>41.999999999999815</v>
      </c>
      <c r="O111" s="126">
        <f>N111*M111</f>
        <v>102.99999999999976</v>
      </c>
      <c r="P111" s="106" t="s">
        <v>158</v>
      </c>
    </row>
    <row r="112" spans="1:16" x14ac:dyDescent="0.2">
      <c r="A112" s="150"/>
      <c r="B112" s="94">
        <v>3</v>
      </c>
      <c r="C112" s="58" t="s">
        <v>13</v>
      </c>
      <c r="D112" s="74" t="s">
        <v>159</v>
      </c>
      <c r="E112" s="33">
        <v>0.33333333333333331</v>
      </c>
      <c r="F112" s="34" t="s">
        <v>22</v>
      </c>
      <c r="G112" s="35">
        <v>1.5728</v>
      </c>
      <c r="H112" s="35">
        <v>1.5693999999999999</v>
      </c>
      <c r="I112" s="44">
        <v>1.5790999999999999</v>
      </c>
      <c r="J112" s="90">
        <v>112</v>
      </c>
      <c r="K112" s="35"/>
      <c r="L112" s="36" t="s">
        <v>16</v>
      </c>
      <c r="M112" s="37">
        <f>IF((I112-G112)/(H112-G112)&lt;0,(I112-G112)/(H112-G112)*-1,(I112-G112)/(H112-G112))</f>
        <v>1.8529411764705421</v>
      </c>
      <c r="N112" s="125">
        <f>IF((G112-H112)*10000&lt;1,(G112-H112)*-1*10000,(G112-H112)*10000)</f>
        <v>34.000000000000696</v>
      </c>
      <c r="O112" s="126">
        <f>N112*M112</f>
        <v>62.999999999999723</v>
      </c>
      <c r="P112" s="106" t="s">
        <v>160</v>
      </c>
    </row>
    <row r="113" spans="1:18" x14ac:dyDescent="0.2">
      <c r="A113" s="150"/>
      <c r="B113" s="94">
        <v>4</v>
      </c>
      <c r="C113" s="81" t="s">
        <v>13</v>
      </c>
      <c r="D113" s="81" t="s">
        <v>161</v>
      </c>
      <c r="E113" s="33">
        <v>0.83333333333333326</v>
      </c>
      <c r="F113" s="34" t="s">
        <v>15</v>
      </c>
      <c r="G113" s="89">
        <v>1.5882000000000001</v>
      </c>
      <c r="H113" s="89">
        <v>1.5927</v>
      </c>
      <c r="I113" s="112">
        <v>1.5821000000000001</v>
      </c>
      <c r="J113" s="90">
        <v>183</v>
      </c>
      <c r="K113" s="89"/>
      <c r="L113" s="36" t="s">
        <v>16</v>
      </c>
      <c r="M113" s="37">
        <f>IF((I113-G113)/(H113-G113)&lt;0,(I113-G113)/(H113-G113)*-1,(I113-G113)/(H113-G113))</f>
        <v>1.3555555555555698</v>
      </c>
      <c r="N113" s="125">
        <f>IF((G113-H113)*10000&lt;1,(G113-H113)*-1*10000,(G113-H113)*10000)</f>
        <v>44.999999999999488</v>
      </c>
      <c r="O113" s="126">
        <f>N113*M113</f>
        <v>60.99999999999995</v>
      </c>
      <c r="P113" s="106" t="s">
        <v>162</v>
      </c>
    </row>
    <row r="114" spans="1:18" x14ac:dyDescent="0.2">
      <c r="A114" s="150"/>
      <c r="B114" s="94">
        <v>5</v>
      </c>
      <c r="C114" s="81" t="s">
        <v>13</v>
      </c>
      <c r="D114" s="81" t="s">
        <v>163</v>
      </c>
      <c r="E114" s="33">
        <v>0.66666666666666663</v>
      </c>
      <c r="F114" s="34" t="s">
        <v>15</v>
      </c>
      <c r="G114" s="89">
        <v>1.5649000000000002</v>
      </c>
      <c r="H114" s="89">
        <v>1.5684</v>
      </c>
      <c r="I114" s="112">
        <v>1.5545</v>
      </c>
      <c r="J114" s="127" t="s">
        <v>164</v>
      </c>
      <c r="K114" s="89"/>
      <c r="L114" s="36" t="s">
        <v>16</v>
      </c>
      <c r="M114" s="37">
        <f>IF((I114-G114)/(H114-G114)&lt;0,(I114-G114)/(H114-G114)*-1,(I114-G114)/(H114-G114))</f>
        <v>2.9714285714287634</v>
      </c>
      <c r="N114" s="125">
        <f>IF((G114-H114)*10000&lt;1,(G114-H114)*-1*10000,(G114-H114)*10000)</f>
        <v>34.999999999998366</v>
      </c>
      <c r="O114" s="126">
        <f>N114*M114</f>
        <v>104.00000000000186</v>
      </c>
      <c r="P114" s="106" t="s">
        <v>165</v>
      </c>
    </row>
    <row r="115" spans="1:18" x14ac:dyDescent="0.2">
      <c r="A115" s="150"/>
      <c r="B115" s="128"/>
      <c r="C115" s="114"/>
      <c r="D115" s="114"/>
      <c r="E115" s="49"/>
      <c r="F115" s="50"/>
      <c r="G115" s="115"/>
      <c r="H115" s="115"/>
      <c r="I115" s="116"/>
      <c r="J115" s="117"/>
      <c r="K115" s="115"/>
      <c r="L115" s="53"/>
      <c r="M115" s="54"/>
      <c r="N115" s="129"/>
      <c r="O115" s="130"/>
      <c r="P115" s="121"/>
    </row>
    <row r="116" spans="1:18" x14ac:dyDescent="0.2">
      <c r="F116"/>
      <c r="G116"/>
      <c r="H116"/>
      <c r="I116"/>
      <c r="J116"/>
      <c r="K116"/>
      <c r="M116"/>
      <c r="N116"/>
      <c r="P116"/>
      <c r="R116"/>
    </row>
    <row r="119" spans="1:18" x14ac:dyDescent="0.2">
      <c r="I119" s="20" t="s">
        <v>7</v>
      </c>
      <c r="J119" s="21">
        <f>SUM(J120:J131)</f>
        <v>238</v>
      </c>
      <c r="P119" s="108" t="s">
        <v>12</v>
      </c>
    </row>
    <row r="120" spans="1:18" x14ac:dyDescent="0.2">
      <c r="A120" s="151">
        <v>39569</v>
      </c>
      <c r="B120" s="122">
        <v>1</v>
      </c>
      <c r="C120" s="86" t="s">
        <v>19</v>
      </c>
      <c r="D120" s="86" t="s">
        <v>166</v>
      </c>
      <c r="E120" s="64">
        <v>0.33333333333333331</v>
      </c>
      <c r="F120" s="18" t="s">
        <v>15</v>
      </c>
      <c r="G120" s="19">
        <v>1.9767000000000001</v>
      </c>
      <c r="H120" s="19">
        <v>1.9805000000000001</v>
      </c>
      <c r="I120" s="98">
        <v>1.9664000000000001</v>
      </c>
      <c r="J120" s="131">
        <v>0</v>
      </c>
      <c r="K120" s="132" t="s">
        <v>33</v>
      </c>
      <c r="L120" s="67" t="s">
        <v>16</v>
      </c>
      <c r="M120" s="68">
        <f t="shared" ref="M120:M130" si="17">IF((I120-G120)/(H120-G120)&lt;0,(I120-G120)/(H120-G120)*-1,(I120-G120)/(H120-G120))</f>
        <v>2.710526315789449</v>
      </c>
      <c r="N120" s="123">
        <f t="shared" ref="N120:N130" si="18">IF((G120-H120)*10000&lt;1,(G120-H120)*-1*10000,(G120-H120)*10000)</f>
        <v>38.000000000000256</v>
      </c>
      <c r="O120" s="133">
        <f t="shared" ref="O120:O130" si="19">N120*M120</f>
        <v>102.99999999999976</v>
      </c>
      <c r="P120" s="134" t="s">
        <v>167</v>
      </c>
    </row>
    <row r="121" spans="1:18" x14ac:dyDescent="0.2">
      <c r="A121" s="151"/>
      <c r="B121" s="94">
        <v>2</v>
      </c>
      <c r="C121" s="58" t="s">
        <v>19</v>
      </c>
      <c r="D121" s="58" t="s">
        <v>168</v>
      </c>
      <c r="E121" s="33">
        <v>0.5</v>
      </c>
      <c r="F121" s="34" t="s">
        <v>15</v>
      </c>
      <c r="G121" s="35">
        <v>1.9708000000000001</v>
      </c>
      <c r="H121" s="35">
        <v>1.9758</v>
      </c>
      <c r="I121" s="44">
        <v>1.9630000000000001</v>
      </c>
      <c r="J121" s="90">
        <v>44</v>
      </c>
      <c r="K121" s="111"/>
      <c r="L121" s="36" t="s">
        <v>16</v>
      </c>
      <c r="M121" s="135">
        <f t="shared" si="17"/>
        <v>1.5600000000000391</v>
      </c>
      <c r="N121" s="125">
        <f t="shared" si="18"/>
        <v>49.999999999998934</v>
      </c>
      <c r="O121" s="136">
        <f t="shared" si="19"/>
        <v>78.000000000000298</v>
      </c>
      <c r="P121" s="137" t="s">
        <v>169</v>
      </c>
    </row>
    <row r="122" spans="1:18" x14ac:dyDescent="0.2">
      <c r="A122" s="151"/>
      <c r="B122" s="94">
        <v>3</v>
      </c>
      <c r="C122" s="58" t="s">
        <v>19</v>
      </c>
      <c r="D122" s="74" t="s">
        <v>170</v>
      </c>
      <c r="E122" s="33">
        <v>0.33333333333333331</v>
      </c>
      <c r="F122" s="34" t="s">
        <v>15</v>
      </c>
      <c r="G122" s="35">
        <v>1.9733000000000001</v>
      </c>
      <c r="H122" s="35">
        <v>1.9763000000000002</v>
      </c>
      <c r="I122" s="44">
        <v>1.9674</v>
      </c>
      <c r="J122" s="138">
        <v>44.5</v>
      </c>
      <c r="K122" s="35"/>
      <c r="L122" s="36" t="s">
        <v>16</v>
      </c>
      <c r="M122" s="135">
        <f t="shared" si="17"/>
        <v>1.9666666666665975</v>
      </c>
      <c r="N122" s="125">
        <f t="shared" si="18"/>
        <v>30.000000000001137</v>
      </c>
      <c r="O122" s="136">
        <f t="shared" si="19"/>
        <v>59.000000000000163</v>
      </c>
      <c r="P122" s="137" t="s">
        <v>171</v>
      </c>
    </row>
    <row r="123" spans="1:18" x14ac:dyDescent="0.2">
      <c r="A123" s="151"/>
      <c r="B123" s="94">
        <v>4</v>
      </c>
      <c r="C123" s="81" t="s">
        <v>13</v>
      </c>
      <c r="D123" s="81" t="s">
        <v>170</v>
      </c>
      <c r="E123" s="33">
        <v>0.5</v>
      </c>
      <c r="F123" s="34" t="s">
        <v>22</v>
      </c>
      <c r="G123" s="89">
        <v>1.5524</v>
      </c>
      <c r="H123" s="89">
        <v>1.5491000000000001</v>
      </c>
      <c r="I123" s="112">
        <v>1.5594999999999999</v>
      </c>
      <c r="J123" s="90">
        <v>35</v>
      </c>
      <c r="K123" s="89"/>
      <c r="L123" s="36" t="s">
        <v>16</v>
      </c>
      <c r="M123" s="135">
        <f t="shared" si="17"/>
        <v>2.1515151515152087</v>
      </c>
      <c r="N123" s="125">
        <f t="shared" si="18"/>
        <v>32.999999999998586</v>
      </c>
      <c r="O123" s="136">
        <f t="shared" si="19"/>
        <v>70.999999999998849</v>
      </c>
      <c r="P123" s="137" t="s">
        <v>172</v>
      </c>
    </row>
    <row r="124" spans="1:18" x14ac:dyDescent="0.2">
      <c r="A124" s="151"/>
      <c r="B124" s="94">
        <v>5</v>
      </c>
      <c r="C124" s="81" t="s">
        <v>13</v>
      </c>
      <c r="D124" s="81" t="s">
        <v>173</v>
      </c>
      <c r="E124" s="33">
        <v>0.41666666666666663</v>
      </c>
      <c r="F124" s="34" t="s">
        <v>15</v>
      </c>
      <c r="G124" s="89">
        <v>1.5483</v>
      </c>
      <c r="H124" s="89">
        <v>1.5507</v>
      </c>
      <c r="I124" s="112">
        <v>1.5453000000000001</v>
      </c>
      <c r="J124" s="127">
        <v>30</v>
      </c>
      <c r="K124" s="89"/>
      <c r="L124" s="36" t="s">
        <v>16</v>
      </c>
      <c r="M124" s="135">
        <f t="shared" si="17"/>
        <v>1.2499999999999769</v>
      </c>
      <c r="N124" s="125">
        <f t="shared" si="18"/>
        <v>23.999999999999577</v>
      </c>
      <c r="O124" s="136">
        <f t="shared" si="19"/>
        <v>29.999999999998916</v>
      </c>
      <c r="P124" s="137" t="s">
        <v>174</v>
      </c>
    </row>
    <row r="125" spans="1:18" x14ac:dyDescent="0.2">
      <c r="A125" s="151"/>
      <c r="B125" s="94">
        <v>6</v>
      </c>
      <c r="C125" s="81" t="s">
        <v>13</v>
      </c>
      <c r="D125" s="81" t="s">
        <v>175</v>
      </c>
      <c r="E125" s="33">
        <v>0.5</v>
      </c>
      <c r="F125" s="34" t="s">
        <v>22</v>
      </c>
      <c r="G125" s="89">
        <v>1.5441</v>
      </c>
      <c r="H125" s="89">
        <v>1.5390999999999999</v>
      </c>
      <c r="I125" s="112">
        <v>1.5549999999999999</v>
      </c>
      <c r="J125" s="90">
        <v>62</v>
      </c>
      <c r="K125" s="89"/>
      <c r="L125" s="36" t="s">
        <v>16</v>
      </c>
      <c r="M125" s="135">
        <f t="shared" si="17"/>
        <v>2.1799999999999318</v>
      </c>
      <c r="N125" s="125">
        <f t="shared" si="18"/>
        <v>50.000000000001151</v>
      </c>
      <c r="O125" s="136">
        <f t="shared" si="19"/>
        <v>108.9999999999991</v>
      </c>
      <c r="P125" s="137" t="s">
        <v>176</v>
      </c>
    </row>
    <row r="126" spans="1:18" x14ac:dyDescent="0.2">
      <c r="A126" s="151"/>
      <c r="B126" s="94">
        <v>7</v>
      </c>
      <c r="C126" s="81" t="s">
        <v>13</v>
      </c>
      <c r="D126" s="81" t="s">
        <v>177</v>
      </c>
      <c r="E126" s="33">
        <v>0.5</v>
      </c>
      <c r="F126" s="34" t="s">
        <v>15</v>
      </c>
      <c r="G126" s="89">
        <v>1.5487000000000002</v>
      </c>
      <c r="H126" s="89">
        <v>1.5517000000000001</v>
      </c>
      <c r="I126" s="112">
        <v>1.5430000000000001</v>
      </c>
      <c r="J126" s="75">
        <v>-15</v>
      </c>
      <c r="K126" s="111" t="s">
        <v>52</v>
      </c>
      <c r="L126" s="36" t="s">
        <v>16</v>
      </c>
      <c r="M126" s="135">
        <f t="shared" si="17"/>
        <v>1.9000000000000814</v>
      </c>
      <c r="N126" s="125">
        <f t="shared" si="18"/>
        <v>29.999999999998916</v>
      </c>
      <c r="O126" s="136">
        <f t="shared" si="19"/>
        <v>57.000000000000384</v>
      </c>
      <c r="P126" s="137" t="s">
        <v>178</v>
      </c>
    </row>
    <row r="127" spans="1:18" x14ac:dyDescent="0.2">
      <c r="A127" s="151"/>
      <c r="B127" s="94">
        <v>8</v>
      </c>
      <c r="C127" s="81" t="s">
        <v>13</v>
      </c>
      <c r="D127" s="81" t="s">
        <v>179</v>
      </c>
      <c r="E127" s="33">
        <v>0.5</v>
      </c>
      <c r="F127" s="34" t="s">
        <v>15</v>
      </c>
      <c r="G127" s="89">
        <v>1.5472000000000001</v>
      </c>
      <c r="H127" s="89">
        <v>1.5508999999999999</v>
      </c>
      <c r="I127" s="112">
        <v>1.5434999999999999</v>
      </c>
      <c r="J127" s="75">
        <v>-13</v>
      </c>
      <c r="K127" s="111" t="s">
        <v>52</v>
      </c>
      <c r="L127" s="36" t="s">
        <v>16</v>
      </c>
      <c r="M127" s="135">
        <f t="shared" si="17"/>
        <v>1.0000000000001201</v>
      </c>
      <c r="N127" s="125">
        <f t="shared" si="18"/>
        <v>36.999999999998145</v>
      </c>
      <c r="O127" s="136">
        <f t="shared" si="19"/>
        <v>37.000000000002593</v>
      </c>
      <c r="P127" s="137" t="s">
        <v>180</v>
      </c>
    </row>
    <row r="128" spans="1:18" x14ac:dyDescent="0.2">
      <c r="A128" s="151"/>
      <c r="B128" s="94">
        <v>9</v>
      </c>
      <c r="C128" s="81" t="s">
        <v>19</v>
      </c>
      <c r="D128" s="81" t="s">
        <v>181</v>
      </c>
      <c r="E128" s="33">
        <v>0.56597222222222221</v>
      </c>
      <c r="F128" s="34" t="s">
        <v>22</v>
      </c>
      <c r="G128" s="89">
        <v>1.9823</v>
      </c>
      <c r="H128" s="89">
        <v>1.9786000000000001</v>
      </c>
      <c r="I128" s="112">
        <v>1.9885999999999999</v>
      </c>
      <c r="J128" s="90">
        <v>10</v>
      </c>
      <c r="K128" s="89"/>
      <c r="L128" s="95" t="s">
        <v>16</v>
      </c>
      <c r="M128" s="135">
        <f t="shared" si="17"/>
        <v>1.7027027027027806</v>
      </c>
      <c r="N128" s="125">
        <f t="shared" si="18"/>
        <v>36.999999999998145</v>
      </c>
      <c r="O128" s="136">
        <f t="shared" si="19"/>
        <v>62.999999999999723</v>
      </c>
      <c r="P128" s="137" t="s">
        <v>182</v>
      </c>
    </row>
    <row r="129" spans="1:16" x14ac:dyDescent="0.2">
      <c r="A129" s="151"/>
      <c r="B129" s="94">
        <v>10</v>
      </c>
      <c r="C129" s="81" t="s">
        <v>13</v>
      </c>
      <c r="D129" s="81" t="s">
        <v>181</v>
      </c>
      <c r="E129" s="33">
        <v>0.66666666666666663</v>
      </c>
      <c r="F129" s="34" t="s">
        <v>22</v>
      </c>
      <c r="G129" s="89">
        <v>1.5758000000000001</v>
      </c>
      <c r="H129" s="89">
        <v>1.5718000000000001</v>
      </c>
      <c r="I129" s="112">
        <v>1.58</v>
      </c>
      <c r="J129" s="90">
        <v>17.5</v>
      </c>
      <c r="K129" s="96"/>
      <c r="L129" s="95" t="s">
        <v>16</v>
      </c>
      <c r="M129" s="135">
        <f t="shared" si="17"/>
        <v>1.0499999999999945</v>
      </c>
      <c r="N129" s="125">
        <f t="shared" si="18"/>
        <v>40.000000000000036</v>
      </c>
      <c r="O129" s="136">
        <f t="shared" si="19"/>
        <v>41.999999999999815</v>
      </c>
      <c r="P129" s="137" t="s">
        <v>183</v>
      </c>
    </row>
    <row r="130" spans="1:16" x14ac:dyDescent="0.2">
      <c r="A130" s="151"/>
      <c r="B130" s="94">
        <v>11</v>
      </c>
      <c r="C130" s="81" t="s">
        <v>13</v>
      </c>
      <c r="D130" s="81" t="s">
        <v>184</v>
      </c>
      <c r="E130" s="33">
        <v>0.66666666666666663</v>
      </c>
      <c r="F130" s="34" t="s">
        <v>22</v>
      </c>
      <c r="G130" s="89">
        <v>1.5772999999999999</v>
      </c>
      <c r="H130" s="89">
        <v>1.5734999999999999</v>
      </c>
      <c r="I130" s="112">
        <v>1.589</v>
      </c>
      <c r="J130" s="90">
        <v>23</v>
      </c>
      <c r="K130" s="89"/>
      <c r="L130" s="95" t="s">
        <v>16</v>
      </c>
      <c r="M130" s="37">
        <f t="shared" si="17"/>
        <v>3.0789473684210433</v>
      </c>
      <c r="N130" s="125">
        <f t="shared" si="18"/>
        <v>38.000000000000256</v>
      </c>
      <c r="O130" s="136">
        <f t="shared" si="19"/>
        <v>117.00000000000044</v>
      </c>
      <c r="P130" s="40" t="s">
        <v>185</v>
      </c>
    </row>
    <row r="131" spans="1:16" x14ac:dyDescent="0.2">
      <c r="A131" s="151"/>
      <c r="B131" s="82"/>
      <c r="C131" s="46"/>
      <c r="D131" s="46"/>
      <c r="E131" s="46"/>
      <c r="F131" s="50"/>
      <c r="G131" s="51"/>
      <c r="H131" s="51"/>
      <c r="I131" s="103"/>
      <c r="J131" s="83"/>
      <c r="K131" s="50"/>
      <c r="L131" s="53"/>
      <c r="M131" s="54"/>
      <c r="N131" s="55"/>
      <c r="O131" s="56"/>
      <c r="P131" s="57"/>
    </row>
    <row r="135" spans="1:16" x14ac:dyDescent="0.2">
      <c r="I135" s="20" t="s">
        <v>7</v>
      </c>
      <c r="J135" s="21">
        <f>SUM(J136:J143)</f>
        <v>271.5</v>
      </c>
      <c r="P135" s="108" t="s">
        <v>12</v>
      </c>
    </row>
    <row r="136" spans="1:16" x14ac:dyDescent="0.2">
      <c r="A136" s="152" t="s">
        <v>186</v>
      </c>
      <c r="B136" s="122">
        <v>1</v>
      </c>
      <c r="C136" s="86" t="s">
        <v>13</v>
      </c>
      <c r="D136" s="86" t="s">
        <v>187</v>
      </c>
      <c r="E136" s="64">
        <v>0.5</v>
      </c>
      <c r="F136" s="18" t="s">
        <v>15</v>
      </c>
      <c r="G136" s="19">
        <v>1.5510999999999999</v>
      </c>
      <c r="H136" s="19">
        <v>1.5559000000000001</v>
      </c>
      <c r="I136" s="98">
        <v>1.5464</v>
      </c>
      <c r="J136" s="131">
        <v>0</v>
      </c>
      <c r="K136" s="132" t="s">
        <v>33</v>
      </c>
      <c r="L136" s="67" t="s">
        <v>16</v>
      </c>
      <c r="M136" s="68">
        <f t="shared" ref="M136:M142" si="20">IF((I136-G136)/(H136-G136)&lt;0,(I136-G136)/(H136-G136)*-1,(I136-G136)/(H136-G136))</f>
        <v>0.97916666666662333</v>
      </c>
      <c r="N136" s="123">
        <f t="shared" ref="N136:N142" si="21">IF((G136-H136)*10000&lt;1,(G136-H136)*-1*10000,(G136-H136)*10000)</f>
        <v>48.000000000001378</v>
      </c>
      <c r="O136" s="133">
        <f t="shared" ref="O136:O142" si="22">N136*M136</f>
        <v>46.999999999999268</v>
      </c>
      <c r="P136" s="134" t="s">
        <v>188</v>
      </c>
    </row>
    <row r="137" spans="1:16" x14ac:dyDescent="0.2">
      <c r="A137" s="152"/>
      <c r="B137" s="94">
        <v>2</v>
      </c>
      <c r="C137" s="58" t="s">
        <v>19</v>
      </c>
      <c r="D137" s="74" t="s">
        <v>189</v>
      </c>
      <c r="E137" s="33">
        <v>0.5</v>
      </c>
      <c r="F137" s="34" t="s">
        <v>22</v>
      </c>
      <c r="G137" s="35">
        <v>1.9556</v>
      </c>
      <c r="H137" s="35">
        <v>1.9517</v>
      </c>
      <c r="I137" s="44">
        <v>1.96</v>
      </c>
      <c r="J137" s="138">
        <v>77</v>
      </c>
      <c r="K137" s="89"/>
      <c r="L137" s="36" t="s">
        <v>16</v>
      </c>
      <c r="M137" s="37">
        <f t="shared" si="20"/>
        <v>1.1282051282051135</v>
      </c>
      <c r="N137" s="125">
        <f t="shared" si="21"/>
        <v>39.000000000000142</v>
      </c>
      <c r="O137" s="136">
        <f t="shared" si="22"/>
        <v>43.999999999999588</v>
      </c>
      <c r="P137" s="137" t="s">
        <v>190</v>
      </c>
    </row>
    <row r="138" spans="1:16" x14ac:dyDescent="0.2">
      <c r="A138" s="152"/>
      <c r="B138" s="94">
        <v>3</v>
      </c>
      <c r="C138" t="s">
        <v>13</v>
      </c>
      <c r="D138" t="s">
        <v>191</v>
      </c>
      <c r="E138" s="60">
        <v>0.33333333333333331</v>
      </c>
      <c r="F138" s="1" t="s">
        <v>15</v>
      </c>
      <c r="G138" s="2">
        <v>1.5441</v>
      </c>
      <c r="H138" s="2">
        <v>1.5466</v>
      </c>
      <c r="I138" s="2">
        <v>1.54</v>
      </c>
      <c r="J138" s="3">
        <v>73</v>
      </c>
      <c r="L138" s="36" t="s">
        <v>16</v>
      </c>
      <c r="M138" s="37">
        <f t="shared" si="20"/>
        <v>1.6400000000000319</v>
      </c>
      <c r="N138" s="125">
        <f t="shared" si="21"/>
        <v>24.999999999999467</v>
      </c>
      <c r="O138" s="136">
        <f t="shared" si="22"/>
        <v>40.999999999999922</v>
      </c>
      <c r="P138" s="137" t="s">
        <v>192</v>
      </c>
    </row>
    <row r="139" spans="1:16" x14ac:dyDescent="0.2">
      <c r="A139" s="152"/>
      <c r="B139" s="94">
        <v>4</v>
      </c>
      <c r="C139" s="81" t="s">
        <v>13</v>
      </c>
      <c r="D139" s="81" t="s">
        <v>193</v>
      </c>
      <c r="E139" s="33">
        <v>0.5</v>
      </c>
      <c r="F139" s="34" t="s">
        <v>22</v>
      </c>
      <c r="G139" s="89">
        <v>1.5423</v>
      </c>
      <c r="H139" s="89">
        <v>1.5386000000000002</v>
      </c>
      <c r="I139" s="112">
        <v>1.5529999999999999</v>
      </c>
      <c r="J139" s="90">
        <v>49</v>
      </c>
      <c r="K139" s="89"/>
      <c r="L139" s="36" t="s">
        <v>16</v>
      </c>
      <c r="M139" s="37">
        <f t="shared" si="20"/>
        <v>2.8918918918920182</v>
      </c>
      <c r="N139" s="125">
        <f t="shared" si="21"/>
        <v>36.999999999998145</v>
      </c>
      <c r="O139" s="136">
        <f t="shared" si="22"/>
        <v>106.99999999999932</v>
      </c>
      <c r="P139" s="137" t="s">
        <v>194</v>
      </c>
    </row>
    <row r="140" spans="1:16" x14ac:dyDescent="0.2">
      <c r="A140" s="152"/>
      <c r="B140" s="94">
        <v>5</v>
      </c>
      <c r="C140" s="81" t="s">
        <v>13</v>
      </c>
      <c r="D140" s="81" t="s">
        <v>195</v>
      </c>
      <c r="E140" s="33">
        <v>0.83333333333333326</v>
      </c>
      <c r="F140" s="34" t="s">
        <v>22</v>
      </c>
      <c r="G140" s="89">
        <v>1.5527000000000002</v>
      </c>
      <c r="H140" s="89">
        <v>1.5495000000000001</v>
      </c>
      <c r="I140" s="112">
        <v>1.5575000000000001</v>
      </c>
      <c r="J140" s="127">
        <v>11</v>
      </c>
      <c r="K140" s="89"/>
      <c r="L140" s="36" t="s">
        <v>16</v>
      </c>
      <c r="M140" s="37">
        <f t="shared" si="20"/>
        <v>1.4999999999999307</v>
      </c>
      <c r="N140" s="125">
        <f t="shared" si="21"/>
        <v>32.000000000000917</v>
      </c>
      <c r="O140" s="136">
        <f t="shared" si="22"/>
        <v>47.999999999999162</v>
      </c>
      <c r="P140" s="137" t="s">
        <v>196</v>
      </c>
    </row>
    <row r="141" spans="1:16" x14ac:dyDescent="0.2">
      <c r="A141" s="152"/>
      <c r="B141" s="94">
        <v>6</v>
      </c>
      <c r="C141" s="81" t="s">
        <v>13</v>
      </c>
      <c r="D141" s="81" t="s">
        <v>197</v>
      </c>
      <c r="E141" s="33">
        <v>0.16666666666666666</v>
      </c>
      <c r="F141" s="34" t="s">
        <v>22</v>
      </c>
      <c r="G141" s="89">
        <v>1.5521</v>
      </c>
      <c r="H141" s="89">
        <v>1.5486</v>
      </c>
      <c r="I141" s="112">
        <v>1.5575000000000001</v>
      </c>
      <c r="J141" s="138">
        <v>51.5</v>
      </c>
      <c r="K141" s="89"/>
      <c r="L141" s="36" t="s">
        <v>16</v>
      </c>
      <c r="M141" s="37">
        <f t="shared" si="20"/>
        <v>1.5428571428571374</v>
      </c>
      <c r="N141" s="125">
        <f t="shared" si="21"/>
        <v>35.000000000000583</v>
      </c>
      <c r="O141" s="136">
        <f t="shared" si="22"/>
        <v>54.000000000000711</v>
      </c>
      <c r="P141" s="137" t="s">
        <v>198</v>
      </c>
    </row>
    <row r="142" spans="1:16" x14ac:dyDescent="0.2">
      <c r="A142" s="152"/>
      <c r="B142" s="94">
        <v>7</v>
      </c>
      <c r="C142" s="81" t="s">
        <v>19</v>
      </c>
      <c r="D142" s="81" t="s">
        <v>199</v>
      </c>
      <c r="E142" s="33">
        <v>0.5</v>
      </c>
      <c r="F142" s="34" t="s">
        <v>22</v>
      </c>
      <c r="G142" s="89">
        <v>1.9719000000000002</v>
      </c>
      <c r="H142" s="89">
        <v>1.9690000000000001</v>
      </c>
      <c r="I142" s="112">
        <v>1.9744999999999999</v>
      </c>
      <c r="J142" s="138">
        <v>10</v>
      </c>
      <c r="K142" s="111"/>
      <c r="L142" s="36" t="s">
        <v>16</v>
      </c>
      <c r="M142" s="37">
        <f t="shared" si="20"/>
        <v>0.89655172413779372</v>
      </c>
      <c r="N142" s="125">
        <f t="shared" si="21"/>
        <v>29.000000000001247</v>
      </c>
      <c r="O142" s="136">
        <f t="shared" si="22"/>
        <v>25.999999999997137</v>
      </c>
      <c r="P142" s="137" t="s">
        <v>200</v>
      </c>
    </row>
    <row r="143" spans="1:16" x14ac:dyDescent="0.2">
      <c r="A143" s="152"/>
      <c r="B143" s="82"/>
      <c r="C143" s="46"/>
      <c r="D143" s="46"/>
      <c r="E143" s="46"/>
      <c r="F143" s="50"/>
      <c r="G143" s="51"/>
      <c r="H143" s="51"/>
      <c r="I143" s="103"/>
      <c r="J143" s="103"/>
      <c r="K143" s="50"/>
      <c r="L143" s="53"/>
      <c r="M143" s="54"/>
      <c r="N143" s="55"/>
      <c r="O143" s="56"/>
      <c r="P143" s="57"/>
    </row>
    <row r="146" spans="1:16" x14ac:dyDescent="0.2">
      <c r="I146" s="20" t="s">
        <v>7</v>
      </c>
      <c r="J146" s="21">
        <f>SUM(J147:J157)</f>
        <v>232</v>
      </c>
      <c r="P146" s="108" t="s">
        <v>12</v>
      </c>
    </row>
    <row r="147" spans="1:16" x14ac:dyDescent="0.2">
      <c r="A147" s="152" t="s">
        <v>201</v>
      </c>
      <c r="B147" s="122">
        <v>1</v>
      </c>
      <c r="C147" s="86" t="s">
        <v>13</v>
      </c>
      <c r="D147" s="86" t="s">
        <v>202</v>
      </c>
      <c r="E147" s="64">
        <v>0.5</v>
      </c>
      <c r="F147" s="66" t="s">
        <v>22</v>
      </c>
      <c r="G147" s="19">
        <v>1.5779000000000001</v>
      </c>
      <c r="H147" s="19">
        <v>1.5736000000000001</v>
      </c>
      <c r="I147" s="98">
        <v>1.5827</v>
      </c>
      <c r="J147" s="65">
        <v>19.5</v>
      </c>
      <c r="K147" s="132"/>
      <c r="L147" s="67" t="s">
        <v>16</v>
      </c>
      <c r="M147" s="68">
        <f t="shared" ref="M147:M158" si="23">IF((I147-G147)/(H147-G147)&lt;0,(I147-G147)/(H147-G147)*-1,(I147-G147)/(H147-G147))</f>
        <v>1.1162790697674299</v>
      </c>
      <c r="N147" s="123">
        <f t="shared" ref="N147:N158" si="24">IF((G147-H147)*10000&lt;1,(G147-H147)*-1*10000,(G147-H147)*10000)</f>
        <v>42.999999999999702</v>
      </c>
      <c r="O147" s="133">
        <f t="shared" ref="O147:O158" si="25">N147*M147</f>
        <v>47.999999999999147</v>
      </c>
      <c r="P147" s="134" t="s">
        <v>203</v>
      </c>
    </row>
    <row r="148" spans="1:16" x14ac:dyDescent="0.2">
      <c r="A148" s="152"/>
      <c r="B148" s="94">
        <v>2</v>
      </c>
      <c r="C148" s="58" t="s">
        <v>13</v>
      </c>
      <c r="D148" s="74" t="s">
        <v>204</v>
      </c>
      <c r="E148" s="33">
        <v>0.5</v>
      </c>
      <c r="F148" s="34" t="s">
        <v>15</v>
      </c>
      <c r="G148" s="35">
        <v>1.5790000000000002</v>
      </c>
      <c r="H148" s="35">
        <v>1.5820000000000001</v>
      </c>
      <c r="I148" s="44">
        <v>1.5760000000000001</v>
      </c>
      <c r="J148" s="75">
        <v>-30</v>
      </c>
      <c r="K148" s="111" t="s">
        <v>52</v>
      </c>
      <c r="L148" s="36" t="s">
        <v>16</v>
      </c>
      <c r="M148" s="37">
        <f t="shared" si="23"/>
        <v>1.0000000000000739</v>
      </c>
      <c r="N148" s="125">
        <f t="shared" si="24"/>
        <v>29.999999999998916</v>
      </c>
      <c r="O148" s="136">
        <f t="shared" si="25"/>
        <v>30.000000000001133</v>
      </c>
      <c r="P148" s="137" t="s">
        <v>205</v>
      </c>
    </row>
    <row r="149" spans="1:16" x14ac:dyDescent="0.2">
      <c r="A149" s="152"/>
      <c r="B149" s="94">
        <v>3</v>
      </c>
      <c r="C149" s="30" t="s">
        <v>13</v>
      </c>
      <c r="D149" s="30" t="s">
        <v>204</v>
      </c>
      <c r="E149" s="33">
        <v>0.66666666666666663</v>
      </c>
      <c r="F149" s="34" t="s">
        <v>22</v>
      </c>
      <c r="G149" s="35">
        <v>1.5851999999999999</v>
      </c>
      <c r="H149" s="35">
        <v>1.5821000000000001</v>
      </c>
      <c r="I149" s="35">
        <v>1.5985</v>
      </c>
      <c r="J149" s="10">
        <v>27</v>
      </c>
      <c r="K149" s="34"/>
      <c r="L149" s="36" t="s">
        <v>16</v>
      </c>
      <c r="M149" s="37">
        <f t="shared" si="23"/>
        <v>4.2903225806453555</v>
      </c>
      <c r="N149" s="125">
        <f t="shared" si="24"/>
        <v>30.999999999998806</v>
      </c>
      <c r="O149" s="136">
        <f t="shared" si="25"/>
        <v>133.00000000000091</v>
      </c>
      <c r="P149" s="137" t="s">
        <v>206</v>
      </c>
    </row>
    <row r="150" spans="1:16" x14ac:dyDescent="0.2">
      <c r="A150" s="152"/>
      <c r="B150" s="94">
        <v>4</v>
      </c>
      <c r="C150" s="81" t="s">
        <v>13</v>
      </c>
      <c r="D150" s="81" t="s">
        <v>207</v>
      </c>
      <c r="E150" s="33">
        <v>0.5</v>
      </c>
      <c r="F150" s="34" t="s">
        <v>15</v>
      </c>
      <c r="G150" s="89">
        <v>1.569</v>
      </c>
      <c r="H150" s="89">
        <v>1.5727</v>
      </c>
      <c r="I150" s="112">
        <v>1.5649999999999999</v>
      </c>
      <c r="J150" s="90">
        <v>15</v>
      </c>
      <c r="K150" s="89"/>
      <c r="L150" s="36" t="s">
        <v>16</v>
      </c>
      <c r="M150" s="37">
        <f t="shared" si="23"/>
        <v>1.0810810810810714</v>
      </c>
      <c r="N150" s="125">
        <f t="shared" si="24"/>
        <v>37.000000000000369</v>
      </c>
      <c r="O150" s="136">
        <f t="shared" si="25"/>
        <v>40.000000000000043</v>
      </c>
      <c r="P150" s="137" t="s">
        <v>208</v>
      </c>
    </row>
    <row r="151" spans="1:16" x14ac:dyDescent="0.2">
      <c r="A151" s="152"/>
      <c r="B151" s="94">
        <v>5</v>
      </c>
      <c r="C151" s="81" t="s">
        <v>19</v>
      </c>
      <c r="D151" s="81" t="s">
        <v>209</v>
      </c>
      <c r="E151" s="33">
        <v>0.33333333333333331</v>
      </c>
      <c r="F151" s="34" t="s">
        <v>15</v>
      </c>
      <c r="G151" s="89">
        <v>1.9755</v>
      </c>
      <c r="H151" s="89">
        <v>1.9789000000000001</v>
      </c>
      <c r="I151" s="112">
        <v>1.9718</v>
      </c>
      <c r="J151" s="90">
        <v>39.5</v>
      </c>
      <c r="K151" s="89"/>
      <c r="L151" s="36" t="s">
        <v>16</v>
      </c>
      <c r="M151" s="37">
        <f t="shared" si="23"/>
        <v>1.0882352941176356</v>
      </c>
      <c r="N151" s="125">
        <f t="shared" si="24"/>
        <v>34.000000000000696</v>
      </c>
      <c r="O151" s="136">
        <f t="shared" si="25"/>
        <v>37.000000000000369</v>
      </c>
      <c r="P151" s="137" t="s">
        <v>210</v>
      </c>
    </row>
    <row r="152" spans="1:16" x14ac:dyDescent="0.2">
      <c r="A152" s="152"/>
      <c r="B152" s="94">
        <v>6</v>
      </c>
      <c r="C152" s="81" t="s">
        <v>13</v>
      </c>
      <c r="D152" s="81" t="s">
        <v>211</v>
      </c>
      <c r="E152" s="33">
        <v>0.66666666666666663</v>
      </c>
      <c r="F152" s="34" t="s">
        <v>22</v>
      </c>
      <c r="G152" s="89">
        <v>1.5727</v>
      </c>
      <c r="H152" s="89">
        <v>1.5688</v>
      </c>
      <c r="I152" s="112">
        <v>1.58</v>
      </c>
      <c r="J152" s="90">
        <v>36.5</v>
      </c>
      <c r="K152" s="89"/>
      <c r="L152" s="36" t="s">
        <v>16</v>
      </c>
      <c r="M152" s="37">
        <f t="shared" si="23"/>
        <v>1.8717948717948865</v>
      </c>
      <c r="N152" s="125">
        <f t="shared" si="24"/>
        <v>39.000000000000142</v>
      </c>
      <c r="O152" s="136">
        <f t="shared" si="25"/>
        <v>73.000000000000838</v>
      </c>
      <c r="P152" s="137" t="s">
        <v>212</v>
      </c>
    </row>
    <row r="153" spans="1:16" x14ac:dyDescent="0.2">
      <c r="A153" s="152"/>
      <c r="B153" s="94">
        <v>7</v>
      </c>
      <c r="C153" s="81" t="s">
        <v>13</v>
      </c>
      <c r="D153" s="81" t="s">
        <v>213</v>
      </c>
      <c r="E153" s="33">
        <v>0.33333333333333331</v>
      </c>
      <c r="F153" s="34" t="s">
        <v>22</v>
      </c>
      <c r="G153" s="89">
        <v>1.5936999999999999</v>
      </c>
      <c r="H153" s="89">
        <v>1.59</v>
      </c>
      <c r="I153" s="112">
        <v>1.6</v>
      </c>
      <c r="J153" s="90">
        <v>63</v>
      </c>
      <c r="K153" s="89"/>
      <c r="L153" s="36" t="s">
        <v>16</v>
      </c>
      <c r="M153" s="37">
        <f t="shared" si="23"/>
        <v>1.7027027027028405</v>
      </c>
      <c r="N153" s="125">
        <f t="shared" si="24"/>
        <v>36.999999999998145</v>
      </c>
      <c r="O153" s="136">
        <f t="shared" si="25"/>
        <v>63.00000000000194</v>
      </c>
      <c r="P153" s="137" t="s">
        <v>214</v>
      </c>
    </row>
    <row r="154" spans="1:16" x14ac:dyDescent="0.2">
      <c r="A154" s="152"/>
      <c r="B154" s="94">
        <v>8</v>
      </c>
      <c r="C154" s="81" t="s">
        <v>19</v>
      </c>
      <c r="D154" s="81" t="s">
        <v>215</v>
      </c>
      <c r="E154" s="33">
        <v>0.16666666666666666</v>
      </c>
      <c r="F154" s="34" t="s">
        <v>15</v>
      </c>
      <c r="G154" s="89">
        <v>1.9953000000000001</v>
      </c>
      <c r="H154" s="89">
        <v>2.0003000000000002</v>
      </c>
      <c r="I154" s="112">
        <v>1.9882</v>
      </c>
      <c r="J154" s="127">
        <v>1</v>
      </c>
      <c r="K154" s="89"/>
      <c r="L154" s="36" t="s">
        <v>16</v>
      </c>
      <c r="M154" s="37">
        <f t="shared" si="23"/>
        <v>1.4199999999999884</v>
      </c>
      <c r="N154" s="125">
        <f t="shared" si="24"/>
        <v>50.000000000001151</v>
      </c>
      <c r="O154" s="136">
        <f t="shared" si="25"/>
        <v>71.000000000001052</v>
      </c>
      <c r="P154" s="137" t="s">
        <v>216</v>
      </c>
    </row>
    <row r="155" spans="1:16" x14ac:dyDescent="0.2">
      <c r="A155" s="152"/>
      <c r="B155" s="94">
        <v>9</v>
      </c>
      <c r="C155" s="81" t="s">
        <v>13</v>
      </c>
      <c r="D155" s="81" t="s">
        <v>215</v>
      </c>
      <c r="E155" s="33">
        <v>0.5</v>
      </c>
      <c r="F155" s="34" t="s">
        <v>15</v>
      </c>
      <c r="G155" s="89">
        <v>1.5847</v>
      </c>
      <c r="H155" s="89">
        <v>1.5878999999999999</v>
      </c>
      <c r="I155" s="112">
        <v>1.5805</v>
      </c>
      <c r="J155" s="138">
        <v>9</v>
      </c>
      <c r="K155" s="89"/>
      <c r="L155" s="36" t="s">
        <v>16</v>
      </c>
      <c r="M155" s="37">
        <f t="shared" si="23"/>
        <v>1.3125000000000477</v>
      </c>
      <c r="N155" s="125">
        <f t="shared" si="24"/>
        <v>31.999999999998696</v>
      </c>
      <c r="O155" s="136">
        <f t="shared" si="25"/>
        <v>41.999999999999815</v>
      </c>
      <c r="P155" s="137" t="s">
        <v>217</v>
      </c>
    </row>
    <row r="156" spans="1:16" x14ac:dyDescent="0.2">
      <c r="A156" s="152"/>
      <c r="B156" s="94">
        <v>10</v>
      </c>
      <c r="C156" s="81" t="s">
        <v>13</v>
      </c>
      <c r="D156" s="81" t="s">
        <v>218</v>
      </c>
      <c r="E156" s="33">
        <v>0.75</v>
      </c>
      <c r="F156" s="34" t="s">
        <v>22</v>
      </c>
      <c r="G156" s="89">
        <v>1.5860000000000001</v>
      </c>
      <c r="H156" s="89">
        <v>1.5836999999999999</v>
      </c>
      <c r="I156" s="112">
        <v>1.59</v>
      </c>
      <c r="J156" s="138">
        <v>30.5</v>
      </c>
      <c r="K156" s="111"/>
      <c r="L156" s="36" t="s">
        <v>16</v>
      </c>
      <c r="M156" s="37">
        <f t="shared" si="23"/>
        <v>1.7391304347824659</v>
      </c>
      <c r="N156" s="125">
        <f t="shared" si="24"/>
        <v>23.000000000001908</v>
      </c>
      <c r="O156" s="136">
        <f t="shared" si="25"/>
        <v>40.000000000000036</v>
      </c>
      <c r="P156" s="137" t="s">
        <v>219</v>
      </c>
    </row>
    <row r="157" spans="1:16" x14ac:dyDescent="0.2">
      <c r="A157" s="152"/>
      <c r="B157" s="94">
        <v>11</v>
      </c>
      <c r="C157" s="81" t="s">
        <v>13</v>
      </c>
      <c r="D157" s="81" t="s">
        <v>220</v>
      </c>
      <c r="E157" s="33">
        <v>0.33333333333333331</v>
      </c>
      <c r="F157" s="34" t="s">
        <v>15</v>
      </c>
      <c r="G157" s="89">
        <v>1.5756999999999999</v>
      </c>
      <c r="H157" s="89">
        <v>1.5789</v>
      </c>
      <c r="I157" s="112">
        <v>1.57</v>
      </c>
      <c r="J157" s="138">
        <v>21</v>
      </c>
      <c r="K157" s="89"/>
      <c r="L157" s="36" t="s">
        <v>16</v>
      </c>
      <c r="M157" s="37">
        <f t="shared" si="23"/>
        <v>1.7812499999998916</v>
      </c>
      <c r="N157" s="125">
        <f t="shared" si="24"/>
        <v>32.000000000000917</v>
      </c>
      <c r="O157" s="136">
        <f t="shared" si="25"/>
        <v>56.999999999998167</v>
      </c>
      <c r="P157" s="137" t="s">
        <v>221</v>
      </c>
    </row>
    <row r="158" spans="1:16" x14ac:dyDescent="0.2">
      <c r="A158" s="152"/>
      <c r="B158" s="94">
        <v>12</v>
      </c>
      <c r="C158" s="81" t="s">
        <v>13</v>
      </c>
      <c r="D158" s="81" t="s">
        <v>222</v>
      </c>
      <c r="E158" s="33">
        <v>0.5</v>
      </c>
      <c r="F158" s="34"/>
      <c r="G158" s="35">
        <v>1.5669999999999999</v>
      </c>
      <c r="H158" s="35">
        <v>1.5640000000000001</v>
      </c>
      <c r="I158" s="35">
        <v>1.57</v>
      </c>
      <c r="J158" s="10">
        <v>0</v>
      </c>
      <c r="K158" s="139" t="s">
        <v>33</v>
      </c>
      <c r="L158" s="95" t="s">
        <v>16</v>
      </c>
      <c r="M158" s="37">
        <f t="shared" si="23"/>
        <v>1.0000000000000739</v>
      </c>
      <c r="N158" s="38">
        <f t="shared" si="24"/>
        <v>29.999999999998916</v>
      </c>
      <c r="O158" s="30">
        <f t="shared" si="25"/>
        <v>30.000000000001133</v>
      </c>
      <c r="P158" s="137" t="s">
        <v>223</v>
      </c>
    </row>
    <row r="159" spans="1:16" x14ac:dyDescent="0.2">
      <c r="A159" s="152"/>
      <c r="B159" s="94"/>
      <c r="C159" s="30"/>
      <c r="D159" s="30"/>
      <c r="E159" s="30"/>
      <c r="F159" s="34"/>
      <c r="G159" s="35"/>
      <c r="H159" s="35"/>
      <c r="I159" s="35"/>
      <c r="J159" s="10"/>
      <c r="K159" s="34"/>
      <c r="L159" s="30"/>
      <c r="M159" s="37"/>
      <c r="N159" s="38"/>
      <c r="O159" s="30"/>
      <c r="P159" s="137"/>
    </row>
    <row r="160" spans="1:16" x14ac:dyDescent="0.2">
      <c r="A160" s="152"/>
      <c r="B160" s="94"/>
      <c r="C160" s="30"/>
      <c r="D160" s="30"/>
      <c r="E160" s="30"/>
      <c r="F160" s="34"/>
      <c r="G160" s="35"/>
      <c r="H160" s="35"/>
      <c r="I160" s="35"/>
      <c r="J160" s="10"/>
      <c r="K160" s="34"/>
      <c r="L160" s="30"/>
      <c r="M160" s="37"/>
      <c r="N160" s="38"/>
      <c r="O160" s="30"/>
      <c r="P160" s="137"/>
    </row>
    <row r="161" spans="1:16" x14ac:dyDescent="0.2">
      <c r="A161" s="152"/>
      <c r="B161" s="128"/>
      <c r="C161" s="46"/>
      <c r="D161" s="46"/>
      <c r="E161" s="46"/>
      <c r="F161" s="140"/>
      <c r="G161" s="51"/>
      <c r="H161" s="51"/>
      <c r="I161" s="51"/>
      <c r="J161" s="83"/>
      <c r="K161" s="140"/>
      <c r="L161" s="46"/>
      <c r="M161" s="54"/>
      <c r="N161" s="55"/>
      <c r="O161" s="46"/>
      <c r="P161" s="141"/>
    </row>
  </sheetData>
  <mergeCells count="15">
    <mergeCell ref="A120:A131"/>
    <mergeCell ref="A136:A143"/>
    <mergeCell ref="A147:A161"/>
    <mergeCell ref="A22:A37"/>
    <mergeCell ref="A40:A55"/>
    <mergeCell ref="A60:A75"/>
    <mergeCell ref="A80:A91"/>
    <mergeCell ref="A96:A105"/>
    <mergeCell ref="A110:A115"/>
    <mergeCell ref="H3:J3"/>
    <mergeCell ref="H4:I4"/>
    <mergeCell ref="H5:J5"/>
    <mergeCell ref="M6:O6"/>
    <mergeCell ref="L7:M7"/>
    <mergeCell ref="A8:A19"/>
  </mergeCells>
  <phoneticPr fontId="28" type="noConversion"/>
  <pageMargins left="0.74791666666666667" right="0.74791666666666667" top="0.98402777777777783" bottom="0.98402777777777783" header="0.51180555555555562" footer="0.51180555555555562"/>
  <pageSetup scale="52" firstPageNumber="0" orientation="portrait" horizontalDpi="300" verticalDpi="300"/>
  <headerFooter alignWithMargins="0"/>
  <rowBreaks count="1" manualBreakCount="1">
    <brk id="93" max="16383" man="1"/>
  </rowBreaks>
  <colBreaks count="1" manualBreakCount="1">
    <brk id="19" max="1048575" man="1"/>
  </colBreaks>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Transactions</vt:lpstr>
      <vt:lpstr>Excel_BuiltIn_Print_Area_1_1</vt:lpstr>
      <vt:lpstr>Transactions!Print_Area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duanwujie</dc:creator>
  <cp:lastModifiedBy>duanwujie</cp:lastModifiedBy>
  <dcterms:created xsi:type="dcterms:W3CDTF">2015-02-09T03:24:55Z</dcterms:created>
  <dcterms:modified xsi:type="dcterms:W3CDTF">2015-02-09T03:25:05Z</dcterms:modified>
</cp:coreProperties>
</file>