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uoyonggui/Downloads/"/>
    </mc:Choice>
  </mc:AlternateContent>
  <bookViews>
    <workbookView xWindow="1040" yWindow="460" windowWidth="23020" windowHeight="17540"/>
  </bookViews>
  <sheets>
    <sheet name="工作表 1 - 20200229交割单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3" i="1" l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<sst xmlns="http://schemas.openxmlformats.org/spreadsheetml/2006/main" count="13" uniqueCount="13">
  <si>
    <t>发生日期</t>
  </si>
  <si>
    <t>备注</t>
  </si>
  <si>
    <t>证券代码</t>
  </si>
  <si>
    <t>证券名称</t>
  </si>
  <si>
    <t>买卖标志</t>
  </si>
  <si>
    <t>成交数量</t>
  </si>
  <si>
    <t>成交价格</t>
  </si>
  <si>
    <t>成交金额</t>
  </si>
  <si>
    <t>佣金</t>
  </si>
  <si>
    <t>印花税</t>
  </si>
  <si>
    <t>过户费</t>
  </si>
  <si>
    <t>发生金额</t>
  </si>
  <si>
    <t>其他费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</si>
</sst>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73"/>
  <sheetViews>
    <sheetView showGridLines="0" tabSelected="1" workbookViewId="0">
      <selection activeCell="M1" sqref="M1:O1048576"/>
    </sheetView>
  </sheetViews>
  <sheetFormatPr baseColWidth="10" defaultColWidth="8.33203125" defaultRowHeight="20" customHeight="1" x14ac:dyDescent="0.15"/>
  <cols>
    <col min="1" max="1" width="11.5" style="1" customWidth="1"/>
    <col min="2" max="2" width="58.83203125" style="1" customWidth="1"/>
    <col min="3" max="3" width="9.5" style="1" customWidth="1"/>
    <col min="4" max="5" width="13.83203125" style="1" customWidth="1"/>
    <col min="6" max="6" width="9.5" style="1" customWidth="1"/>
    <col min="7" max="7" width="8.1640625" style="1" customWidth="1"/>
    <col min="8" max="8" width="12.6640625" style="1" customWidth="1"/>
    <col min="9" max="11" width="8" style="1" customWidth="1"/>
    <col min="12" max="12" width="13.33203125" style="1" customWidth="1"/>
    <col min="13" max="13" width="7.1640625" style="1" customWidth="1"/>
    <col min="14" max="249" width="8.33203125" customWidth="1"/>
  </cols>
  <sheetData>
    <row r="1" spans="1:13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 x14ac:dyDescent="0.15">
      <c r="A2" s="3" t="str">
        <f>"20200204"</f>
        <v>20200204</v>
      </c>
      <c r="B2" s="4" t="str">
        <f>"122扣除金额 基金代码：940018,发生份额：4000,日期:20200204(122)"</f>
        <v>122扣除金额 基金代码：940018,发生份额：4000,日期:20200204(122)</v>
      </c>
      <c r="C2" s="5" t="str">
        <f t="shared" ref="C2:C169" si="0">"940018"</f>
        <v>940018</v>
      </c>
      <c r="D2" s="5" t="str">
        <f t="shared" ref="D2:D169" si="1">"天天发１天期"</f>
        <v>天天发１天期</v>
      </c>
      <c r="E2" s="5" t="str">
        <f t="shared" ref="E2:E171" si="2">"基金资金拨出"</f>
        <v>基金资金拨出</v>
      </c>
      <c r="F2" s="5" t="str">
        <f>"4000"</f>
        <v>4000</v>
      </c>
      <c r="G2" s="5" t="str">
        <f t="shared" ref="G2:I32" si="3">"1.000"</f>
        <v>1.000</v>
      </c>
      <c r="H2" s="5" t="str">
        <f t="shared" ref="H2:L43" si="4">"0.000"</f>
        <v>0.000</v>
      </c>
      <c r="I2" s="5" t="str">
        <f t="shared" si="4"/>
        <v>0.000</v>
      </c>
      <c r="J2" s="5" t="str">
        <f t="shared" si="4"/>
        <v>0.000</v>
      </c>
      <c r="K2" s="5" t="str">
        <f t="shared" si="4"/>
        <v>0.000</v>
      </c>
      <c r="L2" s="5" t="str">
        <f>"-4000.000"</f>
        <v>-4000.000</v>
      </c>
      <c r="M2" s="5" t="str">
        <f t="shared" ref="M2:M128" si="5">"0.00"</f>
        <v>0.00</v>
      </c>
    </row>
    <row r="3" spans="1:13" ht="20" customHeight="1" x14ac:dyDescent="0.15">
      <c r="A3" s="6" t="str">
        <f>"20200205"</f>
        <v>20200205</v>
      </c>
      <c r="B3" s="7" t="str">
        <f>"122扣除金额 基金代码：940018,发生份额：250000,日期:20200205(122)"</f>
        <v>122扣除金额 基金代码：940018,发生份额：250000,日期:20200205(122)</v>
      </c>
      <c r="C3" s="8" t="str">
        <f t="shared" si="0"/>
        <v>940018</v>
      </c>
      <c r="D3" s="8" t="str">
        <f t="shared" si="1"/>
        <v>天天发１天期</v>
      </c>
      <c r="E3" s="8" t="str">
        <f t="shared" si="2"/>
        <v>基金资金拨出</v>
      </c>
      <c r="F3" s="8" t="str">
        <f>"250000"</f>
        <v>250000</v>
      </c>
      <c r="G3" s="8" t="str">
        <f t="shared" si="3"/>
        <v>1.000</v>
      </c>
      <c r="H3" s="8" t="str">
        <f t="shared" si="4"/>
        <v>0.000</v>
      </c>
      <c r="I3" s="8" t="str">
        <f t="shared" si="4"/>
        <v>0.000</v>
      </c>
      <c r="J3" s="8" t="str">
        <f t="shared" si="4"/>
        <v>0.000</v>
      </c>
      <c r="K3" s="8" t="str">
        <f t="shared" si="4"/>
        <v>0.000</v>
      </c>
      <c r="L3" s="8" t="str">
        <f>"-250000.000"</f>
        <v>-250000.000</v>
      </c>
      <c r="M3" s="8" t="str">
        <f t="shared" si="5"/>
        <v>0.00</v>
      </c>
    </row>
    <row r="4" spans="1:13" ht="20" customHeight="1" x14ac:dyDescent="0.15">
      <c r="A4" s="6" t="str">
        <f t="shared" ref="A4:A6" si="6">"20200207"</f>
        <v>20200207</v>
      </c>
      <c r="B4" s="7" t="str">
        <f t="shared" ref="B4:E65" si="7">"证券买入"</f>
        <v>证券买入</v>
      </c>
      <c r="C4" s="8" t="str">
        <f t="shared" ref="C4:C166" si="8">"162411"</f>
        <v>162411</v>
      </c>
      <c r="D4" s="8" t="str">
        <f t="shared" ref="D4:D139" si="9">"华宝油气"</f>
        <v>华宝油气</v>
      </c>
      <c r="E4" s="8" t="str">
        <f t="shared" si="7"/>
        <v>证券买入</v>
      </c>
      <c r="F4" s="8" t="str">
        <f>"10000"</f>
        <v>10000</v>
      </c>
      <c r="G4" s="8" t="str">
        <f>"0.363"</f>
        <v>0.363</v>
      </c>
      <c r="H4" s="8" t="str">
        <f>"3630.000"</f>
        <v>3630.000</v>
      </c>
      <c r="I4" s="8" t="str">
        <f>"1.090"</f>
        <v>1.090</v>
      </c>
      <c r="J4" s="8" t="str">
        <f t="shared" si="4"/>
        <v>0.000</v>
      </c>
      <c r="K4" s="8" t="str">
        <f t="shared" si="4"/>
        <v>0.000</v>
      </c>
      <c r="L4" s="8" t="str">
        <f t="shared" ref="L4" si="10">"-3631.090"</f>
        <v>-3631.090</v>
      </c>
      <c r="M4" s="8" t="str">
        <f t="shared" si="5"/>
        <v>0.00</v>
      </c>
    </row>
    <row r="5" spans="1:13" ht="20" customHeight="1" x14ac:dyDescent="0.15">
      <c r="A5" s="6" t="str">
        <f t="shared" si="6"/>
        <v>20200207</v>
      </c>
      <c r="B5" s="7" t="str">
        <f>"122扣除金额 基金代码：940018,发生份额：407.69,日期:20200207(122)"</f>
        <v>122扣除金额 基金代码：940018,发生份额：407.69,日期:20200207(122)</v>
      </c>
      <c r="C5" s="8" t="str">
        <f t="shared" si="0"/>
        <v>940018</v>
      </c>
      <c r="D5" s="8" t="str">
        <f t="shared" si="1"/>
        <v>天天发１天期</v>
      </c>
      <c r="E5" s="8" t="str">
        <f t="shared" si="2"/>
        <v>基金资金拨出</v>
      </c>
      <c r="F5" s="8" t="str">
        <f t="shared" ref="F5:F11" si="11">"407"</f>
        <v>407</v>
      </c>
      <c r="G5" s="8" t="str">
        <f t="shared" si="3"/>
        <v>1.000</v>
      </c>
      <c r="H5" s="8" t="str">
        <f t="shared" si="4"/>
        <v>0.000</v>
      </c>
      <c r="I5" s="8" t="str">
        <f t="shared" si="4"/>
        <v>0.000</v>
      </c>
      <c r="J5" s="8" t="str">
        <f t="shared" si="4"/>
        <v>0.000</v>
      </c>
      <c r="K5" s="8" t="str">
        <f t="shared" si="4"/>
        <v>0.000</v>
      </c>
      <c r="L5" s="8" t="str">
        <f>"-407.690"</f>
        <v>-407.690</v>
      </c>
      <c r="M5" s="8" t="str">
        <f t="shared" si="5"/>
        <v>0.00</v>
      </c>
    </row>
    <row r="6" spans="1:13" ht="20" customHeight="1" x14ac:dyDescent="0.15">
      <c r="A6" s="6" t="str">
        <f t="shared" si="6"/>
        <v>20200207</v>
      </c>
      <c r="B6" s="7" t="str">
        <f>"124增加金额 基金代码：940018,发生份额：4039.78,日期:20200207(124)"</f>
        <v>124增加金额 基金代码：940018,发生份额：4039.78,日期:20200207(124)</v>
      </c>
      <c r="C6" s="8" t="str">
        <f t="shared" si="0"/>
        <v>940018</v>
      </c>
      <c r="D6" s="8" t="str">
        <f t="shared" si="1"/>
        <v>天天发１天期</v>
      </c>
      <c r="E6" s="8" t="str">
        <f t="shared" ref="E6:E169" si="12">"基金资金拨入"</f>
        <v>基金资金拨入</v>
      </c>
      <c r="F6" s="8" t="str">
        <f>"4039"</f>
        <v>4039</v>
      </c>
      <c r="G6" s="8" t="str">
        <f t="shared" si="3"/>
        <v>1.000</v>
      </c>
      <c r="H6" s="8" t="str">
        <f t="shared" si="4"/>
        <v>0.000</v>
      </c>
      <c r="I6" s="8" t="str">
        <f t="shared" si="4"/>
        <v>0.000</v>
      </c>
      <c r="J6" s="8" t="str">
        <f t="shared" si="4"/>
        <v>0.000</v>
      </c>
      <c r="K6" s="8" t="str">
        <f t="shared" si="4"/>
        <v>0.000</v>
      </c>
      <c r="L6" s="8" t="str">
        <f>"4039.780"</f>
        <v>4039.780</v>
      </c>
      <c r="M6" s="8" t="str">
        <f t="shared" si="5"/>
        <v>0.00</v>
      </c>
    </row>
    <row r="7" spans="1:13" ht="20" customHeight="1" x14ac:dyDescent="0.15">
      <c r="A7" s="6" t="str">
        <f t="shared" ref="A7:A11" si="13">"20200210"</f>
        <v>20200210</v>
      </c>
      <c r="B7" s="7" t="str">
        <f t="shared" si="7"/>
        <v>证券买入</v>
      </c>
      <c r="C7" s="8" t="str">
        <f t="shared" ref="C7:C163" si="14">"510300"</f>
        <v>510300</v>
      </c>
      <c r="D7" s="8" t="str">
        <f t="shared" ref="D7:D163" si="15">"300ETF"</f>
        <v>300ETF</v>
      </c>
      <c r="E7" s="8" t="str">
        <f t="shared" si="7"/>
        <v>证券买入</v>
      </c>
      <c r="F7" s="8" t="str">
        <f t="shared" ref="F7:F104" si="16">"1300"</f>
        <v>1300</v>
      </c>
      <c r="G7" s="8" t="str">
        <f>"3.858"</f>
        <v>3.858</v>
      </c>
      <c r="H7" s="8" t="str">
        <f>"5015.400"</f>
        <v>5015.400</v>
      </c>
      <c r="I7" s="8" t="str">
        <f t="shared" ref="I7:I72" si="17">"1.500"</f>
        <v>1.500</v>
      </c>
      <c r="J7" s="8" t="str">
        <f t="shared" si="4"/>
        <v>0.000</v>
      </c>
      <c r="K7" s="8" t="str">
        <f t="shared" si="4"/>
        <v>0.000</v>
      </c>
      <c r="L7" s="8" t="str">
        <f>"-5016.900"</f>
        <v>-5016.900</v>
      </c>
      <c r="M7" s="8" t="str">
        <f t="shared" si="5"/>
        <v>0.00</v>
      </c>
    </row>
    <row r="8" spans="1:13" ht="20" customHeight="1" x14ac:dyDescent="0.15">
      <c r="A8" s="6" t="str">
        <f t="shared" si="13"/>
        <v>20200210</v>
      </c>
      <c r="B8" s="7" t="str">
        <f t="shared" si="7"/>
        <v>证券买入</v>
      </c>
      <c r="C8" s="8" t="str">
        <f t="shared" ref="C8:C164" si="18">"159915"</f>
        <v>159915</v>
      </c>
      <c r="D8" s="8" t="str">
        <f t="shared" ref="D8:D164" si="19">"创业板"</f>
        <v>创业板</v>
      </c>
      <c r="E8" s="8" t="str">
        <f t="shared" si="7"/>
        <v>证券买入</v>
      </c>
      <c r="F8" s="8" t="str">
        <f>"2200"</f>
        <v>2200</v>
      </c>
      <c r="G8" s="8" t="str">
        <f>"1.954"</f>
        <v>1.954</v>
      </c>
      <c r="H8" s="8" t="str">
        <f>"4298.800"</f>
        <v>4298.800</v>
      </c>
      <c r="I8" s="8" t="str">
        <f>"1.290"</f>
        <v>1.290</v>
      </c>
      <c r="J8" s="8" t="str">
        <f t="shared" si="4"/>
        <v>0.000</v>
      </c>
      <c r="K8" s="8" t="str">
        <f t="shared" si="4"/>
        <v>0.000</v>
      </c>
      <c r="L8" s="8" t="str">
        <f>"-4300.090"</f>
        <v>-4300.090</v>
      </c>
      <c r="M8" s="8" t="str">
        <f t="shared" si="5"/>
        <v>0.00</v>
      </c>
    </row>
    <row r="9" spans="1:13" ht="20" customHeight="1" x14ac:dyDescent="0.15">
      <c r="A9" s="6" t="str">
        <f t="shared" si="13"/>
        <v>20200210</v>
      </c>
      <c r="B9" s="7" t="str">
        <f t="shared" si="7"/>
        <v>证券买入</v>
      </c>
      <c r="C9" s="8" t="str">
        <f t="shared" si="18"/>
        <v>159915</v>
      </c>
      <c r="D9" s="8" t="str">
        <f t="shared" si="19"/>
        <v>创业板</v>
      </c>
      <c r="E9" s="8" t="str">
        <f t="shared" si="7"/>
        <v>证券买入</v>
      </c>
      <c r="F9" s="8" t="str">
        <f t="shared" ref="F9:F162" si="20">"400"</f>
        <v>400</v>
      </c>
      <c r="G9" s="8" t="str">
        <f>"1.930"</f>
        <v>1.930</v>
      </c>
      <c r="H9" s="8" t="str">
        <f>"772.000"</f>
        <v>772.000</v>
      </c>
      <c r="I9" s="8" t="str">
        <f>"0.230"</f>
        <v>0.230</v>
      </c>
      <c r="J9" s="8" t="str">
        <f t="shared" si="4"/>
        <v>0.000</v>
      </c>
      <c r="K9" s="8" t="str">
        <f t="shared" si="4"/>
        <v>0.000</v>
      </c>
      <c r="L9" s="8" t="str">
        <f>"-772.230"</f>
        <v>-772.230</v>
      </c>
      <c r="M9" s="8" t="str">
        <f t="shared" si="5"/>
        <v>0.00</v>
      </c>
    </row>
    <row r="10" spans="1:13" ht="20" customHeight="1" x14ac:dyDescent="0.15">
      <c r="A10" s="6" t="str">
        <f t="shared" si="13"/>
        <v>20200210</v>
      </c>
      <c r="B10" s="7" t="str">
        <f>"122扣除金额 基金代码：940018,发生份额：18.47,日期:20200210(122)"</f>
        <v>122扣除金额 基金代码：940018,发生份额：18.47,日期:20200210(122)</v>
      </c>
      <c r="C10" s="8" t="str">
        <f t="shared" si="0"/>
        <v>940018</v>
      </c>
      <c r="D10" s="8" t="str">
        <f t="shared" si="1"/>
        <v>天天发１天期</v>
      </c>
      <c r="E10" s="8" t="str">
        <f t="shared" si="2"/>
        <v>基金资金拨出</v>
      </c>
      <c r="F10" s="8" t="str">
        <f t="shared" ref="F10:F17" si="21">"18"</f>
        <v>18</v>
      </c>
      <c r="G10" s="8" t="str">
        <f t="shared" si="3"/>
        <v>1.000</v>
      </c>
      <c r="H10" s="8" t="str">
        <f t="shared" si="4"/>
        <v>0.000</v>
      </c>
      <c r="I10" s="8" t="str">
        <f t="shared" si="4"/>
        <v>0.000</v>
      </c>
      <c r="J10" s="8" t="str">
        <f t="shared" si="4"/>
        <v>0.000</v>
      </c>
      <c r="K10" s="8" t="str">
        <f t="shared" si="4"/>
        <v>0.000</v>
      </c>
      <c r="L10" s="8" t="str">
        <f>"-18.470"</f>
        <v>-18.470</v>
      </c>
      <c r="M10" s="8" t="str">
        <f t="shared" si="5"/>
        <v>0.00</v>
      </c>
    </row>
    <row r="11" spans="1:13" ht="20" customHeight="1" x14ac:dyDescent="0.15">
      <c r="A11" s="6" t="str">
        <f t="shared" si="13"/>
        <v>20200210</v>
      </c>
      <c r="B11" s="7" t="str">
        <f>"124增加金额 基金代码：940018,发生份额：407.69,日期:20200210(124)"</f>
        <v>124增加金额 基金代码：940018,发生份额：407.69,日期:20200210(124)</v>
      </c>
      <c r="C11" s="8" t="str">
        <f t="shared" si="0"/>
        <v>940018</v>
      </c>
      <c r="D11" s="8" t="str">
        <f t="shared" si="1"/>
        <v>天天发１天期</v>
      </c>
      <c r="E11" s="8" t="str">
        <f t="shared" si="12"/>
        <v>基金资金拨入</v>
      </c>
      <c r="F11" s="8" t="str">
        <f t="shared" si="11"/>
        <v>407</v>
      </c>
      <c r="G11" s="8" t="str">
        <f t="shared" si="3"/>
        <v>1.000</v>
      </c>
      <c r="H11" s="8" t="str">
        <f t="shared" si="4"/>
        <v>0.000</v>
      </c>
      <c r="I11" s="8" t="str">
        <f t="shared" si="4"/>
        <v>0.000</v>
      </c>
      <c r="J11" s="8" t="str">
        <f t="shared" si="4"/>
        <v>0.000</v>
      </c>
      <c r="K11" s="8" t="str">
        <f t="shared" si="4"/>
        <v>0.000</v>
      </c>
      <c r="L11" s="8" t="str">
        <f>"407.690"</f>
        <v>407.690</v>
      </c>
      <c r="M11" s="8" t="str">
        <f t="shared" si="5"/>
        <v>0.00</v>
      </c>
    </row>
    <row r="12" spans="1:13" ht="20" customHeight="1" x14ac:dyDescent="0.15">
      <c r="A12" s="6" t="str">
        <f t="shared" ref="A12:A17" si="22">"20200211"</f>
        <v>20200211</v>
      </c>
      <c r="B12" s="7" t="str">
        <f>"融券回购购回日:20200212预计利息:7.1参考占款天数：1-888880"</f>
        <v>融券回购购回日:20200212预计利息:7.1参考占款天数：1-888880</v>
      </c>
      <c r="C12" s="8" t="str">
        <f t="shared" ref="C12:C116" si="23">"204001"</f>
        <v>204001</v>
      </c>
      <c r="D12" s="8" t="str">
        <f t="shared" ref="D12:D57" si="24">"GC001"</f>
        <v>GC001</v>
      </c>
      <c r="E12" s="8" t="str">
        <f t="shared" ref="E12:E151" si="25">"质押回购拆出"</f>
        <v>质押回购拆出</v>
      </c>
      <c r="F12" s="8" t="str">
        <f t="shared" ref="F12:F151" si="26">"100"</f>
        <v>100</v>
      </c>
      <c r="G12" s="8" t="str">
        <f t="shared" ref="G12:G24" si="27">"2.590"</f>
        <v>2.590</v>
      </c>
      <c r="H12" s="8" t="str">
        <f t="shared" ref="H12:H83" si="28">"100000.000"</f>
        <v>100000.000</v>
      </c>
      <c r="I12" s="8" t="str">
        <f t="shared" si="3"/>
        <v>1.000</v>
      </c>
      <c r="J12" s="8" t="str">
        <f t="shared" si="4"/>
        <v>0.000</v>
      </c>
      <c r="K12" s="8" t="str">
        <f t="shared" si="4"/>
        <v>0.000</v>
      </c>
      <c r="L12" s="8" t="str">
        <f t="shared" ref="L12:L67" si="29">"-100001.000"</f>
        <v>-100001.000</v>
      </c>
      <c r="M12" s="8" t="str">
        <f t="shared" si="5"/>
        <v>0.00</v>
      </c>
    </row>
    <row r="13" spans="1:13" ht="20" customHeight="1" x14ac:dyDescent="0.15">
      <c r="A13" s="6" t="str">
        <f t="shared" si="22"/>
        <v>20200211</v>
      </c>
      <c r="B13" s="7" t="str">
        <f>"融券回购购回日:20200212预计利息:14.25参考占款天数：1-888880"</f>
        <v>融券回购购回日:20200212预计利息:14.25参考占款天数：1-888880</v>
      </c>
      <c r="C13" s="8" t="str">
        <f t="shared" si="23"/>
        <v>204001</v>
      </c>
      <c r="D13" s="8" t="str">
        <f t="shared" si="24"/>
        <v>GC001</v>
      </c>
      <c r="E13" s="8" t="str">
        <f t="shared" si="25"/>
        <v>质押回购拆出</v>
      </c>
      <c r="F13" s="8" t="str">
        <f t="shared" ref="F13:F160" si="30">"200"</f>
        <v>200</v>
      </c>
      <c r="G13" s="8" t="str">
        <f t="shared" ref="G13:I138" si="31">"2.600"</f>
        <v>2.600</v>
      </c>
      <c r="H13" s="8" t="str">
        <f t="shared" ref="H13:H118" si="32">"200000.000"</f>
        <v>200000.000</v>
      </c>
      <c r="I13" s="8" t="str">
        <f t="shared" ref="I13:I96" si="33">"2.000"</f>
        <v>2.000</v>
      </c>
      <c r="J13" s="8" t="str">
        <f t="shared" si="4"/>
        <v>0.000</v>
      </c>
      <c r="K13" s="8" t="str">
        <f t="shared" si="4"/>
        <v>0.000</v>
      </c>
      <c r="L13" s="8" t="str">
        <f t="shared" ref="L13:L96" si="34">"-200002.000"</f>
        <v>-200002.000</v>
      </c>
      <c r="M13" s="8" t="str">
        <f t="shared" si="5"/>
        <v>0.00</v>
      </c>
    </row>
    <row r="14" spans="1:13" ht="20" customHeight="1" x14ac:dyDescent="0.15">
      <c r="A14" s="6" t="str">
        <f t="shared" si="22"/>
        <v>20200211</v>
      </c>
      <c r="B14" s="7" t="str">
        <f>"融券回购购回日:20200212预计利息:13.53参考占款天数：1-888880"</f>
        <v>融券回购购回日:20200212预计利息:13.53参考占款天数：1-888880</v>
      </c>
      <c r="C14" s="8" t="str">
        <f t="shared" si="23"/>
        <v>204001</v>
      </c>
      <c r="D14" s="8" t="str">
        <f>"GC001"</f>
        <v>GC001</v>
      </c>
      <c r="E14" s="8" t="str">
        <f t="shared" si="25"/>
        <v>质押回购拆出</v>
      </c>
      <c r="F14" s="8" t="str">
        <f t="shared" si="30"/>
        <v>200</v>
      </c>
      <c r="G14" s="8" t="str">
        <f t="shared" ref="G14:G26" si="35">"2.470"</f>
        <v>2.470</v>
      </c>
      <c r="H14" s="8" t="str">
        <f t="shared" si="32"/>
        <v>200000.000</v>
      </c>
      <c r="I14" s="8" t="str">
        <f t="shared" si="33"/>
        <v>2.000</v>
      </c>
      <c r="J14" s="8" t="str">
        <f t="shared" si="4"/>
        <v>0.000</v>
      </c>
      <c r="K14" s="8" t="str">
        <f t="shared" si="4"/>
        <v>0.000</v>
      </c>
      <c r="L14" s="8" t="str">
        <f t="shared" si="34"/>
        <v>-200002.000</v>
      </c>
      <c r="M14" s="8" t="str">
        <f t="shared" si="5"/>
        <v>0.00</v>
      </c>
    </row>
    <row r="15" spans="1:13" ht="20" customHeight="1" x14ac:dyDescent="0.15">
      <c r="A15" s="6" t="str">
        <f t="shared" si="22"/>
        <v>20200211</v>
      </c>
      <c r="B15" s="7" t="str">
        <f>"融券回购购回日:20200212预计利息:2.96参考占款天数：1-131990"</f>
        <v>融券回购购回日:20200212预计利息:2.96参考占款天数：1-131990</v>
      </c>
      <c r="C15" s="8" t="str">
        <f>"131810"</f>
        <v>131810</v>
      </c>
      <c r="D15" s="8" t="str">
        <f t="shared" ref="D15:D167" si="36">"Ｒ-001"</f>
        <v>Ｒ-001</v>
      </c>
      <c r="E15" s="8" t="str">
        <f t="shared" si="25"/>
        <v>质押回购拆出</v>
      </c>
      <c r="F15" s="8" t="str">
        <f>"480"</f>
        <v>480</v>
      </c>
      <c r="G15" s="8" t="str">
        <f t="shared" ref="G15:G27" si="37">"2.250"</f>
        <v>2.250</v>
      </c>
      <c r="H15" s="8" t="str">
        <f t="shared" ref="H15:H27" si="38">"48000.000"</f>
        <v>48000.000</v>
      </c>
      <c r="I15" s="8" t="str">
        <f>"1.680"</f>
        <v>1.680</v>
      </c>
      <c r="J15" s="8" t="str">
        <f t="shared" si="4"/>
        <v>0.000</v>
      </c>
      <c r="K15" s="8" t="str">
        <f t="shared" si="4"/>
        <v>0.000</v>
      </c>
      <c r="L15" s="8" t="str">
        <f>"-48001.680"</f>
        <v>-48001.680</v>
      </c>
      <c r="M15" s="8" t="str">
        <f t="shared" si="5"/>
        <v>0.00</v>
      </c>
    </row>
    <row r="16" spans="1:13" ht="20" customHeight="1" x14ac:dyDescent="0.15">
      <c r="A16" s="6" t="str">
        <f t="shared" si="22"/>
        <v>20200211</v>
      </c>
      <c r="B16" s="7" t="str">
        <f>"122扣除金额 基金代码：940018,发生份额：11.79,日期:20200211(122)"</f>
        <v>122扣除金额 基金代码：940018,发生份额：11.79,日期:20200211(122)</v>
      </c>
      <c r="C16" s="8" t="str">
        <f t="shared" si="0"/>
        <v>940018</v>
      </c>
      <c r="D16" s="8" t="str">
        <f t="shared" si="1"/>
        <v>天天发１天期</v>
      </c>
      <c r="E16" s="8" t="str">
        <f t="shared" si="2"/>
        <v>基金资金拨出</v>
      </c>
      <c r="F16" s="8" t="str">
        <f>"11"</f>
        <v>11</v>
      </c>
      <c r="G16" s="8" t="str">
        <f t="shared" si="3"/>
        <v>1.000</v>
      </c>
      <c r="H16" s="8" t="str">
        <f t="shared" si="4"/>
        <v>0.000</v>
      </c>
      <c r="I16" s="8" t="str">
        <f t="shared" si="4"/>
        <v>0.000</v>
      </c>
      <c r="J16" s="8" t="str">
        <f t="shared" si="4"/>
        <v>0.000</v>
      </c>
      <c r="K16" s="8" t="str">
        <f t="shared" si="4"/>
        <v>0.000</v>
      </c>
      <c r="L16" s="8" t="str">
        <f>"-11.790"</f>
        <v>-11.790</v>
      </c>
      <c r="M16" s="8" t="str">
        <f t="shared" si="5"/>
        <v>0.00</v>
      </c>
    </row>
    <row r="17" spans="1:13" ht="20" customHeight="1" x14ac:dyDescent="0.15">
      <c r="A17" s="6" t="str">
        <f t="shared" si="22"/>
        <v>20200211</v>
      </c>
      <c r="B17" s="7" t="str">
        <f>"124增加金额 基金代码：940018,发生份额：18.47,日期:20200211(124)"</f>
        <v>124增加金额 基金代码：940018,发生份额：18.47,日期:20200211(124)</v>
      </c>
      <c r="C17" s="8" t="str">
        <f t="shared" si="0"/>
        <v>940018</v>
      </c>
      <c r="D17" s="8" t="str">
        <f t="shared" si="1"/>
        <v>天天发１天期</v>
      </c>
      <c r="E17" s="8" t="str">
        <f t="shared" si="12"/>
        <v>基金资金拨入</v>
      </c>
      <c r="F17" s="8" t="str">
        <f t="shared" si="21"/>
        <v>18</v>
      </c>
      <c r="G17" s="8" t="str">
        <f t="shared" si="3"/>
        <v>1.000</v>
      </c>
      <c r="H17" s="8" t="str">
        <f t="shared" si="4"/>
        <v>0.000</v>
      </c>
      <c r="I17" s="8" t="str">
        <f t="shared" si="4"/>
        <v>0.000</v>
      </c>
      <c r="J17" s="8" t="str">
        <f t="shared" si="4"/>
        <v>0.000</v>
      </c>
      <c r="K17" s="8" t="str">
        <f t="shared" si="4"/>
        <v>0.000</v>
      </c>
      <c r="L17" s="8" t="str">
        <f>"18.470"</f>
        <v>18.470</v>
      </c>
      <c r="M17" s="8" t="str">
        <f t="shared" si="5"/>
        <v>0.00</v>
      </c>
    </row>
    <row r="18" spans="1:13" ht="20" customHeight="1" x14ac:dyDescent="0.15">
      <c r="A18" s="6" t="str">
        <f t="shared" ref="A18:A28" si="39">"20200212"</f>
        <v>20200212</v>
      </c>
      <c r="B18" s="7" t="str">
        <f t="shared" si="7"/>
        <v>证券买入</v>
      </c>
      <c r="C18" s="8" t="str">
        <f t="shared" si="14"/>
        <v>510300</v>
      </c>
      <c r="D18" s="8" t="str">
        <f t="shared" si="15"/>
        <v>300ETF</v>
      </c>
      <c r="E18" s="8" t="str">
        <f t="shared" si="7"/>
        <v>证券买入</v>
      </c>
      <c r="F18" s="8" t="str">
        <f t="shared" si="16"/>
        <v>1300</v>
      </c>
      <c r="G18" s="8" t="str">
        <f>"3.939"</f>
        <v>3.939</v>
      </c>
      <c r="H18" s="8" t="str">
        <f>"5120.700"</f>
        <v>5120.700</v>
      </c>
      <c r="I18" s="8" t="str">
        <f t="shared" ref="I18:I110" si="40">"1.540"</f>
        <v>1.540</v>
      </c>
      <c r="J18" s="8" t="str">
        <f t="shared" si="4"/>
        <v>0.000</v>
      </c>
      <c r="K18" s="8" t="str">
        <f t="shared" si="4"/>
        <v>0.000</v>
      </c>
      <c r="L18" s="8" t="str">
        <f>"-5122.240"</f>
        <v>-5122.240</v>
      </c>
      <c r="M18" s="8" t="str">
        <f t="shared" si="5"/>
        <v>0.00</v>
      </c>
    </row>
    <row r="19" spans="1:13" ht="20" customHeight="1" x14ac:dyDescent="0.15">
      <c r="A19" s="6" t="str">
        <f t="shared" si="39"/>
        <v>20200212</v>
      </c>
      <c r="B19" s="7" t="str">
        <f>"融券回购购回日:20200213预计利息:28.49参考占款天数：1-888880"</f>
        <v>融券回购购回日:20200213预计利息:28.49参考占款天数：1-888880</v>
      </c>
      <c r="C19" s="8" t="str">
        <f t="shared" si="23"/>
        <v>204001</v>
      </c>
      <c r="D19" s="8" t="str">
        <f t="shared" si="24"/>
        <v>GC001</v>
      </c>
      <c r="E19" s="8" t="str">
        <f t="shared" si="25"/>
        <v>质押回购拆出</v>
      </c>
      <c r="F19" s="8" t="str">
        <f t="shared" si="20"/>
        <v>400</v>
      </c>
      <c r="G19" s="8" t="str">
        <f t="shared" si="31"/>
        <v>2.600</v>
      </c>
      <c r="H19" s="8" t="str">
        <f t="shared" ref="H19:H54" si="41">"400000.000"</f>
        <v>400000.000</v>
      </c>
      <c r="I19" s="8" t="str">
        <f t="shared" ref="I19:I39" si="42">"4.000"</f>
        <v>4.000</v>
      </c>
      <c r="J19" s="8" t="str">
        <f t="shared" si="4"/>
        <v>0.000</v>
      </c>
      <c r="K19" s="8" t="str">
        <f t="shared" si="4"/>
        <v>0.000</v>
      </c>
      <c r="L19" s="8" t="str">
        <f t="shared" ref="L19:L39" si="43">"-400004.000"</f>
        <v>-400004.000</v>
      </c>
      <c r="M19" s="8" t="str">
        <f t="shared" si="5"/>
        <v>0.00</v>
      </c>
    </row>
    <row r="20" spans="1:13" ht="20" customHeight="1" x14ac:dyDescent="0.15">
      <c r="A20" s="6" t="str">
        <f t="shared" si="39"/>
        <v>20200212</v>
      </c>
      <c r="B20" s="7" t="str">
        <f>"融券回购购回日:20200213预计利息:7.12参考占款天数：1-888880"</f>
        <v>融券回购购回日:20200213预计利息:7.12参考占款天数：1-888880</v>
      </c>
      <c r="C20" s="8" t="str">
        <f t="shared" si="23"/>
        <v>204001</v>
      </c>
      <c r="D20" s="8" t="str">
        <f>"GC001"</f>
        <v>GC001</v>
      </c>
      <c r="E20" s="8" t="str">
        <f t="shared" si="25"/>
        <v>质押回购拆出</v>
      </c>
      <c r="F20" s="8" t="str">
        <f t="shared" si="26"/>
        <v>100</v>
      </c>
      <c r="G20" s="8" t="str">
        <f t="shared" si="31"/>
        <v>2.600</v>
      </c>
      <c r="H20" s="8" t="str">
        <f t="shared" si="28"/>
        <v>100000.000</v>
      </c>
      <c r="I20" s="8" t="str">
        <f t="shared" si="3"/>
        <v>1.000</v>
      </c>
      <c r="J20" s="8" t="str">
        <f t="shared" si="4"/>
        <v>0.000</v>
      </c>
      <c r="K20" s="8" t="str">
        <f t="shared" si="4"/>
        <v>0.000</v>
      </c>
      <c r="L20" s="8" t="str">
        <f t="shared" si="29"/>
        <v>-100001.000</v>
      </c>
      <c r="M20" s="8" t="str">
        <f t="shared" si="5"/>
        <v>0.00</v>
      </c>
    </row>
    <row r="21" spans="1:13" ht="20" customHeight="1" x14ac:dyDescent="0.15">
      <c r="A21" s="6" t="str">
        <f t="shared" si="39"/>
        <v>20200212</v>
      </c>
      <c r="B21" s="7" t="str">
        <f>"证券买入"</f>
        <v>证券买入</v>
      </c>
      <c r="C21" s="8" t="str">
        <f t="shared" si="18"/>
        <v>159915</v>
      </c>
      <c r="D21" s="8" t="str">
        <f t="shared" si="19"/>
        <v>创业板</v>
      </c>
      <c r="E21" s="8" t="str">
        <f t="shared" si="7"/>
        <v>证券买入</v>
      </c>
      <c r="F21" s="8" t="str">
        <f t="shared" ref="F21:F41" si="44">"2600"</f>
        <v>2600</v>
      </c>
      <c r="G21" s="8" t="str">
        <f>"1.941"</f>
        <v>1.941</v>
      </c>
      <c r="H21" s="8" t="str">
        <f>"5046.600"</f>
        <v>5046.600</v>
      </c>
      <c r="I21" s="8" t="str">
        <f t="shared" ref="I21:I137" si="45">"1.510"</f>
        <v>1.510</v>
      </c>
      <c r="J21" s="8" t="str">
        <f t="shared" si="4"/>
        <v>0.000</v>
      </c>
      <c r="K21" s="8" t="str">
        <f t="shared" si="4"/>
        <v>0.000</v>
      </c>
      <c r="L21" s="8" t="str">
        <f>"-5048.110"</f>
        <v>-5048.110</v>
      </c>
      <c r="M21" s="8" t="str">
        <f t="shared" si="5"/>
        <v>0.00</v>
      </c>
    </row>
    <row r="22" spans="1:13" ht="20" customHeight="1" x14ac:dyDescent="0.15">
      <c r="A22" s="6" t="str">
        <f t="shared" si="39"/>
        <v>20200212</v>
      </c>
      <c r="B22" s="7" t="str">
        <f>"融券回购购回日:20200213预计利息:2.58参考占款天数：1-131990"</f>
        <v>融券回购购回日:20200213预计利息:2.58参考占款天数：1-131990</v>
      </c>
      <c r="C22" s="8" t="str">
        <f>"131810"</f>
        <v>131810</v>
      </c>
      <c r="D22" s="8" t="str">
        <f t="shared" si="36"/>
        <v>Ｒ-001</v>
      </c>
      <c r="E22" s="8" t="str">
        <f t="shared" si="25"/>
        <v>质押回购拆出</v>
      </c>
      <c r="F22" s="8" t="str">
        <f t="shared" ref="F22:F31" si="46">"370"</f>
        <v>370</v>
      </c>
      <c r="G22" s="8" t="str">
        <f t="shared" ref="G22:G35" si="47">"2.545"</f>
        <v>2.545</v>
      </c>
      <c r="H22" s="8" t="str">
        <f t="shared" ref="H22:H44" si="48">"37000.000"</f>
        <v>37000.000</v>
      </c>
      <c r="I22" s="8" t="str">
        <f t="shared" ref="I22:I31" si="49">"0.370"</f>
        <v>0.370</v>
      </c>
      <c r="J22" s="8" t="str">
        <f t="shared" si="4"/>
        <v>0.000</v>
      </c>
      <c r="K22" s="8" t="str">
        <f t="shared" si="4"/>
        <v>0.000</v>
      </c>
      <c r="L22" s="8" t="str">
        <f t="shared" ref="L22:L31" si="50">"-37000.370"</f>
        <v>-37000.370</v>
      </c>
      <c r="M22" s="8" t="str">
        <f t="shared" si="5"/>
        <v>0.00</v>
      </c>
    </row>
    <row r="23" spans="1:13" ht="20" customHeight="1" x14ac:dyDescent="0.15">
      <c r="A23" s="6" t="str">
        <f t="shared" si="39"/>
        <v>20200212</v>
      </c>
      <c r="B23" s="7" t="str">
        <f>"122扣除金额 基金代码：940018,发生份额：862.12,日期:20200212(122)"</f>
        <v>122扣除金额 基金代码：940018,发生份额：862.12,日期:20200212(122)</v>
      </c>
      <c r="C23" s="8" t="str">
        <f t="shared" si="0"/>
        <v>940018</v>
      </c>
      <c r="D23" s="8" t="str">
        <f t="shared" si="1"/>
        <v>天天发１天期</v>
      </c>
      <c r="E23" s="8" t="str">
        <f t="shared" si="2"/>
        <v>基金资金拨出</v>
      </c>
      <c r="F23" s="8" t="str">
        <f>"862"</f>
        <v>862</v>
      </c>
      <c r="G23" s="8" t="str">
        <f t="shared" si="3"/>
        <v>1.000</v>
      </c>
      <c r="H23" s="8" t="str">
        <f t="shared" si="4"/>
        <v>0.000</v>
      </c>
      <c r="I23" s="8" t="str">
        <f t="shared" si="4"/>
        <v>0.000</v>
      </c>
      <c r="J23" s="8" t="str">
        <f t="shared" si="4"/>
        <v>0.000</v>
      </c>
      <c r="K23" s="8" t="str">
        <f t="shared" si="4"/>
        <v>0.000</v>
      </c>
      <c r="L23" s="8" t="str">
        <f>"-862.120"</f>
        <v>-862.120</v>
      </c>
      <c r="M23" s="8" t="str">
        <f t="shared" si="5"/>
        <v>0.00</v>
      </c>
    </row>
    <row r="24" spans="1:13" ht="20" customHeight="1" x14ac:dyDescent="0.15">
      <c r="A24" s="6" t="str">
        <f t="shared" si="39"/>
        <v>20200212</v>
      </c>
      <c r="B24" s="7" t="str">
        <f>"融券购回:7.1实际占款天数：1-888880"</f>
        <v>融券购回:7.1实际占款天数：1-888880</v>
      </c>
      <c r="C24" s="8" t="str">
        <f t="shared" si="23"/>
        <v>204001</v>
      </c>
      <c r="D24" s="8" t="str">
        <f>"GC001"</f>
        <v>GC001</v>
      </c>
      <c r="E24" s="8" t="str">
        <f t="shared" ref="E24:E167" si="51">"拆出质押购回"</f>
        <v>拆出质押购回</v>
      </c>
      <c r="F24" s="8" t="str">
        <f t="shared" ref="F24:F167" si="52">"-100"</f>
        <v>-100</v>
      </c>
      <c r="G24" s="8" t="str">
        <f t="shared" si="27"/>
        <v>2.590</v>
      </c>
      <c r="H24" s="8" t="str">
        <f t="shared" si="28"/>
        <v>100000.000</v>
      </c>
      <c r="I24" s="8" t="str">
        <f t="shared" si="4"/>
        <v>0.000</v>
      </c>
      <c r="J24" s="8" t="str">
        <f t="shared" si="4"/>
        <v>0.000</v>
      </c>
      <c r="K24" s="8" t="str">
        <f t="shared" si="4"/>
        <v>0.000</v>
      </c>
      <c r="L24" s="8" t="str">
        <f>"100007.100"</f>
        <v>100007.100</v>
      </c>
      <c r="M24" s="8" t="str">
        <f t="shared" si="5"/>
        <v>0.00</v>
      </c>
    </row>
    <row r="25" spans="1:13" ht="20" customHeight="1" x14ac:dyDescent="0.15">
      <c r="A25" s="6" t="str">
        <f t="shared" si="39"/>
        <v>20200212</v>
      </c>
      <c r="B25" s="7" t="str">
        <f>"融券购回:14.25实际占款天数：1-888880"</f>
        <v>融券购回:14.25实际占款天数：1-888880</v>
      </c>
      <c r="C25" s="8" t="str">
        <f t="shared" si="23"/>
        <v>204001</v>
      </c>
      <c r="D25" s="8" t="str">
        <f>"GC001"</f>
        <v>GC001</v>
      </c>
      <c r="E25" s="8" t="str">
        <f t="shared" si="51"/>
        <v>拆出质押购回</v>
      </c>
      <c r="F25" s="8" t="str">
        <f t="shared" ref="F25:F116" si="53">"-200"</f>
        <v>-200</v>
      </c>
      <c r="G25" s="8" t="str">
        <f t="shared" si="31"/>
        <v>2.600</v>
      </c>
      <c r="H25" s="8" t="str">
        <f t="shared" si="32"/>
        <v>200000.000</v>
      </c>
      <c r="I25" s="8" t="str">
        <f t="shared" si="4"/>
        <v>0.000</v>
      </c>
      <c r="J25" s="8" t="str">
        <f t="shared" si="4"/>
        <v>0.000</v>
      </c>
      <c r="K25" s="8" t="str">
        <f t="shared" si="4"/>
        <v>0.000</v>
      </c>
      <c r="L25" s="8" t="str">
        <f>"200014.250"</f>
        <v>200014.250</v>
      </c>
      <c r="M25" s="8" t="str">
        <f t="shared" si="5"/>
        <v>0.00</v>
      </c>
    </row>
    <row r="26" spans="1:13" ht="20" customHeight="1" x14ac:dyDescent="0.15">
      <c r="A26" s="6" t="str">
        <f t="shared" si="39"/>
        <v>20200212</v>
      </c>
      <c r="B26" s="7" t="str">
        <f>"融券购回:13.53实际占款天数：1-888880"</f>
        <v>融券购回:13.53实际占款天数：1-888880</v>
      </c>
      <c r="C26" s="8" t="str">
        <f t="shared" si="23"/>
        <v>204001</v>
      </c>
      <c r="D26" s="8" t="str">
        <f>"GC001"</f>
        <v>GC001</v>
      </c>
      <c r="E26" s="8" t="str">
        <f t="shared" si="51"/>
        <v>拆出质押购回</v>
      </c>
      <c r="F26" s="8" t="str">
        <f t="shared" si="53"/>
        <v>-200</v>
      </c>
      <c r="G26" s="8" t="str">
        <f t="shared" si="35"/>
        <v>2.470</v>
      </c>
      <c r="H26" s="8" t="str">
        <f t="shared" si="32"/>
        <v>200000.000</v>
      </c>
      <c r="I26" s="8" t="str">
        <f t="shared" si="4"/>
        <v>0.000</v>
      </c>
      <c r="J26" s="8" t="str">
        <f t="shared" si="4"/>
        <v>0.000</v>
      </c>
      <c r="K26" s="8" t="str">
        <f t="shared" si="4"/>
        <v>0.000</v>
      </c>
      <c r="L26" s="8" t="str">
        <f>"200013.530"</f>
        <v>200013.530</v>
      </c>
      <c r="M26" s="8" t="str">
        <f t="shared" si="5"/>
        <v>0.00</v>
      </c>
    </row>
    <row r="27" spans="1:13" ht="20" customHeight="1" x14ac:dyDescent="0.15">
      <c r="A27" s="6" t="str">
        <f t="shared" si="39"/>
        <v>20200212</v>
      </c>
      <c r="B27" s="7" t="str">
        <f>"融券购回:2.96实际占款天数：1-131990"</f>
        <v>融券购回:2.96实际占款天数：1-131990</v>
      </c>
      <c r="C27" s="8" t="str">
        <f>"131810"</f>
        <v>131810</v>
      </c>
      <c r="D27" s="8" t="str">
        <f t="shared" si="36"/>
        <v>Ｒ-001</v>
      </c>
      <c r="E27" s="8" t="str">
        <f t="shared" si="51"/>
        <v>拆出质押购回</v>
      </c>
      <c r="F27" s="8" t="str">
        <f>"-480"</f>
        <v>-480</v>
      </c>
      <c r="G27" s="8" t="str">
        <f t="shared" si="37"/>
        <v>2.250</v>
      </c>
      <c r="H27" s="8" t="str">
        <f t="shared" si="38"/>
        <v>48000.000</v>
      </c>
      <c r="I27" s="8" t="str">
        <f t="shared" si="4"/>
        <v>0.000</v>
      </c>
      <c r="J27" s="8" t="str">
        <f t="shared" si="4"/>
        <v>0.000</v>
      </c>
      <c r="K27" s="8" t="str">
        <f t="shared" si="4"/>
        <v>0.000</v>
      </c>
      <c r="L27" s="8" t="str">
        <f>"48002.960"</f>
        <v>48002.960</v>
      </c>
      <c r="M27" s="8" t="str">
        <f t="shared" si="5"/>
        <v>0.00</v>
      </c>
    </row>
    <row r="28" spans="1:13" ht="20" customHeight="1" x14ac:dyDescent="0.15">
      <c r="A28" s="6" t="str">
        <f t="shared" si="39"/>
        <v>20200212</v>
      </c>
      <c r="B28" s="7" t="str">
        <f>"100002620254"</f>
        <v>100002620254</v>
      </c>
      <c r="C28" s="8" t="str">
        <f>"736719"</f>
        <v>736719</v>
      </c>
      <c r="D28" s="8" t="str">
        <f>"良品配号"</f>
        <v>良品配号</v>
      </c>
      <c r="E28" s="8" t="str">
        <f>"申购配号"</f>
        <v>申购配号</v>
      </c>
      <c r="F28" s="8" t="str">
        <f>"12"</f>
        <v>12</v>
      </c>
      <c r="G28" s="8" t="str">
        <f>"0.000"</f>
        <v>0.000</v>
      </c>
      <c r="H28" s="8" t="str">
        <f t="shared" si="4"/>
        <v>0.000</v>
      </c>
      <c r="I28" s="8" t="str">
        <f t="shared" si="4"/>
        <v>0.000</v>
      </c>
      <c r="J28" s="8" t="str">
        <f t="shared" si="4"/>
        <v>0.000</v>
      </c>
      <c r="K28" s="8" t="str">
        <f t="shared" si="4"/>
        <v>0.000</v>
      </c>
      <c r="L28" s="8" t="str">
        <f t="shared" si="4"/>
        <v>0.000</v>
      </c>
      <c r="M28" s="8" t="str">
        <f t="shared" si="5"/>
        <v>0.00</v>
      </c>
    </row>
    <row r="29" spans="1:13" ht="20" customHeight="1" x14ac:dyDescent="0.15">
      <c r="A29" s="6" t="str">
        <f t="shared" ref="A29:A36" si="54">"20200213"</f>
        <v>20200213</v>
      </c>
      <c r="B29" s="7" t="str">
        <f>"融券回购购回日:20200214预计利息:80.38参考占款天数：3-888880"</f>
        <v>融券回购购回日:20200214预计利息:80.38参考占款天数：3-888880</v>
      </c>
      <c r="C29" s="8" t="str">
        <f t="shared" si="23"/>
        <v>204001</v>
      </c>
      <c r="D29" s="8" t="str">
        <f t="shared" si="24"/>
        <v>GC001</v>
      </c>
      <c r="E29" s="8" t="str">
        <f t="shared" si="25"/>
        <v>质押回购拆出</v>
      </c>
      <c r="F29" s="8" t="str">
        <f t="shared" si="20"/>
        <v>400</v>
      </c>
      <c r="G29" s="8" t="str">
        <f t="shared" ref="G29:G42" si="55">"2.445"</f>
        <v>2.445</v>
      </c>
      <c r="H29" s="8" t="str">
        <f t="shared" si="41"/>
        <v>400000.000</v>
      </c>
      <c r="I29" s="8" t="str">
        <f t="shared" si="42"/>
        <v>4.000</v>
      </c>
      <c r="J29" s="8" t="str">
        <f t="shared" si="4"/>
        <v>0.000</v>
      </c>
      <c r="K29" s="8" t="str">
        <f t="shared" si="4"/>
        <v>0.000</v>
      </c>
      <c r="L29" s="8" t="str">
        <f t="shared" si="43"/>
        <v>-400004.000</v>
      </c>
      <c r="M29" s="8" t="str">
        <f t="shared" si="5"/>
        <v>0.00</v>
      </c>
    </row>
    <row r="30" spans="1:13" ht="20" customHeight="1" x14ac:dyDescent="0.15">
      <c r="A30" s="6" t="str">
        <f t="shared" si="54"/>
        <v>20200213</v>
      </c>
      <c r="B30" s="7" t="str">
        <f>"融券回购购回日:20200214预计利息:19.07参考占款天数：3-888880"</f>
        <v>融券回购购回日:20200214预计利息:19.07参考占款天数：3-888880</v>
      </c>
      <c r="C30" s="8" t="str">
        <f t="shared" si="23"/>
        <v>204001</v>
      </c>
      <c r="D30" s="8" t="str">
        <f t="shared" si="24"/>
        <v>GC001</v>
      </c>
      <c r="E30" s="8" t="str">
        <f t="shared" si="25"/>
        <v>质押回购拆出</v>
      </c>
      <c r="F30" s="8" t="str">
        <f t="shared" si="26"/>
        <v>100</v>
      </c>
      <c r="G30" s="8" t="str">
        <f t="shared" ref="G30:G43" si="56">"2.320"</f>
        <v>2.320</v>
      </c>
      <c r="H30" s="8" t="str">
        <f t="shared" si="28"/>
        <v>100000.000</v>
      </c>
      <c r="I30" s="8" t="str">
        <f t="shared" si="3"/>
        <v>1.000</v>
      </c>
      <c r="J30" s="8" t="str">
        <f t="shared" si="4"/>
        <v>0.000</v>
      </c>
      <c r="K30" s="8" t="str">
        <f t="shared" si="4"/>
        <v>0.000</v>
      </c>
      <c r="L30" s="8" t="str">
        <f t="shared" si="29"/>
        <v>-100001.000</v>
      </c>
      <c r="M30" s="8" t="str">
        <f t="shared" si="5"/>
        <v>0.00</v>
      </c>
    </row>
    <row r="31" spans="1:13" ht="20" customHeight="1" x14ac:dyDescent="0.15">
      <c r="A31" s="6" t="str">
        <f t="shared" si="54"/>
        <v>20200213</v>
      </c>
      <c r="B31" s="7" t="str">
        <f>"融券回购购回日:20200214预计利息:6.39参考占款天数：3-131990"</f>
        <v>融券回购购回日:20200214预计利息:6.39参考占款天数：3-131990</v>
      </c>
      <c r="C31" s="8" t="str">
        <f>"131810"</f>
        <v>131810</v>
      </c>
      <c r="D31" s="8" t="str">
        <f t="shared" si="36"/>
        <v>Ｒ-001</v>
      </c>
      <c r="E31" s="8" t="str">
        <f t="shared" si="25"/>
        <v>质押回购拆出</v>
      </c>
      <c r="F31" s="8" t="str">
        <f t="shared" si="46"/>
        <v>370</v>
      </c>
      <c r="G31" s="8" t="str">
        <f t="shared" ref="G31:G95" si="57">"2.100"</f>
        <v>2.100</v>
      </c>
      <c r="H31" s="8" t="str">
        <f t="shared" si="48"/>
        <v>37000.000</v>
      </c>
      <c r="I31" s="8" t="str">
        <f t="shared" si="49"/>
        <v>0.370</v>
      </c>
      <c r="J31" s="8" t="str">
        <f t="shared" si="4"/>
        <v>0.000</v>
      </c>
      <c r="K31" s="8" t="str">
        <f t="shared" si="4"/>
        <v>0.000</v>
      </c>
      <c r="L31" s="8" t="str">
        <f t="shared" si="50"/>
        <v>-37000.370</v>
      </c>
      <c r="M31" s="8" t="str">
        <f t="shared" si="5"/>
        <v>0.00</v>
      </c>
    </row>
    <row r="32" spans="1:13" ht="20" customHeight="1" x14ac:dyDescent="0.15">
      <c r="A32" s="6" t="str">
        <f t="shared" si="54"/>
        <v>20200213</v>
      </c>
      <c r="B32" s="7" t="str">
        <f>"122扣除金额 基金代码：940018,发生份额：32.82,日期:20200213(122)"</f>
        <v>122扣除金额 基金代码：940018,发生份额：32.82,日期:20200213(122)</v>
      </c>
      <c r="C32" s="8" t="str">
        <f t="shared" si="0"/>
        <v>940018</v>
      </c>
      <c r="D32" s="8" t="str">
        <f t="shared" si="1"/>
        <v>天天发１天期</v>
      </c>
      <c r="E32" s="8" t="str">
        <f t="shared" si="2"/>
        <v>基金资金拨出</v>
      </c>
      <c r="F32" s="8" t="str">
        <f>"32"</f>
        <v>32</v>
      </c>
      <c r="G32" s="8" t="str">
        <f t="shared" si="3"/>
        <v>1.000</v>
      </c>
      <c r="H32" s="8" t="str">
        <f t="shared" si="4"/>
        <v>0.000</v>
      </c>
      <c r="I32" s="8" t="str">
        <f t="shared" si="4"/>
        <v>0.000</v>
      </c>
      <c r="J32" s="8" t="str">
        <f t="shared" si="4"/>
        <v>0.000</v>
      </c>
      <c r="K32" s="8" t="str">
        <f t="shared" si="4"/>
        <v>0.000</v>
      </c>
      <c r="L32" s="8" t="str">
        <f>"-32.820"</f>
        <v>-32.820</v>
      </c>
      <c r="M32" s="8" t="str">
        <f t="shared" si="5"/>
        <v>0.00</v>
      </c>
    </row>
    <row r="33" spans="1:13" ht="20" customHeight="1" x14ac:dyDescent="0.15">
      <c r="A33" s="6" t="str">
        <f t="shared" si="54"/>
        <v>20200213</v>
      </c>
      <c r="B33" s="7" t="str">
        <f>"融券购回:28.49实际占款天数：1-888880"</f>
        <v>融券购回:28.49实际占款天数：1-888880</v>
      </c>
      <c r="C33" s="8" t="str">
        <f t="shared" si="23"/>
        <v>204001</v>
      </c>
      <c r="D33" s="8" t="str">
        <f>"GC001"</f>
        <v>GC001</v>
      </c>
      <c r="E33" s="8" t="str">
        <f t="shared" si="51"/>
        <v>拆出质押购回</v>
      </c>
      <c r="F33" s="8" t="str">
        <f t="shared" ref="F33:F119" si="58">"-400"</f>
        <v>-400</v>
      </c>
      <c r="G33" s="8" t="str">
        <f t="shared" si="31"/>
        <v>2.600</v>
      </c>
      <c r="H33" s="8" t="str">
        <f t="shared" si="41"/>
        <v>400000.000</v>
      </c>
      <c r="I33" s="8" t="str">
        <f t="shared" si="4"/>
        <v>0.000</v>
      </c>
      <c r="J33" s="8" t="str">
        <f t="shared" si="4"/>
        <v>0.000</v>
      </c>
      <c r="K33" s="8" t="str">
        <f t="shared" si="4"/>
        <v>0.000</v>
      </c>
      <c r="L33" s="8" t="str">
        <f>"400028.490"</f>
        <v>400028.490</v>
      </c>
      <c r="M33" s="8" t="str">
        <f t="shared" si="5"/>
        <v>0.00</v>
      </c>
    </row>
    <row r="34" spans="1:13" ht="20" customHeight="1" x14ac:dyDescent="0.15">
      <c r="A34" s="6" t="str">
        <f t="shared" si="54"/>
        <v>20200213</v>
      </c>
      <c r="B34" s="7" t="str">
        <f>"融券购回:7.12实际占款天数：1-888880"</f>
        <v>融券购回:7.12实际占款天数：1-888880</v>
      </c>
      <c r="C34" s="8" t="str">
        <f t="shared" si="23"/>
        <v>204001</v>
      </c>
      <c r="D34" s="8" t="str">
        <f>"GC001"</f>
        <v>GC001</v>
      </c>
      <c r="E34" s="8" t="str">
        <f t="shared" si="51"/>
        <v>拆出质押购回</v>
      </c>
      <c r="F34" s="8" t="str">
        <f t="shared" si="52"/>
        <v>-100</v>
      </c>
      <c r="G34" s="8" t="str">
        <f t="shared" si="31"/>
        <v>2.600</v>
      </c>
      <c r="H34" s="8" t="str">
        <f t="shared" si="28"/>
        <v>100000.000</v>
      </c>
      <c r="I34" s="8" t="str">
        <f t="shared" si="4"/>
        <v>0.000</v>
      </c>
      <c r="J34" s="8" t="str">
        <f t="shared" si="4"/>
        <v>0.000</v>
      </c>
      <c r="K34" s="8" t="str">
        <f t="shared" si="4"/>
        <v>0.000</v>
      </c>
      <c r="L34" s="8" t="str">
        <f>"100007.120"</f>
        <v>100007.120</v>
      </c>
      <c r="M34" s="8" t="str">
        <f t="shared" si="5"/>
        <v>0.00</v>
      </c>
    </row>
    <row r="35" spans="1:13" ht="20" customHeight="1" x14ac:dyDescent="0.15">
      <c r="A35" s="6" t="str">
        <f t="shared" si="54"/>
        <v>20200213</v>
      </c>
      <c r="B35" s="7" t="str">
        <f>"融券购回:2.58实际占款天数：1-131990"</f>
        <v>融券购回:2.58实际占款天数：1-131990</v>
      </c>
      <c r="C35" s="8" t="str">
        <f>"131810"</f>
        <v>131810</v>
      </c>
      <c r="D35" s="8" t="str">
        <f t="shared" si="36"/>
        <v>Ｒ-001</v>
      </c>
      <c r="E35" s="8" t="str">
        <f t="shared" si="51"/>
        <v>拆出质押购回</v>
      </c>
      <c r="F35" s="8" t="str">
        <f t="shared" ref="F35:F44" si="59">"-370"</f>
        <v>-370</v>
      </c>
      <c r="G35" s="8" t="str">
        <f t="shared" si="47"/>
        <v>2.545</v>
      </c>
      <c r="H35" s="8" t="str">
        <f t="shared" si="48"/>
        <v>37000.000</v>
      </c>
      <c r="I35" s="8" t="str">
        <f t="shared" si="4"/>
        <v>0.000</v>
      </c>
      <c r="J35" s="8" t="str">
        <f t="shared" si="4"/>
        <v>0.000</v>
      </c>
      <c r="K35" s="8" t="str">
        <f t="shared" si="4"/>
        <v>0.000</v>
      </c>
      <c r="L35" s="8" t="str">
        <f>"37002.580"</f>
        <v>37002.580</v>
      </c>
      <c r="M35" s="8" t="str">
        <f t="shared" si="5"/>
        <v>0.00</v>
      </c>
    </row>
    <row r="36" spans="1:13" ht="20" customHeight="1" x14ac:dyDescent="0.15">
      <c r="A36" s="6" t="str">
        <f t="shared" si="54"/>
        <v>20200213</v>
      </c>
      <c r="B36" s="7" t="str">
        <f>"100083577804"</f>
        <v>100083577804</v>
      </c>
      <c r="C36" s="8" t="str">
        <f>"791696"</f>
        <v>791696</v>
      </c>
      <c r="D36" s="8" t="str">
        <f>"中银配号"</f>
        <v>中银配号</v>
      </c>
      <c r="E36" s="8" t="str">
        <f>"申购配号"</f>
        <v>申购配号</v>
      </c>
      <c r="F36" s="8" t="str">
        <f>"28"</f>
        <v>28</v>
      </c>
      <c r="G36" s="8" t="str">
        <f>"0.000"</f>
        <v>0.000</v>
      </c>
      <c r="H36" s="8" t="str">
        <f t="shared" si="4"/>
        <v>0.000</v>
      </c>
      <c r="I36" s="8" t="str">
        <f t="shared" si="4"/>
        <v>0.000</v>
      </c>
      <c r="J36" s="8" t="str">
        <f t="shared" si="4"/>
        <v>0.000</v>
      </c>
      <c r="K36" s="8" t="str">
        <f t="shared" si="4"/>
        <v>0.000</v>
      </c>
      <c r="L36" s="8" t="str">
        <f t="shared" si="4"/>
        <v>0.000</v>
      </c>
      <c r="M36" s="8" t="str">
        <f t="shared" si="5"/>
        <v>0.00</v>
      </c>
    </row>
    <row r="37" spans="1:13" ht="20" customHeight="1" x14ac:dyDescent="0.15">
      <c r="A37" s="6" t="str">
        <f t="shared" ref="A37:A44" si="60">"20200214"</f>
        <v>20200214</v>
      </c>
      <c r="B37" s="7" t="str">
        <f>"证券买入"</f>
        <v>证券买入</v>
      </c>
      <c r="C37" s="8" t="str">
        <f t="shared" si="14"/>
        <v>510300</v>
      </c>
      <c r="D37" s="8" t="str">
        <f t="shared" si="15"/>
        <v>300ETF</v>
      </c>
      <c r="E37" s="8" t="str">
        <f>"证券买入"</f>
        <v>证券买入</v>
      </c>
      <c r="F37" s="8" t="str">
        <f t="shared" si="16"/>
        <v>1300</v>
      </c>
      <c r="G37" s="8" t="str">
        <f>"3.945"</f>
        <v>3.945</v>
      </c>
      <c r="H37" s="8" t="str">
        <f>"5128.500"</f>
        <v>5128.500</v>
      </c>
      <c r="I37" s="8" t="str">
        <f t="shared" si="40"/>
        <v>1.540</v>
      </c>
      <c r="J37" s="8" t="str">
        <f t="shared" si="4"/>
        <v>0.000</v>
      </c>
      <c r="K37" s="8" t="str">
        <f t="shared" si="4"/>
        <v>0.000</v>
      </c>
      <c r="L37" s="8" t="str">
        <f>"-5130.040"</f>
        <v>-5130.040</v>
      </c>
      <c r="M37" s="8" t="str">
        <f t="shared" si="5"/>
        <v>0.00</v>
      </c>
    </row>
    <row r="38" spans="1:13" ht="20" customHeight="1" x14ac:dyDescent="0.15">
      <c r="A38" s="6" t="str">
        <f t="shared" si="60"/>
        <v>20200214</v>
      </c>
      <c r="B38" s="7" t="str">
        <f>"融券回购购回日:20200215预计利息:6.86参考占款天数：1-888880"</f>
        <v>融券回购购回日:20200215预计利息:6.86参考占款天数：1-888880</v>
      </c>
      <c r="C38" s="8" t="str">
        <f t="shared" si="23"/>
        <v>204001</v>
      </c>
      <c r="D38" s="8" t="str">
        <f>"GC001"</f>
        <v>GC001</v>
      </c>
      <c r="E38" s="8" t="str">
        <f t="shared" si="25"/>
        <v>质押回购拆出</v>
      </c>
      <c r="F38" s="8" t="str">
        <f t="shared" si="26"/>
        <v>100</v>
      </c>
      <c r="G38" s="8" t="str">
        <f t="shared" ref="G38:G53" si="61">"2.505"</f>
        <v>2.505</v>
      </c>
      <c r="H38" s="8" t="str">
        <f t="shared" si="28"/>
        <v>100000.000</v>
      </c>
      <c r="I38" s="8" t="str">
        <f t="shared" ref="I38:I67" si="62">"1.000"</f>
        <v>1.000</v>
      </c>
      <c r="J38" s="8" t="str">
        <f t="shared" si="4"/>
        <v>0.000</v>
      </c>
      <c r="K38" s="8" t="str">
        <f t="shared" si="4"/>
        <v>0.000</v>
      </c>
      <c r="L38" s="8" t="str">
        <f t="shared" si="29"/>
        <v>-100001.000</v>
      </c>
      <c r="M38" s="8" t="str">
        <f t="shared" si="5"/>
        <v>0.00</v>
      </c>
    </row>
    <row r="39" spans="1:13" ht="20" customHeight="1" x14ac:dyDescent="0.15">
      <c r="A39" s="6" t="str">
        <f t="shared" si="60"/>
        <v>20200214</v>
      </c>
      <c r="B39" s="7" t="str">
        <f>"融券回购购回日:20200215预计利息:26.85参考占款天数：1-888880"</f>
        <v>融券回购购回日:20200215预计利息:26.85参考占款天数：1-888880</v>
      </c>
      <c r="C39" s="8" t="str">
        <f t="shared" si="23"/>
        <v>204001</v>
      </c>
      <c r="D39" s="8" t="str">
        <f>"GC001"</f>
        <v>GC001</v>
      </c>
      <c r="E39" s="8" t="str">
        <f t="shared" si="25"/>
        <v>质押回购拆出</v>
      </c>
      <c r="F39" s="8" t="str">
        <f t="shared" si="20"/>
        <v>400</v>
      </c>
      <c r="G39" s="8" t="str">
        <f t="shared" ref="G39:G83" si="63">"2.450"</f>
        <v>2.450</v>
      </c>
      <c r="H39" s="8" t="str">
        <f t="shared" si="41"/>
        <v>400000.000</v>
      </c>
      <c r="I39" s="8" t="str">
        <f t="shared" si="42"/>
        <v>4.000</v>
      </c>
      <c r="J39" s="8" t="str">
        <f t="shared" si="4"/>
        <v>0.000</v>
      </c>
      <c r="K39" s="8" t="str">
        <f t="shared" si="4"/>
        <v>0.000</v>
      </c>
      <c r="L39" s="8" t="str">
        <f t="shared" si="43"/>
        <v>-400004.000</v>
      </c>
      <c r="M39" s="8" t="str">
        <f t="shared" si="5"/>
        <v>0.00</v>
      </c>
    </row>
    <row r="40" spans="1:13" ht="20" customHeight="1" x14ac:dyDescent="0.15">
      <c r="A40" s="6" t="str">
        <f t="shared" si="60"/>
        <v>20200214</v>
      </c>
      <c r="B40" s="7" t="str">
        <f>"122扣除金额 基金代码：940018,发生份额：26813.45,日期:20200214(122)"</f>
        <v>122扣除金额 基金代码：940018,发生份额：26813.45,日期:20200214(122)</v>
      </c>
      <c r="C40" s="8" t="str">
        <f t="shared" si="0"/>
        <v>940018</v>
      </c>
      <c r="D40" s="8" t="str">
        <f t="shared" si="1"/>
        <v>天天发１天期</v>
      </c>
      <c r="E40" s="8" t="str">
        <f t="shared" si="2"/>
        <v>基金资金拨出</v>
      </c>
      <c r="F40" s="8" t="str">
        <f>"26813"</f>
        <v>26813</v>
      </c>
      <c r="G40" s="8" t="str">
        <f>"1.000"</f>
        <v>1.000</v>
      </c>
      <c r="H40" s="8" t="str">
        <f t="shared" si="4"/>
        <v>0.000</v>
      </c>
      <c r="I40" s="8" t="str">
        <f t="shared" si="4"/>
        <v>0.000</v>
      </c>
      <c r="J40" s="8" t="str">
        <f t="shared" si="4"/>
        <v>0.000</v>
      </c>
      <c r="K40" s="8" t="str">
        <f t="shared" si="4"/>
        <v>0.000</v>
      </c>
      <c r="L40" s="8" t="str">
        <f>"-26813.450"</f>
        <v>-26813.450</v>
      </c>
      <c r="M40" s="8" t="str">
        <f t="shared" si="5"/>
        <v>0.00</v>
      </c>
    </row>
    <row r="41" spans="1:13" ht="20" customHeight="1" x14ac:dyDescent="0.15">
      <c r="A41" s="6" t="str">
        <f t="shared" si="60"/>
        <v>20200214</v>
      </c>
      <c r="B41" s="7" t="str">
        <f t="shared" si="7"/>
        <v>证券买入</v>
      </c>
      <c r="C41" s="8" t="str">
        <f t="shared" si="18"/>
        <v>159915</v>
      </c>
      <c r="D41" s="8" t="str">
        <f t="shared" si="19"/>
        <v>创业板</v>
      </c>
      <c r="E41" s="8" t="str">
        <f t="shared" si="7"/>
        <v>证券买入</v>
      </c>
      <c r="F41" s="8" t="str">
        <f t="shared" si="44"/>
        <v>2600</v>
      </c>
      <c r="G41" s="8" t="str">
        <f>"1.983"</f>
        <v>1.983</v>
      </c>
      <c r="H41" s="8" t="str">
        <f>"5155.800"</f>
        <v>5155.800</v>
      </c>
      <c r="I41" s="8" t="str">
        <f t="shared" ref="I41:I45" si="64">"1.550"</f>
        <v>1.550</v>
      </c>
      <c r="J41" s="8" t="str">
        <f t="shared" si="4"/>
        <v>0.000</v>
      </c>
      <c r="K41" s="8" t="str">
        <f t="shared" si="4"/>
        <v>0.000</v>
      </c>
      <c r="L41" s="8" t="str">
        <f>"-5157.350"</f>
        <v>-5157.350</v>
      </c>
      <c r="M41" s="8" t="str">
        <f>"0.00"</f>
        <v>0.00</v>
      </c>
    </row>
    <row r="42" spans="1:13" ht="20" customHeight="1" x14ac:dyDescent="0.15">
      <c r="A42" s="6" t="str">
        <f t="shared" si="60"/>
        <v>20200214</v>
      </c>
      <c r="B42" s="7" t="str">
        <f>"融券购回:80.38实际占款天数：3-888880"</f>
        <v>融券购回:80.38实际占款天数：3-888880</v>
      </c>
      <c r="C42" s="8" t="str">
        <f t="shared" si="23"/>
        <v>204001</v>
      </c>
      <c r="D42" s="8" t="str">
        <f>"GC001"</f>
        <v>GC001</v>
      </c>
      <c r="E42" s="8" t="str">
        <f t="shared" si="51"/>
        <v>拆出质押购回</v>
      </c>
      <c r="F42" s="8" t="str">
        <f t="shared" si="58"/>
        <v>-400</v>
      </c>
      <c r="G42" s="8" t="str">
        <f t="shared" si="55"/>
        <v>2.445</v>
      </c>
      <c r="H42" s="8" t="str">
        <f t="shared" si="41"/>
        <v>400000.000</v>
      </c>
      <c r="I42" s="8" t="str">
        <f t="shared" si="4"/>
        <v>0.000</v>
      </c>
      <c r="J42" s="8" t="str">
        <f t="shared" si="4"/>
        <v>0.000</v>
      </c>
      <c r="K42" s="8" t="str">
        <f t="shared" si="4"/>
        <v>0.000</v>
      </c>
      <c r="L42" s="8" t="str">
        <f>"400080.380"</f>
        <v>400080.380</v>
      </c>
      <c r="M42" s="8" t="str">
        <f t="shared" si="5"/>
        <v>0.00</v>
      </c>
    </row>
    <row r="43" spans="1:13" ht="20" customHeight="1" x14ac:dyDescent="0.15">
      <c r="A43" s="6" t="str">
        <f t="shared" si="60"/>
        <v>20200214</v>
      </c>
      <c r="B43" s="7" t="str">
        <f>"融券购回:19.07实际占款天数：3-888880"</f>
        <v>融券购回:19.07实际占款天数：3-888880</v>
      </c>
      <c r="C43" s="8" t="str">
        <f t="shared" si="23"/>
        <v>204001</v>
      </c>
      <c r="D43" s="8" t="str">
        <f>"GC001"</f>
        <v>GC001</v>
      </c>
      <c r="E43" s="8" t="str">
        <f t="shared" si="51"/>
        <v>拆出质押购回</v>
      </c>
      <c r="F43" s="8" t="str">
        <f t="shared" si="52"/>
        <v>-100</v>
      </c>
      <c r="G43" s="8" t="str">
        <f t="shared" si="56"/>
        <v>2.320</v>
      </c>
      <c r="H43" s="8" t="str">
        <f t="shared" si="28"/>
        <v>100000.000</v>
      </c>
      <c r="I43" s="8" t="str">
        <f t="shared" si="4"/>
        <v>0.000</v>
      </c>
      <c r="J43" s="8" t="str">
        <f t="shared" si="4"/>
        <v>0.000</v>
      </c>
      <c r="K43" s="8" t="str">
        <f t="shared" si="4"/>
        <v>0.000</v>
      </c>
      <c r="L43" s="8" t="str">
        <f>"100019.070"</f>
        <v>100019.070</v>
      </c>
      <c r="M43" s="8" t="str">
        <f t="shared" si="5"/>
        <v>0.00</v>
      </c>
    </row>
    <row r="44" spans="1:13" ht="20" customHeight="1" x14ac:dyDescent="0.15">
      <c r="A44" s="6" t="str">
        <f t="shared" si="60"/>
        <v>20200214</v>
      </c>
      <c r="B44" s="7" t="str">
        <f>"融券购回:6.39实际占款天数：3-131990"</f>
        <v>融券购回:6.39实际占款天数：3-131990</v>
      </c>
      <c r="C44" s="8" t="str">
        <f>"131810"</f>
        <v>131810</v>
      </c>
      <c r="D44" s="8" t="str">
        <f t="shared" si="36"/>
        <v>Ｒ-001</v>
      </c>
      <c r="E44" s="8" t="str">
        <f t="shared" si="51"/>
        <v>拆出质押购回</v>
      </c>
      <c r="F44" s="8" t="str">
        <f t="shared" si="59"/>
        <v>-370</v>
      </c>
      <c r="G44" s="8" t="str">
        <f t="shared" si="57"/>
        <v>2.100</v>
      </c>
      <c r="H44" s="8" t="str">
        <f t="shared" si="48"/>
        <v>37000.000</v>
      </c>
      <c r="I44" s="8" t="str">
        <f t="shared" ref="I44:L106" si="65">"0.000"</f>
        <v>0.000</v>
      </c>
      <c r="J44" s="8" t="str">
        <f t="shared" si="65"/>
        <v>0.000</v>
      </c>
      <c r="K44" s="8" t="str">
        <f t="shared" si="65"/>
        <v>0.000</v>
      </c>
      <c r="L44" s="8" t="str">
        <f>"37006.390"</f>
        <v>37006.390</v>
      </c>
      <c r="M44" s="8" t="str">
        <f t="shared" si="5"/>
        <v>0.00</v>
      </c>
    </row>
    <row r="45" spans="1:13" ht="20" customHeight="1" x14ac:dyDescent="0.15">
      <c r="A45" s="6" t="str">
        <f t="shared" ref="A45:A55" si="66">"20200217"</f>
        <v>20200217</v>
      </c>
      <c r="B45" s="7" t="str">
        <f t="shared" si="7"/>
        <v>证券买入</v>
      </c>
      <c r="C45" s="8" t="str">
        <f t="shared" si="14"/>
        <v>510300</v>
      </c>
      <c r="D45" s="8" t="str">
        <f t="shared" si="15"/>
        <v>300ETF</v>
      </c>
      <c r="E45" s="8" t="str">
        <f t="shared" si="7"/>
        <v>证券买入</v>
      </c>
      <c r="F45" s="8" t="str">
        <f t="shared" si="16"/>
        <v>1300</v>
      </c>
      <c r="G45" s="8" t="str">
        <f>"3.986"</f>
        <v>3.986</v>
      </c>
      <c r="H45" s="8" t="str">
        <f>"5181.800"</f>
        <v>5181.800</v>
      </c>
      <c r="I45" s="8" t="str">
        <f t="shared" si="64"/>
        <v>1.550</v>
      </c>
      <c r="J45" s="8" t="str">
        <f t="shared" si="65"/>
        <v>0.000</v>
      </c>
      <c r="K45" s="8" t="str">
        <f t="shared" si="65"/>
        <v>0.000</v>
      </c>
      <c r="L45" s="8" t="str">
        <f t="shared" ref="L45" si="67">"-5183.350"</f>
        <v>-5183.350</v>
      </c>
      <c r="M45" s="8" t="str">
        <f t="shared" si="5"/>
        <v>0.00</v>
      </c>
    </row>
    <row r="46" spans="1:13" ht="20" customHeight="1" x14ac:dyDescent="0.15">
      <c r="A46" s="6" t="str">
        <f t="shared" si="66"/>
        <v>20200217</v>
      </c>
      <c r="B46" s="7" t="str">
        <f t="shared" si="7"/>
        <v>证券买入</v>
      </c>
      <c r="C46" s="8" t="str">
        <f t="shared" ref="C46:C66" si="68">"512800"</f>
        <v>512800</v>
      </c>
      <c r="D46" s="8" t="str">
        <f t="shared" ref="D46:D66" si="69">"银行ETF"</f>
        <v>银行ETF</v>
      </c>
      <c r="E46" s="8" t="str">
        <f t="shared" si="7"/>
        <v>证券买入</v>
      </c>
      <c r="F46" s="8" t="str">
        <f t="shared" ref="F46:F165" si="70">"500"</f>
        <v>500</v>
      </c>
      <c r="G46" s="8" t="str">
        <f>"1.044"</f>
        <v>1.044</v>
      </c>
      <c r="H46" s="8" t="str">
        <f>"522.000"</f>
        <v>522.000</v>
      </c>
      <c r="I46" s="8" t="str">
        <f t="shared" ref="I46:I162" si="71">"0.160"</f>
        <v>0.160</v>
      </c>
      <c r="J46" s="8" t="str">
        <f t="shared" si="65"/>
        <v>0.000</v>
      </c>
      <c r="K46" s="8" t="str">
        <f t="shared" si="65"/>
        <v>0.000</v>
      </c>
      <c r="L46" s="8" t="str">
        <f>"-522.160"</f>
        <v>-522.160</v>
      </c>
      <c r="M46" s="8" t="str">
        <f t="shared" si="5"/>
        <v>0.00</v>
      </c>
    </row>
    <row r="47" spans="1:13" ht="20" customHeight="1" x14ac:dyDescent="0.15">
      <c r="A47" s="6" t="str">
        <f t="shared" si="66"/>
        <v>20200217</v>
      </c>
      <c r="B47" s="7" t="str">
        <f t="shared" si="7"/>
        <v>证券买入</v>
      </c>
      <c r="C47" s="8" t="str">
        <f t="shared" ref="C47:C157" si="72">"512880"</f>
        <v>512880</v>
      </c>
      <c r="D47" s="8" t="str">
        <f t="shared" ref="D47:D149" si="73">"证券ETF"</f>
        <v>证券ETF</v>
      </c>
      <c r="E47" s="8" t="str">
        <f t="shared" si="7"/>
        <v>证券买入</v>
      </c>
      <c r="F47" s="8" t="str">
        <f t="shared" ref="F47:F63" si="74">"600"</f>
        <v>600</v>
      </c>
      <c r="G47" s="8" t="str">
        <f>"0.980"</f>
        <v>0.980</v>
      </c>
      <c r="H47" s="8" t="str">
        <f>"588.000"</f>
        <v>588.000</v>
      </c>
      <c r="I47" s="8" t="str">
        <f t="shared" ref="I47:I109" si="75">"0.180"</f>
        <v>0.180</v>
      </c>
      <c r="J47" s="8" t="str">
        <f t="shared" si="65"/>
        <v>0.000</v>
      </c>
      <c r="K47" s="8" t="str">
        <f t="shared" si="65"/>
        <v>0.000</v>
      </c>
      <c r="L47" s="8" t="str">
        <f>"-588.180"</f>
        <v>-588.180</v>
      </c>
      <c r="M47" s="8" t="str">
        <f t="shared" si="5"/>
        <v>0.00</v>
      </c>
    </row>
    <row r="48" spans="1:13" ht="20" customHeight="1" x14ac:dyDescent="0.15">
      <c r="A48" s="6" t="str">
        <f t="shared" si="66"/>
        <v>20200217</v>
      </c>
      <c r="B48" s="7" t="str">
        <f>"融券回购购回日:20200218预计利息:12.88参考占款天数：1-888880"</f>
        <v>融券回购购回日:20200218预计利息:12.88参考占款天数：1-888880</v>
      </c>
      <c r="C48" s="8" t="str">
        <f t="shared" si="23"/>
        <v>204001</v>
      </c>
      <c r="D48" s="8" t="str">
        <f>"GC001"</f>
        <v>GC001</v>
      </c>
      <c r="E48" s="8" t="str">
        <f t="shared" si="25"/>
        <v>质押回购拆出</v>
      </c>
      <c r="F48" s="8" t="str">
        <f t="shared" si="30"/>
        <v>200</v>
      </c>
      <c r="G48" s="8" t="str">
        <f t="shared" ref="G48:G60" si="76">"2.350"</f>
        <v>2.350</v>
      </c>
      <c r="H48" s="8" t="str">
        <f t="shared" si="32"/>
        <v>200000.000</v>
      </c>
      <c r="I48" s="8" t="str">
        <f t="shared" si="33"/>
        <v>2.000</v>
      </c>
      <c r="J48" s="8" t="str">
        <f t="shared" si="65"/>
        <v>0.000</v>
      </c>
      <c r="K48" s="8" t="str">
        <f t="shared" si="65"/>
        <v>0.000</v>
      </c>
      <c r="L48" s="8" t="str">
        <f t="shared" si="34"/>
        <v>-200002.000</v>
      </c>
      <c r="M48" s="8" t="str">
        <f>"0.00"</f>
        <v>0.00</v>
      </c>
    </row>
    <row r="49" spans="1:13" ht="20" customHeight="1" x14ac:dyDescent="0.15">
      <c r="A49" s="6" t="str">
        <f t="shared" si="66"/>
        <v>20200217</v>
      </c>
      <c r="B49" s="7" t="str">
        <f>"融券回购购回日:20200218预计利息:12.63参考占款天数：1-888880"</f>
        <v>融券回购购回日:20200218预计利息:12.63参考占款天数：1-888880</v>
      </c>
      <c r="C49" s="8" t="str">
        <f t="shared" si="23"/>
        <v>204001</v>
      </c>
      <c r="D49" s="8" t="str">
        <f>"GC001"</f>
        <v>GC001</v>
      </c>
      <c r="E49" s="8" t="str">
        <f t="shared" si="25"/>
        <v>质押回购拆出</v>
      </c>
      <c r="F49" s="8" t="str">
        <f t="shared" si="30"/>
        <v>200</v>
      </c>
      <c r="G49" s="8" t="str">
        <f t="shared" ref="G49:G62" si="77">"2.305"</f>
        <v>2.305</v>
      </c>
      <c r="H49" s="8" t="str">
        <f t="shared" si="32"/>
        <v>200000.000</v>
      </c>
      <c r="I49" s="8" t="str">
        <f t="shared" si="33"/>
        <v>2.000</v>
      </c>
      <c r="J49" s="8" t="str">
        <f t="shared" si="65"/>
        <v>0.000</v>
      </c>
      <c r="K49" s="8" t="str">
        <f t="shared" si="65"/>
        <v>0.000</v>
      </c>
      <c r="L49" s="8" t="str">
        <f t="shared" si="34"/>
        <v>-200002.000</v>
      </c>
      <c r="M49" s="8" t="str">
        <f t="shared" si="5"/>
        <v>0.00</v>
      </c>
    </row>
    <row r="50" spans="1:13" ht="20" customHeight="1" x14ac:dyDescent="0.15">
      <c r="A50" s="6" t="str">
        <f t="shared" si="66"/>
        <v>20200217</v>
      </c>
      <c r="B50" s="7" t="str">
        <f>"证券买入"</f>
        <v>证券买入</v>
      </c>
      <c r="C50" s="8" t="str">
        <f t="shared" si="8"/>
        <v>162411</v>
      </c>
      <c r="D50" s="8" t="str">
        <f>"华宝油气"</f>
        <v>华宝油气</v>
      </c>
      <c r="E50" s="8" t="str">
        <f>"证券买入"</f>
        <v>证券买入</v>
      </c>
      <c r="F50" s="8" t="str">
        <f>"1500"</f>
        <v>1500</v>
      </c>
      <c r="G50" s="8" t="str">
        <f>"0.352"</f>
        <v>0.352</v>
      </c>
      <c r="H50" s="8" t="str">
        <f>"528.000"</f>
        <v>528.000</v>
      </c>
      <c r="I50" s="8" t="str">
        <f t="shared" si="71"/>
        <v>0.160</v>
      </c>
      <c r="J50" s="8" t="str">
        <f t="shared" si="65"/>
        <v>0.000</v>
      </c>
      <c r="K50" s="8" t="str">
        <f t="shared" si="65"/>
        <v>0.000</v>
      </c>
      <c r="L50" s="8" t="str">
        <f>"-528.160"</f>
        <v>-528.160</v>
      </c>
      <c r="M50" s="8" t="str">
        <f t="shared" si="5"/>
        <v>0.00</v>
      </c>
    </row>
    <row r="51" spans="1:13" ht="20" customHeight="1" x14ac:dyDescent="0.15">
      <c r="A51" s="6" t="str">
        <f t="shared" si="66"/>
        <v>20200217</v>
      </c>
      <c r="B51" s="7" t="str">
        <f t="shared" si="7"/>
        <v>证券买入</v>
      </c>
      <c r="C51" s="8" t="str">
        <f t="shared" ref="C51:C165" si="78">"159995"</f>
        <v>159995</v>
      </c>
      <c r="D51" s="8" t="str">
        <f t="shared" ref="D51:D165" si="79">"芯片ETF"</f>
        <v>芯片ETF</v>
      </c>
      <c r="E51" s="8" t="str">
        <f t="shared" si="7"/>
        <v>证券买入</v>
      </c>
      <c r="F51" s="8" t="str">
        <f t="shared" si="70"/>
        <v>500</v>
      </c>
      <c r="G51" s="8" t="str">
        <f>"1.110"</f>
        <v>1.110</v>
      </c>
      <c r="H51" s="8" t="str">
        <f>"555.000"</f>
        <v>555.000</v>
      </c>
      <c r="I51" s="8" t="str">
        <f>"0.170"</f>
        <v>0.170</v>
      </c>
      <c r="J51" s="8" t="str">
        <f t="shared" si="65"/>
        <v>0.000</v>
      </c>
      <c r="K51" s="8" t="str">
        <f t="shared" si="65"/>
        <v>0.000</v>
      </c>
      <c r="L51" s="8" t="str">
        <f>"-555.170"</f>
        <v>-555.170</v>
      </c>
      <c r="M51" s="8" t="str">
        <f t="shared" si="5"/>
        <v>0.00</v>
      </c>
    </row>
    <row r="52" spans="1:13" ht="20" customHeight="1" x14ac:dyDescent="0.15">
      <c r="A52" s="6" t="str">
        <f t="shared" si="66"/>
        <v>20200217</v>
      </c>
      <c r="B52" s="7" t="str">
        <f>"融券回购购回日:20200218预计利息:5.81参考占款天数：1-131990"</f>
        <v>融券回购购回日:20200218预计利息:5.81参考占款天数：1-131990</v>
      </c>
      <c r="C52" s="8" t="str">
        <f>"131810"</f>
        <v>131810</v>
      </c>
      <c r="D52" s="8" t="str">
        <f t="shared" si="36"/>
        <v>Ｒ-001</v>
      </c>
      <c r="E52" s="8" t="str">
        <f t="shared" si="25"/>
        <v>质押回购拆出</v>
      </c>
      <c r="F52" s="8" t="str">
        <f t="shared" ref="F52:F59" si="80">"920"</f>
        <v>920</v>
      </c>
      <c r="G52" s="8" t="str">
        <f t="shared" si="77"/>
        <v>2.305</v>
      </c>
      <c r="H52" s="8" t="str">
        <f t="shared" ref="H52:H78" si="81">"92000.000"</f>
        <v>92000.000</v>
      </c>
      <c r="I52" s="8" t="str">
        <f t="shared" ref="I52:I59" si="82">"0.920"</f>
        <v>0.920</v>
      </c>
      <c r="J52" s="8" t="str">
        <f t="shared" si="65"/>
        <v>0.000</v>
      </c>
      <c r="K52" s="8" t="str">
        <f t="shared" si="65"/>
        <v>0.000</v>
      </c>
      <c r="L52" s="8" t="str">
        <f t="shared" ref="L52:L59" si="83">"-92000.920"</f>
        <v>-92000.920</v>
      </c>
      <c r="M52" s="8" t="str">
        <f t="shared" si="5"/>
        <v>0.00</v>
      </c>
    </row>
    <row r="53" spans="1:13" ht="20" customHeight="1" x14ac:dyDescent="0.15">
      <c r="A53" s="6" t="str">
        <f t="shared" si="66"/>
        <v>20200217</v>
      </c>
      <c r="B53" s="7" t="str">
        <f>"融券购回:6.86实际占款天数：1-888880"</f>
        <v>融券购回:6.86实际占款天数：1-888880</v>
      </c>
      <c r="C53" s="8" t="str">
        <f t="shared" si="23"/>
        <v>204001</v>
      </c>
      <c r="D53" s="8" t="str">
        <f>"GC001"</f>
        <v>GC001</v>
      </c>
      <c r="E53" s="8" t="str">
        <f t="shared" si="51"/>
        <v>拆出质押购回</v>
      </c>
      <c r="F53" s="8" t="str">
        <f t="shared" si="52"/>
        <v>-100</v>
      </c>
      <c r="G53" s="8" t="str">
        <f t="shared" si="61"/>
        <v>2.505</v>
      </c>
      <c r="H53" s="8" t="str">
        <f t="shared" si="28"/>
        <v>100000.000</v>
      </c>
      <c r="I53" s="8" t="str">
        <f t="shared" si="65"/>
        <v>0.000</v>
      </c>
      <c r="J53" s="8" t="str">
        <f t="shared" si="65"/>
        <v>0.000</v>
      </c>
      <c r="K53" s="8" t="str">
        <f t="shared" si="65"/>
        <v>0.000</v>
      </c>
      <c r="L53" s="8" t="str">
        <f>"100006.860"</f>
        <v>100006.860</v>
      </c>
      <c r="M53" s="8" t="str">
        <f t="shared" si="5"/>
        <v>0.00</v>
      </c>
    </row>
    <row r="54" spans="1:13" ht="20" customHeight="1" x14ac:dyDescent="0.15">
      <c r="A54" s="6" t="str">
        <f t="shared" si="66"/>
        <v>20200217</v>
      </c>
      <c r="B54" s="7" t="str">
        <f>"融券购回:26.85实际占款天数：1-888880"</f>
        <v>融券购回:26.85实际占款天数：1-888880</v>
      </c>
      <c r="C54" s="8" t="str">
        <f t="shared" si="23"/>
        <v>204001</v>
      </c>
      <c r="D54" s="8" t="str">
        <f>"GC001"</f>
        <v>GC001</v>
      </c>
      <c r="E54" s="8" t="str">
        <f t="shared" si="51"/>
        <v>拆出质押购回</v>
      </c>
      <c r="F54" s="8" t="str">
        <f t="shared" si="58"/>
        <v>-400</v>
      </c>
      <c r="G54" s="8" t="str">
        <f t="shared" si="63"/>
        <v>2.450</v>
      </c>
      <c r="H54" s="8" t="str">
        <f t="shared" si="41"/>
        <v>400000.000</v>
      </c>
      <c r="I54" s="8" t="str">
        <f t="shared" si="65"/>
        <v>0.000</v>
      </c>
      <c r="J54" s="8" t="str">
        <f t="shared" si="65"/>
        <v>0.000</v>
      </c>
      <c r="K54" s="8" t="str">
        <f t="shared" si="65"/>
        <v>0.000</v>
      </c>
      <c r="L54" s="8" t="str">
        <f>"400026.850"</f>
        <v>400026.850</v>
      </c>
      <c r="M54" s="8" t="str">
        <f t="shared" si="5"/>
        <v>0.00</v>
      </c>
    </row>
    <row r="55" spans="1:13" ht="20" customHeight="1" x14ac:dyDescent="0.15">
      <c r="A55" s="6" t="str">
        <f t="shared" si="66"/>
        <v>20200217</v>
      </c>
      <c r="B55" s="7" t="str">
        <f>"122扣除金额 基金代码：940018,发生份额：650.77,日期:20200217(122)"</f>
        <v>122扣除金额 基金代码：940018,发生份额：650.77,日期:20200217(122)</v>
      </c>
      <c r="C55" s="8" t="str">
        <f t="shared" si="0"/>
        <v>940018</v>
      </c>
      <c r="D55" s="8" t="str">
        <f t="shared" si="1"/>
        <v>天天发１天期</v>
      </c>
      <c r="E55" s="8" t="str">
        <f t="shared" si="2"/>
        <v>基金资金拨出</v>
      </c>
      <c r="F55" s="8" t="str">
        <f>"650"</f>
        <v>650</v>
      </c>
      <c r="G55" s="8" t="str">
        <f>"1.000"</f>
        <v>1.000</v>
      </c>
      <c r="H55" s="8" t="str">
        <f>"0.000"</f>
        <v>0.000</v>
      </c>
      <c r="I55" s="8" t="str">
        <f t="shared" si="65"/>
        <v>0.000</v>
      </c>
      <c r="J55" s="8" t="str">
        <f t="shared" si="65"/>
        <v>0.000</v>
      </c>
      <c r="K55" s="8" t="str">
        <f t="shared" si="65"/>
        <v>0.000</v>
      </c>
      <c r="L55" s="8" t="str">
        <f>"-650.770"</f>
        <v>-650.770</v>
      </c>
      <c r="M55" s="8" t="str">
        <f t="shared" si="5"/>
        <v>0.00</v>
      </c>
    </row>
    <row r="56" spans="1:13" ht="20" customHeight="1" x14ac:dyDescent="0.15">
      <c r="A56" s="6" t="str">
        <f t="shared" ref="A56:A62" si="84">"20200218"</f>
        <v>20200218</v>
      </c>
      <c r="B56" s="7" t="str">
        <f>"融券回购购回日:20200219预计利息:6.85参考占款天数：1-888880"</f>
        <v>融券回购购回日:20200219预计利息:6.85参考占款天数：1-888880</v>
      </c>
      <c r="C56" s="8" t="str">
        <f t="shared" si="23"/>
        <v>204001</v>
      </c>
      <c r="D56" s="8" t="str">
        <f t="shared" si="24"/>
        <v>GC001</v>
      </c>
      <c r="E56" s="8" t="str">
        <f t="shared" si="25"/>
        <v>质押回购拆出</v>
      </c>
      <c r="F56" s="8" t="str">
        <f t="shared" si="26"/>
        <v>100</v>
      </c>
      <c r="G56" s="8" t="str">
        <f t="shared" ref="G56:G76" si="85">"2.500"</f>
        <v>2.500</v>
      </c>
      <c r="H56" s="8" t="str">
        <f t="shared" si="28"/>
        <v>100000.000</v>
      </c>
      <c r="I56" s="8" t="str">
        <f t="shared" si="62"/>
        <v>1.000</v>
      </c>
      <c r="J56" s="8" t="str">
        <f t="shared" si="65"/>
        <v>0.000</v>
      </c>
      <c r="K56" s="8" t="str">
        <f t="shared" si="65"/>
        <v>0.000</v>
      </c>
      <c r="L56" s="8" t="str">
        <f t="shared" si="29"/>
        <v>-100001.000</v>
      </c>
      <c r="M56" s="8" t="str">
        <f t="shared" si="5"/>
        <v>0.00</v>
      </c>
    </row>
    <row r="57" spans="1:13" ht="20" customHeight="1" x14ac:dyDescent="0.15">
      <c r="A57" s="6" t="str">
        <f t="shared" si="84"/>
        <v>20200218</v>
      </c>
      <c r="B57" s="7" t="str">
        <f>"融券回购购回日:20200219预计利息:20.14参考占款天数：1-888880"</f>
        <v>融券回购购回日:20200219预计利息:20.14参考占款天数：1-888880</v>
      </c>
      <c r="C57" s="8" t="str">
        <f t="shared" si="23"/>
        <v>204001</v>
      </c>
      <c r="D57" s="8" t="str">
        <f t="shared" si="24"/>
        <v>GC001</v>
      </c>
      <c r="E57" s="8" t="str">
        <f t="shared" si="25"/>
        <v>质押回购拆出</v>
      </c>
      <c r="F57" s="8" t="str">
        <f t="shared" ref="F57:F163" si="86">"300"</f>
        <v>300</v>
      </c>
      <c r="G57" s="8" t="str">
        <f t="shared" si="63"/>
        <v>2.450</v>
      </c>
      <c r="H57" s="8" t="str">
        <f t="shared" ref="H57:H84" si="87">"300000.000"</f>
        <v>300000.000</v>
      </c>
      <c r="I57" s="8" t="str">
        <f t="shared" ref="I57:I135" si="88">"3.000"</f>
        <v>3.000</v>
      </c>
      <c r="J57" s="8" t="str">
        <f t="shared" si="65"/>
        <v>0.000</v>
      </c>
      <c r="K57" s="8" t="str">
        <f t="shared" si="65"/>
        <v>0.000</v>
      </c>
      <c r="L57" s="8" t="str">
        <f t="shared" ref="L57:L69" si="89">"-300003.000"</f>
        <v>-300003.000</v>
      </c>
      <c r="M57" s="8" t="str">
        <f t="shared" si="5"/>
        <v>0.00</v>
      </c>
    </row>
    <row r="58" spans="1:13" ht="20" customHeight="1" x14ac:dyDescent="0.15">
      <c r="A58" s="6" t="str">
        <f t="shared" si="84"/>
        <v>20200218</v>
      </c>
      <c r="B58" s="7" t="str">
        <f>"122扣除金额 基金代码：940018,发生份额：26.4,日期:20200218(122)"</f>
        <v>122扣除金额 基金代码：940018,发生份额：26.4,日期:20200218(122)</v>
      </c>
      <c r="C58" s="8" t="str">
        <f t="shared" si="0"/>
        <v>940018</v>
      </c>
      <c r="D58" s="8" t="str">
        <f t="shared" si="1"/>
        <v>天天发１天期</v>
      </c>
      <c r="E58" s="8" t="str">
        <f t="shared" si="2"/>
        <v>基金资金拨出</v>
      </c>
      <c r="F58" s="8" t="str">
        <f>"26"</f>
        <v>26</v>
      </c>
      <c r="G58" s="8" t="str">
        <f>"1.000"</f>
        <v>1.000</v>
      </c>
      <c r="H58" s="8" t="str">
        <f>"0.000"</f>
        <v>0.000</v>
      </c>
      <c r="I58" s="8" t="str">
        <f t="shared" si="65"/>
        <v>0.000</v>
      </c>
      <c r="J58" s="8" t="str">
        <f t="shared" si="65"/>
        <v>0.000</v>
      </c>
      <c r="K58" s="8" t="str">
        <f t="shared" si="65"/>
        <v>0.000</v>
      </c>
      <c r="L58" s="8" t="str">
        <f>"-26.400"</f>
        <v>-26.400</v>
      </c>
      <c r="M58" s="8" t="str">
        <f t="shared" si="5"/>
        <v>0.00</v>
      </c>
    </row>
    <row r="59" spans="1:13" ht="20" customHeight="1" x14ac:dyDescent="0.15">
      <c r="A59" s="6" t="str">
        <f t="shared" si="84"/>
        <v>20200218</v>
      </c>
      <c r="B59" s="7" t="str">
        <f>"融券回购购回日:20200219预计利息:6.05参考占款天数：1-131990"</f>
        <v>融券回购购回日:20200219预计利息:6.05参考占款天数：1-131990</v>
      </c>
      <c r="C59" s="8" t="str">
        <f>"131810"</f>
        <v>131810</v>
      </c>
      <c r="D59" s="8" t="str">
        <f t="shared" si="36"/>
        <v>Ｒ-001</v>
      </c>
      <c r="E59" s="8" t="str">
        <f t="shared" si="25"/>
        <v>质押回购拆出</v>
      </c>
      <c r="F59" s="8" t="str">
        <f t="shared" si="80"/>
        <v>920</v>
      </c>
      <c r="G59" s="8" t="str">
        <f t="shared" ref="G59:G78" si="90">"2.400"</f>
        <v>2.400</v>
      </c>
      <c r="H59" s="8" t="str">
        <f t="shared" si="81"/>
        <v>92000.000</v>
      </c>
      <c r="I59" s="8" t="str">
        <f t="shared" si="82"/>
        <v>0.920</v>
      </c>
      <c r="J59" s="8" t="str">
        <f t="shared" si="65"/>
        <v>0.000</v>
      </c>
      <c r="K59" s="8" t="str">
        <f t="shared" si="65"/>
        <v>0.000</v>
      </c>
      <c r="L59" s="8" t="str">
        <f t="shared" si="83"/>
        <v>-92000.920</v>
      </c>
      <c r="M59" s="8" t="str">
        <f t="shared" si="5"/>
        <v>0.00</v>
      </c>
    </row>
    <row r="60" spans="1:13" ht="20" customHeight="1" x14ac:dyDescent="0.15">
      <c r="A60" s="6" t="str">
        <f t="shared" si="84"/>
        <v>20200218</v>
      </c>
      <c r="B60" s="7" t="str">
        <f>"融券购回:12.88实际占款天数：1-888880"</f>
        <v>融券购回:12.88实际占款天数：1-888880</v>
      </c>
      <c r="C60" s="8" t="str">
        <f t="shared" si="23"/>
        <v>204001</v>
      </c>
      <c r="D60" s="8" t="str">
        <f>"GC001"</f>
        <v>GC001</v>
      </c>
      <c r="E60" s="8" t="str">
        <f t="shared" si="51"/>
        <v>拆出质押购回</v>
      </c>
      <c r="F60" s="8" t="str">
        <f t="shared" si="53"/>
        <v>-200</v>
      </c>
      <c r="G60" s="8" t="str">
        <f t="shared" si="76"/>
        <v>2.350</v>
      </c>
      <c r="H60" s="8" t="str">
        <f t="shared" si="32"/>
        <v>200000.000</v>
      </c>
      <c r="I60" s="8" t="str">
        <f t="shared" si="65"/>
        <v>0.000</v>
      </c>
      <c r="J60" s="8" t="str">
        <f t="shared" si="65"/>
        <v>0.000</v>
      </c>
      <c r="K60" s="8" t="str">
        <f t="shared" si="65"/>
        <v>0.000</v>
      </c>
      <c r="L60" s="8" t="str">
        <f>"200012.880"</f>
        <v>200012.880</v>
      </c>
      <c r="M60" s="8" t="str">
        <f t="shared" si="5"/>
        <v>0.00</v>
      </c>
    </row>
    <row r="61" spans="1:13" ht="20" customHeight="1" x14ac:dyDescent="0.15">
      <c r="A61" s="6" t="str">
        <f t="shared" si="84"/>
        <v>20200218</v>
      </c>
      <c r="B61" s="7" t="str">
        <f>"融券购回:12.63实际占款天数：1-888880"</f>
        <v>融券购回:12.63实际占款天数：1-888880</v>
      </c>
      <c r="C61" s="8" t="str">
        <f t="shared" si="23"/>
        <v>204001</v>
      </c>
      <c r="D61" s="8" t="str">
        <f>"GC001"</f>
        <v>GC001</v>
      </c>
      <c r="E61" s="8" t="str">
        <f t="shared" si="51"/>
        <v>拆出质押购回</v>
      </c>
      <c r="F61" s="8" t="str">
        <f t="shared" si="53"/>
        <v>-200</v>
      </c>
      <c r="G61" s="8" t="str">
        <f t="shared" si="77"/>
        <v>2.305</v>
      </c>
      <c r="H61" s="8" t="str">
        <f t="shared" si="32"/>
        <v>200000.000</v>
      </c>
      <c r="I61" s="8" t="str">
        <f t="shared" si="65"/>
        <v>0.000</v>
      </c>
      <c r="J61" s="8" t="str">
        <f t="shared" si="65"/>
        <v>0.000</v>
      </c>
      <c r="K61" s="8" t="str">
        <f t="shared" si="65"/>
        <v>0.000</v>
      </c>
      <c r="L61" s="8" t="str">
        <f>"200012.630"</f>
        <v>200012.630</v>
      </c>
      <c r="M61" s="8" t="str">
        <f t="shared" si="5"/>
        <v>0.00</v>
      </c>
    </row>
    <row r="62" spans="1:13" ht="20" customHeight="1" x14ac:dyDescent="0.15">
      <c r="A62" s="6" t="str">
        <f t="shared" si="84"/>
        <v>20200218</v>
      </c>
      <c r="B62" s="7" t="str">
        <f>"融券购回:5.81实际占款天数：1-131990"</f>
        <v>融券购回:5.81实际占款天数：1-131990</v>
      </c>
      <c r="C62" s="8" t="str">
        <f>"131810"</f>
        <v>131810</v>
      </c>
      <c r="D62" s="8" t="str">
        <f t="shared" si="36"/>
        <v>Ｒ-001</v>
      </c>
      <c r="E62" s="8" t="str">
        <f t="shared" si="51"/>
        <v>拆出质押购回</v>
      </c>
      <c r="F62" s="8" t="str">
        <f t="shared" ref="F62:F78" si="91">"-920"</f>
        <v>-920</v>
      </c>
      <c r="G62" s="8" t="str">
        <f t="shared" si="77"/>
        <v>2.305</v>
      </c>
      <c r="H62" s="8" t="str">
        <f t="shared" si="81"/>
        <v>92000.000</v>
      </c>
      <c r="I62" s="8" t="str">
        <f t="shared" si="65"/>
        <v>0.000</v>
      </c>
      <c r="J62" s="8" t="str">
        <f t="shared" si="65"/>
        <v>0.000</v>
      </c>
      <c r="K62" s="8" t="str">
        <f t="shared" si="65"/>
        <v>0.000</v>
      </c>
      <c r="L62" s="8" t="str">
        <f>"92005.810"</f>
        <v>92005.810</v>
      </c>
      <c r="M62" s="8" t="str">
        <f t="shared" si="5"/>
        <v>0.00</v>
      </c>
    </row>
    <row r="63" spans="1:13" ht="20" customHeight="1" x14ac:dyDescent="0.15">
      <c r="A63" s="6" t="str">
        <f t="shared" ref="A63:A79" si="92">"20200219"</f>
        <v>20200219</v>
      </c>
      <c r="B63" s="7" t="str">
        <f t="shared" si="7"/>
        <v>证券买入</v>
      </c>
      <c r="C63" s="8" t="str">
        <f t="shared" si="72"/>
        <v>512880</v>
      </c>
      <c r="D63" s="8" t="str">
        <f t="shared" si="73"/>
        <v>证券ETF</v>
      </c>
      <c r="E63" s="8" t="str">
        <f t="shared" si="7"/>
        <v>证券买入</v>
      </c>
      <c r="F63" s="8" t="str">
        <f t="shared" si="74"/>
        <v>600</v>
      </c>
      <c r="G63" s="8" t="str">
        <f>"0.996"</f>
        <v>0.996</v>
      </c>
      <c r="H63" s="8" t="str">
        <f>"597.600"</f>
        <v>597.600</v>
      </c>
      <c r="I63" s="8" t="str">
        <f t="shared" si="75"/>
        <v>0.180</v>
      </c>
      <c r="J63" s="8" t="str">
        <f t="shared" si="65"/>
        <v>0.000</v>
      </c>
      <c r="K63" s="8" t="str">
        <f t="shared" si="65"/>
        <v>0.000</v>
      </c>
      <c r="L63" s="8" t="str">
        <f>"-597.780"</f>
        <v>-597.780</v>
      </c>
      <c r="M63" s="8" t="str">
        <f t="shared" si="5"/>
        <v>0.00</v>
      </c>
    </row>
    <row r="64" spans="1:13" ht="20" customHeight="1" x14ac:dyDescent="0.15">
      <c r="A64" s="6" t="str">
        <f t="shared" si="92"/>
        <v>20200219</v>
      </c>
      <c r="B64" s="7" t="str">
        <f t="shared" si="7"/>
        <v>证券买入</v>
      </c>
      <c r="C64" s="8" t="str">
        <f t="shared" ref="C64:C155" si="93">"510500"</f>
        <v>510500</v>
      </c>
      <c r="D64" s="8" t="str">
        <f t="shared" ref="D64:D155" si="94">"500ETF"</f>
        <v>500ETF</v>
      </c>
      <c r="E64" s="8" t="str">
        <f t="shared" si="7"/>
        <v>证券买入</v>
      </c>
      <c r="F64" s="8" t="str">
        <f t="shared" ref="F64:F147" si="95">"900"</f>
        <v>900</v>
      </c>
      <c r="G64" s="8" t="str">
        <f>"6.114"</f>
        <v>6.114</v>
      </c>
      <c r="H64" s="8" t="str">
        <f>"5502.600"</f>
        <v>5502.600</v>
      </c>
      <c r="I64" s="8" t="str">
        <f>"1.650"</f>
        <v>1.650</v>
      </c>
      <c r="J64" s="8" t="str">
        <f t="shared" si="65"/>
        <v>0.000</v>
      </c>
      <c r="K64" s="8" t="str">
        <f t="shared" si="65"/>
        <v>0.000</v>
      </c>
      <c r="L64" s="8" t="str">
        <f>"-5504.250"</f>
        <v>-5504.250</v>
      </c>
      <c r="M64" s="8" t="str">
        <f t="shared" si="5"/>
        <v>0.00</v>
      </c>
    </row>
    <row r="65" spans="1:13" ht="20" customHeight="1" x14ac:dyDescent="0.15">
      <c r="A65" s="6" t="str">
        <f t="shared" si="92"/>
        <v>20200219</v>
      </c>
      <c r="B65" s="7" t="str">
        <f t="shared" si="7"/>
        <v>证券买入</v>
      </c>
      <c r="C65" s="8" t="str">
        <f t="shared" ref="C65:C158" si="96">"515000"</f>
        <v>515000</v>
      </c>
      <c r="D65" s="8" t="str">
        <f t="shared" ref="D65:D158" si="97">"科技ETF"</f>
        <v>科技ETF</v>
      </c>
      <c r="E65" s="8" t="str">
        <f t="shared" si="7"/>
        <v>证券买入</v>
      </c>
      <c r="F65" s="8" t="str">
        <f t="shared" si="20"/>
        <v>400</v>
      </c>
      <c r="G65" s="8" t="str">
        <f>"1.510"</f>
        <v>1.510</v>
      </c>
      <c r="H65" s="8" t="str">
        <f>"604.000"</f>
        <v>604.000</v>
      </c>
      <c r="I65" s="8" t="str">
        <f t="shared" si="75"/>
        <v>0.180</v>
      </c>
      <c r="J65" s="8" t="str">
        <f t="shared" si="65"/>
        <v>0.000</v>
      </c>
      <c r="K65" s="8" t="str">
        <f t="shared" si="65"/>
        <v>0.000</v>
      </c>
      <c r="L65" s="8" t="str">
        <f>"-604.180"</f>
        <v>-604.180</v>
      </c>
      <c r="M65" s="8" t="str">
        <f t="shared" si="5"/>
        <v>0.00</v>
      </c>
    </row>
    <row r="66" spans="1:13" ht="20" customHeight="1" x14ac:dyDescent="0.15">
      <c r="A66" s="6" t="str">
        <f t="shared" si="92"/>
        <v>20200219</v>
      </c>
      <c r="B66" s="7" t="str">
        <f t="shared" ref="B66:E66" si="98">"证券卖出"</f>
        <v>证券卖出</v>
      </c>
      <c r="C66" s="8" t="str">
        <f t="shared" si="68"/>
        <v>512800</v>
      </c>
      <c r="D66" s="8" t="str">
        <f t="shared" si="69"/>
        <v>银行ETF</v>
      </c>
      <c r="E66" s="8" t="str">
        <f t="shared" si="98"/>
        <v>证券卖出</v>
      </c>
      <c r="F66" s="8" t="str">
        <f>"-3200"</f>
        <v>-3200</v>
      </c>
      <c r="G66" s="8" t="str">
        <f>"1.054"</f>
        <v>1.054</v>
      </c>
      <c r="H66" s="8" t="str">
        <f>"3372.800"</f>
        <v>3372.800</v>
      </c>
      <c r="I66" s="8" t="str">
        <f>"1.010"</f>
        <v>1.010</v>
      </c>
      <c r="J66" s="8" t="str">
        <f t="shared" si="65"/>
        <v>0.000</v>
      </c>
      <c r="K66" s="8" t="str">
        <f t="shared" si="65"/>
        <v>0.000</v>
      </c>
      <c r="L66" s="8" t="str">
        <f>"3371.790"</f>
        <v>3371.790</v>
      </c>
      <c r="M66" s="8" t="str">
        <f t="shared" si="5"/>
        <v>0.00</v>
      </c>
    </row>
    <row r="67" spans="1:13" ht="20" customHeight="1" x14ac:dyDescent="0.15">
      <c r="A67" s="6" t="str">
        <f t="shared" si="92"/>
        <v>20200219</v>
      </c>
      <c r="B67" s="7" t="str">
        <f>"融券回购购回日:20200220预计利息:6.71参考占款天数：1-888880"</f>
        <v>融券回购购回日:20200220预计利息:6.71参考占款天数：1-888880</v>
      </c>
      <c r="C67" s="8" t="str">
        <f t="shared" si="23"/>
        <v>204001</v>
      </c>
      <c r="D67" s="8" t="str">
        <f>"GC001"</f>
        <v>GC001</v>
      </c>
      <c r="E67" s="8" t="str">
        <f t="shared" si="25"/>
        <v>质押回购拆出</v>
      </c>
      <c r="F67" s="8" t="str">
        <f t="shared" si="26"/>
        <v>100</v>
      </c>
      <c r="G67" s="8" t="str">
        <f t="shared" si="63"/>
        <v>2.450</v>
      </c>
      <c r="H67" s="8" t="str">
        <f t="shared" si="28"/>
        <v>100000.000</v>
      </c>
      <c r="I67" s="8" t="str">
        <f t="shared" si="62"/>
        <v>1.000</v>
      </c>
      <c r="J67" s="8" t="str">
        <f t="shared" si="65"/>
        <v>0.000</v>
      </c>
      <c r="K67" s="8" t="str">
        <f t="shared" si="65"/>
        <v>0.000</v>
      </c>
      <c r="L67" s="8" t="str">
        <f t="shared" si="29"/>
        <v>-100001.000</v>
      </c>
      <c r="M67" s="8" t="str">
        <f t="shared" si="5"/>
        <v>0.00</v>
      </c>
    </row>
    <row r="68" spans="1:13" ht="20" customHeight="1" x14ac:dyDescent="0.15">
      <c r="A68" s="6" t="str">
        <f t="shared" si="92"/>
        <v>20200219</v>
      </c>
      <c r="B68" s="7" t="str">
        <f>"证券买入"</f>
        <v>证券买入</v>
      </c>
      <c r="C68" s="8" t="str">
        <f t="shared" ref="C68:C161" si="99">"600645"</f>
        <v>600645</v>
      </c>
      <c r="D68" s="8" t="str">
        <f>"中源协和"</f>
        <v>中源协和</v>
      </c>
      <c r="E68" s="8" t="str">
        <f>"证券买入"</f>
        <v>证券买入</v>
      </c>
      <c r="F68" s="8" t="str">
        <f t="shared" ref="F68:F166" si="100">"1600"</f>
        <v>1600</v>
      </c>
      <c r="G68" s="8" t="str">
        <f>"18.240"</f>
        <v>18.240</v>
      </c>
      <c r="H68" s="8" t="str">
        <f>"29184.000"</f>
        <v>29184.000</v>
      </c>
      <c r="I68" s="8" t="str">
        <f>"8.760"</f>
        <v>8.760</v>
      </c>
      <c r="J68" s="8" t="str">
        <f t="shared" si="65"/>
        <v>0.000</v>
      </c>
      <c r="K68" s="8" t="str">
        <f>"0.580"</f>
        <v>0.580</v>
      </c>
      <c r="L68" s="8" t="str">
        <f>"-29193.340"</f>
        <v>-29193.340</v>
      </c>
      <c r="M68" s="8" t="str">
        <f t="shared" si="5"/>
        <v>0.00</v>
      </c>
    </row>
    <row r="69" spans="1:13" ht="20" customHeight="1" x14ac:dyDescent="0.15">
      <c r="A69" s="6" t="str">
        <f t="shared" si="92"/>
        <v>20200219</v>
      </c>
      <c r="B69" s="7" t="str">
        <f>"融券回购购回日:20200220预计利息:19.03参考占款天数：1-888880"</f>
        <v>融券回购购回日:20200220预计利息:19.03参考占款天数：1-888880</v>
      </c>
      <c r="C69" s="8" t="str">
        <f t="shared" si="23"/>
        <v>204001</v>
      </c>
      <c r="D69" s="8" t="str">
        <f>"GC001"</f>
        <v>GC001</v>
      </c>
      <c r="E69" s="8" t="str">
        <f t="shared" si="25"/>
        <v>质押回购拆出</v>
      </c>
      <c r="F69" s="8" t="str">
        <f t="shared" si="86"/>
        <v>300</v>
      </c>
      <c r="G69" s="8" t="str">
        <f t="shared" ref="G69:G167" si="101">"2.315"</f>
        <v>2.315</v>
      </c>
      <c r="H69" s="8" t="str">
        <f t="shared" si="87"/>
        <v>300000.000</v>
      </c>
      <c r="I69" s="8" t="str">
        <f t="shared" si="88"/>
        <v>3.000</v>
      </c>
      <c r="J69" s="8" t="str">
        <f t="shared" si="65"/>
        <v>0.000</v>
      </c>
      <c r="K69" s="8" t="str">
        <f t="shared" si="65"/>
        <v>0.000</v>
      </c>
      <c r="L69" s="8" t="str">
        <f t="shared" si="89"/>
        <v>-300003.000</v>
      </c>
      <c r="M69" s="8" t="str">
        <f t="shared" si="5"/>
        <v>0.00</v>
      </c>
    </row>
    <row r="70" spans="1:13" ht="20" customHeight="1" x14ac:dyDescent="0.15">
      <c r="A70" s="6" t="str">
        <f t="shared" si="92"/>
        <v>20200219</v>
      </c>
      <c r="B70" s="7" t="str">
        <f>"证券买入"</f>
        <v>证券买入</v>
      </c>
      <c r="C70" s="8" t="str">
        <f t="shared" si="78"/>
        <v>159995</v>
      </c>
      <c r="D70" s="8" t="str">
        <f t="shared" si="79"/>
        <v>芯片ETF</v>
      </c>
      <c r="E70" s="8" t="str">
        <f>"证券买入"</f>
        <v>证券买入</v>
      </c>
      <c r="F70" s="8" t="str">
        <f t="shared" si="70"/>
        <v>500</v>
      </c>
      <c r="G70" s="8" t="str">
        <f>"1.181"</f>
        <v>1.181</v>
      </c>
      <c r="H70" s="8" t="str">
        <f>"590.500"</f>
        <v>590.500</v>
      </c>
      <c r="I70" s="8" t="str">
        <f t="shared" si="75"/>
        <v>0.180</v>
      </c>
      <c r="J70" s="8" t="str">
        <f t="shared" si="65"/>
        <v>0.000</v>
      </c>
      <c r="K70" s="8" t="str">
        <f t="shared" si="65"/>
        <v>0.000</v>
      </c>
      <c r="L70" s="8" t="str">
        <f>"-590.680"</f>
        <v>-590.680</v>
      </c>
      <c r="M70" s="8" t="str">
        <f t="shared" si="5"/>
        <v>0.00</v>
      </c>
    </row>
    <row r="71" spans="1:13" ht="20" customHeight="1" x14ac:dyDescent="0.15">
      <c r="A71" s="6" t="str">
        <f t="shared" si="92"/>
        <v>20200219</v>
      </c>
      <c r="B71" s="7" t="str">
        <f>"证券买入"</f>
        <v>证券买入</v>
      </c>
      <c r="C71" s="8" t="str">
        <f t="shared" si="8"/>
        <v>162411</v>
      </c>
      <c r="D71" s="8" t="str">
        <f>"华宝油气"</f>
        <v>华宝油气</v>
      </c>
      <c r="E71" s="8" t="str">
        <f>"证券买入"</f>
        <v>证券买入</v>
      </c>
      <c r="F71" s="8" t="str">
        <f>"4500"</f>
        <v>4500</v>
      </c>
      <c r="G71" s="8" t="str">
        <f t="shared" ref="G71:G112" si="102">"0.350"</f>
        <v>0.350</v>
      </c>
      <c r="H71" s="8" t="str">
        <f>"1575.000"</f>
        <v>1575.000</v>
      </c>
      <c r="I71" s="8" t="str">
        <f>"0.470"</f>
        <v>0.470</v>
      </c>
      <c r="J71" s="8" t="str">
        <f t="shared" si="65"/>
        <v>0.000</v>
      </c>
      <c r="K71" s="8" t="str">
        <f t="shared" si="65"/>
        <v>0.000</v>
      </c>
      <c r="L71" s="8" t="str">
        <f>"-1575.470"</f>
        <v>-1575.470</v>
      </c>
      <c r="M71" s="8" t="str">
        <f t="shared" si="5"/>
        <v>0.00</v>
      </c>
    </row>
    <row r="72" spans="1:13" ht="20" customHeight="1" x14ac:dyDescent="0.15">
      <c r="A72" s="6" t="str">
        <f t="shared" si="92"/>
        <v>20200219</v>
      </c>
      <c r="B72" s="7" t="str">
        <f>"证券买入"</f>
        <v>证券买入</v>
      </c>
      <c r="C72" s="8" t="str">
        <f t="shared" si="18"/>
        <v>159915</v>
      </c>
      <c r="D72" s="8" t="str">
        <f t="shared" si="19"/>
        <v>创业板</v>
      </c>
      <c r="E72" s="8" t="str">
        <f>"证券买入"</f>
        <v>证券买入</v>
      </c>
      <c r="F72" s="8" t="str">
        <f t="shared" ref="F72:F137" si="103">"2400"</f>
        <v>2400</v>
      </c>
      <c r="G72" s="8" t="str">
        <f>"2.080"</f>
        <v>2.080</v>
      </c>
      <c r="H72" s="8" t="str">
        <f>"4992.000"</f>
        <v>4992.000</v>
      </c>
      <c r="I72" s="8" t="str">
        <f t="shared" si="17"/>
        <v>1.500</v>
      </c>
      <c r="J72" s="8" t="str">
        <f t="shared" si="65"/>
        <v>0.000</v>
      </c>
      <c r="K72" s="8" t="str">
        <f t="shared" si="65"/>
        <v>0.000</v>
      </c>
      <c r="L72" s="8" t="str">
        <f>"-4993.500"</f>
        <v>-4993.500</v>
      </c>
      <c r="M72" s="8" t="str">
        <f t="shared" si="5"/>
        <v>0.00</v>
      </c>
    </row>
    <row r="73" spans="1:13" ht="20" customHeight="1" x14ac:dyDescent="0.15">
      <c r="A73" s="6" t="str">
        <f t="shared" si="92"/>
        <v>20200219</v>
      </c>
      <c r="B73" s="7" t="str">
        <f>"证券卖出"</f>
        <v>证券卖出</v>
      </c>
      <c r="C73" s="8" t="str">
        <f>"159938"</f>
        <v>159938</v>
      </c>
      <c r="D73" s="8" t="str">
        <f>"广发医药"</f>
        <v>广发医药</v>
      </c>
      <c r="E73" s="8" t="str">
        <f>"证券卖出"</f>
        <v>证券卖出</v>
      </c>
      <c r="F73" s="8" t="str">
        <f>"-700"</f>
        <v>-700</v>
      </c>
      <c r="G73" s="8" t="str">
        <f>"1.508"</f>
        <v>1.508</v>
      </c>
      <c r="H73" s="8" t="str">
        <f>"1055.600"</f>
        <v>1055.600</v>
      </c>
      <c r="I73" s="8" t="str">
        <f t="shared" ref="I73:I112" si="104">"0.320"</f>
        <v>0.320</v>
      </c>
      <c r="J73" s="8" t="str">
        <f t="shared" si="65"/>
        <v>0.000</v>
      </c>
      <c r="K73" s="8" t="str">
        <f t="shared" si="65"/>
        <v>0.000</v>
      </c>
      <c r="L73" s="8" t="str">
        <f>"1055.280"</f>
        <v>1055.280</v>
      </c>
      <c r="M73" s="8" t="str">
        <f t="shared" si="5"/>
        <v>0.00</v>
      </c>
    </row>
    <row r="74" spans="1:13" ht="20" customHeight="1" x14ac:dyDescent="0.15">
      <c r="A74" s="6" t="str">
        <f t="shared" si="92"/>
        <v>20200219</v>
      </c>
      <c r="B74" s="7" t="str">
        <f>"融券回购购回日:20200220预计利息:3.04参考占款天数：1-131990"</f>
        <v>融券回购购回日:20200220预计利息:3.04参考占款天数：1-131990</v>
      </c>
      <c r="C74" s="8" t="str">
        <f>"131810"</f>
        <v>131810</v>
      </c>
      <c r="D74" s="8" t="str">
        <f t="shared" si="36"/>
        <v>Ｒ-001</v>
      </c>
      <c r="E74" s="8" t="str">
        <f t="shared" si="25"/>
        <v>质押回购拆出</v>
      </c>
      <c r="F74" s="8" t="str">
        <f t="shared" ref="F74:F82" si="105">"540"</f>
        <v>540</v>
      </c>
      <c r="G74" s="8" t="str">
        <f t="shared" ref="G74:G85" si="106">"2.058"</f>
        <v>2.058</v>
      </c>
      <c r="H74" s="8" t="str">
        <f t="shared" ref="H74:H103" si="107">"54000.000"</f>
        <v>54000.000</v>
      </c>
      <c r="I74" s="8" t="str">
        <f t="shared" ref="I74:I82" si="108">"0.540"</f>
        <v>0.540</v>
      </c>
      <c r="J74" s="8" t="str">
        <f t="shared" si="65"/>
        <v>0.000</v>
      </c>
      <c r="K74" s="8" t="str">
        <f t="shared" si="65"/>
        <v>0.000</v>
      </c>
      <c r="L74" s="8" t="str">
        <f t="shared" ref="L74:L82" si="109">"-54000.540"</f>
        <v>-54000.540</v>
      </c>
      <c r="M74" s="8" t="str">
        <f t="shared" si="5"/>
        <v>0.00</v>
      </c>
    </row>
    <row r="75" spans="1:13" ht="20" customHeight="1" x14ac:dyDescent="0.15">
      <c r="A75" s="6" t="str">
        <f t="shared" si="92"/>
        <v>20200219</v>
      </c>
      <c r="B75" s="7" t="str">
        <f>"124增加金额 基金代码：940018,发生份额：698.35,日期:20200219(124)"</f>
        <v>124增加金额 基金代码：940018,发生份额：698.35,日期:20200219(124)</v>
      </c>
      <c r="C75" s="8" t="str">
        <f t="shared" si="0"/>
        <v>940018</v>
      </c>
      <c r="D75" s="8" t="str">
        <f t="shared" si="1"/>
        <v>天天发１天期</v>
      </c>
      <c r="E75" s="8" t="str">
        <f t="shared" si="12"/>
        <v>基金资金拨入</v>
      </c>
      <c r="F75" s="8" t="str">
        <f>"698"</f>
        <v>698</v>
      </c>
      <c r="G75" s="8" t="str">
        <f>"1.000"</f>
        <v>1.000</v>
      </c>
      <c r="H75" s="8" t="str">
        <f>"0.000"</f>
        <v>0.000</v>
      </c>
      <c r="I75" s="8" t="str">
        <f t="shared" si="65"/>
        <v>0.000</v>
      </c>
      <c r="J75" s="8" t="str">
        <f t="shared" si="65"/>
        <v>0.000</v>
      </c>
      <c r="K75" s="8" t="str">
        <f t="shared" si="65"/>
        <v>0.000</v>
      </c>
      <c r="L75" s="8" t="str">
        <f>"698.350"</f>
        <v>698.350</v>
      </c>
      <c r="M75" s="8" t="str">
        <f t="shared" si="5"/>
        <v>0.00</v>
      </c>
    </row>
    <row r="76" spans="1:13" ht="20" customHeight="1" x14ac:dyDescent="0.15">
      <c r="A76" s="6" t="str">
        <f t="shared" si="92"/>
        <v>20200219</v>
      </c>
      <c r="B76" s="7" t="str">
        <f>"融券购回:6.85实际占款天数：1-888880"</f>
        <v>融券购回:6.85实际占款天数：1-888880</v>
      </c>
      <c r="C76" s="8" t="str">
        <f t="shared" si="23"/>
        <v>204001</v>
      </c>
      <c r="D76" s="8" t="str">
        <f>"GC001"</f>
        <v>GC001</v>
      </c>
      <c r="E76" s="8" t="str">
        <f t="shared" si="51"/>
        <v>拆出质押购回</v>
      </c>
      <c r="F76" s="8" t="str">
        <f t="shared" si="52"/>
        <v>-100</v>
      </c>
      <c r="G76" s="8" t="str">
        <f t="shared" si="85"/>
        <v>2.500</v>
      </c>
      <c r="H76" s="8" t="str">
        <f t="shared" si="28"/>
        <v>100000.000</v>
      </c>
      <c r="I76" s="8" t="str">
        <f t="shared" si="65"/>
        <v>0.000</v>
      </c>
      <c r="J76" s="8" t="str">
        <f t="shared" si="65"/>
        <v>0.000</v>
      </c>
      <c r="K76" s="8" t="str">
        <f t="shared" si="65"/>
        <v>0.000</v>
      </c>
      <c r="L76" s="8" t="str">
        <f>"100006.850"</f>
        <v>100006.850</v>
      </c>
      <c r="M76" s="8" t="str">
        <f t="shared" si="5"/>
        <v>0.00</v>
      </c>
    </row>
    <row r="77" spans="1:13" ht="20" customHeight="1" x14ac:dyDescent="0.15">
      <c r="A77" s="6" t="str">
        <f t="shared" si="92"/>
        <v>20200219</v>
      </c>
      <c r="B77" s="7" t="str">
        <f>"融券购回:20.14实际占款天数：1-888880"</f>
        <v>融券购回:20.14实际占款天数：1-888880</v>
      </c>
      <c r="C77" s="8" t="str">
        <f t="shared" si="23"/>
        <v>204001</v>
      </c>
      <c r="D77" s="8" t="str">
        <f>"GC001"</f>
        <v>GC001</v>
      </c>
      <c r="E77" s="8" t="str">
        <f t="shared" si="51"/>
        <v>拆出质押购回</v>
      </c>
      <c r="F77" s="8" t="str">
        <f t="shared" ref="F77:F84" si="110">"-300"</f>
        <v>-300</v>
      </c>
      <c r="G77" s="8" t="str">
        <f t="shared" si="63"/>
        <v>2.450</v>
      </c>
      <c r="H77" s="8" t="str">
        <f t="shared" si="87"/>
        <v>300000.000</v>
      </c>
      <c r="I77" s="8" t="str">
        <f t="shared" si="65"/>
        <v>0.000</v>
      </c>
      <c r="J77" s="8" t="str">
        <f t="shared" si="65"/>
        <v>0.000</v>
      </c>
      <c r="K77" s="8" t="str">
        <f t="shared" si="65"/>
        <v>0.000</v>
      </c>
      <c r="L77" s="8" t="str">
        <f>"300020.140"</f>
        <v>300020.140</v>
      </c>
      <c r="M77" s="8" t="str">
        <f t="shared" si="5"/>
        <v>0.00</v>
      </c>
    </row>
    <row r="78" spans="1:13" ht="20" customHeight="1" x14ac:dyDescent="0.15">
      <c r="A78" s="6" t="str">
        <f t="shared" si="92"/>
        <v>20200219</v>
      </c>
      <c r="B78" s="7" t="str">
        <f>"融券购回:6.05实际占款天数：1-131990"</f>
        <v>融券购回:6.05实际占款天数：1-131990</v>
      </c>
      <c r="C78" s="8" t="str">
        <f>"131810"</f>
        <v>131810</v>
      </c>
      <c r="D78" s="8" t="str">
        <f t="shared" si="36"/>
        <v>Ｒ-001</v>
      </c>
      <c r="E78" s="8" t="str">
        <f t="shared" si="51"/>
        <v>拆出质押购回</v>
      </c>
      <c r="F78" s="8" t="str">
        <f t="shared" si="91"/>
        <v>-920</v>
      </c>
      <c r="G78" s="8" t="str">
        <f t="shared" si="90"/>
        <v>2.400</v>
      </c>
      <c r="H78" s="8" t="str">
        <f t="shared" si="81"/>
        <v>92000.000</v>
      </c>
      <c r="I78" s="8" t="str">
        <f t="shared" si="65"/>
        <v>0.000</v>
      </c>
      <c r="J78" s="8" t="str">
        <f t="shared" si="65"/>
        <v>0.000</v>
      </c>
      <c r="K78" s="8" t="str">
        <f t="shared" si="65"/>
        <v>0.000</v>
      </c>
      <c r="L78" s="8" t="str">
        <f>"92006.050"</f>
        <v>92006.050</v>
      </c>
      <c r="M78" s="8" t="str">
        <f t="shared" si="5"/>
        <v>0.00</v>
      </c>
    </row>
    <row r="79" spans="1:13" ht="20" customHeight="1" x14ac:dyDescent="0.15">
      <c r="A79" s="6" t="str">
        <f t="shared" si="92"/>
        <v>20200219</v>
      </c>
      <c r="B79" s="7" t="str">
        <f t="shared" ref="B79:B153" si="111">"失败原因:违规重复;错误号:02"</f>
        <v>失败原因:违规重复;错误号:02</v>
      </c>
      <c r="C79" s="8" t="str">
        <f>"736948"</f>
        <v>736948</v>
      </c>
      <c r="D79" s="8" t="str">
        <f>"建业配号"</f>
        <v>建业配号</v>
      </c>
      <c r="E79" s="8" t="str">
        <f>"申购配号"</f>
        <v>申购配号</v>
      </c>
      <c r="F79" s="8" t="str">
        <f>"0"</f>
        <v>0</v>
      </c>
      <c r="G79" s="8" t="str">
        <f>"0.000"</f>
        <v>0.000</v>
      </c>
      <c r="H79" s="8" t="str">
        <f>"0.000"</f>
        <v>0.000</v>
      </c>
      <c r="I79" s="8" t="str">
        <f t="shared" si="65"/>
        <v>0.000</v>
      </c>
      <c r="J79" s="8" t="str">
        <f t="shared" si="65"/>
        <v>0.000</v>
      </c>
      <c r="K79" s="8" t="str">
        <f t="shared" si="65"/>
        <v>0.000</v>
      </c>
      <c r="L79" s="8" t="str">
        <f t="shared" si="65"/>
        <v>0.000</v>
      </c>
      <c r="M79" s="8" t="str">
        <f t="shared" si="5"/>
        <v>0.00</v>
      </c>
    </row>
    <row r="80" spans="1:13" ht="20" customHeight="1" x14ac:dyDescent="0.15">
      <c r="A80" s="6" t="str">
        <f t="shared" ref="A80:A85" si="112">"20200220"</f>
        <v>20200220</v>
      </c>
      <c r="B80" s="7" t="str">
        <f>"融券回购购回日:20200221预计利息:40.11参考占款天数：3-888880"</f>
        <v>融券回购购回日:20200221预计利息:40.11参考占款天数：3-888880</v>
      </c>
      <c r="C80" s="8" t="str">
        <f t="shared" si="23"/>
        <v>204001</v>
      </c>
      <c r="D80" s="8" t="str">
        <f>"GC001"</f>
        <v>GC001</v>
      </c>
      <c r="E80" s="8" t="str">
        <f t="shared" si="25"/>
        <v>质押回购拆出</v>
      </c>
      <c r="F80" s="8" t="str">
        <f t="shared" si="30"/>
        <v>200</v>
      </c>
      <c r="G80" s="8" t="str">
        <f t="shared" ref="G80:G101" si="113">"2.440"</f>
        <v>2.440</v>
      </c>
      <c r="H80" s="8" t="str">
        <f t="shared" si="32"/>
        <v>200000.000</v>
      </c>
      <c r="I80" s="8" t="str">
        <f t="shared" si="33"/>
        <v>2.000</v>
      </c>
      <c r="J80" s="8" t="str">
        <f t="shared" si="65"/>
        <v>0.000</v>
      </c>
      <c r="K80" s="8" t="str">
        <f t="shared" si="65"/>
        <v>0.000</v>
      </c>
      <c r="L80" s="8" t="str">
        <f t="shared" si="34"/>
        <v>-200002.000</v>
      </c>
      <c r="M80" s="8" t="str">
        <f t="shared" si="5"/>
        <v>0.00</v>
      </c>
    </row>
    <row r="81" spans="1:13" ht="20" customHeight="1" x14ac:dyDescent="0.15">
      <c r="A81" s="6" t="str">
        <f t="shared" si="112"/>
        <v>20200220</v>
      </c>
      <c r="B81" s="7" t="str">
        <f>"融券回购购回日:20200221预计利息:34.93参考占款天数：3-888880"</f>
        <v>融券回购购回日:20200221预计利息:34.93参考占款天数：3-888880</v>
      </c>
      <c r="C81" s="8" t="str">
        <f t="shared" si="23"/>
        <v>204001</v>
      </c>
      <c r="D81" s="8" t="str">
        <f>"GC001"</f>
        <v>GC001</v>
      </c>
      <c r="E81" s="8" t="str">
        <f t="shared" si="25"/>
        <v>质押回购拆出</v>
      </c>
      <c r="F81" s="8" t="str">
        <f t="shared" si="30"/>
        <v>200</v>
      </c>
      <c r="G81" s="8" t="str">
        <f t="shared" ref="G81:G102" si="114">"2.125"</f>
        <v>2.125</v>
      </c>
      <c r="H81" s="8" t="str">
        <f t="shared" si="32"/>
        <v>200000.000</v>
      </c>
      <c r="I81" s="8" t="str">
        <f t="shared" si="33"/>
        <v>2.000</v>
      </c>
      <c r="J81" s="8" t="str">
        <f t="shared" si="65"/>
        <v>0.000</v>
      </c>
      <c r="K81" s="8" t="str">
        <f t="shared" si="65"/>
        <v>0.000</v>
      </c>
      <c r="L81" s="8" t="str">
        <f t="shared" si="34"/>
        <v>-200002.000</v>
      </c>
      <c r="M81" s="8" t="str">
        <f t="shared" si="5"/>
        <v>0.00</v>
      </c>
    </row>
    <row r="82" spans="1:13" ht="20" customHeight="1" x14ac:dyDescent="0.15">
      <c r="A82" s="6" t="str">
        <f t="shared" si="112"/>
        <v>20200220</v>
      </c>
      <c r="B82" s="7" t="str">
        <f>"融券回购购回日:20200221预计利息:9.06参考占款天数：3-131990"</f>
        <v>融券回购购回日:20200221预计利息:9.06参考占款天数：3-131990</v>
      </c>
      <c r="C82" s="8" t="str">
        <f>"131810"</f>
        <v>131810</v>
      </c>
      <c r="D82" s="8" t="str">
        <f>"Ｒ-001"</f>
        <v>Ｒ-001</v>
      </c>
      <c r="E82" s="8" t="str">
        <f t="shared" si="25"/>
        <v>质押回购拆出</v>
      </c>
      <c r="F82" s="8" t="str">
        <f t="shared" si="105"/>
        <v>540</v>
      </c>
      <c r="G82" s="8" t="str">
        <f t="shared" ref="G82:G164" si="115">"2.041"</f>
        <v>2.041</v>
      </c>
      <c r="H82" s="8" t="str">
        <f t="shared" si="107"/>
        <v>54000.000</v>
      </c>
      <c r="I82" s="8" t="str">
        <f t="shared" si="108"/>
        <v>0.540</v>
      </c>
      <c r="J82" s="8" t="str">
        <f t="shared" si="65"/>
        <v>0.000</v>
      </c>
      <c r="K82" s="8" t="str">
        <f t="shared" si="65"/>
        <v>0.000</v>
      </c>
      <c r="L82" s="8" t="str">
        <f t="shared" si="109"/>
        <v>-54000.540</v>
      </c>
      <c r="M82" s="8" t="str">
        <f t="shared" si="5"/>
        <v>0.00</v>
      </c>
    </row>
    <row r="83" spans="1:13" ht="20" customHeight="1" x14ac:dyDescent="0.15">
      <c r="A83" s="6" t="str">
        <f t="shared" si="112"/>
        <v>20200220</v>
      </c>
      <c r="B83" s="7" t="str">
        <f>"融券购回:6.71实际占款天数：1-888880"</f>
        <v>融券购回:6.71实际占款天数：1-888880</v>
      </c>
      <c r="C83" s="8" t="str">
        <f t="shared" si="23"/>
        <v>204001</v>
      </c>
      <c r="D83" s="8" t="str">
        <f>"GC001"</f>
        <v>GC001</v>
      </c>
      <c r="E83" s="8" t="str">
        <f t="shared" si="51"/>
        <v>拆出质押购回</v>
      </c>
      <c r="F83" s="8" t="str">
        <f t="shared" si="52"/>
        <v>-100</v>
      </c>
      <c r="G83" s="8" t="str">
        <f t="shared" si="63"/>
        <v>2.450</v>
      </c>
      <c r="H83" s="8" t="str">
        <f t="shared" si="28"/>
        <v>100000.000</v>
      </c>
      <c r="I83" s="8" t="str">
        <f t="shared" si="65"/>
        <v>0.000</v>
      </c>
      <c r="J83" s="8" t="str">
        <f t="shared" si="65"/>
        <v>0.000</v>
      </c>
      <c r="K83" s="8" t="str">
        <f t="shared" si="65"/>
        <v>0.000</v>
      </c>
      <c r="L83" s="8" t="str">
        <f>"100006.710"</f>
        <v>100006.710</v>
      </c>
      <c r="M83" s="8" t="str">
        <f t="shared" si="5"/>
        <v>0.00</v>
      </c>
    </row>
    <row r="84" spans="1:13" ht="20" customHeight="1" x14ac:dyDescent="0.15">
      <c r="A84" s="6" t="str">
        <f t="shared" si="112"/>
        <v>20200220</v>
      </c>
      <c r="B84" s="7" t="str">
        <f>"融券购回:19.03实际占款天数：1-888880"</f>
        <v>融券购回:19.03实际占款天数：1-888880</v>
      </c>
      <c r="C84" s="8" t="str">
        <f t="shared" si="23"/>
        <v>204001</v>
      </c>
      <c r="D84" s="8" t="str">
        <f>"GC001"</f>
        <v>GC001</v>
      </c>
      <c r="E84" s="8" t="str">
        <f t="shared" si="51"/>
        <v>拆出质押购回</v>
      </c>
      <c r="F84" s="8" t="str">
        <f t="shared" si="110"/>
        <v>-300</v>
      </c>
      <c r="G84" s="8" t="str">
        <f t="shared" si="101"/>
        <v>2.315</v>
      </c>
      <c r="H84" s="8" t="str">
        <f t="shared" si="87"/>
        <v>300000.000</v>
      </c>
      <c r="I84" s="8" t="str">
        <f t="shared" si="65"/>
        <v>0.000</v>
      </c>
      <c r="J84" s="8" t="str">
        <f t="shared" si="65"/>
        <v>0.000</v>
      </c>
      <c r="K84" s="8" t="str">
        <f t="shared" si="65"/>
        <v>0.000</v>
      </c>
      <c r="L84" s="8" t="str">
        <f>"300019.030"</f>
        <v>300019.030</v>
      </c>
      <c r="M84" s="8" t="str">
        <f t="shared" si="5"/>
        <v>0.00</v>
      </c>
    </row>
    <row r="85" spans="1:13" ht="20" customHeight="1" x14ac:dyDescent="0.15">
      <c r="A85" s="6" t="str">
        <f t="shared" si="112"/>
        <v>20200220</v>
      </c>
      <c r="B85" s="7" t="str">
        <f>"融券购回:3.04实际占款天数：1-131990"</f>
        <v>融券购回:3.04实际占款天数：1-131990</v>
      </c>
      <c r="C85" s="8" t="str">
        <f>"131810"</f>
        <v>131810</v>
      </c>
      <c r="D85" s="8" t="str">
        <f>"Ｒ-001"</f>
        <v>Ｒ-001</v>
      </c>
      <c r="E85" s="8" t="str">
        <f t="shared" si="51"/>
        <v>拆出质押购回</v>
      </c>
      <c r="F85" s="8" t="str">
        <f t="shared" ref="F85:F103" si="116">"-540"</f>
        <v>-540</v>
      </c>
      <c r="G85" s="8" t="str">
        <f t="shared" si="106"/>
        <v>2.058</v>
      </c>
      <c r="H85" s="8" t="str">
        <f t="shared" si="107"/>
        <v>54000.000</v>
      </c>
      <c r="I85" s="8" t="str">
        <f t="shared" si="65"/>
        <v>0.000</v>
      </c>
      <c r="J85" s="8" t="str">
        <f t="shared" si="65"/>
        <v>0.000</v>
      </c>
      <c r="K85" s="8" t="str">
        <f t="shared" si="65"/>
        <v>0.000</v>
      </c>
      <c r="L85" s="8" t="str">
        <f>"54003.040"</f>
        <v>54003.040</v>
      </c>
      <c r="M85" s="8" t="str">
        <f t="shared" si="5"/>
        <v>0.00</v>
      </c>
    </row>
    <row r="86" spans="1:13" ht="20" customHeight="1" x14ac:dyDescent="0.15">
      <c r="A86" s="6" t="str">
        <f t="shared" ref="A86:A103" si="117">"20200221"</f>
        <v>20200221</v>
      </c>
      <c r="B86" s="7" t="str">
        <f t="shared" ref="B86:E147" si="118">"证券买入"</f>
        <v>证券买入</v>
      </c>
      <c r="C86" s="8" t="str">
        <f t="shared" si="96"/>
        <v>515000</v>
      </c>
      <c r="D86" s="8" t="str">
        <f t="shared" si="97"/>
        <v>科技ETF</v>
      </c>
      <c r="E86" s="8" t="str">
        <f>"证券买入"</f>
        <v>证券买入</v>
      </c>
      <c r="F86" s="8" t="str">
        <f t="shared" si="20"/>
        <v>400</v>
      </c>
      <c r="G86" s="8" t="str">
        <f>"1.546"</f>
        <v>1.546</v>
      </c>
      <c r="H86" s="8" t="str">
        <f>"618.400"</f>
        <v>618.400</v>
      </c>
      <c r="I86" s="8" t="str">
        <f t="shared" ref="I86:I111" si="119">"0.190"</f>
        <v>0.190</v>
      </c>
      <c r="J86" s="8" t="str">
        <f t="shared" si="65"/>
        <v>0.000</v>
      </c>
      <c r="K86" s="8" t="str">
        <f t="shared" si="65"/>
        <v>0.000</v>
      </c>
      <c r="L86" s="8" t="str">
        <f>"-618.590"</f>
        <v>-618.590</v>
      </c>
      <c r="M86" s="8" t="str">
        <f t="shared" si="5"/>
        <v>0.00</v>
      </c>
    </row>
    <row r="87" spans="1:13" ht="20" customHeight="1" x14ac:dyDescent="0.15">
      <c r="A87" s="6" t="str">
        <f t="shared" si="117"/>
        <v>20200221</v>
      </c>
      <c r="B87" s="7" t="str">
        <f t="shared" si="118"/>
        <v>证券买入</v>
      </c>
      <c r="C87" s="8" t="str">
        <f t="shared" si="72"/>
        <v>512880</v>
      </c>
      <c r="D87" s="8" t="str">
        <f t="shared" si="73"/>
        <v>证券ETF</v>
      </c>
      <c r="E87" s="8" t="str">
        <f>"证券买入"</f>
        <v>证券买入</v>
      </c>
      <c r="F87" s="8" t="str">
        <f t="shared" ref="F87:F139" si="120">"3000"</f>
        <v>3000</v>
      </c>
      <c r="G87" s="8" t="str">
        <f>"1.066"</f>
        <v>1.066</v>
      </c>
      <c r="H87" s="8" t="str">
        <f>"3198.000"</f>
        <v>3198.000</v>
      </c>
      <c r="I87" s="8" t="str">
        <f>"0.960"</f>
        <v>0.960</v>
      </c>
      <c r="J87" s="8" t="str">
        <f t="shared" si="65"/>
        <v>0.000</v>
      </c>
      <c r="K87" s="8" t="str">
        <f t="shared" si="65"/>
        <v>0.000</v>
      </c>
      <c r="L87" s="8" t="str">
        <f>"-3198.960"</f>
        <v>-3198.960</v>
      </c>
      <c r="M87" s="8" t="str">
        <f t="shared" si="5"/>
        <v>0.00</v>
      </c>
    </row>
    <row r="88" spans="1:13" ht="20" customHeight="1" x14ac:dyDescent="0.15">
      <c r="A88" s="6" t="str">
        <f t="shared" si="117"/>
        <v>20200221</v>
      </c>
      <c r="B88" s="7" t="str">
        <f t="shared" si="118"/>
        <v>证券买入</v>
      </c>
      <c r="C88" s="8" t="str">
        <f t="shared" si="14"/>
        <v>510300</v>
      </c>
      <c r="D88" s="8" t="str">
        <f t="shared" si="15"/>
        <v>300ETF</v>
      </c>
      <c r="E88" s="8" t="str">
        <f t="shared" si="118"/>
        <v>证券买入</v>
      </c>
      <c r="F88" s="8" t="str">
        <f>"800"</f>
        <v>800</v>
      </c>
      <c r="G88" s="8" t="str">
        <f t="shared" ref="G88:G104" si="121">"4.123"</f>
        <v>4.123</v>
      </c>
      <c r="H88" s="8" t="str">
        <f>"3298.400"</f>
        <v>3298.400</v>
      </c>
      <c r="I88" s="8" t="str">
        <f>"0.990"</f>
        <v>0.990</v>
      </c>
      <c r="J88" s="8" t="str">
        <f t="shared" si="65"/>
        <v>0.000</v>
      </c>
      <c r="K88" s="8" t="str">
        <f t="shared" si="65"/>
        <v>0.000</v>
      </c>
      <c r="L88" s="8" t="str">
        <f>"-3299.390"</f>
        <v>-3299.390</v>
      </c>
      <c r="M88" s="8" t="str">
        <f t="shared" si="5"/>
        <v>0.00</v>
      </c>
    </row>
    <row r="89" spans="1:13" ht="20" customHeight="1" x14ac:dyDescent="0.15">
      <c r="A89" s="6" t="str">
        <f t="shared" si="117"/>
        <v>20200221</v>
      </c>
      <c r="B89" s="7" t="str">
        <f>"融券回购购回日:20200222预计利息:12.19参考占款天数：1-888880"</f>
        <v>融券回购购回日:20200222预计利息:12.19参考占款天数：1-888880</v>
      </c>
      <c r="C89" s="8" t="str">
        <f t="shared" si="23"/>
        <v>204001</v>
      </c>
      <c r="D89" s="8" t="str">
        <f>"GC001"</f>
        <v>GC001</v>
      </c>
      <c r="E89" s="8" t="str">
        <f t="shared" si="25"/>
        <v>质押回购拆出</v>
      </c>
      <c r="F89" s="8" t="str">
        <f t="shared" si="30"/>
        <v>200</v>
      </c>
      <c r="G89" s="8" t="str">
        <f t="shared" ref="G89:G116" si="122">"2.225"</f>
        <v>2.225</v>
      </c>
      <c r="H89" s="8" t="str">
        <f t="shared" si="32"/>
        <v>200000.000</v>
      </c>
      <c r="I89" s="8" t="str">
        <f t="shared" si="33"/>
        <v>2.000</v>
      </c>
      <c r="J89" s="8" t="str">
        <f t="shared" si="65"/>
        <v>0.000</v>
      </c>
      <c r="K89" s="8" t="str">
        <f t="shared" si="65"/>
        <v>0.000</v>
      </c>
      <c r="L89" s="8" t="str">
        <f t="shared" si="34"/>
        <v>-200002.000</v>
      </c>
      <c r="M89" s="8" t="str">
        <f t="shared" si="5"/>
        <v>0.00</v>
      </c>
    </row>
    <row r="90" spans="1:13" ht="20" customHeight="1" x14ac:dyDescent="0.15">
      <c r="A90" s="6" t="str">
        <f t="shared" si="117"/>
        <v>20200221</v>
      </c>
      <c r="B90" s="7" t="str">
        <f>"证券卖出"</f>
        <v>证券卖出</v>
      </c>
      <c r="C90" s="8" t="str">
        <f t="shared" si="14"/>
        <v>510300</v>
      </c>
      <c r="D90" s="8" t="str">
        <f t="shared" si="15"/>
        <v>300ETF</v>
      </c>
      <c r="E90" s="8" t="str">
        <f>"证券卖出"</f>
        <v>证券卖出</v>
      </c>
      <c r="F90" s="8" t="str">
        <f>"-1300"</f>
        <v>-1300</v>
      </c>
      <c r="G90" s="8" t="str">
        <f>"4.146"</f>
        <v>4.146</v>
      </c>
      <c r="H90" s="8" t="str">
        <f>"5389.800"</f>
        <v>5389.800</v>
      </c>
      <c r="I90" s="8" t="str">
        <f>"1.620"</f>
        <v>1.620</v>
      </c>
      <c r="J90" s="8" t="str">
        <f t="shared" si="65"/>
        <v>0.000</v>
      </c>
      <c r="K90" s="8" t="str">
        <f t="shared" si="65"/>
        <v>0.000</v>
      </c>
      <c r="L90" s="8" t="str">
        <f>"5388.180"</f>
        <v>5388.180</v>
      </c>
      <c r="M90" s="8" t="str">
        <f t="shared" si="5"/>
        <v>0.00</v>
      </c>
    </row>
    <row r="91" spans="1:13" ht="20" customHeight="1" x14ac:dyDescent="0.15">
      <c r="A91" s="6" t="str">
        <f t="shared" si="117"/>
        <v>20200221</v>
      </c>
      <c r="B91" s="7" t="str">
        <f>"证券卖出"</f>
        <v>证券卖出</v>
      </c>
      <c r="C91" s="8" t="str">
        <f t="shared" si="72"/>
        <v>512880</v>
      </c>
      <c r="D91" s="8" t="str">
        <f t="shared" si="73"/>
        <v>证券ETF</v>
      </c>
      <c r="E91" s="8" t="str">
        <f>"证券卖出"</f>
        <v>证券卖出</v>
      </c>
      <c r="F91" s="8" t="str">
        <f>"-600"</f>
        <v>-600</v>
      </c>
      <c r="G91" s="8" t="str">
        <f>"1.097"</f>
        <v>1.097</v>
      </c>
      <c r="H91" s="8" t="str">
        <f>"658.200"</f>
        <v>658.200</v>
      </c>
      <c r="I91" s="8" t="str">
        <f>"0.200"</f>
        <v>0.200</v>
      </c>
      <c r="J91" s="8" t="str">
        <f t="shared" si="65"/>
        <v>0.000</v>
      </c>
      <c r="K91" s="8" t="str">
        <f t="shared" si="65"/>
        <v>0.000</v>
      </c>
      <c r="L91" s="8" t="str">
        <f>"658.000"</f>
        <v>658.000</v>
      </c>
      <c r="M91" s="8" t="str">
        <f t="shared" si="5"/>
        <v>0.00</v>
      </c>
    </row>
    <row r="92" spans="1:13" ht="20" customHeight="1" x14ac:dyDescent="0.15">
      <c r="A92" s="6" t="str">
        <f t="shared" si="117"/>
        <v>20200221</v>
      </c>
      <c r="B92" s="7" t="str">
        <f>"证券卖出"</f>
        <v>证券卖出</v>
      </c>
      <c r="C92" s="8" t="str">
        <f t="shared" si="93"/>
        <v>510500</v>
      </c>
      <c r="D92" s="8" t="str">
        <f t="shared" si="94"/>
        <v>500ETF</v>
      </c>
      <c r="E92" s="8" t="str">
        <f>"证券卖出"</f>
        <v>证券卖出</v>
      </c>
      <c r="F92" s="8" t="str">
        <f>"-900"</f>
        <v>-900</v>
      </c>
      <c r="G92" s="8" t="str">
        <f>"6.254"</f>
        <v>6.254</v>
      </c>
      <c r="H92" s="8" t="str">
        <f>"5628.600"</f>
        <v>5628.600</v>
      </c>
      <c r="I92" s="8" t="str">
        <f>"1.690"</f>
        <v>1.690</v>
      </c>
      <c r="J92" s="8" t="str">
        <f t="shared" si="65"/>
        <v>0.000</v>
      </c>
      <c r="K92" s="8" t="str">
        <f t="shared" si="65"/>
        <v>0.000</v>
      </c>
      <c r="L92" s="8" t="str">
        <f>"5626.910"</f>
        <v>5626.910</v>
      </c>
      <c r="M92" s="8" t="str">
        <f t="shared" si="5"/>
        <v>0.00</v>
      </c>
    </row>
    <row r="93" spans="1:13" ht="20" customHeight="1" x14ac:dyDescent="0.15">
      <c r="A93" s="6" t="str">
        <f t="shared" si="117"/>
        <v>20200221</v>
      </c>
      <c r="B93" s="7" t="str">
        <f>"证券买入"</f>
        <v>证券买入</v>
      </c>
      <c r="C93" s="8" t="str">
        <f t="shared" si="78"/>
        <v>159995</v>
      </c>
      <c r="D93" s="8" t="str">
        <f t="shared" si="79"/>
        <v>芯片ETF</v>
      </c>
      <c r="E93" s="8" t="str">
        <f>"证券买入"</f>
        <v>证券买入</v>
      </c>
      <c r="F93" s="8" t="str">
        <f t="shared" si="70"/>
        <v>500</v>
      </c>
      <c r="G93" s="8" t="str">
        <f>"1.235"</f>
        <v>1.235</v>
      </c>
      <c r="H93" s="8" t="str">
        <f>"617.500"</f>
        <v>617.500</v>
      </c>
      <c r="I93" s="8" t="str">
        <f t="shared" si="119"/>
        <v>0.190</v>
      </c>
      <c r="J93" s="8" t="str">
        <f t="shared" si="65"/>
        <v>0.000</v>
      </c>
      <c r="K93" s="8" t="str">
        <f t="shared" si="65"/>
        <v>0.000</v>
      </c>
      <c r="L93" s="8" t="str">
        <f>"-617.690"</f>
        <v>-617.690</v>
      </c>
      <c r="M93" s="8" t="str">
        <f t="shared" si="5"/>
        <v>0.00</v>
      </c>
    </row>
    <row r="94" spans="1:13" ht="20" customHeight="1" x14ac:dyDescent="0.15">
      <c r="A94" s="6" t="str">
        <f t="shared" si="117"/>
        <v>20200221</v>
      </c>
      <c r="B94" s="7" t="str">
        <f>"证券买入"</f>
        <v>证券买入</v>
      </c>
      <c r="C94" s="8" t="str">
        <f t="shared" si="8"/>
        <v>162411</v>
      </c>
      <c r="D94" s="8" t="str">
        <f>"华宝油气"</f>
        <v>华宝油气</v>
      </c>
      <c r="E94" s="8" t="str">
        <f>"证券买入"</f>
        <v>证券买入</v>
      </c>
      <c r="F94" s="8" t="str">
        <f t="shared" si="120"/>
        <v>3000</v>
      </c>
      <c r="G94" s="8" t="str">
        <f>"0.359"</f>
        <v>0.359</v>
      </c>
      <c r="H94" s="8" t="str">
        <f>"1077.000"</f>
        <v>1077.000</v>
      </c>
      <c r="I94" s="8" t="str">
        <f t="shared" si="104"/>
        <v>0.320</v>
      </c>
      <c r="J94" s="8" t="str">
        <f t="shared" si="65"/>
        <v>0.000</v>
      </c>
      <c r="K94" s="8" t="str">
        <f t="shared" si="65"/>
        <v>0.000</v>
      </c>
      <c r="L94" s="8" t="str">
        <f>"-1077.320"</f>
        <v>-1077.320</v>
      </c>
      <c r="M94" s="8" t="str">
        <f t="shared" si="5"/>
        <v>0.00</v>
      </c>
    </row>
    <row r="95" spans="1:13" ht="20" customHeight="1" x14ac:dyDescent="0.15">
      <c r="A95" s="6" t="str">
        <f t="shared" si="117"/>
        <v>20200221</v>
      </c>
      <c r="B95" s="7" t="str">
        <f>"证券买入"</f>
        <v>证券买入</v>
      </c>
      <c r="C95" s="8" t="str">
        <f t="shared" si="18"/>
        <v>159915</v>
      </c>
      <c r="D95" s="8" t="str">
        <f t="shared" si="19"/>
        <v>创业板</v>
      </c>
      <c r="E95" s="8" t="str">
        <f>"证券买入"</f>
        <v>证券买入</v>
      </c>
      <c r="F95" s="8" t="str">
        <f>"1700"</f>
        <v>1700</v>
      </c>
      <c r="G95" s="8" t="str">
        <f t="shared" si="57"/>
        <v>2.100</v>
      </c>
      <c r="H95" s="8" t="str">
        <f>"3570.000"</f>
        <v>3570.000</v>
      </c>
      <c r="I95" s="8" t="str">
        <f>"1.070"</f>
        <v>1.070</v>
      </c>
      <c r="J95" s="8" t="str">
        <f t="shared" si="65"/>
        <v>0.000</v>
      </c>
      <c r="K95" s="8" t="str">
        <f t="shared" si="65"/>
        <v>0.000</v>
      </c>
      <c r="L95" s="8" t="str">
        <f>"-3571.070"</f>
        <v>-3571.070</v>
      </c>
      <c r="M95" s="8" t="str">
        <f t="shared" si="5"/>
        <v>0.00</v>
      </c>
    </row>
    <row r="96" spans="1:13" ht="20" customHeight="1" x14ac:dyDescent="0.15">
      <c r="A96" s="6" t="str">
        <f t="shared" si="117"/>
        <v>20200221</v>
      </c>
      <c r="B96" s="7" t="str">
        <f>"融券回购购回日:20200222预计利息:13.05参考占款天数：1-131990"</f>
        <v>融券回购购回日:20200222预计利息:13.05参考占款天数：1-131990</v>
      </c>
      <c r="C96" s="8" t="str">
        <f>"131810"</f>
        <v>131810</v>
      </c>
      <c r="D96" s="8" t="str">
        <f t="shared" si="36"/>
        <v>Ｒ-001</v>
      </c>
      <c r="E96" s="8" t="str">
        <f t="shared" si="25"/>
        <v>质押回购拆出</v>
      </c>
      <c r="F96" s="8" t="str">
        <f>"2000"</f>
        <v>2000</v>
      </c>
      <c r="G96" s="8" t="str">
        <f t="shared" ref="G96:G118" si="123">"2.381"</f>
        <v>2.381</v>
      </c>
      <c r="H96" s="8" t="str">
        <f t="shared" si="32"/>
        <v>200000.000</v>
      </c>
      <c r="I96" s="8" t="str">
        <f t="shared" si="33"/>
        <v>2.000</v>
      </c>
      <c r="J96" s="8" t="str">
        <f t="shared" si="65"/>
        <v>0.000</v>
      </c>
      <c r="K96" s="8" t="str">
        <f t="shared" si="65"/>
        <v>0.000</v>
      </c>
      <c r="L96" s="8" t="str">
        <f t="shared" si="34"/>
        <v>-200002.000</v>
      </c>
      <c r="M96" s="8" t="str">
        <f t="shared" si="5"/>
        <v>0.00</v>
      </c>
    </row>
    <row r="97" spans="1:13" ht="20" customHeight="1" x14ac:dyDescent="0.15">
      <c r="A97" s="6" t="str">
        <f t="shared" si="117"/>
        <v>20200221</v>
      </c>
      <c r="B97" s="7" t="str">
        <f>"证券卖出"</f>
        <v>证券卖出</v>
      </c>
      <c r="C97" s="8" t="str">
        <f t="shared" si="78"/>
        <v>159995</v>
      </c>
      <c r="D97" s="8" t="str">
        <f t="shared" si="79"/>
        <v>芯片ETF</v>
      </c>
      <c r="E97" s="8" t="str">
        <f>"证券卖出"</f>
        <v>证券卖出</v>
      </c>
      <c r="F97" s="8" t="str">
        <f t="shared" ref="F97:F120" si="124">"-500"</f>
        <v>-500</v>
      </c>
      <c r="G97" s="8" t="str">
        <f>"1.264"</f>
        <v>1.264</v>
      </c>
      <c r="H97" s="8" t="str">
        <f>"632.000"</f>
        <v>632.000</v>
      </c>
      <c r="I97" s="8" t="str">
        <f t="shared" si="119"/>
        <v>0.190</v>
      </c>
      <c r="J97" s="8" t="str">
        <f t="shared" si="65"/>
        <v>0.000</v>
      </c>
      <c r="K97" s="8" t="str">
        <f t="shared" si="65"/>
        <v>0.000</v>
      </c>
      <c r="L97" s="8" t="str">
        <f>"631.810"</f>
        <v>631.810</v>
      </c>
      <c r="M97" s="8" t="str">
        <f t="shared" si="5"/>
        <v>0.00</v>
      </c>
    </row>
    <row r="98" spans="1:13" ht="20" customHeight="1" x14ac:dyDescent="0.15">
      <c r="A98" s="6" t="str">
        <f t="shared" si="117"/>
        <v>20200221</v>
      </c>
      <c r="B98" s="7" t="str">
        <f>"122扣除金额 基金代码：940018,发生份额：120.94,日期:20200221(122)"</f>
        <v>122扣除金额 基金代码：940018,发生份额：120.94,日期:20200221(122)</v>
      </c>
      <c r="C98" s="8" t="str">
        <f t="shared" si="0"/>
        <v>940018</v>
      </c>
      <c r="D98" s="8" t="str">
        <f t="shared" si="1"/>
        <v>天天发１天期</v>
      </c>
      <c r="E98" s="8" t="str">
        <f t="shared" si="2"/>
        <v>基金资金拨出</v>
      </c>
      <c r="F98" s="8" t="str">
        <f>"120"</f>
        <v>120</v>
      </c>
      <c r="G98" s="8" t="str">
        <f>"1.000"</f>
        <v>1.000</v>
      </c>
      <c r="H98" s="8" t="str">
        <f>"0.000"</f>
        <v>0.000</v>
      </c>
      <c r="I98" s="8" t="str">
        <f t="shared" si="65"/>
        <v>0.000</v>
      </c>
      <c r="J98" s="8" t="str">
        <f>"0.000"</f>
        <v>0.000</v>
      </c>
      <c r="K98" s="8" t="str">
        <f t="shared" si="65"/>
        <v>0.000</v>
      </c>
      <c r="L98" s="8" t="str">
        <f>"-120.940"</f>
        <v>-120.940</v>
      </c>
      <c r="M98" s="8" t="str">
        <f t="shared" si="5"/>
        <v>0.00</v>
      </c>
    </row>
    <row r="99" spans="1:13" ht="20" customHeight="1" x14ac:dyDescent="0.15">
      <c r="A99" s="6" t="str">
        <f t="shared" si="117"/>
        <v>20200221</v>
      </c>
      <c r="B99" s="7" t="str">
        <f>"122扣除金额 基金代码：005194,发生份额：34000,日期:20200221(122)"</f>
        <v>122扣除金额 基金代码：005194,发生份额：34000,日期:20200221(122)</v>
      </c>
      <c r="C99" s="8" t="str">
        <f t="shared" ref="C99:C100" si="125">"005194"</f>
        <v>005194</v>
      </c>
      <c r="D99" s="8" t="str">
        <f t="shared" ref="D99:D100" si="126">"南方天天利E"</f>
        <v>南方天天利E</v>
      </c>
      <c r="E99" s="8" t="str">
        <f t="shared" si="2"/>
        <v>基金资金拨出</v>
      </c>
      <c r="F99" s="8" t="str">
        <f>"34000"</f>
        <v>34000</v>
      </c>
      <c r="G99" s="8" t="str">
        <f>"1.000"</f>
        <v>1.000</v>
      </c>
      <c r="H99" s="8" t="str">
        <f>"0.000"</f>
        <v>0.000</v>
      </c>
      <c r="I99" s="8" t="str">
        <f t="shared" si="65"/>
        <v>0.000</v>
      </c>
      <c r="J99" s="8" t="str">
        <f t="shared" si="65"/>
        <v>0.000</v>
      </c>
      <c r="K99" s="8" t="str">
        <f t="shared" si="65"/>
        <v>0.000</v>
      </c>
      <c r="L99" s="8" t="str">
        <f>"-34000.000"</f>
        <v>-34000.000</v>
      </c>
      <c r="M99" s="8" t="str">
        <f t="shared" si="5"/>
        <v>0.00</v>
      </c>
    </row>
    <row r="100" spans="1:13" ht="20" customHeight="1" x14ac:dyDescent="0.15">
      <c r="A100" s="6" t="str">
        <f t="shared" si="117"/>
        <v>20200221</v>
      </c>
      <c r="B100" s="7" t="str">
        <f>"122扣除金额 基金代码：005194,发生份额：20000,日期:20200221(122)"</f>
        <v>122扣除金额 基金代码：005194,发生份额：20000,日期:20200221(122)</v>
      </c>
      <c r="C100" s="8" t="str">
        <f t="shared" si="125"/>
        <v>005194</v>
      </c>
      <c r="D100" s="8" t="str">
        <f t="shared" si="126"/>
        <v>南方天天利E</v>
      </c>
      <c r="E100" s="8" t="str">
        <f t="shared" si="2"/>
        <v>基金资金拨出</v>
      </c>
      <c r="F100" s="8" t="str">
        <f>"20000"</f>
        <v>20000</v>
      </c>
      <c r="G100" s="8" t="str">
        <f>"1.000"</f>
        <v>1.000</v>
      </c>
      <c r="H100" s="8" t="str">
        <f>"0.000"</f>
        <v>0.000</v>
      </c>
      <c r="I100" s="8" t="str">
        <f t="shared" si="65"/>
        <v>0.000</v>
      </c>
      <c r="J100" s="8" t="str">
        <f t="shared" si="65"/>
        <v>0.000</v>
      </c>
      <c r="K100" s="8" t="str">
        <f t="shared" si="65"/>
        <v>0.000</v>
      </c>
      <c r="L100" s="8" t="str">
        <f>"-20000.000"</f>
        <v>-20000.000</v>
      </c>
      <c r="M100" s="8" t="str">
        <f t="shared" si="5"/>
        <v>0.00</v>
      </c>
    </row>
    <row r="101" spans="1:13" ht="20" customHeight="1" x14ac:dyDescent="0.15">
      <c r="A101" s="6" t="str">
        <f t="shared" si="117"/>
        <v>20200221</v>
      </c>
      <c r="B101" s="7" t="str">
        <f>"融券购回:40.11实际占款天数：3-888880"</f>
        <v>融券购回:40.11实际占款天数：3-888880</v>
      </c>
      <c r="C101" s="8" t="str">
        <f t="shared" si="23"/>
        <v>204001</v>
      </c>
      <c r="D101" s="8" t="str">
        <f>"GC001"</f>
        <v>GC001</v>
      </c>
      <c r="E101" s="8" t="str">
        <f t="shared" si="51"/>
        <v>拆出质押购回</v>
      </c>
      <c r="F101" s="8" t="str">
        <f t="shared" si="53"/>
        <v>-200</v>
      </c>
      <c r="G101" s="8" t="str">
        <f t="shared" si="113"/>
        <v>2.440</v>
      </c>
      <c r="H101" s="8" t="str">
        <f t="shared" si="32"/>
        <v>200000.000</v>
      </c>
      <c r="I101" s="8" t="str">
        <f t="shared" si="65"/>
        <v>0.000</v>
      </c>
      <c r="J101" s="8" t="str">
        <f t="shared" si="65"/>
        <v>0.000</v>
      </c>
      <c r="K101" s="8" t="str">
        <f t="shared" si="65"/>
        <v>0.000</v>
      </c>
      <c r="L101" s="8" t="str">
        <f>"200040.110"</f>
        <v>200040.110</v>
      </c>
      <c r="M101" s="8" t="str">
        <f t="shared" si="5"/>
        <v>0.00</v>
      </c>
    </row>
    <row r="102" spans="1:13" ht="20" customHeight="1" x14ac:dyDescent="0.15">
      <c r="A102" s="6" t="str">
        <f t="shared" si="117"/>
        <v>20200221</v>
      </c>
      <c r="B102" s="7" t="str">
        <f>"融券购回:34.93实际占款天数：3-888880"</f>
        <v>融券购回:34.93实际占款天数：3-888880</v>
      </c>
      <c r="C102" s="8" t="str">
        <f t="shared" si="23"/>
        <v>204001</v>
      </c>
      <c r="D102" s="8" t="str">
        <f>"GC001"</f>
        <v>GC001</v>
      </c>
      <c r="E102" s="8" t="str">
        <f t="shared" si="51"/>
        <v>拆出质押购回</v>
      </c>
      <c r="F102" s="8" t="str">
        <f t="shared" si="53"/>
        <v>-200</v>
      </c>
      <c r="G102" s="8" t="str">
        <f t="shared" si="114"/>
        <v>2.125</v>
      </c>
      <c r="H102" s="8" t="str">
        <f t="shared" si="32"/>
        <v>200000.000</v>
      </c>
      <c r="I102" s="8" t="str">
        <f t="shared" si="65"/>
        <v>0.000</v>
      </c>
      <c r="J102" s="8" t="str">
        <f t="shared" si="65"/>
        <v>0.000</v>
      </c>
      <c r="K102" s="8" t="str">
        <f t="shared" si="65"/>
        <v>0.000</v>
      </c>
      <c r="L102" s="8" t="str">
        <f>"200034.930"</f>
        <v>200034.930</v>
      </c>
      <c r="M102" s="8" t="str">
        <f t="shared" si="5"/>
        <v>0.00</v>
      </c>
    </row>
    <row r="103" spans="1:13" ht="20" customHeight="1" x14ac:dyDescent="0.15">
      <c r="A103" s="6" t="str">
        <f t="shared" si="117"/>
        <v>20200221</v>
      </c>
      <c r="B103" s="7" t="str">
        <f>"融券购回:9.06实际占款天数：3-131990"</f>
        <v>融券购回:9.06实际占款天数：3-131990</v>
      </c>
      <c r="C103" s="8" t="str">
        <f>"131810"</f>
        <v>131810</v>
      </c>
      <c r="D103" s="8" t="str">
        <f t="shared" si="36"/>
        <v>Ｒ-001</v>
      </c>
      <c r="E103" s="8" t="str">
        <f t="shared" si="51"/>
        <v>拆出质押购回</v>
      </c>
      <c r="F103" s="8" t="str">
        <f t="shared" si="116"/>
        <v>-540</v>
      </c>
      <c r="G103" s="8" t="str">
        <f t="shared" si="115"/>
        <v>2.041</v>
      </c>
      <c r="H103" s="8" t="str">
        <f t="shared" si="107"/>
        <v>54000.000</v>
      </c>
      <c r="I103" s="8" t="str">
        <f t="shared" si="65"/>
        <v>0.000</v>
      </c>
      <c r="J103" s="8" t="str">
        <f t="shared" si="65"/>
        <v>0.000</v>
      </c>
      <c r="K103" s="8" t="str">
        <f t="shared" si="65"/>
        <v>0.000</v>
      </c>
      <c r="L103" s="8" t="str">
        <f>"54009.060"</f>
        <v>54009.060</v>
      </c>
      <c r="M103" s="8" t="str">
        <f t="shared" si="5"/>
        <v>0.00</v>
      </c>
    </row>
    <row r="104" spans="1:13" ht="20" customHeight="1" x14ac:dyDescent="0.15">
      <c r="A104" s="6" t="str">
        <f t="shared" ref="A104:A118" si="127">"20200224"</f>
        <v>20200224</v>
      </c>
      <c r="B104" s="7" t="str">
        <f>"证券买入"</f>
        <v>证券买入</v>
      </c>
      <c r="C104" s="8" t="str">
        <f t="shared" si="14"/>
        <v>510300</v>
      </c>
      <c r="D104" s="8" t="str">
        <f t="shared" si="15"/>
        <v>300ETF</v>
      </c>
      <c r="E104" s="8" t="str">
        <f>"证券买入"</f>
        <v>证券买入</v>
      </c>
      <c r="F104" s="8" t="str">
        <f t="shared" si="16"/>
        <v>1300</v>
      </c>
      <c r="G104" s="8" t="str">
        <f t="shared" si="121"/>
        <v>4.123</v>
      </c>
      <c r="H104" s="8" t="str">
        <f>"5359.900"</f>
        <v>5359.900</v>
      </c>
      <c r="I104" s="8" t="str">
        <f>"1.610"</f>
        <v>1.610</v>
      </c>
      <c r="J104" s="8" t="str">
        <f t="shared" si="65"/>
        <v>0.000</v>
      </c>
      <c r="K104" s="8" t="str">
        <f t="shared" si="65"/>
        <v>0.000</v>
      </c>
      <c r="L104" s="8" t="str">
        <f>"-5361.510"</f>
        <v>-5361.510</v>
      </c>
      <c r="M104" s="8" t="str">
        <f t="shared" si="5"/>
        <v>0.00</v>
      </c>
    </row>
    <row r="105" spans="1:13" ht="20" customHeight="1" x14ac:dyDescent="0.15">
      <c r="A105" s="6" t="str">
        <f t="shared" si="127"/>
        <v>20200224</v>
      </c>
      <c r="B105" s="7" t="str">
        <f t="shared" si="118"/>
        <v>证券买入</v>
      </c>
      <c r="C105" s="8" t="str">
        <f t="shared" si="72"/>
        <v>512880</v>
      </c>
      <c r="D105" s="8" t="str">
        <f t="shared" si="73"/>
        <v>证券ETF</v>
      </c>
      <c r="E105" s="8" t="str">
        <f t="shared" si="118"/>
        <v>证券买入</v>
      </c>
      <c r="F105" s="8" t="str">
        <f>"4700"</f>
        <v>4700</v>
      </c>
      <c r="G105" s="8" t="str">
        <f>"1.058"</f>
        <v>1.058</v>
      </c>
      <c r="H105" s="8" t="str">
        <f>"4972.600"</f>
        <v>4972.600</v>
      </c>
      <c r="I105" s="8" t="str">
        <f>"1.490"</f>
        <v>1.490</v>
      </c>
      <c r="J105" s="8" t="str">
        <f t="shared" si="65"/>
        <v>0.000</v>
      </c>
      <c r="K105" s="8" t="str">
        <f t="shared" si="65"/>
        <v>0.000</v>
      </c>
      <c r="L105" s="8" t="str">
        <f>"-4974.090"</f>
        <v>-4974.090</v>
      </c>
      <c r="M105" s="8" t="str">
        <f t="shared" si="5"/>
        <v>0.00</v>
      </c>
    </row>
    <row r="106" spans="1:13" ht="20" customHeight="1" x14ac:dyDescent="0.15">
      <c r="A106" s="6" t="str">
        <f t="shared" si="127"/>
        <v>20200224</v>
      </c>
      <c r="B106" s="7" t="str">
        <f t="shared" si="118"/>
        <v>证券买入</v>
      </c>
      <c r="C106" s="8" t="str">
        <f t="shared" si="96"/>
        <v>515000</v>
      </c>
      <c r="D106" s="8" t="str">
        <f t="shared" si="97"/>
        <v>科技ETF</v>
      </c>
      <c r="E106" s="8" t="str">
        <f t="shared" si="118"/>
        <v>证券买入</v>
      </c>
      <c r="F106" s="8" t="str">
        <f t="shared" si="20"/>
        <v>400</v>
      </c>
      <c r="G106" s="8" t="str">
        <f>"1.584"</f>
        <v>1.584</v>
      </c>
      <c r="H106" s="8" t="str">
        <f>"633.600"</f>
        <v>633.600</v>
      </c>
      <c r="I106" s="8" t="str">
        <f t="shared" si="119"/>
        <v>0.190</v>
      </c>
      <c r="J106" s="8" t="str">
        <f t="shared" si="65"/>
        <v>0.000</v>
      </c>
      <c r="K106" s="8" t="str">
        <f t="shared" si="65"/>
        <v>0.000</v>
      </c>
      <c r="L106" s="8" t="str">
        <f>"-633.790"</f>
        <v>-633.790</v>
      </c>
      <c r="M106" s="8" t="str">
        <f t="shared" si="5"/>
        <v>0.00</v>
      </c>
    </row>
    <row r="107" spans="1:13" ht="20" customHeight="1" x14ac:dyDescent="0.15">
      <c r="A107" s="6" t="str">
        <f t="shared" si="127"/>
        <v>20200224</v>
      </c>
      <c r="B107" s="7" t="str">
        <f t="shared" si="118"/>
        <v>证券买入</v>
      </c>
      <c r="C107" s="8" t="str">
        <f t="shared" ref="C107:C160" si="128">"518880"</f>
        <v>518880</v>
      </c>
      <c r="D107" s="8" t="str">
        <f t="shared" ref="D107:D160" si="129">"黄金ETF"</f>
        <v>黄金ETF</v>
      </c>
      <c r="E107" s="8" t="str">
        <f t="shared" si="118"/>
        <v>证券买入</v>
      </c>
      <c r="F107" s="8" t="str">
        <f t="shared" si="86"/>
        <v>300</v>
      </c>
      <c r="G107" s="8" t="str">
        <f>"3.728"</f>
        <v>3.728</v>
      </c>
      <c r="H107" s="8" t="str">
        <f>"1118.400"</f>
        <v>1118.400</v>
      </c>
      <c r="I107" s="8" t="str">
        <f>"0.340"</f>
        <v>0.340</v>
      </c>
      <c r="J107" s="8" t="str">
        <f t="shared" ref="J107:L169" si="130">"0.000"</f>
        <v>0.000</v>
      </c>
      <c r="K107" s="8" t="str">
        <f t="shared" si="130"/>
        <v>0.000</v>
      </c>
      <c r="L107" s="8" t="str">
        <f>"-1118.740"</f>
        <v>-1118.740</v>
      </c>
      <c r="M107" s="8" t="str">
        <f t="shared" si="5"/>
        <v>0.00</v>
      </c>
    </row>
    <row r="108" spans="1:13" ht="20" customHeight="1" x14ac:dyDescent="0.15">
      <c r="A108" s="6" t="str">
        <f t="shared" si="127"/>
        <v>20200224</v>
      </c>
      <c r="B108" s="7" t="str">
        <f t="shared" si="118"/>
        <v>证券买入</v>
      </c>
      <c r="C108" s="8" t="str">
        <f t="shared" ref="C108:C156" si="131">"512290"</f>
        <v>512290</v>
      </c>
      <c r="D108" s="8" t="str">
        <f>"生物医药"</f>
        <v>生物医药</v>
      </c>
      <c r="E108" s="8" t="str">
        <f t="shared" si="118"/>
        <v>证券买入</v>
      </c>
      <c r="F108" s="8" t="str">
        <f t="shared" si="70"/>
        <v>500</v>
      </c>
      <c r="G108" s="8" t="str">
        <f>"1.397"</f>
        <v>1.397</v>
      </c>
      <c r="H108" s="8" t="str">
        <f>"698.500"</f>
        <v>698.500</v>
      </c>
      <c r="I108" s="8" t="str">
        <f>"0.210"</f>
        <v>0.210</v>
      </c>
      <c r="J108" s="8" t="str">
        <f t="shared" si="130"/>
        <v>0.000</v>
      </c>
      <c r="K108" s="8" t="str">
        <f t="shared" si="130"/>
        <v>0.000</v>
      </c>
      <c r="L108" s="8" t="str">
        <f>"-698.710"</f>
        <v>-698.710</v>
      </c>
      <c r="M108" s="8" t="str">
        <f t="shared" si="5"/>
        <v>0.00</v>
      </c>
    </row>
    <row r="109" spans="1:13" ht="20" customHeight="1" x14ac:dyDescent="0.15">
      <c r="A109" s="6" t="str">
        <f t="shared" si="127"/>
        <v>20200224</v>
      </c>
      <c r="B109" s="7" t="str">
        <f t="shared" si="118"/>
        <v>证券买入</v>
      </c>
      <c r="C109" s="8" t="str">
        <f t="shared" ref="C109:C159" si="132">"515700"</f>
        <v>515700</v>
      </c>
      <c r="D109" s="8" t="str">
        <f t="shared" ref="D109:D159" si="133">"新能车"</f>
        <v>新能车</v>
      </c>
      <c r="E109" s="8" t="str">
        <f>"证券买入"</f>
        <v>证券买入</v>
      </c>
      <c r="F109" s="8" t="str">
        <f t="shared" si="70"/>
        <v>500</v>
      </c>
      <c r="G109" s="8" t="str">
        <f>"1.220"</f>
        <v>1.220</v>
      </c>
      <c r="H109" s="8" t="str">
        <f>"610.000"</f>
        <v>610.000</v>
      </c>
      <c r="I109" s="8" t="str">
        <f t="shared" si="75"/>
        <v>0.180</v>
      </c>
      <c r="J109" s="8" t="str">
        <f t="shared" si="130"/>
        <v>0.000</v>
      </c>
      <c r="K109" s="8" t="str">
        <f t="shared" si="130"/>
        <v>0.000</v>
      </c>
      <c r="L109" s="8" t="str">
        <f>"-610.180"</f>
        <v>-610.180</v>
      </c>
      <c r="M109" s="8" t="str">
        <f t="shared" si="5"/>
        <v>0.00</v>
      </c>
    </row>
    <row r="110" spans="1:13" ht="20" customHeight="1" x14ac:dyDescent="0.15">
      <c r="A110" s="6" t="str">
        <f t="shared" si="127"/>
        <v>20200224</v>
      </c>
      <c r="B110" s="7" t="str">
        <f t="shared" si="118"/>
        <v>证券买入</v>
      </c>
      <c r="C110" s="8" t="str">
        <f t="shared" si="18"/>
        <v>159915</v>
      </c>
      <c r="D110" s="8" t="str">
        <f t="shared" si="19"/>
        <v>创业板</v>
      </c>
      <c r="E110" s="8" t="str">
        <f>"证券买入"</f>
        <v>证券买入</v>
      </c>
      <c r="F110" s="8" t="str">
        <f t="shared" si="103"/>
        <v>2400</v>
      </c>
      <c r="G110" s="8" t="str">
        <f>"2.137"</f>
        <v>2.137</v>
      </c>
      <c r="H110" s="8" t="str">
        <f>"5128.800"</f>
        <v>5128.800</v>
      </c>
      <c r="I110" s="8" t="str">
        <f t="shared" si="40"/>
        <v>1.540</v>
      </c>
      <c r="J110" s="8" t="str">
        <f t="shared" si="130"/>
        <v>0.000</v>
      </c>
      <c r="K110" s="8" t="str">
        <f t="shared" si="130"/>
        <v>0.000</v>
      </c>
      <c r="L110" s="8" t="str">
        <f>"-5130.340"</f>
        <v>-5130.340</v>
      </c>
      <c r="M110" s="8" t="str">
        <f t="shared" si="5"/>
        <v>0.00</v>
      </c>
    </row>
    <row r="111" spans="1:13" ht="20" customHeight="1" x14ac:dyDescent="0.15">
      <c r="A111" s="6" t="str">
        <f t="shared" si="127"/>
        <v>20200224</v>
      </c>
      <c r="B111" s="7" t="str">
        <f>"证券买入"</f>
        <v>证券买入</v>
      </c>
      <c r="C111" s="8" t="str">
        <f t="shared" si="78"/>
        <v>159995</v>
      </c>
      <c r="D111" s="8" t="str">
        <f t="shared" si="79"/>
        <v>芯片ETF</v>
      </c>
      <c r="E111" s="8" t="str">
        <f>"证券买入"</f>
        <v>证券买入</v>
      </c>
      <c r="F111" s="8" t="str">
        <f t="shared" si="70"/>
        <v>500</v>
      </c>
      <c r="G111" s="8" t="str">
        <f>"1.279"</f>
        <v>1.279</v>
      </c>
      <c r="H111" s="8" t="str">
        <f>"639.500"</f>
        <v>639.500</v>
      </c>
      <c r="I111" s="8" t="str">
        <f t="shared" si="119"/>
        <v>0.190</v>
      </c>
      <c r="J111" s="8" t="str">
        <f t="shared" si="130"/>
        <v>0.000</v>
      </c>
      <c r="K111" s="8" t="str">
        <f t="shared" si="130"/>
        <v>0.000</v>
      </c>
      <c r="L111" s="8" t="str">
        <f>"-639.690"</f>
        <v>-639.690</v>
      </c>
      <c r="M111" s="8" t="str">
        <f t="shared" si="5"/>
        <v>0.00</v>
      </c>
    </row>
    <row r="112" spans="1:13" ht="20" customHeight="1" x14ac:dyDescent="0.15">
      <c r="A112" s="6" t="str">
        <f t="shared" si="127"/>
        <v>20200224</v>
      </c>
      <c r="B112" s="7" t="str">
        <f>"证券买入"</f>
        <v>证券买入</v>
      </c>
      <c r="C112" s="8" t="str">
        <f t="shared" si="8"/>
        <v>162411</v>
      </c>
      <c r="D112" s="8" t="str">
        <f>"华宝油气"</f>
        <v>华宝油气</v>
      </c>
      <c r="E112" s="8" t="str">
        <f>"证券买入"</f>
        <v>证券买入</v>
      </c>
      <c r="F112" s="8" t="str">
        <f t="shared" si="120"/>
        <v>3000</v>
      </c>
      <c r="G112" s="8" t="str">
        <f t="shared" si="102"/>
        <v>0.350</v>
      </c>
      <c r="H112" s="8" t="str">
        <f>"1050.000"</f>
        <v>1050.000</v>
      </c>
      <c r="I112" s="8" t="str">
        <f t="shared" si="104"/>
        <v>0.320</v>
      </c>
      <c r="J112" s="8" t="str">
        <f t="shared" si="130"/>
        <v>0.000</v>
      </c>
      <c r="K112" s="8" t="str">
        <f t="shared" si="130"/>
        <v>0.000</v>
      </c>
      <c r="L112" s="8" t="str">
        <f>"-1050.320"</f>
        <v>-1050.320</v>
      </c>
      <c r="M112" s="8" t="str">
        <f t="shared" si="5"/>
        <v>0.00</v>
      </c>
    </row>
    <row r="113" spans="1:13" ht="20" customHeight="1" x14ac:dyDescent="0.15">
      <c r="A113" s="6" t="str">
        <f t="shared" si="127"/>
        <v>20200224</v>
      </c>
      <c r="B113" s="7" t="str">
        <f>"证券卖出"</f>
        <v>证券卖出</v>
      </c>
      <c r="C113" s="8" t="str">
        <f t="shared" si="18"/>
        <v>159915</v>
      </c>
      <c r="D113" s="8" t="str">
        <f t="shared" si="19"/>
        <v>创业板</v>
      </c>
      <c r="E113" s="8" t="str">
        <f>"证券卖出"</f>
        <v>证券卖出</v>
      </c>
      <c r="F113" s="8" t="str">
        <f>"-1400"</f>
        <v>-1400</v>
      </c>
      <c r="G113" s="8" t="str">
        <f>"2.177"</f>
        <v>2.177</v>
      </c>
      <c r="H113" s="8" t="str">
        <f>"3047.800"</f>
        <v>3047.800</v>
      </c>
      <c r="I113" s="8" t="str">
        <f>"0.300"</f>
        <v>0.300</v>
      </c>
      <c r="J113" s="8" t="str">
        <f t="shared" si="130"/>
        <v>0.000</v>
      </c>
      <c r="K113" s="8" t="str">
        <f t="shared" si="130"/>
        <v>0.000</v>
      </c>
      <c r="L113" s="8" t="str">
        <f>"3047.500"</f>
        <v>3047.500</v>
      </c>
      <c r="M113" s="8" t="str">
        <f t="shared" si="5"/>
        <v>0.00</v>
      </c>
    </row>
    <row r="114" spans="1:13" ht="20" customHeight="1" x14ac:dyDescent="0.15">
      <c r="A114" s="6" t="str">
        <f t="shared" si="127"/>
        <v>20200224</v>
      </c>
      <c r="B114" s="7" t="str">
        <f>"122扣除金额 基金代码：940018,发生份额：2935.37,日期:20200224(122)"</f>
        <v>122扣除金额 基金代码：940018,发生份额：2935.37,日期:20200224(122)</v>
      </c>
      <c r="C114" s="8" t="str">
        <f t="shared" si="0"/>
        <v>940018</v>
      </c>
      <c r="D114" s="8" t="str">
        <f t="shared" si="1"/>
        <v>天天发１天期</v>
      </c>
      <c r="E114" s="8" t="str">
        <f t="shared" si="2"/>
        <v>基金资金拨出</v>
      </c>
      <c r="F114" s="8" t="str">
        <f>"2935"</f>
        <v>2935</v>
      </c>
      <c r="G114" s="8" t="str">
        <f>"1.000"</f>
        <v>1.000</v>
      </c>
      <c r="H114" s="8" t="str">
        <f>"0.000"</f>
        <v>0.000</v>
      </c>
      <c r="I114" s="8" t="str">
        <f>"0.000"</f>
        <v>0.000</v>
      </c>
      <c r="J114" s="8" t="str">
        <f t="shared" si="130"/>
        <v>0.000</v>
      </c>
      <c r="K114" s="8" t="str">
        <f t="shared" si="130"/>
        <v>0.000</v>
      </c>
      <c r="L114" s="8" t="str">
        <f>"-2935.370"</f>
        <v>-2935.370</v>
      </c>
      <c r="M114" s="8" t="str">
        <f t="shared" si="5"/>
        <v>0.00</v>
      </c>
    </row>
    <row r="115" spans="1:13" ht="20" customHeight="1" x14ac:dyDescent="0.15">
      <c r="A115" s="6" t="str">
        <f t="shared" si="127"/>
        <v>20200224</v>
      </c>
      <c r="B115" s="7" t="str">
        <f>"122扣除金额 基金代码：940037,发生份额：50000,日期:20200224(122)"</f>
        <v>122扣除金额 基金代码：940037,发生份额：50000,日期:20200224(122)</v>
      </c>
      <c r="C115" s="8" t="str">
        <f>"940037"</f>
        <v>940037</v>
      </c>
      <c r="D115" s="8" t="str">
        <f>"紫金货币增强A"</f>
        <v>紫金货币增强A</v>
      </c>
      <c r="E115" s="8" t="str">
        <f t="shared" si="2"/>
        <v>基金资金拨出</v>
      </c>
      <c r="F115" s="8" t="str">
        <f>"50000"</f>
        <v>50000</v>
      </c>
      <c r="G115" s="8" t="str">
        <f>"1.000"</f>
        <v>1.000</v>
      </c>
      <c r="H115" s="8" t="str">
        <f>"0.000"</f>
        <v>0.000</v>
      </c>
      <c r="I115" s="8" t="str">
        <f>"0.000"</f>
        <v>0.000</v>
      </c>
      <c r="J115" s="8" t="str">
        <f t="shared" si="130"/>
        <v>0.000</v>
      </c>
      <c r="K115" s="8" t="str">
        <f t="shared" si="130"/>
        <v>0.000</v>
      </c>
      <c r="L115" s="8" t="str">
        <f>"-50000.000"</f>
        <v>-50000.000</v>
      </c>
      <c r="M115" s="8" t="str">
        <f t="shared" si="5"/>
        <v>0.00</v>
      </c>
    </row>
    <row r="116" spans="1:13" ht="20" customHeight="1" x14ac:dyDescent="0.15">
      <c r="A116" s="6" t="str">
        <f t="shared" si="127"/>
        <v>20200224</v>
      </c>
      <c r="B116" s="7" t="str">
        <f>"融券购回:12.19实际占款天数：1-888880"</f>
        <v>融券购回:12.19实际占款天数：1-888880</v>
      </c>
      <c r="C116" s="8" t="str">
        <f t="shared" si="23"/>
        <v>204001</v>
      </c>
      <c r="D116" s="8" t="str">
        <f>"GC001"</f>
        <v>GC001</v>
      </c>
      <c r="E116" s="8" t="str">
        <f t="shared" si="51"/>
        <v>拆出质押购回</v>
      </c>
      <c r="F116" s="8" t="str">
        <f t="shared" si="53"/>
        <v>-200</v>
      </c>
      <c r="G116" s="8" t="str">
        <f t="shared" si="122"/>
        <v>2.225</v>
      </c>
      <c r="H116" s="8" t="str">
        <f t="shared" si="32"/>
        <v>200000.000</v>
      </c>
      <c r="I116" s="8" t="str">
        <f>"0.000"</f>
        <v>0.000</v>
      </c>
      <c r="J116" s="8" t="str">
        <f t="shared" si="130"/>
        <v>0.000</v>
      </c>
      <c r="K116" s="8" t="str">
        <f t="shared" si="130"/>
        <v>0.000</v>
      </c>
      <c r="L116" s="8" t="str">
        <f>"200012.190"</f>
        <v>200012.190</v>
      </c>
      <c r="M116" s="8" t="str">
        <f t="shared" si="5"/>
        <v>0.00</v>
      </c>
    </row>
    <row r="117" spans="1:13" ht="20" customHeight="1" x14ac:dyDescent="0.15">
      <c r="A117" s="6" t="str">
        <f t="shared" si="127"/>
        <v>20200224</v>
      </c>
      <c r="B117" s="7" t="str">
        <f>"正常购回利息:51.09，提前终止年利率:.0035申报代码:132012"</f>
        <v>正常购回利息:51.09，提前终止年利率:.0035申报代码:132012</v>
      </c>
      <c r="C117" s="8" t="str">
        <f t="shared" ref="C117:C124" si="134">"132092"</f>
        <v>132092</v>
      </c>
      <c r="D117" s="8" t="str">
        <f t="shared" ref="D117:D123" si="135">"惠理财28天期乐享"</f>
        <v>惠理财28天期乐享</v>
      </c>
      <c r="E117" s="8" t="str">
        <f>"交收资金冻结"</f>
        <v>交收资金冻结</v>
      </c>
      <c r="F117" s="8" t="str">
        <f t="shared" si="26"/>
        <v>100</v>
      </c>
      <c r="G117" s="8" t="str">
        <f t="shared" ref="G117:G124" si="136">"6.660"</f>
        <v>6.660</v>
      </c>
      <c r="H117" s="8" t="str">
        <f t="shared" ref="H117:H167" si="137">"10000.000"</f>
        <v>10000.000</v>
      </c>
      <c r="I117" s="8" t="str">
        <f>"0.000"</f>
        <v>0.000</v>
      </c>
      <c r="J117" s="8" t="str">
        <f t="shared" si="130"/>
        <v>0.000</v>
      </c>
      <c r="K117" s="8" t="str">
        <f t="shared" si="130"/>
        <v>0.000</v>
      </c>
      <c r="L117" s="8" t="str">
        <f t="shared" si="130"/>
        <v>0.000</v>
      </c>
      <c r="M117" s="8" t="str">
        <f t="shared" si="5"/>
        <v>0.00</v>
      </c>
    </row>
    <row r="118" spans="1:13" ht="20" customHeight="1" x14ac:dyDescent="0.15">
      <c r="A118" s="6" t="str">
        <f t="shared" si="127"/>
        <v>20200224</v>
      </c>
      <c r="B118" s="7" t="str">
        <f>"融券购回:13.05实际占款天数：1-131990"</f>
        <v>融券购回:13.05实际占款天数：1-131990</v>
      </c>
      <c r="C118" s="8" t="str">
        <f>"131810"</f>
        <v>131810</v>
      </c>
      <c r="D118" s="8" t="str">
        <f t="shared" si="36"/>
        <v>Ｒ-001</v>
      </c>
      <c r="E118" s="8" t="str">
        <f t="shared" si="51"/>
        <v>拆出质押购回</v>
      </c>
      <c r="F118" s="8" t="str">
        <f>"-2000"</f>
        <v>-2000</v>
      </c>
      <c r="G118" s="8" t="str">
        <f t="shared" si="123"/>
        <v>2.381</v>
      </c>
      <c r="H118" s="8" t="str">
        <f t="shared" si="32"/>
        <v>200000.000</v>
      </c>
      <c r="I118" s="8" t="str">
        <f>"0.000"</f>
        <v>0.000</v>
      </c>
      <c r="J118" s="8" t="str">
        <f t="shared" si="130"/>
        <v>0.000</v>
      </c>
      <c r="K118" s="8" t="str">
        <f t="shared" si="130"/>
        <v>0.000</v>
      </c>
      <c r="L118" s="8" t="str">
        <f>"200013.050"</f>
        <v>200013.050</v>
      </c>
      <c r="M118" s="8" t="str">
        <f t="shared" si="5"/>
        <v>0.00</v>
      </c>
    </row>
    <row r="119" spans="1:13" ht="20" customHeight="1" x14ac:dyDescent="0.15">
      <c r="A119" s="6" t="str">
        <f t="shared" ref="A119:A130" si="138">"20200225"</f>
        <v>20200225</v>
      </c>
      <c r="B119" s="7" t="str">
        <f>"证券卖出"</f>
        <v>证券卖出</v>
      </c>
      <c r="C119" s="8" t="str">
        <f t="shared" si="96"/>
        <v>515000</v>
      </c>
      <c r="D119" s="8" t="str">
        <f t="shared" si="97"/>
        <v>科技ETF</v>
      </c>
      <c r="E119" s="8" t="str">
        <f>"证券卖出"</f>
        <v>证券卖出</v>
      </c>
      <c r="F119" s="8" t="str">
        <f t="shared" si="58"/>
        <v>-400</v>
      </c>
      <c r="G119" s="8" t="str">
        <f>"1.663"</f>
        <v>1.663</v>
      </c>
      <c r="H119" s="8" t="str">
        <f>"665.200"</f>
        <v>665.200</v>
      </c>
      <c r="I119" s="8" t="str">
        <f t="shared" ref="I119:I166" si="139">"0.100"</f>
        <v>0.100</v>
      </c>
      <c r="J119" s="8" t="str">
        <f t="shared" si="130"/>
        <v>0.000</v>
      </c>
      <c r="K119" s="8" t="str">
        <f t="shared" si="130"/>
        <v>0.000</v>
      </c>
      <c r="L119" s="8" t="str">
        <f>"665.100"</f>
        <v>665.100</v>
      </c>
      <c r="M119" s="8" t="str">
        <f t="shared" si="5"/>
        <v>0.00</v>
      </c>
    </row>
    <row r="120" spans="1:13" ht="20" customHeight="1" x14ac:dyDescent="0.15">
      <c r="A120" s="6" t="str">
        <f t="shared" si="138"/>
        <v>20200225</v>
      </c>
      <c r="B120" s="7" t="str">
        <f>"证券卖出"</f>
        <v>证券卖出</v>
      </c>
      <c r="C120" s="8" t="str">
        <f t="shared" si="78"/>
        <v>159995</v>
      </c>
      <c r="D120" s="8" t="str">
        <f t="shared" si="79"/>
        <v>芯片ETF</v>
      </c>
      <c r="E120" s="8" t="str">
        <f>"证券卖出"</f>
        <v>证券卖出</v>
      </c>
      <c r="F120" s="8" t="str">
        <f t="shared" si="124"/>
        <v>-500</v>
      </c>
      <c r="G120" s="8" t="str">
        <f>"1.360"</f>
        <v>1.360</v>
      </c>
      <c r="H120" s="8" t="str">
        <f>"680.000"</f>
        <v>680.000</v>
      </c>
      <c r="I120" s="8" t="str">
        <f t="shared" si="139"/>
        <v>0.100</v>
      </c>
      <c r="J120" s="8" t="str">
        <f t="shared" si="130"/>
        <v>0.000</v>
      </c>
      <c r="K120" s="8" t="str">
        <f t="shared" si="130"/>
        <v>0.000</v>
      </c>
      <c r="L120" s="8" t="str">
        <f>"679.900"</f>
        <v>679.900</v>
      </c>
      <c r="M120" s="8" t="str">
        <f t="shared" si="5"/>
        <v>0.00</v>
      </c>
    </row>
    <row r="121" spans="1:13" ht="20" customHeight="1" x14ac:dyDescent="0.15">
      <c r="A121" s="6" t="str">
        <f t="shared" si="138"/>
        <v>20200225</v>
      </c>
      <c r="B121" s="7" t="str">
        <f>"证券卖出"</f>
        <v>证券卖出</v>
      </c>
      <c r="C121" s="8" t="str">
        <f t="shared" si="18"/>
        <v>159915</v>
      </c>
      <c r="D121" s="8" t="str">
        <f t="shared" si="19"/>
        <v>创业板</v>
      </c>
      <c r="E121" s="8" t="str">
        <f>"证券卖出"</f>
        <v>证券卖出</v>
      </c>
      <c r="F121" s="8" t="str">
        <f>"-3600"</f>
        <v>-3600</v>
      </c>
      <c r="G121" s="8" t="str">
        <f>"2.184"</f>
        <v>2.184</v>
      </c>
      <c r="H121" s="8" t="str">
        <f>"7862.400"</f>
        <v>7862.400</v>
      </c>
      <c r="I121" s="8" t="str">
        <f>"0.790"</f>
        <v>0.790</v>
      </c>
      <c r="J121" s="8" t="str">
        <f t="shared" si="130"/>
        <v>0.000</v>
      </c>
      <c r="K121" s="8" t="str">
        <f t="shared" si="130"/>
        <v>0.000</v>
      </c>
      <c r="L121" s="8" t="str">
        <f>"7861.610"</f>
        <v>7861.610</v>
      </c>
      <c r="M121" s="8" t="str">
        <f t="shared" si="5"/>
        <v>0.00</v>
      </c>
    </row>
    <row r="122" spans="1:13" ht="20" customHeight="1" x14ac:dyDescent="0.15">
      <c r="A122" s="6" t="str">
        <f t="shared" si="138"/>
        <v>20200225</v>
      </c>
      <c r="B122" s="7" t="str">
        <f>"融券回购购回日:20200226预计利息:0.14参考占款天数：1-131990"</f>
        <v>融券回购购回日:20200226预计利息:0.14参考占款天数：1-131990</v>
      </c>
      <c r="C122" s="8" t="str">
        <f>"131810"</f>
        <v>131810</v>
      </c>
      <c r="D122" s="8" t="str">
        <f>"Ｒ-001"</f>
        <v>Ｒ-001</v>
      </c>
      <c r="E122" s="8" t="str">
        <f t="shared" si="25"/>
        <v>质押回购拆出</v>
      </c>
      <c r="F122" s="8" t="str">
        <f>"20"</f>
        <v>20</v>
      </c>
      <c r="G122" s="8" t="str">
        <f t="shared" ref="G122:G142" si="140">"2.482"</f>
        <v>2.482</v>
      </c>
      <c r="H122" s="8" t="str">
        <f t="shared" ref="H122:H142" si="141">"2000.000"</f>
        <v>2000.000</v>
      </c>
      <c r="I122" s="8" t="str">
        <f>"0.020"</f>
        <v>0.020</v>
      </c>
      <c r="J122" s="8" t="str">
        <f t="shared" si="130"/>
        <v>0.000</v>
      </c>
      <c r="K122" s="8" t="str">
        <f t="shared" si="130"/>
        <v>0.000</v>
      </c>
      <c r="L122" s="8" t="str">
        <f>"-2000.020"</f>
        <v>-2000.020</v>
      </c>
      <c r="M122" s="8" t="str">
        <f t="shared" si="5"/>
        <v>0.00</v>
      </c>
    </row>
    <row r="123" spans="1:13" ht="20" customHeight="1" x14ac:dyDescent="0.15">
      <c r="A123" s="6" t="str">
        <f t="shared" si="138"/>
        <v>20200225</v>
      </c>
      <c r="B123" s="7" t="str">
        <f>"正常购回利息:49.27，提前终止年利率:.0035申报代码:132012"</f>
        <v>正常购回利息:49.27，提前终止年利率:.0035申报代码:132012</v>
      </c>
      <c r="C123" s="8" t="str">
        <f t="shared" si="134"/>
        <v>132092</v>
      </c>
      <c r="D123" s="8" t="str">
        <f t="shared" si="135"/>
        <v>惠理财28天期乐享</v>
      </c>
      <c r="E123" s="8" t="str">
        <f>"报价回购拆出"</f>
        <v>报价回购拆出</v>
      </c>
      <c r="F123" s="8" t="str">
        <f t="shared" si="26"/>
        <v>100</v>
      </c>
      <c r="G123" s="8" t="str">
        <f t="shared" si="136"/>
        <v>6.660</v>
      </c>
      <c r="H123" s="8" t="str">
        <f t="shared" si="137"/>
        <v>10000.000</v>
      </c>
      <c r="I123" s="8" t="str">
        <f t="shared" ref="I123:I130" si="142">"0.000"</f>
        <v>0.000</v>
      </c>
      <c r="J123" s="8" t="str">
        <f t="shared" si="130"/>
        <v>0.000</v>
      </c>
      <c r="K123" s="8" t="str">
        <f t="shared" si="130"/>
        <v>0.000</v>
      </c>
      <c r="L123" s="8" t="str">
        <f>"-10000.000"</f>
        <v>-10000.000</v>
      </c>
      <c r="M123" s="8" t="str">
        <f t="shared" si="5"/>
        <v>0.00</v>
      </c>
    </row>
    <row r="124" spans="1:13" ht="20" customHeight="1" x14ac:dyDescent="0.15">
      <c r="A124" s="6" t="str">
        <f t="shared" si="138"/>
        <v>20200225</v>
      </c>
      <c r="B124" s="7" t="str">
        <f>"报价回购初始交易T+1日交收资金冻结取消"</f>
        <v>报价回购初始交易T+1日交收资金冻结取消</v>
      </c>
      <c r="C124" s="8" t="str">
        <f t="shared" si="134"/>
        <v>132092</v>
      </c>
      <c r="D124" s="8" t="str">
        <f>" "</f>
        <v xml:space="preserve"> </v>
      </c>
      <c r="E124" s="8" t="str">
        <f>"交收资金冻结取消"</f>
        <v>交收资金冻结取消</v>
      </c>
      <c r="F124" s="8" t="str">
        <f t="shared" si="26"/>
        <v>100</v>
      </c>
      <c r="G124" s="8" t="str">
        <f t="shared" si="136"/>
        <v>6.660</v>
      </c>
      <c r="H124" s="8" t="str">
        <f t="shared" si="137"/>
        <v>10000.000</v>
      </c>
      <c r="I124" s="8" t="str">
        <f t="shared" si="142"/>
        <v>0.000</v>
      </c>
      <c r="J124" s="8" t="str">
        <f t="shared" si="130"/>
        <v>0.000</v>
      </c>
      <c r="K124" s="8" t="str">
        <f t="shared" si="130"/>
        <v>0.000</v>
      </c>
      <c r="L124" s="8" t="str">
        <f t="shared" si="130"/>
        <v>0.000</v>
      </c>
      <c r="M124" s="8" t="str">
        <f t="shared" si="5"/>
        <v>0.00</v>
      </c>
    </row>
    <row r="125" spans="1:13" ht="20" customHeight="1" x14ac:dyDescent="0.15">
      <c r="A125" s="6" t="str">
        <f t="shared" si="138"/>
        <v>20200225</v>
      </c>
      <c r="B125" s="7" t="str">
        <f>"122扣除金额 基金代码：940018,发生份额：262.9,日期:20200225(122)"</f>
        <v>122扣除金额 基金代码：940018,发生份额：262.9,日期:20200225(122)</v>
      </c>
      <c r="C125" s="8" t="str">
        <f t="shared" si="0"/>
        <v>940018</v>
      </c>
      <c r="D125" s="8" t="str">
        <f t="shared" si="1"/>
        <v>天天发１天期</v>
      </c>
      <c r="E125" s="8" t="str">
        <f t="shared" si="2"/>
        <v>基金资金拨出</v>
      </c>
      <c r="F125" s="8" t="str">
        <f>"262"</f>
        <v>262</v>
      </c>
      <c r="G125" s="8" t="str">
        <f>"1.000"</f>
        <v>1.000</v>
      </c>
      <c r="H125" s="8" t="str">
        <f t="shared" ref="H125:H130" si="143">"0.000"</f>
        <v>0.000</v>
      </c>
      <c r="I125" s="8" t="str">
        <f t="shared" si="142"/>
        <v>0.000</v>
      </c>
      <c r="J125" s="8" t="str">
        <f t="shared" si="130"/>
        <v>0.000</v>
      </c>
      <c r="K125" s="8" t="str">
        <f t="shared" si="130"/>
        <v>0.000</v>
      </c>
      <c r="L125" s="8" t="str">
        <f>"-262.900"</f>
        <v>-262.900</v>
      </c>
      <c r="M125" s="8" t="str">
        <f t="shared" si="5"/>
        <v>0.00</v>
      </c>
    </row>
    <row r="126" spans="1:13" ht="20" customHeight="1" x14ac:dyDescent="0.15">
      <c r="A126" s="6" t="str">
        <f t="shared" si="138"/>
        <v>20200225</v>
      </c>
      <c r="B126" s="7" t="str">
        <f>"124增加金额 基金代码：940018,发生份额：3056.31,日期:20200225(124)"</f>
        <v>124增加金额 基金代码：940018,发生份额：3056.31,日期:20200225(124)</v>
      </c>
      <c r="C126" s="8" t="str">
        <f t="shared" si="0"/>
        <v>940018</v>
      </c>
      <c r="D126" s="8" t="str">
        <f t="shared" si="1"/>
        <v>天天发１天期</v>
      </c>
      <c r="E126" s="8" t="str">
        <f t="shared" si="12"/>
        <v>基金资金拨入</v>
      </c>
      <c r="F126" s="8" t="str">
        <f>"3056"</f>
        <v>3056</v>
      </c>
      <c r="G126" s="8" t="str">
        <f>"1.000"</f>
        <v>1.000</v>
      </c>
      <c r="H126" s="8" t="str">
        <f t="shared" si="143"/>
        <v>0.000</v>
      </c>
      <c r="I126" s="8" t="str">
        <f t="shared" si="142"/>
        <v>0.000</v>
      </c>
      <c r="J126" s="8" t="str">
        <f t="shared" si="130"/>
        <v>0.000</v>
      </c>
      <c r="K126" s="8" t="str">
        <f t="shared" si="130"/>
        <v>0.000</v>
      </c>
      <c r="L126" s="8" t="str">
        <f>"3056.310"</f>
        <v>3056.310</v>
      </c>
      <c r="M126" s="8" t="str">
        <f t="shared" si="5"/>
        <v>0.00</v>
      </c>
    </row>
    <row r="127" spans="1:13" ht="20" customHeight="1" x14ac:dyDescent="0.15">
      <c r="A127" s="6" t="str">
        <f t="shared" si="138"/>
        <v>20200225</v>
      </c>
      <c r="B127" s="7" t="str">
        <f>"122扣除金额 基金代码：007118,发生份额：190639.6,日期:20200224(122)"</f>
        <v>122扣除金额 基金代码：007118,发生份额：190639.6,日期:20200224(122)</v>
      </c>
      <c r="C127" s="8" t="str">
        <f t="shared" ref="C127:C171" si="144">"007118"</f>
        <v>007118</v>
      </c>
      <c r="D127" s="8" t="str">
        <f t="shared" ref="D127:D171" si="145">"华泰紫金丰泰纯债债券发起C"</f>
        <v>华泰紫金丰泰纯债债券发起C</v>
      </c>
      <c r="E127" s="8" t="str">
        <f t="shared" si="2"/>
        <v>基金资金拨出</v>
      </c>
      <c r="F127" s="8" t="str">
        <f>"190639"</f>
        <v>190639</v>
      </c>
      <c r="G127" s="8" t="str">
        <f t="shared" ref="G127:G144" si="146">"1.049"</f>
        <v>1.049</v>
      </c>
      <c r="H127" s="8" t="str">
        <f t="shared" si="143"/>
        <v>0.000</v>
      </c>
      <c r="I127" s="8" t="str">
        <f t="shared" si="142"/>
        <v>0.000</v>
      </c>
      <c r="J127" s="8" t="str">
        <f t="shared" si="130"/>
        <v>0.000</v>
      </c>
      <c r="K127" s="8" t="str">
        <f t="shared" si="130"/>
        <v>0.000</v>
      </c>
      <c r="L127" s="8" t="str">
        <f>"-200000.000"</f>
        <v>-200000.000</v>
      </c>
      <c r="M127" s="8" t="str">
        <f t="shared" si="5"/>
        <v>0.00</v>
      </c>
    </row>
    <row r="128" spans="1:13" ht="20" customHeight="1" x14ac:dyDescent="0.15">
      <c r="A128" s="6" t="str">
        <f t="shared" si="138"/>
        <v>20200225</v>
      </c>
      <c r="B128" s="7" t="str">
        <f>"122扣除金额 基金代码：007118,发生份额：95319.8,日期:20200224(122)"</f>
        <v>122扣除金额 基金代码：007118,发生份额：95319.8,日期:20200224(122)</v>
      </c>
      <c r="C128" s="8" t="str">
        <f t="shared" si="144"/>
        <v>007118</v>
      </c>
      <c r="D128" s="8" t="str">
        <f t="shared" si="145"/>
        <v>华泰紫金丰泰纯债债券发起C</v>
      </c>
      <c r="E128" s="8" t="str">
        <f t="shared" si="2"/>
        <v>基金资金拨出</v>
      </c>
      <c r="F128" s="8" t="str">
        <f t="shared" ref="F128:F129" si="147">"95319"</f>
        <v>95319</v>
      </c>
      <c r="G128" s="8" t="str">
        <f t="shared" si="146"/>
        <v>1.049</v>
      </c>
      <c r="H128" s="8" t="str">
        <f t="shared" si="143"/>
        <v>0.000</v>
      </c>
      <c r="I128" s="8" t="str">
        <f t="shared" si="142"/>
        <v>0.000</v>
      </c>
      <c r="J128" s="8" t="str">
        <f t="shared" si="130"/>
        <v>0.000</v>
      </c>
      <c r="K128" s="8" t="str">
        <f t="shared" si="130"/>
        <v>0.000</v>
      </c>
      <c r="L128" s="8" t="str">
        <f>"-100000.000"</f>
        <v>-100000.000</v>
      </c>
      <c r="M128" s="8" t="str">
        <f t="shared" si="5"/>
        <v>0.00</v>
      </c>
    </row>
    <row r="129" spans="1:13" ht="20" customHeight="1" x14ac:dyDescent="0.15">
      <c r="A129" s="6" t="str">
        <f t="shared" si="138"/>
        <v>20200225</v>
      </c>
      <c r="B129" s="7" t="str">
        <f>"122扣除金额 基金代码：007118,发生份额：95319.8,日期:20200224(122)"</f>
        <v>122扣除金额 基金代码：007118,发生份额：95319.8,日期:20200224(122)</v>
      </c>
      <c r="C129" s="8" t="str">
        <f t="shared" si="144"/>
        <v>007118</v>
      </c>
      <c r="D129" s="8" t="str">
        <f t="shared" si="145"/>
        <v>华泰紫金丰泰纯债债券发起C</v>
      </c>
      <c r="E129" s="8" t="str">
        <f t="shared" si="2"/>
        <v>基金资金拨出</v>
      </c>
      <c r="F129" s="8" t="str">
        <f t="shared" si="147"/>
        <v>95319</v>
      </c>
      <c r="G129" s="8" t="str">
        <f t="shared" si="146"/>
        <v>1.049</v>
      </c>
      <c r="H129" s="8" t="str">
        <f t="shared" si="143"/>
        <v>0.000</v>
      </c>
      <c r="I129" s="8" t="str">
        <f t="shared" si="142"/>
        <v>0.000</v>
      </c>
      <c r="J129" s="8" t="str">
        <f t="shared" si="130"/>
        <v>0.000</v>
      </c>
      <c r="K129" s="8" t="str">
        <f t="shared" si="130"/>
        <v>0.000</v>
      </c>
      <c r="L129" s="8" t="str">
        <f>"-100000.000"</f>
        <v>-100000.000</v>
      </c>
      <c r="M129" s="8" t="str">
        <f t="shared" ref="M129:M173" si="148">"0.00"</f>
        <v>0.00</v>
      </c>
    </row>
    <row r="130" spans="1:13" ht="20" customHeight="1" x14ac:dyDescent="0.15">
      <c r="A130" s="6" t="str">
        <f t="shared" si="138"/>
        <v>20200225</v>
      </c>
      <c r="B130" s="7" t="str">
        <f>"116902604"</f>
        <v>116902604</v>
      </c>
      <c r="C130" s="8" t="str">
        <f>"072614"</f>
        <v>072614</v>
      </c>
      <c r="D130" s="8" t="str">
        <f>"奥佳发债"</f>
        <v>奥佳发债</v>
      </c>
      <c r="E130" s="8" t="str">
        <f>"申购配号"</f>
        <v>申购配号</v>
      </c>
      <c r="F130" s="8" t="str">
        <f t="shared" ref="F130:F173" si="149">"1000"</f>
        <v>1000</v>
      </c>
      <c r="G130" s="8" t="str">
        <f>"0.000"</f>
        <v>0.000</v>
      </c>
      <c r="H130" s="8" t="str">
        <f t="shared" si="143"/>
        <v>0.000</v>
      </c>
      <c r="I130" s="8" t="str">
        <f t="shared" si="142"/>
        <v>0.000</v>
      </c>
      <c r="J130" s="8" t="str">
        <f t="shared" si="130"/>
        <v>0.000</v>
      </c>
      <c r="K130" s="8" t="str">
        <f t="shared" si="130"/>
        <v>0.000</v>
      </c>
      <c r="L130" s="8" t="str">
        <f t="shared" si="130"/>
        <v>0.000</v>
      </c>
      <c r="M130" s="8" t="str">
        <f t="shared" si="148"/>
        <v>0.00</v>
      </c>
    </row>
    <row r="131" spans="1:13" ht="20" customHeight="1" x14ac:dyDescent="0.15">
      <c r="A131" s="6" t="str">
        <f t="shared" ref="A131:A146" si="150">"20200226"</f>
        <v>20200226</v>
      </c>
      <c r="B131" s="7" t="str">
        <f>"证券买入"</f>
        <v>证券买入</v>
      </c>
      <c r="C131" s="8" t="str">
        <f t="shared" si="128"/>
        <v>518880</v>
      </c>
      <c r="D131" s="8" t="str">
        <f t="shared" si="129"/>
        <v>黄金ETF</v>
      </c>
      <c r="E131" s="8" t="str">
        <f>"证券买入"</f>
        <v>证券买入</v>
      </c>
      <c r="F131" s="8" t="str">
        <f t="shared" si="86"/>
        <v>300</v>
      </c>
      <c r="G131" s="8" t="str">
        <f>"3.667"</f>
        <v>3.667</v>
      </c>
      <c r="H131" s="8" t="str">
        <f>"1100.100"</f>
        <v>1100.100</v>
      </c>
      <c r="I131" s="8" t="str">
        <f>"0.110"</f>
        <v>0.110</v>
      </c>
      <c r="J131" s="8" t="str">
        <f t="shared" si="130"/>
        <v>0.000</v>
      </c>
      <c r="K131" s="8" t="str">
        <f t="shared" si="130"/>
        <v>0.000</v>
      </c>
      <c r="L131" s="8" t="str">
        <f>"-1100.210"</f>
        <v>-1100.210</v>
      </c>
      <c r="M131" s="8" t="str">
        <f t="shared" si="148"/>
        <v>0.00</v>
      </c>
    </row>
    <row r="132" spans="1:13" ht="20" customHeight="1" x14ac:dyDescent="0.15">
      <c r="A132" s="6" t="str">
        <f t="shared" si="150"/>
        <v>20200226</v>
      </c>
      <c r="B132" s="7" t="str">
        <f>"证券买入"</f>
        <v>证券买入</v>
      </c>
      <c r="C132" s="8" t="str">
        <f t="shared" si="132"/>
        <v>515700</v>
      </c>
      <c r="D132" s="8" t="str">
        <f t="shared" si="133"/>
        <v>新能车</v>
      </c>
      <c r="E132" s="8" t="str">
        <f>"证券买入"</f>
        <v>证券买入</v>
      </c>
      <c r="F132" s="8" t="str">
        <f t="shared" si="20"/>
        <v>400</v>
      </c>
      <c r="G132" s="8" t="str">
        <f>"1.246"</f>
        <v>1.246</v>
      </c>
      <c r="H132" s="8" t="str">
        <f>"498.400"</f>
        <v>498.400</v>
      </c>
      <c r="I132" s="8" t="str">
        <f t="shared" si="139"/>
        <v>0.100</v>
      </c>
      <c r="J132" s="8" t="str">
        <f t="shared" si="130"/>
        <v>0.000</v>
      </c>
      <c r="K132" s="8" t="str">
        <f t="shared" si="130"/>
        <v>0.000</v>
      </c>
      <c r="L132" s="8" t="str">
        <f>"-498.500"</f>
        <v>-498.500</v>
      </c>
      <c r="M132" s="8" t="str">
        <f t="shared" si="148"/>
        <v>0.00</v>
      </c>
    </row>
    <row r="133" spans="1:13" ht="20" customHeight="1" x14ac:dyDescent="0.15">
      <c r="A133" s="6" t="str">
        <f t="shared" si="150"/>
        <v>20200226</v>
      </c>
      <c r="B133" s="7" t="str">
        <f>"证券买入"</f>
        <v>证券买入</v>
      </c>
      <c r="C133" s="8" t="str">
        <f t="shared" si="96"/>
        <v>515000</v>
      </c>
      <c r="D133" s="8" t="str">
        <f t="shared" si="97"/>
        <v>科技ETF</v>
      </c>
      <c r="E133" s="8" t="str">
        <f>"证券买入"</f>
        <v>证券买入</v>
      </c>
      <c r="F133" s="8" t="str">
        <f t="shared" si="20"/>
        <v>400</v>
      </c>
      <c r="G133" s="8" t="str">
        <f>"1.631"</f>
        <v>1.631</v>
      </c>
      <c r="H133" s="8" t="str">
        <f>"652.400"</f>
        <v>652.400</v>
      </c>
      <c r="I133" s="8" t="str">
        <f t="shared" si="139"/>
        <v>0.100</v>
      </c>
      <c r="J133" s="8" t="str">
        <f t="shared" si="130"/>
        <v>0.000</v>
      </c>
      <c r="K133" s="8" t="str">
        <f t="shared" si="130"/>
        <v>0.000</v>
      </c>
      <c r="L133" s="8" t="str">
        <f>"-652.500"</f>
        <v>-652.500</v>
      </c>
      <c r="M133" s="8" t="str">
        <f t="shared" si="148"/>
        <v>0.00</v>
      </c>
    </row>
    <row r="134" spans="1:13" ht="20" customHeight="1" x14ac:dyDescent="0.15">
      <c r="A134" s="6" t="str">
        <f t="shared" si="150"/>
        <v>20200226</v>
      </c>
      <c r="B134" s="7" t="str">
        <f>"证券买入"</f>
        <v>证券买入</v>
      </c>
      <c r="C134" s="8" t="str">
        <f t="shared" si="14"/>
        <v>510300</v>
      </c>
      <c r="D134" s="8" t="str">
        <f t="shared" si="15"/>
        <v>300ETF</v>
      </c>
      <c r="E134" s="8" t="str">
        <f>"证券买入"</f>
        <v>证券买入</v>
      </c>
      <c r="F134" s="8" t="str">
        <f>"7500"</f>
        <v>7500</v>
      </c>
      <c r="G134" s="8" t="str">
        <f t="shared" ref="G134:G138" si="151">"4.064"</f>
        <v>4.064</v>
      </c>
      <c r="H134" s="8" t="str">
        <f>"30480.000"</f>
        <v>30480.000</v>
      </c>
      <c r="I134" s="8" t="str">
        <f>"3.050"</f>
        <v>3.050</v>
      </c>
      <c r="J134" s="8" t="str">
        <f t="shared" si="130"/>
        <v>0.000</v>
      </c>
      <c r="K134" s="8" t="str">
        <f t="shared" si="130"/>
        <v>0.000</v>
      </c>
      <c r="L134" s="8" t="str">
        <f>"-30483.050"</f>
        <v>-30483.050</v>
      </c>
      <c r="M134" s="8" t="str">
        <f t="shared" si="148"/>
        <v>0.00</v>
      </c>
    </row>
    <row r="135" spans="1:13" ht="20" customHeight="1" x14ac:dyDescent="0.15">
      <c r="A135" s="6" t="str">
        <f t="shared" si="150"/>
        <v>20200226</v>
      </c>
      <c r="B135" s="7" t="str">
        <f>"证券买入"</f>
        <v>证券买入</v>
      </c>
      <c r="C135" s="8" t="str">
        <f t="shared" si="72"/>
        <v>512880</v>
      </c>
      <c r="D135" s="8" t="str">
        <f t="shared" si="73"/>
        <v>证券ETF</v>
      </c>
      <c r="E135" s="8" t="str">
        <f t="shared" si="118"/>
        <v>证券买入</v>
      </c>
      <c r="F135" s="8" t="str">
        <f>"28500"</f>
        <v>28500</v>
      </c>
      <c r="G135" s="8" t="str">
        <f>"1.051"</f>
        <v>1.051</v>
      </c>
      <c r="H135" s="8" t="str">
        <f>"29953.500"</f>
        <v>29953.500</v>
      </c>
      <c r="I135" s="8" t="str">
        <f t="shared" si="88"/>
        <v>3.000</v>
      </c>
      <c r="J135" s="8" t="str">
        <f t="shared" si="130"/>
        <v>0.000</v>
      </c>
      <c r="K135" s="8" t="str">
        <f t="shared" si="130"/>
        <v>0.000</v>
      </c>
      <c r="L135" s="8" t="str">
        <f>"-29956.500"</f>
        <v>-29956.500</v>
      </c>
      <c r="M135" s="8" t="str">
        <f t="shared" si="148"/>
        <v>0.00</v>
      </c>
    </row>
    <row r="136" spans="1:13" ht="20" customHeight="1" x14ac:dyDescent="0.15">
      <c r="A136" s="6" t="str">
        <f t="shared" si="150"/>
        <v>20200226</v>
      </c>
      <c r="B136" s="7" t="str">
        <f t="shared" si="118"/>
        <v>证券买入</v>
      </c>
      <c r="C136" s="8" t="str">
        <f t="shared" si="93"/>
        <v>510500</v>
      </c>
      <c r="D136" s="8" t="str">
        <f t="shared" si="94"/>
        <v>500ETF</v>
      </c>
      <c r="E136" s="8" t="str">
        <f t="shared" si="118"/>
        <v>证券买入</v>
      </c>
      <c r="F136" s="8" t="str">
        <f>"2500"</f>
        <v>2500</v>
      </c>
      <c r="G136" s="8" t="str">
        <f>"6.298"</f>
        <v>6.298</v>
      </c>
      <c r="H136" s="8" t="str">
        <f>"15745.000"</f>
        <v>15745.000</v>
      </c>
      <c r="I136" s="8" t="str">
        <f>"1.570"</f>
        <v>1.570</v>
      </c>
      <c r="J136" s="8" t="str">
        <f t="shared" si="130"/>
        <v>0.000</v>
      </c>
      <c r="K136" s="8" t="str">
        <f t="shared" si="130"/>
        <v>0.000</v>
      </c>
      <c r="L136" s="8" t="str">
        <f>"-15746.570"</f>
        <v>-15746.570</v>
      </c>
      <c r="M136" s="8" t="str">
        <f t="shared" si="148"/>
        <v>0.00</v>
      </c>
    </row>
    <row r="137" spans="1:13" ht="20" customHeight="1" x14ac:dyDescent="0.15">
      <c r="A137" s="6" t="str">
        <f t="shared" si="150"/>
        <v>20200226</v>
      </c>
      <c r="B137" s="7" t="str">
        <f t="shared" si="118"/>
        <v>证券买入</v>
      </c>
      <c r="C137" s="8" t="str">
        <f t="shared" si="93"/>
        <v>510500</v>
      </c>
      <c r="D137" s="8" t="str">
        <f t="shared" si="94"/>
        <v>500ETF</v>
      </c>
      <c r="E137" s="8" t="str">
        <f t="shared" si="118"/>
        <v>证券买入</v>
      </c>
      <c r="F137" s="8" t="str">
        <f t="shared" si="103"/>
        <v>2400</v>
      </c>
      <c r="G137" s="8" t="str">
        <f>"6.288"</f>
        <v>6.288</v>
      </c>
      <c r="H137" s="8" t="str">
        <f>"15091.200"</f>
        <v>15091.200</v>
      </c>
      <c r="I137" s="8" t="str">
        <f t="shared" si="45"/>
        <v>1.510</v>
      </c>
      <c r="J137" s="8" t="str">
        <f t="shared" si="130"/>
        <v>0.000</v>
      </c>
      <c r="K137" s="8" t="str">
        <f t="shared" si="130"/>
        <v>0.000</v>
      </c>
      <c r="L137" s="8" t="str">
        <f>"-15092.710"</f>
        <v>-15092.710</v>
      </c>
      <c r="M137" s="8" t="str">
        <f t="shared" si="148"/>
        <v>0.00</v>
      </c>
    </row>
    <row r="138" spans="1:13" ht="20" customHeight="1" x14ac:dyDescent="0.15">
      <c r="A138" s="6" t="str">
        <f t="shared" si="150"/>
        <v>20200226</v>
      </c>
      <c r="B138" s="7" t="str">
        <f t="shared" si="118"/>
        <v>证券买入</v>
      </c>
      <c r="C138" s="8" t="str">
        <f t="shared" si="14"/>
        <v>510300</v>
      </c>
      <c r="D138" s="8" t="str">
        <f t="shared" si="15"/>
        <v>300ETF</v>
      </c>
      <c r="E138" s="8" t="str">
        <f t="shared" si="118"/>
        <v>证券买入</v>
      </c>
      <c r="F138" s="8" t="str">
        <f>"6400"</f>
        <v>6400</v>
      </c>
      <c r="G138" s="8" t="str">
        <f t="shared" si="151"/>
        <v>4.064</v>
      </c>
      <c r="H138" s="8" t="str">
        <f>"26009.600"</f>
        <v>26009.600</v>
      </c>
      <c r="I138" s="8" t="str">
        <f t="shared" si="31"/>
        <v>2.600</v>
      </c>
      <c r="J138" s="8" t="str">
        <f t="shared" si="130"/>
        <v>0.000</v>
      </c>
      <c r="K138" s="8" t="str">
        <f t="shared" si="130"/>
        <v>0.000</v>
      </c>
      <c r="L138" s="8" t="str">
        <f>"-26012.200"</f>
        <v>-26012.200</v>
      </c>
      <c r="M138" s="8" t="str">
        <f t="shared" si="148"/>
        <v>0.00</v>
      </c>
    </row>
    <row r="139" spans="1:13" ht="20" customHeight="1" x14ac:dyDescent="0.15">
      <c r="A139" s="6" t="str">
        <f t="shared" si="150"/>
        <v>20200226</v>
      </c>
      <c r="B139" s="7" t="str">
        <f t="shared" si="118"/>
        <v>证券买入</v>
      </c>
      <c r="C139" s="8" t="str">
        <f t="shared" si="8"/>
        <v>162411</v>
      </c>
      <c r="D139" s="8" t="str">
        <f t="shared" si="9"/>
        <v>华宝油气</v>
      </c>
      <c r="E139" s="8" t="str">
        <f t="shared" si="118"/>
        <v>证券买入</v>
      </c>
      <c r="F139" s="8" t="str">
        <f t="shared" si="120"/>
        <v>3000</v>
      </c>
      <c r="G139" s="8" t="str">
        <f>"0.341"</f>
        <v>0.341</v>
      </c>
      <c r="H139" s="8" t="str">
        <f>"1023.000"</f>
        <v>1023.000</v>
      </c>
      <c r="I139" s="8" t="str">
        <f t="shared" si="139"/>
        <v>0.100</v>
      </c>
      <c r="J139" s="8" t="str">
        <f t="shared" si="130"/>
        <v>0.000</v>
      </c>
      <c r="K139" s="8" t="str">
        <f t="shared" si="130"/>
        <v>0.000</v>
      </c>
      <c r="L139" s="8" t="str">
        <f>"-1023.100"</f>
        <v>-1023.100</v>
      </c>
      <c r="M139" s="8" t="str">
        <f t="shared" si="148"/>
        <v>0.00</v>
      </c>
    </row>
    <row r="140" spans="1:13" ht="20" customHeight="1" x14ac:dyDescent="0.15">
      <c r="A140" s="6" t="str">
        <f t="shared" si="150"/>
        <v>20200226</v>
      </c>
      <c r="B140" s="7" t="str">
        <f t="shared" si="118"/>
        <v>证券买入</v>
      </c>
      <c r="C140" s="8" t="str">
        <f t="shared" si="78"/>
        <v>159995</v>
      </c>
      <c r="D140" s="8" t="str">
        <f t="shared" si="79"/>
        <v>芯片ETF</v>
      </c>
      <c r="E140" s="8" t="str">
        <f t="shared" si="118"/>
        <v>证券买入</v>
      </c>
      <c r="F140" s="8" t="str">
        <f t="shared" si="20"/>
        <v>400</v>
      </c>
      <c r="G140" s="8" t="str">
        <f>"1.375"</f>
        <v>1.375</v>
      </c>
      <c r="H140" s="8" t="str">
        <f>"550.000"</f>
        <v>550.000</v>
      </c>
      <c r="I140" s="8" t="str">
        <f t="shared" si="139"/>
        <v>0.100</v>
      </c>
      <c r="J140" s="8" t="str">
        <f t="shared" si="130"/>
        <v>0.000</v>
      </c>
      <c r="K140" s="8" t="str">
        <f t="shared" si="130"/>
        <v>0.000</v>
      </c>
      <c r="L140" s="8" t="str">
        <f>"-550.100"</f>
        <v>-550.100</v>
      </c>
      <c r="M140" s="8" t="str">
        <f t="shared" si="148"/>
        <v>0.00</v>
      </c>
    </row>
    <row r="141" spans="1:13" ht="20" customHeight="1" x14ac:dyDescent="0.15">
      <c r="A141" s="6" t="str">
        <f t="shared" si="150"/>
        <v>20200226</v>
      </c>
      <c r="B141" s="7" t="str">
        <f t="shared" si="118"/>
        <v>证券买入</v>
      </c>
      <c r="C141" s="8" t="str">
        <f t="shared" si="18"/>
        <v>159915</v>
      </c>
      <c r="D141" s="8" t="str">
        <f t="shared" si="19"/>
        <v>创业板</v>
      </c>
      <c r="E141" s="8" t="str">
        <f t="shared" si="118"/>
        <v>证券买入</v>
      </c>
      <c r="F141" s="8" t="str">
        <f>"14000"</f>
        <v>14000</v>
      </c>
      <c r="G141" s="8" t="str">
        <f>"2.162"</f>
        <v>2.162</v>
      </c>
      <c r="H141" s="8" t="str">
        <f>"30268.000"</f>
        <v>30268.000</v>
      </c>
      <c r="I141" s="8" t="str">
        <f>"3.030"</f>
        <v>3.030</v>
      </c>
      <c r="J141" s="8" t="str">
        <f t="shared" si="130"/>
        <v>0.000</v>
      </c>
      <c r="K141" s="8" t="str">
        <f t="shared" si="130"/>
        <v>0.000</v>
      </c>
      <c r="L141" s="8" t="str">
        <f>"-30271.030"</f>
        <v>-30271.030</v>
      </c>
      <c r="M141" s="8" t="str">
        <f t="shared" si="148"/>
        <v>0.00</v>
      </c>
    </row>
    <row r="142" spans="1:13" ht="20" customHeight="1" x14ac:dyDescent="0.15">
      <c r="A142" s="6" t="str">
        <f t="shared" si="150"/>
        <v>20200226</v>
      </c>
      <c r="B142" s="7" t="str">
        <f>"融券购回:0.14实际占款天数：1-131990"</f>
        <v>融券购回:0.14实际占款天数：1-131990</v>
      </c>
      <c r="C142" s="8" t="str">
        <f>"131810"</f>
        <v>131810</v>
      </c>
      <c r="D142" s="8" t="str">
        <f t="shared" si="36"/>
        <v>Ｒ-001</v>
      </c>
      <c r="E142" s="8" t="str">
        <f t="shared" si="51"/>
        <v>拆出质押购回</v>
      </c>
      <c r="F142" s="8" t="str">
        <f>"-20"</f>
        <v>-20</v>
      </c>
      <c r="G142" s="8" t="str">
        <f t="shared" si="140"/>
        <v>2.482</v>
      </c>
      <c r="H142" s="8" t="str">
        <f t="shared" si="141"/>
        <v>2000.000</v>
      </c>
      <c r="I142" s="8" t="str">
        <f>"0.000"</f>
        <v>0.000</v>
      </c>
      <c r="J142" s="8" t="str">
        <f t="shared" si="130"/>
        <v>0.000</v>
      </c>
      <c r="K142" s="8" t="str">
        <f t="shared" si="130"/>
        <v>0.000</v>
      </c>
      <c r="L142" s="8" t="str">
        <f>"2000.140"</f>
        <v>2000.140</v>
      </c>
      <c r="M142" s="8" t="str">
        <f t="shared" si="148"/>
        <v>0.00</v>
      </c>
    </row>
    <row r="143" spans="1:13" ht="20" customHeight="1" x14ac:dyDescent="0.15">
      <c r="A143" s="6" t="str">
        <f t="shared" si="150"/>
        <v>20200226</v>
      </c>
      <c r="B143" s="7" t="str">
        <f>"122扣除金额 基金代码：940018,发生份额：113.67,日期:20200226(122)"</f>
        <v>122扣除金额 基金代码：940018,发生份额：113.67,日期:20200226(122)</v>
      </c>
      <c r="C143" s="8" t="str">
        <f t="shared" si="0"/>
        <v>940018</v>
      </c>
      <c r="D143" s="8" t="str">
        <f t="shared" si="1"/>
        <v>天天发１天期</v>
      </c>
      <c r="E143" s="8" t="str">
        <f t="shared" si="2"/>
        <v>基金资金拨出</v>
      </c>
      <c r="F143" s="8" t="str">
        <f>"113"</f>
        <v>113</v>
      </c>
      <c r="G143" s="8" t="str">
        <f>"1.000"</f>
        <v>1.000</v>
      </c>
      <c r="H143" s="8" t="str">
        <f>"0.000"</f>
        <v>0.000</v>
      </c>
      <c r="I143" s="8" t="str">
        <f>"0.000"</f>
        <v>0.000</v>
      </c>
      <c r="J143" s="8" t="str">
        <f t="shared" si="130"/>
        <v>0.000</v>
      </c>
      <c r="K143" s="8" t="str">
        <f t="shared" si="130"/>
        <v>0.000</v>
      </c>
      <c r="L143" s="8" t="str">
        <f>"-113.670"</f>
        <v>-113.670</v>
      </c>
      <c r="M143" s="8" t="str">
        <f t="shared" si="148"/>
        <v>0.00</v>
      </c>
    </row>
    <row r="144" spans="1:13" ht="20" customHeight="1" x14ac:dyDescent="0.15">
      <c r="A144" s="6" t="str">
        <f t="shared" si="150"/>
        <v>20200226</v>
      </c>
      <c r="B144" s="7" t="str">
        <f>"122扣除金额 基金代码：007118,发生份额：57180.98,日期:20200225(122)"</f>
        <v>122扣除金额 基金代码：007118,发生份额：57180.98,日期:20200225(122)</v>
      </c>
      <c r="C144" s="8" t="str">
        <f t="shared" si="144"/>
        <v>007118</v>
      </c>
      <c r="D144" s="8" t="str">
        <f t="shared" si="145"/>
        <v>华泰紫金丰泰纯债债券发起C</v>
      </c>
      <c r="E144" s="8" t="str">
        <f t="shared" si="2"/>
        <v>基金资金拨出</v>
      </c>
      <c r="F144" s="8" t="str">
        <f>"57180"</f>
        <v>57180</v>
      </c>
      <c r="G144" s="8" t="str">
        <f t="shared" si="146"/>
        <v>1.049</v>
      </c>
      <c r="H144" s="8" t="str">
        <f>"0.000"</f>
        <v>0.000</v>
      </c>
      <c r="I144" s="8" t="str">
        <f>"0.000"</f>
        <v>0.000</v>
      </c>
      <c r="J144" s="8" t="str">
        <f t="shared" si="130"/>
        <v>0.000</v>
      </c>
      <c r="K144" s="8" t="str">
        <f t="shared" si="130"/>
        <v>0.000</v>
      </c>
      <c r="L144" s="8" t="str">
        <f>"-60000.000"</f>
        <v>-60000.000</v>
      </c>
      <c r="M144" s="8" t="str">
        <f t="shared" si="148"/>
        <v>0.00</v>
      </c>
    </row>
    <row r="145" spans="1:13" ht="20" customHeight="1" x14ac:dyDescent="0.15">
      <c r="A145" s="6" t="str">
        <f t="shared" si="150"/>
        <v>20200226</v>
      </c>
      <c r="B145" s="7" t="str">
        <f>"102676927919"</f>
        <v>102676927919</v>
      </c>
      <c r="C145" s="8" t="str">
        <f>"756336"</f>
        <v>756336</v>
      </c>
      <c r="D145" s="8" t="str">
        <f>"宏辉配号"</f>
        <v>宏辉配号</v>
      </c>
      <c r="E145" s="8" t="str">
        <f>"申购配号"</f>
        <v>申购配号</v>
      </c>
      <c r="F145" s="8" t="str">
        <f t="shared" si="149"/>
        <v>1000</v>
      </c>
      <c r="G145" s="8" t="str">
        <f>"0.000"</f>
        <v>0.000</v>
      </c>
      <c r="H145" s="8" t="str">
        <f>"0.000"</f>
        <v>0.000</v>
      </c>
      <c r="I145" s="8" t="str">
        <f>"0.000"</f>
        <v>0.000</v>
      </c>
      <c r="J145" s="8" t="str">
        <f t="shared" si="130"/>
        <v>0.000</v>
      </c>
      <c r="K145" s="8" t="str">
        <f t="shared" si="130"/>
        <v>0.000</v>
      </c>
      <c r="L145" s="8" t="str">
        <f t="shared" si="130"/>
        <v>0.000</v>
      </c>
      <c r="M145" s="8" t="str">
        <f t="shared" si="148"/>
        <v>0.00</v>
      </c>
    </row>
    <row r="146" spans="1:13" ht="20" customHeight="1" x14ac:dyDescent="0.15">
      <c r="A146" s="6" t="str">
        <f t="shared" si="150"/>
        <v>20200226</v>
      </c>
      <c r="B146" s="7" t="str">
        <f>"128608179"</f>
        <v>128608179</v>
      </c>
      <c r="C146" s="8" t="str">
        <f>"002976"</f>
        <v>002976</v>
      </c>
      <c r="D146" s="8" t="str">
        <f>"瑞玛工业"</f>
        <v>瑞玛工业</v>
      </c>
      <c r="E146" s="8" t="str">
        <f>"申购配号"</f>
        <v>申购配号</v>
      </c>
      <c r="F146" s="8" t="str">
        <f>"4"</f>
        <v>4</v>
      </c>
      <c r="G146" s="8" t="str">
        <f>"0.000"</f>
        <v>0.000</v>
      </c>
      <c r="H146" s="8" t="str">
        <f>"0.000"</f>
        <v>0.000</v>
      </c>
      <c r="I146" s="8" t="str">
        <f>"0.000"</f>
        <v>0.000</v>
      </c>
      <c r="J146" s="8" t="str">
        <f t="shared" si="130"/>
        <v>0.000</v>
      </c>
      <c r="K146" s="8" t="str">
        <f t="shared" si="130"/>
        <v>0.000</v>
      </c>
      <c r="L146" s="8" t="str">
        <f t="shared" si="130"/>
        <v>0.000</v>
      </c>
      <c r="M146" s="8" t="str">
        <f t="shared" si="148"/>
        <v>0.00</v>
      </c>
    </row>
    <row r="147" spans="1:13" ht="20" customHeight="1" x14ac:dyDescent="0.15">
      <c r="A147" s="6" t="str">
        <f t="shared" ref="A147:A153" si="152">"20200227"</f>
        <v>20200227</v>
      </c>
      <c r="B147" s="7" t="str">
        <f t="shared" si="118"/>
        <v>证券买入</v>
      </c>
      <c r="C147" s="8" t="str">
        <f t="shared" si="93"/>
        <v>510500</v>
      </c>
      <c r="D147" s="8" t="str">
        <f t="shared" si="94"/>
        <v>500ETF</v>
      </c>
      <c r="E147" s="8" t="str">
        <f t="shared" si="118"/>
        <v>证券买入</v>
      </c>
      <c r="F147" s="8" t="str">
        <f t="shared" si="95"/>
        <v>900</v>
      </c>
      <c r="G147" s="8" t="str">
        <f>"6.225"</f>
        <v>6.225</v>
      </c>
      <c r="H147" s="8" t="str">
        <f>"5602.500"</f>
        <v>5602.500</v>
      </c>
      <c r="I147" s="8" t="str">
        <f>"0.560"</f>
        <v>0.560</v>
      </c>
      <c r="J147" s="8" t="str">
        <f t="shared" si="130"/>
        <v>0.000</v>
      </c>
      <c r="K147" s="8" t="str">
        <f t="shared" si="130"/>
        <v>0.000</v>
      </c>
      <c r="L147" s="8" t="str">
        <f>"-5603.060"</f>
        <v>-5603.060</v>
      </c>
      <c r="M147" s="8" t="str">
        <f t="shared" si="148"/>
        <v>0.00</v>
      </c>
    </row>
    <row r="148" spans="1:13" ht="20" customHeight="1" x14ac:dyDescent="0.15">
      <c r="A148" s="6" t="str">
        <f t="shared" si="152"/>
        <v>20200227</v>
      </c>
      <c r="B148" s="7" t="str">
        <f>"证券买入"</f>
        <v>证券买入</v>
      </c>
      <c r="C148" s="8" t="str">
        <f t="shared" si="131"/>
        <v>512290</v>
      </c>
      <c r="D148" s="8" t="str">
        <f>"生物医药"</f>
        <v>生物医药</v>
      </c>
      <c r="E148" s="8" t="str">
        <f>"证券买入"</f>
        <v>证券买入</v>
      </c>
      <c r="F148" s="8" t="str">
        <f t="shared" si="20"/>
        <v>400</v>
      </c>
      <c r="G148" s="8" t="str">
        <f>"1.381"</f>
        <v>1.381</v>
      </c>
      <c r="H148" s="8" t="str">
        <f>"552.400"</f>
        <v>552.400</v>
      </c>
      <c r="I148" s="8" t="str">
        <f t="shared" si="139"/>
        <v>0.100</v>
      </c>
      <c r="J148" s="8" t="str">
        <f t="shared" si="130"/>
        <v>0.000</v>
      </c>
      <c r="K148" s="8" t="str">
        <f t="shared" si="130"/>
        <v>0.000</v>
      </c>
      <c r="L148" s="8" t="str">
        <f>"-552.500"</f>
        <v>-552.500</v>
      </c>
      <c r="M148" s="8" t="str">
        <f t="shared" si="148"/>
        <v>0.00</v>
      </c>
    </row>
    <row r="149" spans="1:13" ht="20" customHeight="1" x14ac:dyDescent="0.15">
      <c r="A149" s="6" t="str">
        <f t="shared" si="152"/>
        <v>20200227</v>
      </c>
      <c r="B149" s="7" t="str">
        <f>"证券买入"</f>
        <v>证券买入</v>
      </c>
      <c r="C149" s="8" t="str">
        <f t="shared" si="72"/>
        <v>512880</v>
      </c>
      <c r="D149" s="8" t="str">
        <f t="shared" si="73"/>
        <v>证券ETF</v>
      </c>
      <c r="E149" s="8" t="str">
        <f>"证券买入"</f>
        <v>证券买入</v>
      </c>
      <c r="F149" s="8" t="str">
        <f>"4800"</f>
        <v>4800</v>
      </c>
      <c r="G149" s="8" t="str">
        <f>"1.053"</f>
        <v>1.053</v>
      </c>
      <c r="H149" s="8" t="str">
        <f>"5054.400"</f>
        <v>5054.400</v>
      </c>
      <c r="I149" s="8" t="str">
        <f>"0.510"</f>
        <v>0.510</v>
      </c>
      <c r="J149" s="8" t="str">
        <f t="shared" si="130"/>
        <v>0.000</v>
      </c>
      <c r="K149" s="8" t="str">
        <f t="shared" si="130"/>
        <v>0.000</v>
      </c>
      <c r="L149" s="8" t="str">
        <f>"-5054.910"</f>
        <v>-5054.910</v>
      </c>
      <c r="M149" s="8" t="str">
        <f t="shared" si="148"/>
        <v>0.00</v>
      </c>
    </row>
    <row r="150" spans="1:13" ht="20" customHeight="1" x14ac:dyDescent="0.15">
      <c r="A150" s="6" t="str">
        <f t="shared" si="152"/>
        <v>20200227</v>
      </c>
      <c r="B150" s="7" t="str">
        <f>"证券买入"</f>
        <v>证券买入</v>
      </c>
      <c r="C150" s="8" t="str">
        <f t="shared" si="18"/>
        <v>159915</v>
      </c>
      <c r="D150" s="8" t="str">
        <f t="shared" si="19"/>
        <v>创业板</v>
      </c>
      <c r="E150" s="8" t="str">
        <f>"证券买入"</f>
        <v>证券买入</v>
      </c>
      <c r="F150" s="8" t="str">
        <f t="shared" si="70"/>
        <v>500</v>
      </c>
      <c r="G150" s="8" t="str">
        <f>"2.084"</f>
        <v>2.084</v>
      </c>
      <c r="H150" s="8" t="str">
        <f>"1042.000"</f>
        <v>1042.000</v>
      </c>
      <c r="I150" s="8" t="str">
        <f t="shared" si="139"/>
        <v>0.100</v>
      </c>
      <c r="J150" s="8" t="str">
        <f t="shared" si="130"/>
        <v>0.000</v>
      </c>
      <c r="K150" s="8" t="str">
        <f t="shared" si="130"/>
        <v>0.000</v>
      </c>
      <c r="L150" s="8" t="str">
        <f>"-1042.100"</f>
        <v>-1042.100</v>
      </c>
      <c r="M150" s="8" t="str">
        <f t="shared" si="148"/>
        <v>0.00</v>
      </c>
    </row>
    <row r="151" spans="1:13" ht="20" customHeight="1" x14ac:dyDescent="0.15">
      <c r="A151" s="6" t="str">
        <f t="shared" si="152"/>
        <v>20200227</v>
      </c>
      <c r="B151" s="7" t="str">
        <f>"融券回购购回日:20200228预计利息:1.9参考占款天数：3-131990"</f>
        <v>融券回购购回日:20200228预计利息:1.9参考占款天数：3-131990</v>
      </c>
      <c r="C151" s="8" t="str">
        <f>"131810"</f>
        <v>131810</v>
      </c>
      <c r="D151" s="8" t="str">
        <f t="shared" si="36"/>
        <v>Ｒ-001</v>
      </c>
      <c r="E151" s="8" t="str">
        <f t="shared" si="25"/>
        <v>质押回购拆出</v>
      </c>
      <c r="F151" s="8" t="str">
        <f t="shared" si="26"/>
        <v>100</v>
      </c>
      <c r="G151" s="8" t="str">
        <f t="shared" si="101"/>
        <v>2.315</v>
      </c>
      <c r="H151" s="8" t="str">
        <f t="shared" si="137"/>
        <v>10000.000</v>
      </c>
      <c r="I151" s="8" t="str">
        <f t="shared" si="139"/>
        <v>0.100</v>
      </c>
      <c r="J151" s="8" t="str">
        <f t="shared" si="130"/>
        <v>0.000</v>
      </c>
      <c r="K151" s="8" t="str">
        <f t="shared" si="130"/>
        <v>0.000</v>
      </c>
      <c r="L151" s="8" t="str">
        <f>"-10000.100"</f>
        <v>-10000.100</v>
      </c>
      <c r="M151" s="8" t="str">
        <f t="shared" si="148"/>
        <v>0.00</v>
      </c>
    </row>
    <row r="152" spans="1:13" ht="20" customHeight="1" x14ac:dyDescent="0.15">
      <c r="A152" s="6" t="str">
        <f t="shared" si="152"/>
        <v>20200227</v>
      </c>
      <c r="B152" s="7" t="str">
        <f>"122扣除金额 基金代码：940018,发生份额：13747.33,日期:20200227(122)"</f>
        <v>122扣除金额 基金代码：940018,发生份额：13747.33,日期:20200227(122)</v>
      </c>
      <c r="C152" s="8" t="str">
        <f t="shared" si="0"/>
        <v>940018</v>
      </c>
      <c r="D152" s="8" t="str">
        <f t="shared" si="1"/>
        <v>天天发１天期</v>
      </c>
      <c r="E152" s="8" t="str">
        <f t="shared" si="2"/>
        <v>基金资金拨出</v>
      </c>
      <c r="F152" s="8" t="str">
        <f>"13747"</f>
        <v>13747</v>
      </c>
      <c r="G152" s="8" t="str">
        <f>"1.000"</f>
        <v>1.000</v>
      </c>
      <c r="H152" s="8" t="str">
        <f>"0.000"</f>
        <v>0.000</v>
      </c>
      <c r="I152" s="8" t="str">
        <f>"0.000"</f>
        <v>0.000</v>
      </c>
      <c r="J152" s="8" t="str">
        <f t="shared" si="130"/>
        <v>0.000</v>
      </c>
      <c r="K152" s="8" t="str">
        <f t="shared" si="130"/>
        <v>0.000</v>
      </c>
      <c r="L152" s="8" t="str">
        <f>"-13747.330"</f>
        <v>-13747.330</v>
      </c>
      <c r="M152" s="8" t="str">
        <f t="shared" si="148"/>
        <v>0.00</v>
      </c>
    </row>
    <row r="153" spans="1:13" ht="20" customHeight="1" x14ac:dyDescent="0.15">
      <c r="A153" s="6" t="str">
        <f t="shared" si="152"/>
        <v>20200227</v>
      </c>
      <c r="B153" s="7" t="str">
        <f t="shared" si="111"/>
        <v>失败原因:违规重复;错误号:02</v>
      </c>
      <c r="C153" s="8" t="str">
        <f>"736949"</f>
        <v>736949</v>
      </c>
      <c r="D153" s="8" t="str">
        <f>"雪龙配号"</f>
        <v>雪龙配号</v>
      </c>
      <c r="E153" s="8" t="str">
        <f>"申购配号"</f>
        <v>申购配号</v>
      </c>
      <c r="F153" s="8" t="str">
        <f>"0"</f>
        <v>0</v>
      </c>
      <c r="G153" s="8" t="str">
        <f>"0.000"</f>
        <v>0.000</v>
      </c>
      <c r="H153" s="8" t="str">
        <f>"0.000"</f>
        <v>0.000</v>
      </c>
      <c r="I153" s="8" t="str">
        <f>"0.000"</f>
        <v>0.000</v>
      </c>
      <c r="J153" s="8" t="str">
        <f t="shared" si="130"/>
        <v>0.000</v>
      </c>
      <c r="K153" s="8" t="str">
        <f t="shared" si="130"/>
        <v>0.000</v>
      </c>
      <c r="L153" s="8" t="str">
        <f t="shared" si="130"/>
        <v>0.000</v>
      </c>
      <c r="M153" s="8" t="str">
        <f t="shared" si="148"/>
        <v>0.00</v>
      </c>
    </row>
    <row r="154" spans="1:13" ht="20" customHeight="1" x14ac:dyDescent="0.15">
      <c r="A154" s="6" t="str">
        <f t="shared" ref="A154:A173" si="153">"20200228"</f>
        <v>20200228</v>
      </c>
      <c r="B154" s="7" t="str">
        <f>"证券买入"</f>
        <v>证券买入</v>
      </c>
      <c r="C154" s="8" t="str">
        <f t="shared" si="14"/>
        <v>510300</v>
      </c>
      <c r="D154" s="8" t="str">
        <f t="shared" si="15"/>
        <v>300ETF</v>
      </c>
      <c r="E154" s="8" t="str">
        <f>"证券买入"</f>
        <v>证券买入</v>
      </c>
      <c r="F154" s="8" t="str">
        <f t="shared" si="86"/>
        <v>300</v>
      </c>
      <c r="G154" s="8" t="str">
        <f>"4.010"</f>
        <v>4.010</v>
      </c>
      <c r="H154" s="8" t="str">
        <f>"1203.000"</f>
        <v>1203.000</v>
      </c>
      <c r="I154" s="8" t="str">
        <f t="shared" ref="I154:I163" si="154">"0.120"</f>
        <v>0.120</v>
      </c>
      <c r="J154" s="8" t="str">
        <f t="shared" si="130"/>
        <v>0.000</v>
      </c>
      <c r="K154" s="8" t="str">
        <f t="shared" si="130"/>
        <v>0.000</v>
      </c>
      <c r="L154" s="8" t="str">
        <f>"-1203.120"</f>
        <v>-1203.120</v>
      </c>
      <c r="M154" s="8" t="str">
        <f t="shared" si="148"/>
        <v>0.00</v>
      </c>
    </row>
    <row r="155" spans="1:13" ht="20" customHeight="1" x14ac:dyDescent="0.15">
      <c r="A155" s="6" t="str">
        <f t="shared" si="153"/>
        <v>20200228</v>
      </c>
      <c r="B155" s="7" t="str">
        <f>"证券买入"</f>
        <v>证券买入</v>
      </c>
      <c r="C155" s="8" t="str">
        <f t="shared" si="93"/>
        <v>510500</v>
      </c>
      <c r="D155" s="8" t="str">
        <f t="shared" si="94"/>
        <v>500ETF</v>
      </c>
      <c r="E155" s="8" t="str">
        <f>"证券买入"</f>
        <v>证券买入</v>
      </c>
      <c r="F155" s="8" t="str">
        <f t="shared" si="30"/>
        <v>200</v>
      </c>
      <c r="G155" s="8" t="str">
        <f>"6.061"</f>
        <v>6.061</v>
      </c>
      <c r="H155" s="8" t="str">
        <f>"1212.200"</f>
        <v>1212.200</v>
      </c>
      <c r="I155" s="8" t="str">
        <f t="shared" si="154"/>
        <v>0.120</v>
      </c>
      <c r="J155" s="8" t="str">
        <f t="shared" si="130"/>
        <v>0.000</v>
      </c>
      <c r="K155" s="8" t="str">
        <f t="shared" si="130"/>
        <v>0.000</v>
      </c>
      <c r="L155" s="8" t="str">
        <f>"-1212.320"</f>
        <v>-1212.320</v>
      </c>
      <c r="M155" s="8" t="str">
        <f t="shared" si="148"/>
        <v>0.00</v>
      </c>
    </row>
    <row r="156" spans="1:13" ht="20" customHeight="1" x14ac:dyDescent="0.15">
      <c r="A156" s="6" t="str">
        <f t="shared" si="153"/>
        <v>20200228</v>
      </c>
      <c r="B156" s="7" t="str">
        <f>"证券买入"</f>
        <v>证券买入</v>
      </c>
      <c r="C156" s="8" t="str">
        <f t="shared" si="131"/>
        <v>512290</v>
      </c>
      <c r="D156" s="8" t="str">
        <f>"生物医药"</f>
        <v>生物医药</v>
      </c>
      <c r="E156" s="8" t="str">
        <f>"证券买入"</f>
        <v>证券买入</v>
      </c>
      <c r="F156" s="8" t="str">
        <f t="shared" si="20"/>
        <v>400</v>
      </c>
      <c r="G156" s="8" t="str">
        <f>"1.350"</f>
        <v>1.350</v>
      </c>
      <c r="H156" s="8" t="str">
        <f>"540.000"</f>
        <v>540.000</v>
      </c>
      <c r="I156" s="8" t="str">
        <f t="shared" si="139"/>
        <v>0.100</v>
      </c>
      <c r="J156" s="8" t="str">
        <f t="shared" si="130"/>
        <v>0.000</v>
      </c>
      <c r="K156" s="8" t="str">
        <f t="shared" si="130"/>
        <v>0.000</v>
      </c>
      <c r="L156" s="8" t="str">
        <f>"-540.100"</f>
        <v>-540.100</v>
      </c>
      <c r="M156" s="8" t="str">
        <f t="shared" si="148"/>
        <v>0.00</v>
      </c>
    </row>
    <row r="157" spans="1:13" ht="20" customHeight="1" x14ac:dyDescent="0.15">
      <c r="A157" s="6" t="str">
        <f t="shared" si="153"/>
        <v>20200228</v>
      </c>
      <c r="B157" s="7" t="str">
        <f t="shared" ref="B157:E162" si="155">"证券买入"</f>
        <v>证券买入</v>
      </c>
      <c r="C157" s="8" t="str">
        <f t="shared" si="72"/>
        <v>512880</v>
      </c>
      <c r="D157" s="8" t="str">
        <f>"证券ETF"</f>
        <v>证券ETF</v>
      </c>
      <c r="E157" s="8" t="str">
        <f t="shared" si="155"/>
        <v>证券买入</v>
      </c>
      <c r="F157" s="8" t="str">
        <f t="shared" si="149"/>
        <v>1000</v>
      </c>
      <c r="G157" s="8" t="str">
        <f>"1.025"</f>
        <v>1.025</v>
      </c>
      <c r="H157" s="8" t="str">
        <f>"1025.000"</f>
        <v>1025.000</v>
      </c>
      <c r="I157" s="8" t="str">
        <f t="shared" si="139"/>
        <v>0.100</v>
      </c>
      <c r="J157" s="8" t="str">
        <f t="shared" si="130"/>
        <v>0.000</v>
      </c>
      <c r="K157" s="8" t="str">
        <f t="shared" si="130"/>
        <v>0.000</v>
      </c>
      <c r="L157" s="8" t="str">
        <f>"-1025.100"</f>
        <v>-1025.100</v>
      </c>
      <c r="M157" s="8" t="str">
        <f t="shared" si="148"/>
        <v>0.00</v>
      </c>
    </row>
    <row r="158" spans="1:13" ht="20" customHeight="1" x14ac:dyDescent="0.15">
      <c r="A158" s="6" t="str">
        <f t="shared" si="153"/>
        <v>20200228</v>
      </c>
      <c r="B158" s="7" t="str">
        <f t="shared" si="155"/>
        <v>证券买入</v>
      </c>
      <c r="C158" s="8" t="str">
        <f t="shared" si="96"/>
        <v>515000</v>
      </c>
      <c r="D158" s="8" t="str">
        <f t="shared" si="97"/>
        <v>科技ETF</v>
      </c>
      <c r="E158" s="8" t="str">
        <f t="shared" si="155"/>
        <v>证券买入</v>
      </c>
      <c r="F158" s="8" t="str">
        <f t="shared" si="20"/>
        <v>400</v>
      </c>
      <c r="G158" s="8" t="str">
        <f>"1.505"</f>
        <v>1.505</v>
      </c>
      <c r="H158" s="8" t="str">
        <f>"602.000"</f>
        <v>602.000</v>
      </c>
      <c r="I158" s="8" t="str">
        <f t="shared" si="139"/>
        <v>0.100</v>
      </c>
      <c r="J158" s="8" t="str">
        <f t="shared" si="130"/>
        <v>0.000</v>
      </c>
      <c r="K158" s="8" t="str">
        <f t="shared" si="130"/>
        <v>0.000</v>
      </c>
      <c r="L158" s="8" t="str">
        <f>"-602.100"</f>
        <v>-602.100</v>
      </c>
      <c r="M158" s="8" t="str">
        <f t="shared" si="148"/>
        <v>0.00</v>
      </c>
    </row>
    <row r="159" spans="1:13" ht="20" customHeight="1" x14ac:dyDescent="0.15">
      <c r="A159" s="6" t="str">
        <f t="shared" si="153"/>
        <v>20200228</v>
      </c>
      <c r="B159" s="7" t="str">
        <f>"证券买入"</f>
        <v>证券买入</v>
      </c>
      <c r="C159" s="8" t="str">
        <f t="shared" si="132"/>
        <v>515700</v>
      </c>
      <c r="D159" s="8" t="str">
        <f t="shared" si="133"/>
        <v>新能车</v>
      </c>
      <c r="E159" s="8" t="str">
        <f>"证券买入"</f>
        <v>证券买入</v>
      </c>
      <c r="F159" s="8" t="str">
        <f t="shared" si="70"/>
        <v>500</v>
      </c>
      <c r="G159" s="8" t="str">
        <f>"1.135"</f>
        <v>1.135</v>
      </c>
      <c r="H159" s="8" t="str">
        <f>"567.500"</f>
        <v>567.500</v>
      </c>
      <c r="I159" s="8" t="str">
        <f t="shared" si="139"/>
        <v>0.100</v>
      </c>
      <c r="J159" s="8" t="str">
        <f t="shared" si="130"/>
        <v>0.000</v>
      </c>
      <c r="K159" s="8" t="str">
        <f t="shared" si="130"/>
        <v>0.000</v>
      </c>
      <c r="L159" s="8" t="str">
        <f>"-567.600"</f>
        <v>-567.600</v>
      </c>
      <c r="M159" s="8" t="str">
        <f t="shared" si="148"/>
        <v>0.00</v>
      </c>
    </row>
    <row r="160" spans="1:13" ht="20" customHeight="1" x14ac:dyDescent="0.15">
      <c r="A160" s="6" t="str">
        <f t="shared" si="153"/>
        <v>20200228</v>
      </c>
      <c r="B160" s="7" t="str">
        <f>"证券买入"</f>
        <v>证券买入</v>
      </c>
      <c r="C160" s="8" t="str">
        <f t="shared" si="128"/>
        <v>518880</v>
      </c>
      <c r="D160" s="8" t="str">
        <f t="shared" si="129"/>
        <v>黄金ETF</v>
      </c>
      <c r="E160" s="8" t="str">
        <f>"证券买入"</f>
        <v>证券买入</v>
      </c>
      <c r="F160" s="8" t="str">
        <f t="shared" si="30"/>
        <v>200</v>
      </c>
      <c r="G160" s="8" t="str">
        <f>"3.652"</f>
        <v>3.652</v>
      </c>
      <c r="H160" s="8" t="str">
        <f>"730.400"</f>
        <v>730.400</v>
      </c>
      <c r="I160" s="8" t="str">
        <f t="shared" si="139"/>
        <v>0.100</v>
      </c>
      <c r="J160" s="8" t="str">
        <f t="shared" si="130"/>
        <v>0.000</v>
      </c>
      <c r="K160" s="8" t="str">
        <f t="shared" si="130"/>
        <v>0.000</v>
      </c>
      <c r="L160" s="8" t="str">
        <f>"-730.500"</f>
        <v>-730.500</v>
      </c>
      <c r="M160" s="8" t="str">
        <f t="shared" si="148"/>
        <v>0.00</v>
      </c>
    </row>
    <row r="161" spans="1:13" ht="20" customHeight="1" x14ac:dyDescent="0.15">
      <c r="A161" s="6" t="str">
        <f t="shared" si="153"/>
        <v>20200228</v>
      </c>
      <c r="B161" s="7" t="str">
        <f>"证券卖出"</f>
        <v>证券卖出</v>
      </c>
      <c r="C161" s="8" t="str">
        <f t="shared" si="99"/>
        <v>600645</v>
      </c>
      <c r="D161" s="8" t="str">
        <f>"中源协和"</f>
        <v>中源协和</v>
      </c>
      <c r="E161" s="8" t="str">
        <f>"证券卖出"</f>
        <v>证券卖出</v>
      </c>
      <c r="F161" s="8" t="str">
        <f>"-1600"</f>
        <v>-1600</v>
      </c>
      <c r="G161" s="8" t="str">
        <f>"18.540"</f>
        <v>18.540</v>
      </c>
      <c r="H161" s="8" t="str">
        <f>"29664.000"</f>
        <v>29664.000</v>
      </c>
      <c r="I161" s="8" t="str">
        <f>"5.340"</f>
        <v>5.340</v>
      </c>
      <c r="J161" s="8" t="str">
        <f>"29.660"</f>
        <v>29.660</v>
      </c>
      <c r="K161" s="8" t="str">
        <f>"0.590"</f>
        <v>0.590</v>
      </c>
      <c r="L161" s="8" t="str">
        <f>"29628.410"</f>
        <v>29628.410</v>
      </c>
      <c r="M161" s="8" t="str">
        <f t="shared" si="148"/>
        <v>0.00</v>
      </c>
    </row>
    <row r="162" spans="1:13" ht="20" customHeight="1" x14ac:dyDescent="0.15">
      <c r="A162" s="6" t="str">
        <f t="shared" si="153"/>
        <v>20200228</v>
      </c>
      <c r="B162" s="7" t="str">
        <f t="shared" si="155"/>
        <v>证券买入</v>
      </c>
      <c r="C162" s="8" t="str">
        <f t="shared" si="14"/>
        <v>510300</v>
      </c>
      <c r="D162" s="8" t="str">
        <f t="shared" si="15"/>
        <v>300ETF</v>
      </c>
      <c r="E162" s="8" t="str">
        <f t="shared" si="155"/>
        <v>证券买入</v>
      </c>
      <c r="F162" s="8" t="str">
        <f t="shared" si="20"/>
        <v>400</v>
      </c>
      <c r="G162" s="8" t="str">
        <f>"4.000"</f>
        <v>4.000</v>
      </c>
      <c r="H162" s="8" t="str">
        <f>"1600.000"</f>
        <v>1600.000</v>
      </c>
      <c r="I162" s="8" t="str">
        <f t="shared" si="71"/>
        <v>0.160</v>
      </c>
      <c r="J162" s="8" t="str">
        <f t="shared" si="130"/>
        <v>0.000</v>
      </c>
      <c r="K162" s="8" t="str">
        <f t="shared" si="130"/>
        <v>0.000</v>
      </c>
      <c r="L162" s="8" t="str">
        <f>"-1600.160"</f>
        <v>-1600.160</v>
      </c>
      <c r="M162" s="8" t="str">
        <f t="shared" si="148"/>
        <v>0.00</v>
      </c>
    </row>
    <row r="163" spans="1:13" ht="20" customHeight="1" x14ac:dyDescent="0.15">
      <c r="A163" s="6" t="str">
        <f t="shared" si="153"/>
        <v>20200228</v>
      </c>
      <c r="B163" s="7" t="str">
        <f>"证券买入"</f>
        <v>证券买入</v>
      </c>
      <c r="C163" s="8" t="str">
        <f t="shared" si="14"/>
        <v>510300</v>
      </c>
      <c r="D163" s="8" t="str">
        <f t="shared" si="15"/>
        <v>300ETF</v>
      </c>
      <c r="E163" s="8" t="str">
        <f>"证券买入"</f>
        <v>证券买入</v>
      </c>
      <c r="F163" s="8" t="str">
        <f t="shared" si="86"/>
        <v>300</v>
      </c>
      <c r="G163" s="8" t="str">
        <f>"3.990"</f>
        <v>3.990</v>
      </c>
      <c r="H163" s="8" t="str">
        <f>"1197.000"</f>
        <v>1197.000</v>
      </c>
      <c r="I163" s="8" t="str">
        <f t="shared" si="154"/>
        <v>0.120</v>
      </c>
      <c r="J163" s="8" t="str">
        <f t="shared" si="130"/>
        <v>0.000</v>
      </c>
      <c r="K163" s="8" t="str">
        <f t="shared" si="130"/>
        <v>0.000</v>
      </c>
      <c r="L163" s="8" t="str">
        <f>"-1197.120"</f>
        <v>-1197.120</v>
      </c>
      <c r="M163" s="8" t="str">
        <f t="shared" si="148"/>
        <v>0.00</v>
      </c>
    </row>
    <row r="164" spans="1:13" ht="20" customHeight="1" x14ac:dyDescent="0.15">
      <c r="A164" s="6" t="str">
        <f t="shared" si="153"/>
        <v>20200228</v>
      </c>
      <c r="B164" s="7" t="str">
        <f>"证券买入"</f>
        <v>证券买入</v>
      </c>
      <c r="C164" s="8" t="str">
        <f t="shared" si="18"/>
        <v>159915</v>
      </c>
      <c r="D164" s="8" t="str">
        <f t="shared" si="19"/>
        <v>创业板</v>
      </c>
      <c r="E164" s="8" t="str">
        <f>"证券买入"</f>
        <v>证券买入</v>
      </c>
      <c r="F164" s="8" t="str">
        <f t="shared" si="70"/>
        <v>500</v>
      </c>
      <c r="G164" s="8" t="str">
        <f t="shared" si="115"/>
        <v>2.041</v>
      </c>
      <c r="H164" s="8" t="str">
        <f>"1020.500"</f>
        <v>1020.500</v>
      </c>
      <c r="I164" s="8" t="str">
        <f t="shared" si="139"/>
        <v>0.100</v>
      </c>
      <c r="J164" s="8" t="str">
        <f t="shared" si="130"/>
        <v>0.000</v>
      </c>
      <c r="K164" s="8" t="str">
        <f t="shared" si="130"/>
        <v>0.000</v>
      </c>
      <c r="L164" s="8" t="str">
        <f>"-1020.600"</f>
        <v>-1020.600</v>
      </c>
      <c r="M164" s="8" t="str">
        <f t="shared" si="148"/>
        <v>0.00</v>
      </c>
    </row>
    <row r="165" spans="1:13" ht="20" customHeight="1" x14ac:dyDescent="0.15">
      <c r="A165" s="6" t="str">
        <f t="shared" si="153"/>
        <v>20200228</v>
      </c>
      <c r="B165" s="7" t="str">
        <f>"证券买入"</f>
        <v>证券买入</v>
      </c>
      <c r="C165" s="8" t="str">
        <f t="shared" si="78"/>
        <v>159995</v>
      </c>
      <c r="D165" s="8" t="str">
        <f t="shared" si="79"/>
        <v>芯片ETF</v>
      </c>
      <c r="E165" s="8" t="str">
        <f>"证券买入"</f>
        <v>证券买入</v>
      </c>
      <c r="F165" s="8" t="str">
        <f t="shared" si="70"/>
        <v>500</v>
      </c>
      <c r="G165" s="8" t="str">
        <f>"1.150"</f>
        <v>1.150</v>
      </c>
      <c r="H165" s="8" t="str">
        <f>"575.000"</f>
        <v>575.000</v>
      </c>
      <c r="I165" s="8" t="str">
        <f t="shared" si="139"/>
        <v>0.100</v>
      </c>
      <c r="J165" s="8" t="str">
        <f t="shared" si="130"/>
        <v>0.000</v>
      </c>
      <c r="K165" s="8" t="str">
        <f t="shared" si="130"/>
        <v>0.000</v>
      </c>
      <c r="L165" s="8" t="str">
        <f>"-575.100"</f>
        <v>-575.100</v>
      </c>
      <c r="M165" s="8" t="str">
        <f t="shared" si="148"/>
        <v>0.00</v>
      </c>
    </row>
    <row r="166" spans="1:13" ht="20" customHeight="1" x14ac:dyDescent="0.15">
      <c r="A166" s="6" t="str">
        <f t="shared" si="153"/>
        <v>20200228</v>
      </c>
      <c r="B166" s="7" t="str">
        <f>"证券买入"</f>
        <v>证券买入</v>
      </c>
      <c r="C166" s="8" t="str">
        <f t="shared" si="8"/>
        <v>162411</v>
      </c>
      <c r="D166" s="8" t="str">
        <f>"华宝油气"</f>
        <v>华宝油气</v>
      </c>
      <c r="E166" s="8" t="str">
        <f>"证券买入"</f>
        <v>证券买入</v>
      </c>
      <c r="F166" s="8" t="str">
        <f t="shared" si="100"/>
        <v>1600</v>
      </c>
      <c r="G166" s="8" t="str">
        <f>"0.318"</f>
        <v>0.318</v>
      </c>
      <c r="H166" s="8" t="str">
        <f>"508.800"</f>
        <v>508.800</v>
      </c>
      <c r="I166" s="8" t="str">
        <f t="shared" si="139"/>
        <v>0.100</v>
      </c>
      <c r="J166" s="8" t="str">
        <f t="shared" si="130"/>
        <v>0.000</v>
      </c>
      <c r="K166" s="8" t="str">
        <f t="shared" si="130"/>
        <v>0.000</v>
      </c>
      <c r="L166" s="8" t="str">
        <f>"-508.900"</f>
        <v>-508.900</v>
      </c>
      <c r="M166" s="8" t="str">
        <f t="shared" si="148"/>
        <v>0.00</v>
      </c>
    </row>
    <row r="167" spans="1:13" ht="20" customHeight="1" x14ac:dyDescent="0.15">
      <c r="A167" s="6" t="str">
        <f t="shared" si="153"/>
        <v>20200228</v>
      </c>
      <c r="B167" s="7" t="str">
        <f>"融券购回:1.9实际占款天数：3-131990"</f>
        <v>融券购回:1.9实际占款天数：3-131990</v>
      </c>
      <c r="C167" s="8" t="str">
        <f>"131810"</f>
        <v>131810</v>
      </c>
      <c r="D167" s="8" t="str">
        <f t="shared" si="36"/>
        <v>Ｒ-001</v>
      </c>
      <c r="E167" s="8" t="str">
        <f t="shared" si="51"/>
        <v>拆出质押购回</v>
      </c>
      <c r="F167" s="8" t="str">
        <f t="shared" si="52"/>
        <v>-100</v>
      </c>
      <c r="G167" s="8" t="str">
        <f t="shared" si="101"/>
        <v>2.315</v>
      </c>
      <c r="H167" s="8" t="str">
        <f t="shared" si="137"/>
        <v>10000.000</v>
      </c>
      <c r="I167" s="8" t="str">
        <f t="shared" ref="I167:I173" si="156">"0.000"</f>
        <v>0.000</v>
      </c>
      <c r="J167" s="8" t="str">
        <f t="shared" si="130"/>
        <v>0.000</v>
      </c>
      <c r="K167" s="8" t="str">
        <f t="shared" si="130"/>
        <v>0.000</v>
      </c>
      <c r="L167" s="8" t="str">
        <f>"10001.900"</f>
        <v>10001.900</v>
      </c>
      <c r="M167" s="8" t="str">
        <f t="shared" si="148"/>
        <v>0.00</v>
      </c>
    </row>
    <row r="168" spans="1:13" ht="20" customHeight="1" x14ac:dyDescent="0.15">
      <c r="A168" s="6" t="str">
        <f t="shared" si="153"/>
        <v>20200228</v>
      </c>
      <c r="B168" s="7" t="str">
        <f>"122扣除金额 基金代码：940018,发生份额：72.76,日期:20200228(122)"</f>
        <v>122扣除金额 基金代码：940018,发生份额：72.76,日期:20200228(122)</v>
      </c>
      <c r="C168" s="8" t="str">
        <f t="shared" si="0"/>
        <v>940018</v>
      </c>
      <c r="D168" s="8" t="str">
        <f t="shared" si="1"/>
        <v>天天发１天期</v>
      </c>
      <c r="E168" s="8" t="str">
        <f t="shared" si="2"/>
        <v>基金资金拨出</v>
      </c>
      <c r="F168" s="8" t="str">
        <f>"72"</f>
        <v>72</v>
      </c>
      <c r="G168" s="8" t="str">
        <f>"1.000"</f>
        <v>1.000</v>
      </c>
      <c r="H168" s="8" t="str">
        <f t="shared" ref="H168:H173" si="157">"0.000"</f>
        <v>0.000</v>
      </c>
      <c r="I168" s="8" t="str">
        <f t="shared" si="156"/>
        <v>0.000</v>
      </c>
      <c r="J168" s="8" t="str">
        <f t="shared" si="130"/>
        <v>0.000</v>
      </c>
      <c r="K168" s="8" t="str">
        <f t="shared" si="130"/>
        <v>0.000</v>
      </c>
      <c r="L168" s="8" t="str">
        <f>"-72.760"</f>
        <v>-72.760</v>
      </c>
      <c r="M168" s="8" t="str">
        <f t="shared" si="148"/>
        <v>0.00</v>
      </c>
    </row>
    <row r="169" spans="1:13" ht="20" customHeight="1" x14ac:dyDescent="0.15">
      <c r="A169" s="6" t="str">
        <f t="shared" si="153"/>
        <v>20200228</v>
      </c>
      <c r="B169" s="7" t="str">
        <f>"124增加金额 基金代码：940018,发生份额：14125.22,日期:20200228(124)"</f>
        <v>124增加金额 基金代码：940018,发生份额：14125.22,日期:20200228(124)</v>
      </c>
      <c r="C169" s="8" t="str">
        <f t="shared" si="0"/>
        <v>940018</v>
      </c>
      <c r="D169" s="8" t="str">
        <f t="shared" si="1"/>
        <v>天天发１天期</v>
      </c>
      <c r="E169" s="8" t="str">
        <f t="shared" si="12"/>
        <v>基金资金拨入</v>
      </c>
      <c r="F169" s="8" t="str">
        <f>"14125"</f>
        <v>14125</v>
      </c>
      <c r="G169" s="8" t="str">
        <f>"1.000"</f>
        <v>1.000</v>
      </c>
      <c r="H169" s="8" t="str">
        <f t="shared" si="157"/>
        <v>0.000</v>
      </c>
      <c r="I169" s="8" t="str">
        <f t="shared" si="156"/>
        <v>0.000</v>
      </c>
      <c r="J169" s="8" t="str">
        <f t="shared" si="130"/>
        <v>0.000</v>
      </c>
      <c r="K169" s="8" t="str">
        <f t="shared" si="130"/>
        <v>0.000</v>
      </c>
      <c r="L169" s="8" t="str">
        <f>"14125.220"</f>
        <v>14125.220</v>
      </c>
      <c r="M169" s="8" t="str">
        <f t="shared" si="148"/>
        <v>0.00</v>
      </c>
    </row>
    <row r="170" spans="1:13" ht="20" customHeight="1" x14ac:dyDescent="0.15">
      <c r="A170" s="6" t="str">
        <f t="shared" si="153"/>
        <v>20200228</v>
      </c>
      <c r="B170" s="7" t="str">
        <f>"122扣除金额 基金代码：007118,发生份额：114285.71,日期:20200227(122)"</f>
        <v>122扣除金额 基金代码：007118,发生份额：114285.71,日期:20200227(122)</v>
      </c>
      <c r="C170" s="8" t="str">
        <f t="shared" si="144"/>
        <v>007118</v>
      </c>
      <c r="D170" s="8" t="str">
        <f t="shared" si="145"/>
        <v>华泰紫金丰泰纯债债券发起C</v>
      </c>
      <c r="E170" s="8" t="str">
        <f t="shared" si="2"/>
        <v>基金资金拨出</v>
      </c>
      <c r="F170" s="8" t="str">
        <f>"114285"</f>
        <v>114285</v>
      </c>
      <c r="G170" s="8" t="str">
        <f t="shared" ref="G170:G171" si="158">"1.050"</f>
        <v>1.050</v>
      </c>
      <c r="H170" s="8" t="str">
        <f t="shared" si="157"/>
        <v>0.000</v>
      </c>
      <c r="I170" s="8" t="str">
        <f t="shared" si="156"/>
        <v>0.000</v>
      </c>
      <c r="J170" s="8" t="str">
        <f t="shared" ref="J170:L173" si="159">"0.000"</f>
        <v>0.000</v>
      </c>
      <c r="K170" s="8" t="str">
        <f t="shared" si="159"/>
        <v>0.000</v>
      </c>
      <c r="L170" s="8" t="str">
        <f>"-120000.000"</f>
        <v>-120000.000</v>
      </c>
      <c r="M170" s="8" t="str">
        <f t="shared" si="148"/>
        <v>0.00</v>
      </c>
    </row>
    <row r="171" spans="1:13" ht="20" customHeight="1" x14ac:dyDescent="0.15">
      <c r="A171" s="6" t="str">
        <f t="shared" si="153"/>
        <v>20200228</v>
      </c>
      <c r="B171" s="7" t="str">
        <f>"122扣除金额 基金代码：007118,发生份额：95238.1,日期:20200227(122)"</f>
        <v>122扣除金额 基金代码：007118,发生份额：95238.1,日期:20200227(122)</v>
      </c>
      <c r="C171" s="8" t="str">
        <f t="shared" si="144"/>
        <v>007118</v>
      </c>
      <c r="D171" s="8" t="str">
        <f t="shared" si="145"/>
        <v>华泰紫金丰泰纯债债券发起C</v>
      </c>
      <c r="E171" s="8" t="str">
        <f t="shared" si="2"/>
        <v>基金资金拨出</v>
      </c>
      <c r="F171" s="8" t="str">
        <f>"95238"</f>
        <v>95238</v>
      </c>
      <c r="G171" s="8" t="str">
        <f t="shared" si="158"/>
        <v>1.050</v>
      </c>
      <c r="H171" s="8" t="str">
        <f t="shared" si="157"/>
        <v>0.000</v>
      </c>
      <c r="I171" s="8" t="str">
        <f t="shared" si="156"/>
        <v>0.000</v>
      </c>
      <c r="J171" s="8" t="str">
        <f t="shared" si="159"/>
        <v>0.000</v>
      </c>
      <c r="K171" s="8" t="str">
        <f t="shared" si="159"/>
        <v>0.000</v>
      </c>
      <c r="L171" s="8" t="str">
        <f>"-100000.000"</f>
        <v>-100000.000</v>
      </c>
      <c r="M171" s="8" t="str">
        <f t="shared" si="148"/>
        <v>0.00</v>
      </c>
    </row>
    <row r="172" spans="1:13" ht="20" customHeight="1" x14ac:dyDescent="0.15">
      <c r="A172" s="6" t="str">
        <f t="shared" si="153"/>
        <v>20200228</v>
      </c>
      <c r="B172" s="7" t="str">
        <f>"100293631609"</f>
        <v>100293631609</v>
      </c>
      <c r="C172" s="8" t="str">
        <f>"756499"</f>
        <v>756499</v>
      </c>
      <c r="D172" s="8" t="str">
        <f>"翔港配号"</f>
        <v>翔港配号</v>
      </c>
      <c r="E172" s="8" t="str">
        <f>"申购配号"</f>
        <v>申购配号</v>
      </c>
      <c r="F172" s="8" t="str">
        <f t="shared" si="149"/>
        <v>1000</v>
      </c>
      <c r="G172" s="8" t="str">
        <f>"0.000"</f>
        <v>0.000</v>
      </c>
      <c r="H172" s="8" t="str">
        <f t="shared" si="157"/>
        <v>0.000</v>
      </c>
      <c r="I172" s="8" t="str">
        <f t="shared" si="156"/>
        <v>0.000</v>
      </c>
      <c r="J172" s="8" t="str">
        <f t="shared" si="159"/>
        <v>0.000</v>
      </c>
      <c r="K172" s="8" t="str">
        <f t="shared" si="159"/>
        <v>0.000</v>
      </c>
      <c r="L172" s="8" t="str">
        <f t="shared" si="159"/>
        <v>0.000</v>
      </c>
      <c r="M172" s="8" t="str">
        <f t="shared" si="148"/>
        <v>0.00</v>
      </c>
    </row>
    <row r="173" spans="1:13" ht="20" customHeight="1" x14ac:dyDescent="0.15">
      <c r="A173" s="6" t="str">
        <f t="shared" si="153"/>
        <v>20200228</v>
      </c>
      <c r="B173" s="7" t="str">
        <f>"100297502420"</f>
        <v>100297502420</v>
      </c>
      <c r="C173" s="8" t="str">
        <f>"756136"</f>
        <v>756136</v>
      </c>
      <c r="D173" s="8" t="str">
        <f>"天目配号"</f>
        <v>天目配号</v>
      </c>
      <c r="E173" s="8" t="str">
        <f>"申购配号"</f>
        <v>申购配号</v>
      </c>
      <c r="F173" s="8" t="str">
        <f t="shared" si="149"/>
        <v>1000</v>
      </c>
      <c r="G173" s="8" t="str">
        <f>"0.000"</f>
        <v>0.000</v>
      </c>
      <c r="H173" s="8" t="str">
        <f t="shared" si="157"/>
        <v>0.000</v>
      </c>
      <c r="I173" s="8" t="str">
        <f t="shared" si="156"/>
        <v>0.000</v>
      </c>
      <c r="J173" s="8" t="str">
        <f t="shared" si="159"/>
        <v>0.000</v>
      </c>
      <c r="K173" s="8" t="str">
        <f t="shared" si="159"/>
        <v>0.000</v>
      </c>
      <c r="L173" s="8" t="str">
        <f t="shared" si="159"/>
        <v>0.000</v>
      </c>
      <c r="M173" s="8" t="str">
        <f t="shared" si="148"/>
        <v>0.00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1 - 20200229交割单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2020-02-29T14:27:18Z</dcterms:modified>
</cp:coreProperties>
</file>