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re\Dropbox\Lourenço\Faculdade\5A1S\SCDTR\SCDTR-Project\Lab3\"/>
    </mc:Choice>
  </mc:AlternateContent>
  <xr:revisionPtr revIDLastSave="0" documentId="13_ncr:1_{45666F84-2A69-41FB-9322-D1B69619DD0C}" xr6:coauthVersionLast="36" xr6:coauthVersionMax="36" xr10:uidLastSave="{00000000-0000-0000-0000-000000000000}"/>
  <bookViews>
    <workbookView xWindow="0" yWindow="0" windowWidth="19200" windowHeight="6930" xr2:uid="{94E0B860-0D7F-4EAE-AF2A-5E89F4BDE1C2}"/>
  </bookViews>
  <sheets>
    <sheet name="Folh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1" i="1" l="1"/>
  <c r="L20" i="1"/>
  <c r="M21" i="1"/>
  <c r="J21" i="1" s="1"/>
  <c r="M20" i="1"/>
  <c r="J20" i="1" s="1"/>
  <c r="M19" i="1"/>
  <c r="J19" i="1" s="1"/>
  <c r="L19" i="1"/>
  <c r="L18" i="1"/>
  <c r="L17" i="1"/>
  <c r="L16" i="1"/>
  <c r="L15" i="1"/>
  <c r="L14" i="1"/>
  <c r="L10" i="1"/>
  <c r="L9" i="1"/>
  <c r="E10" i="1"/>
  <c r="H10" i="1"/>
  <c r="K10" i="1" s="1"/>
  <c r="M10" i="1"/>
  <c r="J10" i="1" s="1"/>
  <c r="L8" i="1"/>
  <c r="L3" i="1"/>
  <c r="L4" i="1"/>
  <c r="L5" i="1"/>
  <c r="L6" i="1"/>
  <c r="L7" i="1"/>
  <c r="H19" i="1"/>
  <c r="K19" i="1" s="1"/>
  <c r="H20" i="1"/>
  <c r="K20" i="1" s="1"/>
  <c r="H21" i="1"/>
  <c r="K21" i="1" s="1"/>
  <c r="E19" i="1"/>
  <c r="E20" i="1"/>
  <c r="E21" i="1"/>
  <c r="H8" i="1"/>
  <c r="K8" i="1" s="1"/>
  <c r="H9" i="1"/>
  <c r="M9" i="1"/>
  <c r="J9" i="1" s="1"/>
  <c r="M8" i="1"/>
  <c r="J8" i="1" s="1"/>
  <c r="E8" i="1"/>
  <c r="E9" i="1"/>
  <c r="I10" i="1" l="1"/>
  <c r="I9" i="1"/>
  <c r="K9" i="1"/>
  <c r="I21" i="1"/>
  <c r="I20" i="1"/>
  <c r="I19" i="1"/>
  <c r="I8" i="1"/>
  <c r="M18" i="1"/>
  <c r="J18" i="1" s="1"/>
  <c r="M17" i="1"/>
  <c r="J17" i="1" s="1"/>
  <c r="M16" i="1"/>
  <c r="J16" i="1" s="1"/>
  <c r="M15" i="1"/>
  <c r="J15" i="1" s="1"/>
  <c r="M14" i="1"/>
  <c r="J14" i="1" s="1"/>
  <c r="M7" i="1"/>
  <c r="J7" i="1" s="1"/>
  <c r="M6" i="1"/>
  <c r="J6" i="1" s="1"/>
  <c r="M5" i="1"/>
  <c r="J5" i="1" s="1"/>
  <c r="M4" i="1"/>
  <c r="J4" i="1" s="1"/>
  <c r="M3" i="1"/>
  <c r="J3" i="1" s="1"/>
  <c r="H18" i="1" l="1"/>
  <c r="K18" i="1" s="1"/>
  <c r="E18" i="1"/>
  <c r="H17" i="1"/>
  <c r="K17" i="1" s="1"/>
  <c r="E17" i="1"/>
  <c r="H16" i="1"/>
  <c r="E16" i="1"/>
  <c r="H15" i="1"/>
  <c r="K15" i="1" s="1"/>
  <c r="E15" i="1"/>
  <c r="H14" i="1"/>
  <c r="K14" i="1" s="1"/>
  <c r="E14" i="1"/>
  <c r="H3" i="1"/>
  <c r="K3" i="1" s="1"/>
  <c r="H4" i="1"/>
  <c r="K4" i="1" s="1"/>
  <c r="E3" i="1"/>
  <c r="E4" i="1"/>
  <c r="H6" i="1"/>
  <c r="K6" i="1" s="1"/>
  <c r="H7" i="1"/>
  <c r="K7" i="1" s="1"/>
  <c r="E6" i="1"/>
  <c r="E7" i="1"/>
  <c r="H5" i="1"/>
  <c r="K5" i="1" s="1"/>
  <c r="E5" i="1"/>
  <c r="I16" i="1" l="1"/>
  <c r="K16" i="1"/>
  <c r="I17" i="1"/>
  <c r="I15" i="1"/>
  <c r="I14" i="1"/>
  <c r="I18" i="1"/>
  <c r="I4" i="1"/>
  <c r="I3" i="1"/>
  <c r="I7" i="1"/>
  <c r="I6" i="1"/>
  <c r="I5" i="1"/>
</calcChain>
</file>

<file path=xl/sharedStrings.xml><?xml version="1.0" encoding="utf-8"?>
<sst xmlns="http://schemas.openxmlformats.org/spreadsheetml/2006/main" count="47" uniqueCount="31">
  <si>
    <t>ui</t>
  </si>
  <si>
    <t>uf</t>
  </si>
  <si>
    <t>du</t>
  </si>
  <si>
    <t>vi</t>
  </si>
  <si>
    <t>vf</t>
  </si>
  <si>
    <t>dv</t>
  </si>
  <si>
    <t>intersect (vi+0.67*dv)</t>
  </si>
  <si>
    <t>K0(x)</t>
  </si>
  <si>
    <t>Arduino Uno</t>
  </si>
  <si>
    <t>Arduino Due</t>
  </si>
  <si>
    <t>m</t>
  </si>
  <si>
    <t>b</t>
  </si>
  <si>
    <t>C</t>
  </si>
  <si>
    <t>x = 10^(-b/m)*(Vcc/Vi - 1)^(1/m)</t>
  </si>
  <si>
    <t>[Lux]</t>
  </si>
  <si>
    <t>x [Lux]</t>
  </si>
  <si>
    <t>tau(x) [s]</t>
  </si>
  <si>
    <t>aa</t>
  </si>
  <si>
    <t>G0(x)</t>
  </si>
  <si>
    <t>[LUX/V]</t>
  </si>
  <si>
    <t>[V/V]</t>
  </si>
  <si>
    <t>K0</t>
  </si>
  <si>
    <t>m=-1,4449E-05</t>
  </si>
  <si>
    <t>b=0,0119</t>
  </si>
  <si>
    <t>[MATLAB]</t>
  </si>
  <si>
    <t>m=0,1001</t>
  </si>
  <si>
    <t>b=44,9773</t>
  </si>
  <si>
    <t>b = 0,0237</t>
  </si>
  <si>
    <t>m=-9E-05</t>
  </si>
  <si>
    <t>b=13,3269</t>
  </si>
  <si>
    <t>m=0,1227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</si>
</sst>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right"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vertical="top"/>
    </xf>
    <xf numFmtId="0" fontId="0" fillId="0" borderId="0" xfId="0" applyFont="1"/>
    <xf numFmtId="0" fontId="0" fillId="0" borderId="0" xfId="0" applyFont="1" applyAlignment="1">
      <alignment horizontal="right" wrapText="1"/>
    </xf>
    <xf numFmtId="0" fontId="2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G0 vs illuminance - Arduino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8199091581144463E-2"/>
                  <c:y val="-2.12167813599451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Folha1!$M$16:$M$21</c:f>
              <c:numCache>
                <c:formatCode>General</c:formatCode>
                <c:ptCount val="6"/>
                <c:pt idx="0">
                  <c:v>21.586467524230663</c:v>
                </c:pt>
                <c:pt idx="1">
                  <c:v>34.361668812879849</c:v>
                </c:pt>
                <c:pt idx="2">
                  <c:v>51.706520315048927</c:v>
                </c:pt>
                <c:pt idx="3">
                  <c:v>69.738798253763875</c:v>
                </c:pt>
                <c:pt idx="4">
                  <c:v>110.01745965519456</c:v>
                </c:pt>
                <c:pt idx="5">
                  <c:v>157.93357687038579</c:v>
                </c:pt>
              </c:numCache>
            </c:numRef>
          </c:xVal>
          <c:yVal>
            <c:numRef>
              <c:f>Folha1!$J$16:$J$21</c:f>
              <c:numCache>
                <c:formatCode>General</c:formatCode>
                <c:ptCount val="6"/>
                <c:pt idx="0">
                  <c:v>14.390978349487108</c:v>
                </c:pt>
                <c:pt idx="1">
                  <c:v>17.180834406439924</c:v>
                </c:pt>
                <c:pt idx="2">
                  <c:v>20.68260812601957</c:v>
                </c:pt>
                <c:pt idx="3">
                  <c:v>23.246266084587958</c:v>
                </c:pt>
                <c:pt idx="4">
                  <c:v>27.504364913798639</c:v>
                </c:pt>
                <c:pt idx="5">
                  <c:v>31.586715374077158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0F-4E58-8211-ED407D8B7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22280"/>
        <c:axId val="429923264"/>
        <c:extLst/>
      </c:scatterChart>
      <c:valAx>
        <c:axId val="42992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Illuminance [Lux]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9923264"/>
        <c:crosses val="autoZero"/>
        <c:crossBetween val="midCat"/>
      </c:valAx>
      <c:valAx>
        <c:axId val="4299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Static</a:t>
                </a:r>
                <a:r>
                  <a:rPr lang="pt-PT" baseline="0"/>
                  <a:t> Gain - </a:t>
                </a:r>
                <a:r>
                  <a:rPr lang="pt-PT"/>
                  <a:t>G0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992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constant vs Final illuminance - Arduino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Tau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Folha1!$M$15:$M$21</c:f>
              <c:numCache>
                <c:formatCode>General</c:formatCode>
                <c:ptCount val="7"/>
                <c:pt idx="0">
                  <c:v>9.6769026433156533</c:v>
                </c:pt>
                <c:pt idx="1">
                  <c:v>21.586467524230663</c:v>
                </c:pt>
                <c:pt idx="2">
                  <c:v>34.361668812879849</c:v>
                </c:pt>
                <c:pt idx="3">
                  <c:v>51.706520315048927</c:v>
                </c:pt>
                <c:pt idx="4">
                  <c:v>69.738798253763875</c:v>
                </c:pt>
                <c:pt idx="5">
                  <c:v>110.01745965519456</c:v>
                </c:pt>
                <c:pt idx="6">
                  <c:v>157.93357687038579</c:v>
                </c:pt>
              </c:numCache>
            </c:numRef>
          </c:xVal>
          <c:yVal>
            <c:numRef>
              <c:f>Folha1!$L$15:$L$21</c:f>
              <c:numCache>
                <c:formatCode>General</c:formatCode>
                <c:ptCount val="7"/>
                <c:pt idx="0">
                  <c:v>2.2291999999999999E-2</c:v>
                </c:pt>
                <c:pt idx="1">
                  <c:v>2.23E-2</c:v>
                </c:pt>
                <c:pt idx="2">
                  <c:v>2.0063999999999999E-2</c:v>
                </c:pt>
                <c:pt idx="3">
                  <c:v>2.0115999999999998E-2</c:v>
                </c:pt>
                <c:pt idx="4">
                  <c:v>1.6927999999999999E-2</c:v>
                </c:pt>
                <c:pt idx="5">
                  <c:v>1.2895999999999999E-2</c:v>
                </c:pt>
                <c:pt idx="6">
                  <c:v>1.0544E-2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BC8-4EAA-975E-B4C694588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22280"/>
        <c:axId val="429923264"/>
        <c:extLst/>
      </c:scatterChart>
      <c:valAx>
        <c:axId val="42992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Illuminance [Lux]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9923264"/>
        <c:crosses val="autoZero"/>
        <c:crossBetween val="midCat"/>
      </c:valAx>
      <c:valAx>
        <c:axId val="4299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aseline="0"/>
                  <a:t>Tau [</a:t>
                </a:r>
                <a:r>
                  <a:rPr lang="pt-PT"/>
                  <a:t>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992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G0 vs illuminance - Arduino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Folha1!$J$4:$J$10</c:f>
              <c:strCache>
                <c:ptCount val="7"/>
                <c:pt idx="0">
                  <c:v>43,54457789</c:v>
                </c:pt>
                <c:pt idx="1">
                  <c:v>52,46463503</c:v>
                </c:pt>
                <c:pt idx="2">
                  <c:v>59,53931104</c:v>
                </c:pt>
                <c:pt idx="3">
                  <c:v>63,46612472</c:v>
                </c:pt>
                <c:pt idx="4">
                  <c:v>68,81720779</c:v>
                </c:pt>
                <c:pt idx="5">
                  <c:v>78,3188322</c:v>
                </c:pt>
                <c:pt idx="6">
                  <c:v>81,61547702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8798277315920316E-3"/>
                  <c:y val="-3.43423465617008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Folha1!$M$4:$M$10</c:f>
              <c:numCache>
                <c:formatCode>General</c:formatCode>
                <c:ptCount val="7"/>
                <c:pt idx="0">
                  <c:v>43.544577891670087</c:v>
                </c:pt>
                <c:pt idx="1">
                  <c:v>78.69695254321779</c:v>
                </c:pt>
                <c:pt idx="2">
                  <c:v>119.07862208406932</c:v>
                </c:pt>
                <c:pt idx="3">
                  <c:v>158.66531180877584</c:v>
                </c:pt>
                <c:pt idx="4">
                  <c:v>206.45162336507025</c:v>
                </c:pt>
                <c:pt idx="5">
                  <c:v>313.27532879859501</c:v>
                </c:pt>
                <c:pt idx="6">
                  <c:v>408.07738508580343</c:v>
                </c:pt>
              </c:numCache>
            </c:numRef>
          </c:xVal>
          <c:yVal>
            <c:numRef>
              <c:f>Folha1!$J$4:$J$10</c:f>
              <c:numCache>
                <c:formatCode>General</c:formatCode>
                <c:ptCount val="7"/>
                <c:pt idx="0">
                  <c:v>43.544577891670087</c:v>
                </c:pt>
                <c:pt idx="1">
                  <c:v>52.464635028811863</c:v>
                </c:pt>
                <c:pt idx="2">
                  <c:v>59.539311042034662</c:v>
                </c:pt>
                <c:pt idx="3">
                  <c:v>63.466124723510333</c:v>
                </c:pt>
                <c:pt idx="4">
                  <c:v>68.817207788356754</c:v>
                </c:pt>
                <c:pt idx="5">
                  <c:v>78.318832199648753</c:v>
                </c:pt>
                <c:pt idx="6">
                  <c:v>81.615477017160686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6C-46D0-9E5B-0DE4BF806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22280"/>
        <c:axId val="429923264"/>
        <c:extLst/>
      </c:scatterChart>
      <c:valAx>
        <c:axId val="42992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Illuminance [Lux]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9923264"/>
        <c:crosses val="autoZero"/>
        <c:crossBetween val="midCat"/>
      </c:valAx>
      <c:valAx>
        <c:axId val="4299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Static</a:t>
                </a:r>
                <a:r>
                  <a:rPr lang="pt-PT" baseline="0"/>
                  <a:t> Gain - G</a:t>
                </a:r>
                <a:r>
                  <a:rPr lang="pt-PT"/>
                  <a:t>0 [Lux/V]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992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Tau vs illuminance - Arduino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tau1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79236981460401E-2"/>
                  <c:y val="3.07796200102068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Folha1!$M$4:$M$10</c:f>
              <c:numCache>
                <c:formatCode>General</c:formatCode>
                <c:ptCount val="7"/>
                <c:pt idx="0">
                  <c:v>43.544577891670087</c:v>
                </c:pt>
                <c:pt idx="1">
                  <c:v>78.69695254321779</c:v>
                </c:pt>
                <c:pt idx="2">
                  <c:v>119.07862208406932</c:v>
                </c:pt>
                <c:pt idx="3">
                  <c:v>158.66531180877584</c:v>
                </c:pt>
                <c:pt idx="4">
                  <c:v>206.45162336507025</c:v>
                </c:pt>
                <c:pt idx="5">
                  <c:v>313.27532879859501</c:v>
                </c:pt>
                <c:pt idx="6">
                  <c:v>408.07738508580343</c:v>
                </c:pt>
              </c:numCache>
            </c:numRef>
          </c:xVal>
          <c:yVal>
            <c:numRef>
              <c:f>Folha1!$L$4:$L$10</c:f>
              <c:numCache>
                <c:formatCode>General</c:formatCode>
                <c:ptCount val="7"/>
                <c:pt idx="0">
                  <c:v>1.2144E-2</c:v>
                </c:pt>
                <c:pt idx="1">
                  <c:v>1.0511999999999999E-2</c:v>
                </c:pt>
                <c:pt idx="2">
                  <c:v>1.0567999999999999E-2</c:v>
                </c:pt>
                <c:pt idx="3">
                  <c:v>8.9639999999999997E-3</c:v>
                </c:pt>
                <c:pt idx="4">
                  <c:v>8.1519999999999995E-3</c:v>
                </c:pt>
                <c:pt idx="5">
                  <c:v>7.3479999999999995E-3</c:v>
                </c:pt>
                <c:pt idx="6">
                  <c:v>6.5680000000000001E-3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82-4B8D-8C46-4AC70AA9A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22280"/>
        <c:axId val="429923264"/>
        <c:extLst/>
      </c:scatterChart>
      <c:valAx>
        <c:axId val="42992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Illuminance [Lux]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9923264"/>
        <c:crosses val="autoZero"/>
        <c:crossBetween val="midCat"/>
      </c:valAx>
      <c:valAx>
        <c:axId val="4299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baseline="0"/>
                  <a:t>Tau [</a:t>
                </a:r>
                <a:r>
                  <a:rPr lang="pt-PT"/>
                  <a:t>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2992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467747</xdr:colOff>
      <xdr:row>24</xdr:row>
      <xdr:rowOff>171240</xdr:rowOff>
    </xdr:from>
    <xdr:to>
      <xdr:col>10</xdr:col>
      <xdr:colOff>796793</xdr:colOff>
      <xdr:row>42</xdr:row>
      <xdr:rowOff>67235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E5804F-0D55-408A-B6BC-DDD5961F2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214527</xdr:colOff>
      <xdr:row>25</xdr:row>
      <xdr:rowOff>104533</xdr:rowOff>
    </xdr:from>
    <xdr:to>
      <xdr:col>20</xdr:col>
      <xdr:colOff>248047</xdr:colOff>
      <xdr:row>42</xdr:row>
      <xdr:rowOff>29765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F8196D5-1376-48A9-84E3-B7B3B9E1D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50512</xdr:colOff>
      <xdr:row>0</xdr:row>
      <xdr:rowOff>0</xdr:rowOff>
    </xdr:from>
    <xdr:to>
      <xdr:col>22</xdr:col>
      <xdr:colOff>379557</xdr:colOff>
      <xdr:row>14</xdr:row>
      <xdr:rowOff>19843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A9F94CE-1222-4B26-9013-FB6BB49E6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31</xdr:col>
      <xdr:colOff>329045</xdr:colOff>
      <xdr:row>13</xdr:row>
      <xdr:rowOff>138906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35016F6-1F1C-4B40-8F0E-55FEA75B7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7B447-7BE9-48E8-9D93-BEADF7CA1324}">
  <dimension ref="A1:AH45"/>
  <sheetViews>
    <sheetView tabSelected="1" topLeftCell="K1" zoomScale="85" zoomScaleNormal="85" workbookViewId="0">
      <selection activeCell="AA16" sqref="AA16"/>
    </sheetView>
  </sheetViews>
  <sheetFormatPr defaultRowHeight="14.5" x14ac:dyDescent="0.35"/>
  <cols>
    <col min="1" max="1" width="4.08984375" customWidth="1"/>
    <col min="8" max="8" width="8.7265625" customWidth="1"/>
    <col min="9" max="9" width="8.7265625" style="2" customWidth="1"/>
    <col min="10" max="10" width="8.7265625" customWidth="1"/>
    <col min="11" max="11" width="13" style="2" customWidth="1"/>
    <col min="13" max="13" width="11.1796875" style="2" customWidth="1"/>
    <col min="27" max="27" width="12.26953125" bestFit="1" customWidth="1"/>
  </cols>
  <sheetData>
    <row r="1" spans="1:34" x14ac:dyDescent="0.35">
      <c r="A1" t="s">
        <v>8</v>
      </c>
      <c r="I1" s="2" t="s">
        <v>20</v>
      </c>
      <c r="J1" t="s">
        <v>19</v>
      </c>
      <c r="M1" s="2" t="s">
        <v>14</v>
      </c>
      <c r="AH1" t="s">
        <v>17</v>
      </c>
    </row>
    <row r="2" spans="1:34" s="1" customFormat="1" ht="26.5" customHeight="1" x14ac:dyDescent="0.35"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4" t="s">
        <v>21</v>
      </c>
      <c r="J2" s="4" t="s">
        <v>18</v>
      </c>
      <c r="K2" s="3" t="s">
        <v>6</v>
      </c>
      <c r="L2" s="4" t="s">
        <v>16</v>
      </c>
      <c r="M2" s="6" t="s">
        <v>13</v>
      </c>
    </row>
    <row r="3" spans="1:34" x14ac:dyDescent="0.35">
      <c r="A3" s="1" t="s">
        <v>10</v>
      </c>
      <c r="B3" s="1">
        <v>-0.49340000000000001</v>
      </c>
      <c r="C3">
        <v>0</v>
      </c>
      <c r="D3">
        <v>0.5</v>
      </c>
      <c r="E3">
        <f t="shared" ref="E3:E4" si="0">D3-C3</f>
        <v>0.5</v>
      </c>
      <c r="F3">
        <v>0.09</v>
      </c>
      <c r="G3">
        <v>2.1800000000000002</v>
      </c>
      <c r="H3">
        <f t="shared" ref="H3:H4" si="1">G3-F3</f>
        <v>2.0900000000000003</v>
      </c>
      <c r="I3" s="2">
        <f t="shared" ref="I3:I4" si="2">H3/E3</f>
        <v>4.1800000000000006</v>
      </c>
      <c r="J3" s="2">
        <f>M3/D3</f>
        <v>30.67693841798696</v>
      </c>
      <c r="K3">
        <f t="shared" ref="K3:K4" si="3">F3+0.67*H3</f>
        <v>1.4903000000000004</v>
      </c>
      <c r="L3" s="2">
        <f>(118268-100704)*0.000001</f>
        <v>1.7564E-2</v>
      </c>
      <c r="M3" s="2">
        <f>B5*(5/G3-1)^(1/B3)</f>
        <v>15.33846920899348</v>
      </c>
    </row>
    <row r="4" spans="1:34" x14ac:dyDescent="0.35">
      <c r="A4" t="s">
        <v>11</v>
      </c>
      <c r="B4">
        <v>0.2661</v>
      </c>
      <c r="C4">
        <v>0.5</v>
      </c>
      <c r="D4">
        <v>1</v>
      </c>
      <c r="E4">
        <f t="shared" si="0"/>
        <v>0.5</v>
      </c>
      <c r="F4">
        <v>2.19</v>
      </c>
      <c r="G4">
        <v>2.82</v>
      </c>
      <c r="H4">
        <f t="shared" si="1"/>
        <v>0.62999999999999989</v>
      </c>
      <c r="I4" s="2">
        <f t="shared" si="2"/>
        <v>1.2599999999999998</v>
      </c>
      <c r="J4" s="2">
        <f>M4/D4</f>
        <v>43.544577891670087</v>
      </c>
      <c r="K4">
        <f t="shared" si="3"/>
        <v>2.6120999999999999</v>
      </c>
      <c r="L4" s="2">
        <f>(112632-100488)*0.000001</f>
        <v>1.2144E-2</v>
      </c>
      <c r="M4" s="2">
        <f>B5*(5/G4-1)^(1/B3)</f>
        <v>43.544577891670087</v>
      </c>
    </row>
    <row r="5" spans="1:34" x14ac:dyDescent="0.35">
      <c r="A5" t="s">
        <v>12</v>
      </c>
      <c r="B5">
        <v>25.843900000000001</v>
      </c>
      <c r="C5">
        <v>1</v>
      </c>
      <c r="D5">
        <v>1.5</v>
      </c>
      <c r="E5">
        <f>D5-C5</f>
        <v>0.5</v>
      </c>
      <c r="F5">
        <v>2.82</v>
      </c>
      <c r="G5">
        <v>3.17</v>
      </c>
      <c r="H5">
        <f>G5-F5</f>
        <v>0.35000000000000009</v>
      </c>
      <c r="I5" s="2">
        <f>H5/E5</f>
        <v>0.70000000000000018</v>
      </c>
      <c r="J5" s="2">
        <f>M5/D5</f>
        <v>52.464635028811863</v>
      </c>
      <c r="K5">
        <f>F5+0.67*H5</f>
        <v>3.0545</v>
      </c>
      <c r="L5" s="2">
        <f>(110520-100008)*0.000001</f>
        <v>1.0511999999999999E-2</v>
      </c>
      <c r="M5" s="2">
        <f>B5*(5/G5-1)^(1/B3)</f>
        <v>78.69695254321779</v>
      </c>
    </row>
    <row r="6" spans="1:34" x14ac:dyDescent="0.35">
      <c r="C6">
        <v>1.5</v>
      </c>
      <c r="D6">
        <v>2</v>
      </c>
      <c r="E6">
        <f t="shared" ref="E6:E10" si="4">D6-C6</f>
        <v>0.5</v>
      </c>
      <c r="F6">
        <v>3.15</v>
      </c>
      <c r="G6">
        <v>3.4</v>
      </c>
      <c r="H6">
        <f t="shared" ref="H6:H10" si="5">G6-F6</f>
        <v>0.25</v>
      </c>
      <c r="I6" s="2">
        <f t="shared" ref="I6:I10" si="6">H6/E6</f>
        <v>0.5</v>
      </c>
      <c r="J6" s="2">
        <f>M6/D6</f>
        <v>59.539311042034662</v>
      </c>
      <c r="K6">
        <f t="shared" ref="K6:K10" si="7">F6+0.67*H6</f>
        <v>3.3174999999999999</v>
      </c>
      <c r="L6" s="2">
        <f>(110672-100104)*0.000001</f>
        <v>1.0567999999999999E-2</v>
      </c>
      <c r="M6" s="2">
        <f>B5*(5/G6-1)^(1/B3)</f>
        <v>119.07862208406932</v>
      </c>
    </row>
    <row r="7" spans="1:34" x14ac:dyDescent="0.35">
      <c r="C7">
        <v>2</v>
      </c>
      <c r="D7">
        <v>2.5</v>
      </c>
      <c r="E7">
        <f t="shared" si="4"/>
        <v>0.5</v>
      </c>
      <c r="F7">
        <v>3.37</v>
      </c>
      <c r="G7">
        <v>3.55</v>
      </c>
      <c r="H7">
        <f t="shared" si="5"/>
        <v>0.17999999999999972</v>
      </c>
      <c r="I7" s="2">
        <f t="shared" si="6"/>
        <v>0.35999999999999943</v>
      </c>
      <c r="J7" s="2">
        <f>M7/D7</f>
        <v>63.466124723510333</v>
      </c>
      <c r="K7">
        <f t="shared" si="7"/>
        <v>3.4905999999999997</v>
      </c>
      <c r="L7" s="2">
        <f>(109116-100152)*0.000001</f>
        <v>8.9639999999999997E-3</v>
      </c>
      <c r="M7" s="2">
        <f>B5*(5/G7-1)^(1/B3)</f>
        <v>158.66531180877584</v>
      </c>
    </row>
    <row r="8" spans="1:34" x14ac:dyDescent="0.35">
      <c r="C8">
        <v>2.5</v>
      </c>
      <c r="D8">
        <v>3</v>
      </c>
      <c r="E8">
        <f t="shared" si="4"/>
        <v>0.5</v>
      </c>
      <c r="F8">
        <v>3.53</v>
      </c>
      <c r="G8">
        <v>3.68</v>
      </c>
      <c r="H8">
        <f t="shared" si="5"/>
        <v>0.15000000000000036</v>
      </c>
      <c r="I8" s="2">
        <f t="shared" si="6"/>
        <v>0.30000000000000071</v>
      </c>
      <c r="J8" s="2">
        <f t="shared" ref="J8:J10" si="8">M8/D8</f>
        <v>68.817207788356754</v>
      </c>
      <c r="K8">
        <f t="shared" si="7"/>
        <v>3.6305000000000001</v>
      </c>
      <c r="L8" s="2">
        <f>(108208-100056)*10^-6</f>
        <v>8.1519999999999995E-3</v>
      </c>
      <c r="M8" s="2">
        <f>B5*(5/G8-1)^(1/B3)</f>
        <v>206.45162336507025</v>
      </c>
    </row>
    <row r="9" spans="1:34" x14ac:dyDescent="0.35">
      <c r="C9">
        <v>3</v>
      </c>
      <c r="D9">
        <v>4</v>
      </c>
      <c r="E9">
        <f t="shared" si="4"/>
        <v>1</v>
      </c>
      <c r="F9">
        <v>3.69</v>
      </c>
      <c r="G9">
        <v>3.87</v>
      </c>
      <c r="H9">
        <f t="shared" si="5"/>
        <v>0.18000000000000016</v>
      </c>
      <c r="I9" s="2">
        <f t="shared" si="6"/>
        <v>0.18000000000000016</v>
      </c>
      <c r="J9" s="2">
        <f t="shared" si="8"/>
        <v>78.318832199648753</v>
      </c>
      <c r="K9">
        <f t="shared" si="7"/>
        <v>3.8106</v>
      </c>
      <c r="L9" s="2">
        <f>(107376-100028)*10^-6</f>
        <v>7.3479999999999995E-3</v>
      </c>
      <c r="M9" s="2">
        <f>B5*(5/G9-1)^(1/B3)</f>
        <v>313.27532879859501</v>
      </c>
    </row>
    <row r="10" spans="1:34" x14ac:dyDescent="0.35">
      <c r="C10">
        <v>4</v>
      </c>
      <c r="D10">
        <v>5</v>
      </c>
      <c r="E10">
        <f t="shared" si="4"/>
        <v>1</v>
      </c>
      <c r="F10">
        <v>3.86</v>
      </c>
      <c r="G10">
        <v>3.98</v>
      </c>
      <c r="H10">
        <f t="shared" si="5"/>
        <v>0.12000000000000011</v>
      </c>
      <c r="I10" s="2">
        <f t="shared" si="6"/>
        <v>0.12000000000000011</v>
      </c>
      <c r="J10" s="2">
        <f t="shared" si="8"/>
        <v>81.615477017160686</v>
      </c>
      <c r="K10">
        <f t="shared" si="7"/>
        <v>3.9403999999999999</v>
      </c>
      <c r="L10" s="2">
        <f>(106640-100072)*10^-6</f>
        <v>6.5680000000000001E-3</v>
      </c>
      <c r="M10" s="2">
        <f>B5*(5/G10-1)^(1/B3)</f>
        <v>408.07738508580343</v>
      </c>
    </row>
    <row r="12" spans="1:34" x14ac:dyDescent="0.35">
      <c r="A12" t="s">
        <v>9</v>
      </c>
    </row>
    <row r="13" spans="1:34" ht="29" x14ac:dyDescent="0.35">
      <c r="C13" s="3" t="s">
        <v>0</v>
      </c>
      <c r="D13" s="3" t="s">
        <v>1</v>
      </c>
      <c r="E13" s="3" t="s">
        <v>2</v>
      </c>
      <c r="F13" s="3" t="s">
        <v>3</v>
      </c>
      <c r="G13" s="3" t="s">
        <v>4</v>
      </c>
      <c r="H13" s="3" t="s">
        <v>5</v>
      </c>
      <c r="I13" s="8" t="s">
        <v>7</v>
      </c>
      <c r="J13" s="4" t="s">
        <v>18</v>
      </c>
      <c r="K13" s="3" t="s">
        <v>6</v>
      </c>
      <c r="L13" s="4" t="s">
        <v>16</v>
      </c>
      <c r="M13" s="5" t="s">
        <v>15</v>
      </c>
    </row>
    <row r="14" spans="1:34" x14ac:dyDescent="0.35">
      <c r="A14" t="s">
        <v>10</v>
      </c>
      <c r="B14">
        <v>-0.49059999999999998</v>
      </c>
      <c r="C14">
        <v>0</v>
      </c>
      <c r="D14">
        <v>0.5</v>
      </c>
      <c r="E14">
        <f t="shared" ref="E14:E15" si="9">D14-C14</f>
        <v>0.5</v>
      </c>
      <c r="F14">
        <v>0.03</v>
      </c>
      <c r="G14">
        <v>0.56999999999999995</v>
      </c>
      <c r="H14">
        <f t="shared" ref="H14:H15" si="10">G14-F14</f>
        <v>0.53999999999999992</v>
      </c>
      <c r="I14" s="7">
        <f t="shared" ref="I14:I15" si="11">H14/E14</f>
        <v>1.0799999999999998</v>
      </c>
      <c r="J14" s="2">
        <f>M14/D14</f>
        <v>5.690855957343528</v>
      </c>
      <c r="K14">
        <f t="shared" ref="K14:K15" si="12">F14+0.67*H14</f>
        <v>0.39179999999999993</v>
      </c>
      <c r="L14" s="2">
        <f>(149104-100096)*0.000001</f>
        <v>4.9007999999999996E-2</v>
      </c>
      <c r="M14" s="2">
        <f>B16*(5/G14-1)^(1/B14)</f>
        <v>2.845427978671764</v>
      </c>
      <c r="P14" s="7"/>
    </row>
    <row r="15" spans="1:34" x14ac:dyDescent="0.35">
      <c r="A15" t="s">
        <v>11</v>
      </c>
      <c r="B15">
        <v>1.1133</v>
      </c>
      <c r="C15">
        <v>0.5</v>
      </c>
      <c r="D15">
        <v>1</v>
      </c>
      <c r="E15">
        <f t="shared" si="9"/>
        <v>0.5</v>
      </c>
      <c r="F15">
        <v>0.52</v>
      </c>
      <c r="G15">
        <v>0.95</v>
      </c>
      <c r="H15">
        <f t="shared" si="10"/>
        <v>0.42999999999999994</v>
      </c>
      <c r="I15" s="7">
        <f t="shared" si="11"/>
        <v>0.85999999999999988</v>
      </c>
      <c r="J15" s="2">
        <f t="shared" ref="J15:J21" si="13">M15/D15</f>
        <v>9.6769026433156533</v>
      </c>
      <c r="K15">
        <f t="shared" si="12"/>
        <v>0.80810000000000004</v>
      </c>
      <c r="L15" s="2">
        <f>(122632-100340)*0.000001</f>
        <v>2.2291999999999999E-2</v>
      </c>
      <c r="M15" s="2">
        <f>B16*(5/G15-1)^(1/B14)</f>
        <v>9.6769026433156533</v>
      </c>
      <c r="Q15" t="s">
        <v>24</v>
      </c>
      <c r="R15" t="s">
        <v>25</v>
      </c>
      <c r="S15" t="s">
        <v>26</v>
      </c>
      <c r="Z15" t="s">
        <v>24</v>
      </c>
      <c r="AA15" t="s">
        <v>22</v>
      </c>
      <c r="AC15" t="s">
        <v>23</v>
      </c>
    </row>
    <row r="16" spans="1:34" x14ac:dyDescent="0.35">
      <c r="A16" t="s">
        <v>12</v>
      </c>
      <c r="B16">
        <v>185.922</v>
      </c>
      <c r="C16">
        <v>1</v>
      </c>
      <c r="D16">
        <v>1.5</v>
      </c>
      <c r="E16">
        <f>D16-C16</f>
        <v>0.5</v>
      </c>
      <c r="F16">
        <v>0.87</v>
      </c>
      <c r="G16">
        <v>1.29</v>
      </c>
      <c r="H16">
        <f>G16-F16</f>
        <v>0.42000000000000004</v>
      </c>
      <c r="I16" s="7">
        <f>H16/E16</f>
        <v>0.84000000000000008</v>
      </c>
      <c r="J16" s="2">
        <f t="shared" si="13"/>
        <v>14.390978349487108</v>
      </c>
      <c r="K16">
        <f>F16+0.67*H16</f>
        <v>1.1514</v>
      </c>
      <c r="L16" s="2">
        <f>(122756-100456)*0.000001</f>
        <v>2.23E-2</v>
      </c>
      <c r="M16" s="2">
        <f>B16*(5/G16-1)^(1/B14)</f>
        <v>21.586467524230663</v>
      </c>
      <c r="S16" s="9"/>
      <c r="AA16">
        <v>-1.449E-5</v>
      </c>
    </row>
    <row r="17" spans="1:27" x14ac:dyDescent="0.35">
      <c r="C17">
        <v>1.5</v>
      </c>
      <c r="D17">
        <v>2</v>
      </c>
      <c r="E17">
        <f t="shared" ref="E17:E21" si="14">D17-C17</f>
        <v>0.5</v>
      </c>
      <c r="F17">
        <v>1.19</v>
      </c>
      <c r="G17">
        <v>1.52</v>
      </c>
      <c r="H17">
        <f t="shared" ref="H17:H21" si="15">G17-F17</f>
        <v>0.33000000000000007</v>
      </c>
      <c r="I17" s="7">
        <f t="shared" ref="I17:I21" si="16">H17/E17</f>
        <v>0.66000000000000014</v>
      </c>
      <c r="J17" s="2">
        <f t="shared" si="13"/>
        <v>17.180834406439924</v>
      </c>
      <c r="K17">
        <f t="shared" ref="K17:K21" si="17">F17+0.67*H17</f>
        <v>1.4111</v>
      </c>
      <c r="L17" s="2">
        <f>(120656-100592)*0.000001</f>
        <v>2.0063999999999999E-2</v>
      </c>
      <c r="M17" s="2">
        <f>B16*(5/G17-1)^(1/B14)</f>
        <v>34.361668812879849</v>
      </c>
    </row>
    <row r="18" spans="1:27" x14ac:dyDescent="0.35">
      <c r="C18">
        <v>2</v>
      </c>
      <c r="D18">
        <v>2.5</v>
      </c>
      <c r="E18">
        <f t="shared" si="14"/>
        <v>0.5</v>
      </c>
      <c r="F18">
        <v>1.44</v>
      </c>
      <c r="G18">
        <v>1.74</v>
      </c>
      <c r="H18">
        <f t="shared" si="15"/>
        <v>0.30000000000000004</v>
      </c>
      <c r="I18" s="7">
        <f t="shared" si="16"/>
        <v>0.60000000000000009</v>
      </c>
      <c r="J18" s="2">
        <f t="shared" si="13"/>
        <v>20.68260812601957</v>
      </c>
      <c r="K18">
        <f t="shared" si="17"/>
        <v>1.641</v>
      </c>
      <c r="L18" s="2">
        <f>(120432-100316)*0.000001</f>
        <v>2.0115999999999998E-2</v>
      </c>
      <c r="M18" s="2">
        <f>B16*(5/G18-1)^(1/B14)</f>
        <v>51.706520315048927</v>
      </c>
      <c r="Y18" s="10"/>
      <c r="AA18" s="10"/>
    </row>
    <row r="19" spans="1:27" x14ac:dyDescent="0.35">
      <c r="C19">
        <v>2.5</v>
      </c>
      <c r="D19">
        <v>3</v>
      </c>
      <c r="E19">
        <f t="shared" si="14"/>
        <v>0.5</v>
      </c>
      <c r="F19">
        <v>1.65</v>
      </c>
      <c r="G19">
        <v>1.91</v>
      </c>
      <c r="H19">
        <f t="shared" si="15"/>
        <v>0.26</v>
      </c>
      <c r="I19" s="7">
        <f t="shared" si="16"/>
        <v>0.52</v>
      </c>
      <c r="J19" s="2">
        <f t="shared" si="13"/>
        <v>23.246266084587958</v>
      </c>
      <c r="K19">
        <f t="shared" si="17"/>
        <v>1.8241999999999998</v>
      </c>
      <c r="L19" s="2">
        <f>(117352-100424)*0.000001</f>
        <v>1.6927999999999999E-2</v>
      </c>
      <c r="M19" s="2">
        <f>B16*(5/G19-1)^(1/B14)</f>
        <v>69.738798253763875</v>
      </c>
    </row>
    <row r="20" spans="1:27" x14ac:dyDescent="0.35">
      <c r="C20">
        <v>3</v>
      </c>
      <c r="D20">
        <v>4</v>
      </c>
      <c r="E20">
        <f t="shared" si="14"/>
        <v>1</v>
      </c>
      <c r="F20">
        <v>1.83</v>
      </c>
      <c r="G20">
        <v>2.1800000000000002</v>
      </c>
      <c r="H20">
        <f t="shared" si="15"/>
        <v>0.35000000000000009</v>
      </c>
      <c r="I20" s="7">
        <f t="shared" si="16"/>
        <v>0.35000000000000009</v>
      </c>
      <c r="J20" s="2">
        <f t="shared" si="13"/>
        <v>27.504364913798639</v>
      </c>
      <c r="K20">
        <f t="shared" si="17"/>
        <v>2.0645000000000002</v>
      </c>
      <c r="L20" s="2">
        <f>(113392-100496)*0.000001</f>
        <v>1.2895999999999999E-2</v>
      </c>
      <c r="M20" s="2">
        <f>B16*(5/G20-1)^(1/B14)</f>
        <v>110.01745965519456</v>
      </c>
    </row>
    <row r="21" spans="1:27" x14ac:dyDescent="0.35">
      <c r="C21">
        <v>4</v>
      </c>
      <c r="D21">
        <v>5</v>
      </c>
      <c r="E21">
        <f t="shared" si="14"/>
        <v>1</v>
      </c>
      <c r="F21">
        <v>2.12</v>
      </c>
      <c r="G21">
        <v>2.4</v>
      </c>
      <c r="H21">
        <f t="shared" si="15"/>
        <v>0.2799999999999998</v>
      </c>
      <c r="I21" s="7">
        <f t="shared" si="16"/>
        <v>0.2799999999999998</v>
      </c>
      <c r="J21" s="2">
        <f t="shared" si="13"/>
        <v>31.586715374077158</v>
      </c>
      <c r="K21">
        <f t="shared" si="17"/>
        <v>2.3075999999999999</v>
      </c>
      <c r="L21" s="2">
        <f>(110944-100400)*0.000001</f>
        <v>1.0544E-2</v>
      </c>
      <c r="M21" s="2">
        <f>B16*(5/G21-1)^(1/B14)</f>
        <v>157.93357687038579</v>
      </c>
    </row>
    <row r="29" spans="1:27" x14ac:dyDescent="0.35">
      <c r="A29" t="s">
        <v>17</v>
      </c>
    </row>
    <row r="32" spans="1:27" x14ac:dyDescent="0.35">
      <c r="W32" s="9"/>
    </row>
    <row r="44" spans="5:17" x14ac:dyDescent="0.35">
      <c r="E44" t="s">
        <v>24</v>
      </c>
      <c r="F44" t="s">
        <v>30</v>
      </c>
      <c r="G44" t="s">
        <v>29</v>
      </c>
      <c r="M44" s="2" t="s">
        <v>24</v>
      </c>
      <c r="P44" t="s">
        <v>28</v>
      </c>
      <c r="Q44" t="s">
        <v>27</v>
      </c>
    </row>
    <row r="45" spans="5:17" x14ac:dyDescent="0.35">
      <c r="F45" s="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Lourenço Vaz Pato</dc:creator>
  <cp:lastModifiedBy>Lourenço Vaz Pato</cp:lastModifiedBy>
  <dcterms:created xsi:type="dcterms:W3CDTF">2018-10-11T15:48:45Z</dcterms:created>
  <dcterms:modified xsi:type="dcterms:W3CDTF">2018-10-20T17:11:41Z</dcterms:modified>
</cp:coreProperties>
</file>