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EN\ABS\SCS\12-EBC470\05-Motor\"/>
    </mc:Choice>
  </mc:AlternateContent>
  <xr:revisionPtr revIDLastSave="8" documentId="13_ncr:1_{3BC9CBDF-C866-4BAF-8473-CB3DEF90D9F9}" xr6:coauthVersionLast="45" xr6:coauthVersionMax="45" xr10:uidLastSave="{993C8D53-47A8-4854-BE6B-9AFACE1D6738}"/>
  <bookViews>
    <workbookView xWindow="-120" yWindow="-120" windowWidth="29040" windowHeight="15990" xr2:uid="{00000000-000D-0000-FFFF-FFFF00000000}"/>
  </bookViews>
  <sheets>
    <sheet name="Global motor data" sheetId="2" r:id="rId1"/>
  </sheets>
  <definedNames>
    <definedName name="_xlnm._FilterDatabase" localSheetId="0" hidden="1">'Global motor data'!$B$1:$B$50</definedName>
  </definedNames>
  <calcPr calcId="191028"/>
  <customWorkbookViews>
    <customWorkbookView name="weigelta - Persönliche Ansicht" guid="{BFA8B26B-29AF-4D08-92C1-2F589E06B684}" mergeInterval="0" personalView="1" maximized="1" xWindow="1912" yWindow="-8" windowWidth="1936" windowHeight="1096" activeSheetId="1"/>
    <customWorkbookView name="kutzneru - Persönliche Ansicht" guid="{3E5A5853-6376-486A-9B6B-7582526D909D}" mergeInterval="0" personalView="1" maximized="1" xWindow="1" yWindow="1" windowWidth="1276" windowHeight="764" activeSheetId="1"/>
    <customWorkbookView name="HodikR - Personal View" guid="{2038B8CC-F181-4B04-A550-497FA46B2788}" mergeInterval="0" personalView="1" maximized="1" xWindow="-1288" yWindow="48" windowWidth="1296" windowHeight="1040" activeSheetId="1"/>
  </customWorkbookViews>
  <extLst>
    <ext xmlns:x15="http://schemas.microsoft.com/office/spreadsheetml/2010/11/main" uri="{FCE2AD5D-F65C-4FA6-A056-5C36A1767C68}">
      <x15:dataModel>
        <x15:modelTables>
          <x15:modelTable id="Table" name="Table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" i="2" l="1"/>
  <c r="AF31" i="2"/>
  <c r="AE31" i="2"/>
  <c r="AC31" i="2"/>
  <c r="AB31" i="2"/>
  <c r="AH31" i="2"/>
  <c r="AG31" i="2"/>
  <c r="Z31" i="2"/>
  <c r="Y31" i="2"/>
  <c r="AS16" i="2" l="1"/>
  <c r="AR16" i="2"/>
  <c r="AP16" i="2"/>
  <c r="AO16" i="2"/>
  <c r="AF16" i="2"/>
  <c r="AE16" i="2"/>
  <c r="AC16" i="2"/>
  <c r="AB16" i="2"/>
  <c r="AV21" i="2"/>
  <c r="AI21" i="2"/>
  <c r="BW31" i="2" l="1"/>
  <c r="BF31" i="2"/>
  <c r="V31" i="2" l="1"/>
  <c r="R32" i="2"/>
  <c r="O32" i="2"/>
  <c r="L32" i="2"/>
  <c r="V32" i="2" s="1"/>
  <c r="BD47" i="2" l="1"/>
  <c r="BD26" i="2"/>
  <c r="BD20" i="2"/>
  <c r="BD16" i="2"/>
  <c r="BD14" i="2"/>
  <c r="BD8" i="2"/>
  <c r="BD21" i="2" s="1"/>
  <c r="BD3" i="2"/>
  <c r="BC21" i="2"/>
  <c r="BF21" i="2"/>
  <c r="BB21" i="2" l="1"/>
  <c r="T4" i="2"/>
  <c r="O4" i="2"/>
  <c r="L4" i="2"/>
  <c r="V4" i="2" s="1"/>
  <c r="BW3" i="2" l="1"/>
  <c r="BF3" i="2"/>
  <c r="BC15" i="2" l="1"/>
  <c r="BD15" i="2" s="1"/>
  <c r="BF15" i="2"/>
  <c r="V15" i="2" l="1"/>
  <c r="BQ15" i="2" l="1"/>
  <c r="BW47" i="2"/>
  <c r="BF47" i="2"/>
  <c r="AV47" i="2" l="1"/>
  <c r="AI47" i="2"/>
  <c r="V43" i="2" l="1"/>
  <c r="V42" i="2"/>
  <c r="V41" i="2"/>
  <c r="BW26" i="2"/>
  <c r="AV26" i="2" l="1"/>
  <c r="AI26" i="2"/>
  <c r="BW20" i="2" l="1"/>
  <c r="BH20" i="2"/>
  <c r="BW21" i="2"/>
  <c r="BQ21" i="2"/>
  <c r="BW16" i="2" l="1"/>
  <c r="BQ16" i="2"/>
  <c r="AV16" i="2" l="1"/>
  <c r="AI16" i="2"/>
  <c r="BW14" i="2" l="1"/>
  <c r="BQ14" i="2"/>
  <c r="BQ9" i="2"/>
  <c r="AV14" i="2" l="1"/>
  <c r="AS14" i="2"/>
  <c r="AR14" i="2"/>
  <c r="AP14" i="2"/>
  <c r="AO14" i="2"/>
  <c r="Y14" i="2"/>
  <c r="AI14" i="2" l="1"/>
  <c r="AF14" i="2"/>
  <c r="AE14" i="2"/>
  <c r="AC14" i="2"/>
  <c r="AB14" i="2"/>
  <c r="BW13" i="2" l="1"/>
  <c r="BQ13" i="2"/>
  <c r="BC13" i="2"/>
  <c r="BD13" i="2" s="1"/>
  <c r="AU13" i="2"/>
  <c r="AT13" i="2"/>
  <c r="AM13" i="2"/>
  <c r="AL13" i="2"/>
  <c r="AH13" i="2"/>
  <c r="AG13" i="2"/>
  <c r="Z13" i="2"/>
  <c r="Y13" i="2"/>
  <c r="AV13" i="2" l="1"/>
  <c r="AI13" i="2"/>
  <c r="BW8" i="2"/>
  <c r="BW7" i="2"/>
  <c r="BQ8" i="2" l="1"/>
  <c r="BO8" i="2"/>
  <c r="BF8" i="2"/>
  <c r="AU8" i="2"/>
  <c r="AT8" i="2"/>
  <c r="AS8" i="2"/>
  <c r="AR8" i="2"/>
  <c r="AP8" i="2"/>
  <c r="AO8" i="2"/>
  <c r="AM8" i="2"/>
  <c r="AL8" i="2"/>
  <c r="AF8" i="2"/>
  <c r="AC7" i="2"/>
  <c r="AC8" i="2"/>
  <c r="Z8" i="2"/>
  <c r="AH8" i="2"/>
  <c r="AG8" i="2"/>
  <c r="AE8" i="2"/>
  <c r="AD8" i="2"/>
  <c r="AB8" i="2"/>
  <c r="Y8" i="2"/>
  <c r="AV8" i="2" l="1"/>
  <c r="AI8" i="2"/>
  <c r="BQ7" i="2"/>
  <c r="BQ1" i="2"/>
  <c r="BO7" i="2"/>
  <c r="BH7" i="2"/>
  <c r="BB7" i="2"/>
  <c r="BD7" i="2" s="1"/>
  <c r="AR7" i="2"/>
  <c r="AO7" i="2"/>
  <c r="AL7" i="2"/>
  <c r="AV7" i="2" s="1"/>
  <c r="AF7" i="2" l="1"/>
  <c r="AE7" i="2"/>
  <c r="AD7" i="2"/>
  <c r="AB7" i="2"/>
  <c r="Y7" i="2"/>
  <c r="AI7" i="2" s="1"/>
  <c r="AA7" i="2"/>
  <c r="V8" i="2" l="1"/>
  <c r="BF26" i="2" l="1"/>
  <c r="BF14" i="2"/>
  <c r="BF20" i="2"/>
  <c r="V48" i="2" l="1"/>
  <c r="V47" i="2"/>
  <c r="V44" i="2"/>
  <c r="V38" i="2"/>
  <c r="V37" i="2"/>
  <c r="V36" i="2"/>
  <c r="V35" i="2"/>
  <c r="V28" i="2"/>
  <c r="V26" i="2"/>
  <c r="V23" i="2"/>
  <c r="V22" i="2"/>
  <c r="V21" i="2"/>
  <c r="V20" i="2"/>
  <c r="V17" i="2"/>
  <c r="V16" i="2"/>
  <c r="V14" i="2"/>
  <c r="V13" i="2"/>
  <c r="V10" i="2"/>
  <c r="V9" i="2"/>
  <c r="V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Roman Hodik</author>
  </authors>
  <commentList>
    <comment ref="W3" authorId="0" shapeId="0" xr:uid="{FDC9B2FB-FF5D-4369-BC89-29EBECB110E6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Mahle dyno</t>
        </r>
      </text>
    </comment>
    <comment ref="AJ3" authorId="0" shapeId="0" xr:uid="{C307291D-1AD3-4633-AA29-8858D4622AEA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Mahle dyno</t>
        </r>
      </text>
    </comment>
    <comment ref="AW3" authorId="0" shapeId="0" xr:uid="{1BD48FA6-F8AE-41C0-ACBD-F4EEEBA3E9E7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Mahle dyno</t>
        </r>
      </text>
    </comment>
    <comment ref="W8" authorId="0" shapeId="0" xr:uid="{0C204C41-93E4-4DDF-91F6-57EFFA4452C6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Koblenz dyno</t>
        </r>
      </text>
    </comment>
    <comment ref="W15" authorId="0" shapeId="0" xr:uid="{A856925A-88CD-4EFF-B8EB-4CBE4FEEB7FA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LG dyno</t>
        </r>
      </text>
    </comment>
    <comment ref="W16" authorId="0" shapeId="0" xr:uid="{B64B31FE-3893-4F5E-B5EF-D2F6FE3A5334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Koblenz dyno</t>
        </r>
      </text>
    </comment>
    <comment ref="AJ16" authorId="0" shapeId="0" xr:uid="{6694079E-A665-475F-9802-2B8B03972BF1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recalculated based on Koblenz dyno data</t>
        </r>
      </text>
    </comment>
    <comment ref="AW16" authorId="0" shapeId="0" xr:uid="{945886A7-C9D8-41B9-9439-B4F52BA07DD2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recalculated based on Koblenz dyno data</t>
        </r>
      </text>
    </comment>
    <comment ref="J20" authorId="0" shapeId="0" xr:uid="{4447351A-E3F1-4828-890E-3EB0C3F0BA42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from CAD data</t>
        </r>
      </text>
    </comment>
    <comment ref="W21" authorId="0" shapeId="0" xr:uid="{4E743DCE-5ABB-40D9-8791-5796FB6ED26A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Koblenz dyno</t>
        </r>
      </text>
    </comment>
    <comment ref="AJ21" authorId="0" shapeId="0" xr:uid="{959FA2E4-7B63-4C5C-A2AA-5E7C9BE18802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Estimated, based on other types. Not measured yet.</t>
        </r>
      </text>
    </comment>
    <comment ref="AW21" authorId="0" shapeId="0" xr:uid="{FB1636C5-E404-4CFC-92AF-A9165EFADC45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Estimated, based on other types. Not measured yet.</t>
        </r>
      </text>
    </comment>
    <comment ref="W26" authorId="0" shapeId="0" xr:uid="{2CD50CD9-28D3-455F-92F6-EF7F71D9FF7B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LG dyno</t>
        </r>
      </text>
    </comment>
    <comment ref="AJ26" authorId="0" shapeId="0" xr:uid="{8F68B89B-EC3F-4DE1-91BD-6D4A873ACE0B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LG dyno</t>
        </r>
      </text>
    </comment>
    <comment ref="AW26" authorId="0" shapeId="0" xr:uid="{F4A659F9-F3ED-403D-8224-9DF3B5A1B195}">
      <text>
        <r>
          <rPr>
            <b/>
            <sz val="9"/>
            <color indexed="81"/>
            <rFont val="Tahoma"/>
            <family val="2"/>
          </rPr>
          <t>Roman Hodik:</t>
        </r>
        <r>
          <rPr>
            <sz val="9"/>
            <color indexed="81"/>
            <rFont val="Tahoma"/>
            <family val="2"/>
          </rPr>
          <t xml:space="preserve">
LG dyno</t>
        </r>
      </text>
    </comment>
    <comment ref="W31" authorId="0" shapeId="0" xr:uid="{E9C7B2AB-46F7-4C55-B5F0-34EBB4ED1073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Koblenz dyno</t>
        </r>
      </text>
    </comment>
    <comment ref="AJ31" authorId="0" shapeId="0" xr:uid="{6D226497-E931-423D-8AD4-1649C6D5E4D4}">
      <text>
        <r>
          <rPr>
            <b/>
            <sz val="9"/>
            <color indexed="81"/>
            <rFont val="Tahoma"/>
            <charset val="1"/>
          </rPr>
          <t>Roman Hodik:</t>
        </r>
        <r>
          <rPr>
            <sz val="9"/>
            <color indexed="81"/>
            <rFont val="Tahoma"/>
            <charset val="1"/>
          </rPr>
          <t xml:space="preserve">
Recalculated based on LG temp. data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Table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<sst xmlns="http://schemas.openxmlformats.org/spreadsheetml/2006/main" count="1011" uniqueCount="140">
  <si>
    <t>Updated
21/08/2019</t>
  </si>
  <si>
    <t>Supplier</t>
  </si>
  <si>
    <t>OEM</t>
  </si>
  <si>
    <t>Sample level</t>
  </si>
  <si>
    <t>PN</t>
  </si>
  <si>
    <t>Housing diameter
(D) [mm]</t>
  </si>
  <si>
    <t>Housing length
(L) [mm]</t>
  </si>
  <si>
    <t>Stack length
[mm]</t>
  </si>
  <si>
    <t>Eccentricity
[mm]</t>
  </si>
  <si>
    <t>Weight
[g]</t>
  </si>
  <si>
    <t>Size / weight</t>
  </si>
  <si>
    <t>Idle speed 
[rpm]</t>
  </si>
  <si>
    <t>Idle current
[A]</t>
  </si>
  <si>
    <t>Working point</t>
  </si>
  <si>
    <t>Stall</t>
  </si>
  <si>
    <t>Peak power
[W]</t>
  </si>
  <si>
    <t>Comment</t>
  </si>
  <si>
    <t>Performance 23C</t>
  </si>
  <si>
    <t>Performance 85C</t>
  </si>
  <si>
    <t>Performance -40C</t>
  </si>
  <si>
    <t>Ke
[V/rad/s]</t>
  </si>
  <si>
    <t>Kt
[Nm/A]</t>
  </si>
  <si>
    <r>
      <t>Armature resistance
[m</t>
    </r>
    <r>
      <rPr>
        <sz val="11"/>
        <rFont val="Symbol"/>
        <family val="1"/>
        <charset val="2"/>
      </rPr>
      <t>W</t>
    </r>
    <r>
      <rPr>
        <sz val="11"/>
        <rFont val="Calibri"/>
        <family val="2"/>
      </rPr>
      <t>]</t>
    </r>
  </si>
  <si>
    <r>
      <t>Motor resistance
[m</t>
    </r>
    <r>
      <rPr>
        <sz val="11"/>
        <rFont val="Symbol"/>
        <family val="1"/>
        <charset val="2"/>
      </rPr>
      <t>W</t>
    </r>
    <r>
      <rPr>
        <sz val="11"/>
        <rFont val="Calibri"/>
        <family val="2"/>
      </rPr>
      <t>]</t>
    </r>
  </si>
  <si>
    <r>
      <t>Brush card resistance
[m</t>
    </r>
    <r>
      <rPr>
        <sz val="11"/>
        <rFont val="Symbol"/>
        <family val="1"/>
        <charset val="2"/>
      </rPr>
      <t>W</t>
    </r>
    <r>
      <rPr>
        <sz val="11"/>
        <rFont val="Calibri"/>
        <family val="2"/>
      </rPr>
      <t>]</t>
    </r>
  </si>
  <si>
    <r>
      <t>Contact resistance
[m</t>
    </r>
    <r>
      <rPr>
        <sz val="11"/>
        <rFont val="Symbol"/>
        <family val="1"/>
        <charset val="2"/>
      </rPr>
      <t>W</t>
    </r>
    <r>
      <rPr>
        <sz val="11"/>
        <rFont val="Calibri"/>
        <family val="2"/>
      </rPr>
      <t>]</t>
    </r>
  </si>
  <si>
    <r>
      <t>Armature inductance
[</t>
    </r>
    <r>
      <rPr>
        <sz val="11"/>
        <rFont val="Symbol"/>
        <family val="1"/>
        <charset val="2"/>
      </rPr>
      <t>m</t>
    </r>
    <r>
      <rPr>
        <sz val="11"/>
        <rFont val="Calibri"/>
        <family val="2"/>
      </rPr>
      <t>H]</t>
    </r>
  </si>
  <si>
    <t>Rotor inertia
[kgm^2]</t>
  </si>
  <si>
    <t>Friction torque @ 10rpm
[mNm]</t>
  </si>
  <si>
    <t>Friction torque @ 1000rpm
[mNm]</t>
  </si>
  <si>
    <t>Electrical char.</t>
  </si>
  <si>
    <t>Magnet 
poles</t>
  </si>
  <si>
    <t>Rotor
slots</t>
  </si>
  <si>
    <t>Turns</t>
  </si>
  <si>
    <t>Wire diameter [mm]</t>
  </si>
  <si>
    <t>Timing angle [deg]</t>
  </si>
  <si>
    <t>Comm.
Segments</t>
  </si>
  <si>
    <t>Commutator length 
[mm]</t>
  </si>
  <si>
    <t>Brush [mm]</t>
  </si>
  <si>
    <t>New Brush spring force [N]</t>
  </si>
  <si>
    <t>Spring constant [N/mm]</t>
  </si>
  <si>
    <t>New Brush coontact pressure [Pa]</t>
  </si>
  <si>
    <t>Choke coil wire</t>
  </si>
  <si>
    <t>Choke coil core</t>
  </si>
  <si>
    <r>
      <t>Choke coil inductance [</t>
    </r>
    <r>
      <rPr>
        <sz val="11"/>
        <rFont val="Symbol"/>
        <family val="1"/>
        <charset val="2"/>
      </rPr>
      <t>m</t>
    </r>
    <r>
      <rPr>
        <sz val="11"/>
        <rFont val="Calibri"/>
        <family val="2"/>
        <scheme val="minor"/>
      </rPr>
      <t>H]</t>
    </r>
  </si>
  <si>
    <t>Housing thickness [mm]</t>
  </si>
  <si>
    <t>Magnet material</t>
  </si>
  <si>
    <t>Magnet length [mm]</t>
  </si>
  <si>
    <t>Magnet thickness [mm]</t>
  </si>
  <si>
    <t>Electrical design</t>
  </si>
  <si>
    <t>Torque
[Nm]</t>
  </si>
  <si>
    <t>Speed
[rpm]</t>
  </si>
  <si>
    <t>Current
[A]</t>
  </si>
  <si>
    <t>W</t>
  </si>
  <si>
    <t>H</t>
  </si>
  <si>
    <t>L</t>
  </si>
  <si>
    <t>EBC460 ABS</t>
  </si>
  <si>
    <t>Kokusan</t>
  </si>
  <si>
    <t>VW, COEM</t>
  </si>
  <si>
    <t>C</t>
  </si>
  <si>
    <t>0.55&amp;0.65</t>
  </si>
  <si>
    <t>N/A</t>
  </si>
  <si>
    <t>UP</t>
  </si>
  <si>
    <t>TBD</t>
  </si>
  <si>
    <t>Ferrite, Gr7</t>
  </si>
  <si>
    <t>updated 28-Sep-2018</t>
  </si>
  <si>
    <t>Spec NOM</t>
  </si>
  <si>
    <t>-</t>
  </si>
  <si>
    <t>(up)</t>
  </si>
  <si>
    <t>Spec MIN</t>
  </si>
  <si>
    <t>Spec MAX</t>
  </si>
  <si>
    <t>EBC470
Type 1</t>
  </si>
  <si>
    <t>Brose</t>
  </si>
  <si>
    <t>B2</t>
  </si>
  <si>
    <t>A005D991</t>
  </si>
  <si>
    <t>Avg</t>
  </si>
  <si>
    <t>2x32</t>
  </si>
  <si>
    <t>D1.22/n11</t>
  </si>
  <si>
    <t>ferr. D8/L15</t>
  </si>
  <si>
    <t>updated 09-Jul-2018</t>
  </si>
  <si>
    <t>LG</t>
  </si>
  <si>
    <t>VW</t>
  </si>
  <si>
    <t>C1</t>
  </si>
  <si>
    <t>A006M780</t>
  </si>
  <si>
    <t>2x21</t>
  </si>
  <si>
    <t>D1.5/n10.5</t>
  </si>
  <si>
    <t>ferr. D6/L19</t>
  </si>
  <si>
    <t>Ferrite, 9BE</t>
  </si>
  <si>
    <t>Mahle</t>
  </si>
  <si>
    <t>B0</t>
  </si>
  <si>
    <t>2x18</t>
  </si>
  <si>
    <t>updated 17-Jul-2018</t>
  </si>
  <si>
    <t>(avg)</t>
  </si>
  <si>
    <t>EBC460
ESC</t>
  </si>
  <si>
    <t>Ferrite, Gr9</t>
  </si>
  <si>
    <t>updated 12-Jul-2018</t>
  </si>
  <si>
    <t>VW, Dai, Fiat</t>
  </si>
  <si>
    <t>2x8</t>
  </si>
  <si>
    <t>Ferrite, 7BE</t>
  </si>
  <si>
    <t>GM</t>
  </si>
  <si>
    <t>1 &amp; 1.2</t>
  </si>
  <si>
    <t>AP OEM's</t>
  </si>
  <si>
    <t>D1.4/n14</t>
  </si>
  <si>
    <t>ferr. D4.1/L25</t>
  </si>
  <si>
    <t>updated 21-May-2019</t>
  </si>
  <si>
    <t>EBC470
Type 2</t>
  </si>
  <si>
    <t>A</t>
  </si>
  <si>
    <t>A005P046</t>
  </si>
  <si>
    <t>SIM</t>
  </si>
  <si>
    <t>2x17</t>
  </si>
  <si>
    <t>updated 25-Sep-2018</t>
  </si>
  <si>
    <t>B</t>
  </si>
  <si>
    <t>A006M781</t>
  </si>
  <si>
    <t>2x14</t>
  </si>
  <si>
    <t>updated 21-May-2018</t>
  </si>
  <si>
    <t>2x11</t>
  </si>
  <si>
    <t>EBC460
Premium 32EV</t>
  </si>
  <si>
    <t>BMW, Dai</t>
  </si>
  <si>
    <t>C2</t>
  </si>
  <si>
    <t>A001F678</t>
  </si>
  <si>
    <t>2x6</t>
  </si>
  <si>
    <t>ferr. D7/L22</t>
  </si>
  <si>
    <t>updated 26-Sep-2018</t>
  </si>
  <si>
    <t>?</t>
  </si>
  <si>
    <t>EBC460
 32HD</t>
  </si>
  <si>
    <t>C0</t>
  </si>
  <si>
    <t>A006V787</t>
  </si>
  <si>
    <t>2x5</t>
  </si>
  <si>
    <t>updated 22-Feb-2019</t>
  </si>
  <si>
    <t>EBC470
HD</t>
  </si>
  <si>
    <t>A006M788</t>
  </si>
  <si>
    <t>2x7</t>
  </si>
  <si>
    <t>A005Y175</t>
  </si>
  <si>
    <t>Ferrite, gr9</t>
  </si>
  <si>
    <t>EBC470
Premium</t>
  </si>
  <si>
    <t>A006M789</t>
  </si>
  <si>
    <t>EBC460
Premium 39EV</t>
  </si>
  <si>
    <t>Dai</t>
  </si>
  <si>
    <t>C0.1</t>
  </si>
  <si>
    <t>A006P061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</si>
</sst>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Symbol"/>
      <family val="1"/>
      <charset val="2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sz val="11"/>
      <color rgb="FF3F3F76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0" fillId="6" borderId="11" applyNumberFormat="0" applyAlignment="0" applyProtection="0"/>
    <xf numFmtId="0" fontId="11" fillId="8" borderId="15" applyNumberFormat="0" applyFont="0" applyAlignment="0" applyProtection="0"/>
  </cellStyleXfs>
  <cellXfs count="65">
    <xf numFmtId="0" fontId="0" fillId="0" borderId="0" xfId="0"/>
    <xf numFmtId="0" fontId="5" fillId="4" borderId="1" xfId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5" borderId="1" xfId="2" applyBorder="1" applyAlignment="1">
      <alignment horizontal="center" vertical="center"/>
    </xf>
    <xf numFmtId="0" fontId="5" fillId="4" borderId="1" xfId="1" applyBorder="1" applyAlignment="1">
      <alignment horizontal="center" vertical="center"/>
    </xf>
    <xf numFmtId="0" fontId="9" fillId="0" borderId="0" xfId="0" applyFont="1"/>
    <xf numFmtId="1" fontId="5" fillId="4" borderId="1" xfId="1" applyNumberFormat="1" applyBorder="1" applyAlignment="1">
      <alignment horizontal="center" vertical="center"/>
    </xf>
    <xf numFmtId="166" fontId="5" fillId="4" borderId="1" xfId="1" applyNumberFormat="1" applyBorder="1" applyAlignment="1">
      <alignment horizontal="center" vertical="center"/>
    </xf>
    <xf numFmtId="2" fontId="5" fillId="4" borderId="1" xfId="1" applyNumberFormat="1" applyBorder="1" applyAlignment="1">
      <alignment horizontal="center" vertical="center"/>
    </xf>
    <xf numFmtId="165" fontId="5" fillId="4" borderId="1" xfId="1" applyNumberFormat="1" applyBorder="1" applyAlignment="1">
      <alignment horizontal="center" vertical="center"/>
    </xf>
    <xf numFmtId="11" fontId="5" fillId="4" borderId="1" xfId="1" applyNumberFormat="1" applyBorder="1" applyAlignment="1">
      <alignment horizontal="center" vertical="center"/>
    </xf>
    <xf numFmtId="164" fontId="5" fillId="4" borderId="1" xfId="1" applyNumberFormat="1" applyBorder="1" applyAlignment="1">
      <alignment horizontal="center" vertical="center"/>
    </xf>
    <xf numFmtId="11" fontId="6" fillId="5" borderId="1" xfId="2" applyNumberFormat="1" applyBorder="1" applyAlignment="1">
      <alignment horizontal="center" vertical="center"/>
    </xf>
    <xf numFmtId="0" fontId="5" fillId="4" borderId="1" xfId="1" applyBorder="1" applyAlignment="1">
      <alignment horizontal="center"/>
    </xf>
    <xf numFmtId="166" fontId="5" fillId="4" borderId="1" xfId="1" applyNumberFormat="1" applyBorder="1" applyAlignment="1">
      <alignment horizontal="center"/>
    </xf>
    <xf numFmtId="0" fontId="5" fillId="0" borderId="1" xfId="1" applyFill="1" applyBorder="1" applyAlignment="1">
      <alignment horizontal="center" vertical="center"/>
    </xf>
    <xf numFmtId="0" fontId="10" fillId="6" borderId="11" xfId="3" applyAlignment="1">
      <alignment horizontal="center" vertical="center"/>
    </xf>
    <xf numFmtId="0" fontId="5" fillId="4" borderId="11" xfId="1" applyBorder="1" applyAlignment="1">
      <alignment horizontal="center" vertical="center"/>
    </xf>
    <xf numFmtId="0" fontId="6" fillId="0" borderId="1" xfId="2" applyFill="1" applyBorder="1" applyAlignment="1">
      <alignment horizontal="center" vertical="center"/>
    </xf>
    <xf numFmtId="0" fontId="5" fillId="4" borderId="4" xfId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5" fillId="0" borderId="6" xfId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166" fontId="6" fillId="5" borderId="1" xfId="2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6" borderId="14" xfId="3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5" borderId="1" xfId="2" applyBorder="1"/>
    <xf numFmtId="0" fontId="6" fillId="8" borderId="15" xfId="4" applyFont="1" applyAlignment="1">
      <alignment horizontal="center" vertical="center"/>
    </xf>
    <xf numFmtId="166" fontId="6" fillId="8" borderId="15" xfId="4" applyNumberFormat="1" applyFont="1" applyAlignment="1">
      <alignment horizontal="center" vertical="center"/>
    </xf>
    <xf numFmtId="2" fontId="6" fillId="8" borderId="15" xfId="4" applyNumberFormat="1" applyFont="1" applyAlignment="1">
      <alignment horizontal="center" vertical="center"/>
    </xf>
    <xf numFmtId="1" fontId="5" fillId="8" borderId="15" xfId="4" applyNumberFormat="1" applyFont="1" applyAlignment="1">
      <alignment horizontal="center" vertical="center"/>
    </xf>
    <xf numFmtId="0" fontId="1" fillId="8" borderId="15" xfId="4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A1:CF50"/>
  <sheetViews>
    <sheetView tabSelected="1" zoomScaleNormal="100" workbookViewId="0">
      <pane xSplit="3" ySplit="2" topLeftCell="D3" activePane="bottomRight" state="frozen"/>
      <selection pane="bottomRight" activeCell="L16" sqref="L16"/>
      <selection pane="bottomLeft" activeCell="A3" sqref="A3"/>
      <selection pane="topRight" activeCell="D1" sqref="D1"/>
    </sheetView>
  </sheetViews>
  <sheetFormatPr defaultColWidth="9.140625" defaultRowHeight="15" outlineLevelCol="1"/>
  <cols>
    <col min="1" max="1" width="11.140625" style="3" bestFit="1" customWidth="1"/>
    <col min="2" max="2" width="10.140625" style="3" bestFit="1" customWidth="1"/>
    <col min="3" max="3" width="12.28515625" style="3" customWidth="1"/>
    <col min="4" max="4" width="10.140625" style="3" customWidth="1"/>
    <col min="5" max="5" width="10.140625" style="29" customWidth="1"/>
    <col min="6" max="6" width="9.28515625" style="3" customWidth="1" outlineLevel="1"/>
    <col min="7" max="7" width="8.5703125" style="3" customWidth="1" outlineLevel="1"/>
    <col min="8" max="8" width="6.7109375" style="3" customWidth="1" outlineLevel="1"/>
    <col min="9" max="9" width="11.140625" style="3" customWidth="1" outlineLevel="1"/>
    <col min="10" max="10" width="7.42578125" style="3" customWidth="1" outlineLevel="1"/>
    <col min="11" max="11" width="12.42578125" style="3" hidden="1" customWidth="1"/>
    <col min="12" max="12" width="6.42578125" style="3" customWidth="1" outlineLevel="1"/>
    <col min="13" max="13" width="7.85546875" style="3" customWidth="1" outlineLevel="1"/>
    <col min="14" max="14" width="7.28515625" style="3" customWidth="1" outlineLevel="1"/>
    <col min="15" max="15" width="6.5703125" style="3" customWidth="1" outlineLevel="1"/>
    <col min="16" max="16" width="7.7109375" style="3" customWidth="1" outlineLevel="1"/>
    <col min="17" max="17" width="7.28515625" style="3" customWidth="1" outlineLevel="1"/>
    <col min="18" max="18" width="6.5703125" style="3" customWidth="1" outlineLevel="1"/>
    <col min="19" max="19" width="7.7109375" style="3" customWidth="1" outlineLevel="1"/>
    <col min="20" max="20" width="7.28515625" style="3" customWidth="1" outlineLevel="1"/>
    <col min="21" max="21" width="7.7109375" style="3" customWidth="1" outlineLevel="1"/>
    <col min="22" max="22" width="6.7109375" style="3" customWidth="1" outlineLevel="1"/>
    <col min="23" max="23" width="14.85546875" style="3" customWidth="1" outlineLevel="1"/>
    <col min="24" max="24" width="12.42578125" style="3" customWidth="1"/>
    <col min="25" max="25" width="6.42578125" style="3" customWidth="1" outlineLevel="1"/>
    <col min="26" max="26" width="8.85546875" style="3" customWidth="1" outlineLevel="1"/>
    <col min="27" max="27" width="7.28515625" style="3" customWidth="1" outlineLevel="1"/>
    <col min="28" max="28" width="6.5703125" style="3" customWidth="1" outlineLevel="1"/>
    <col min="29" max="29" width="7.7109375" style="3" customWidth="1" outlineLevel="1"/>
    <col min="30" max="30" width="7.28515625" style="3" customWidth="1" outlineLevel="1"/>
    <col min="31" max="31" width="6.5703125" style="3" customWidth="1" outlineLevel="1"/>
    <col min="32" max="32" width="7.7109375" style="3" customWidth="1" outlineLevel="1"/>
    <col min="33" max="33" width="7.28515625" style="3" customWidth="1" outlineLevel="1"/>
    <col min="34" max="34" width="7.7109375" style="3" customWidth="1" outlineLevel="1"/>
    <col min="35" max="35" width="6.7109375" style="3" customWidth="1" outlineLevel="1"/>
    <col min="36" max="36" width="14.85546875" style="3" customWidth="1" outlineLevel="1"/>
    <col min="37" max="37" width="12.42578125" style="3" customWidth="1"/>
    <col min="38" max="38" width="6.42578125" style="3" customWidth="1" outlineLevel="1"/>
    <col min="39" max="39" width="8.42578125" style="3" customWidth="1" outlineLevel="1"/>
    <col min="40" max="40" width="7.28515625" style="3" customWidth="1" outlineLevel="1"/>
    <col min="41" max="41" width="6.5703125" style="3" customWidth="1" outlineLevel="1"/>
    <col min="42" max="42" width="7.7109375" style="3" customWidth="1" outlineLevel="1"/>
    <col min="43" max="43" width="7.28515625" style="3" customWidth="1" outlineLevel="1"/>
    <col min="44" max="44" width="6.5703125" style="3" customWidth="1" outlineLevel="1"/>
    <col min="45" max="45" width="7.7109375" style="3" customWidth="1" outlineLevel="1"/>
    <col min="46" max="46" width="7.28515625" style="3" customWidth="1" outlineLevel="1"/>
    <col min="47" max="47" width="7.7109375" style="3" customWidth="1" outlineLevel="1"/>
    <col min="48" max="48" width="6.7109375" style="3" customWidth="1" outlineLevel="1"/>
    <col min="49" max="49" width="14.85546875" style="3" customWidth="1" outlineLevel="1"/>
    <col min="50" max="50" width="12.42578125" style="3" customWidth="1"/>
    <col min="51" max="52" width="9.140625" style="3" customWidth="1" outlineLevel="1"/>
    <col min="53" max="56" width="10.7109375" style="3" customWidth="1" outlineLevel="1"/>
    <col min="57" max="59" width="10.42578125" style="3" customWidth="1" outlineLevel="1"/>
    <col min="60" max="60" width="14.85546875" style="3" customWidth="1" outlineLevel="1"/>
    <col min="61" max="61" width="12.42578125" style="3" customWidth="1"/>
    <col min="62" max="62" width="7.7109375" style="3" customWidth="1" outlineLevel="1"/>
    <col min="63" max="64" width="5.85546875" style="3" customWidth="1" outlineLevel="1"/>
    <col min="65" max="65" width="9.140625" style="3" customWidth="1" outlineLevel="1"/>
    <col min="66" max="66" width="8.85546875" style="3" customWidth="1" outlineLevel="1"/>
    <col min="67" max="67" width="9.7109375" style="3" customWidth="1" outlineLevel="1"/>
    <col min="68" max="69" width="12.5703125" style="3" customWidth="1" outlineLevel="1"/>
    <col min="70" max="72" width="5.28515625" style="3" customWidth="1" outlineLevel="1"/>
    <col min="73" max="74" width="14.85546875" style="3" customWidth="1" outlineLevel="1"/>
    <col min="75" max="75" width="18.42578125" style="3" customWidth="1" outlineLevel="1"/>
    <col min="76" max="82" width="12.5703125" style="3" customWidth="1" outlineLevel="1"/>
    <col min="83" max="83" width="12.5703125" style="3" customWidth="1"/>
    <col min="84" max="84" width="35.42578125" style="3" bestFit="1" customWidth="1"/>
    <col min="85" max="16384" width="9.140625" style="3"/>
  </cols>
  <sheetData>
    <row r="1" spans="1:84" s="2" customFormat="1" ht="15" customHeight="1">
      <c r="A1" s="48" t="s">
        <v>0</v>
      </c>
      <c r="B1" s="46" t="s">
        <v>1</v>
      </c>
      <c r="C1" s="64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8" t="s">
        <v>10</v>
      </c>
      <c r="L1" s="47" t="s">
        <v>11</v>
      </c>
      <c r="M1" s="47" t="s">
        <v>12</v>
      </c>
      <c r="N1" s="46" t="s">
        <v>13</v>
      </c>
      <c r="O1" s="46"/>
      <c r="P1" s="46"/>
      <c r="Q1" s="46" t="s">
        <v>13</v>
      </c>
      <c r="R1" s="46"/>
      <c r="S1" s="46"/>
      <c r="T1" s="46" t="s">
        <v>14</v>
      </c>
      <c r="U1" s="46"/>
      <c r="V1" s="47" t="s">
        <v>15</v>
      </c>
      <c r="W1" s="47" t="s">
        <v>16</v>
      </c>
      <c r="X1" s="48" t="s">
        <v>17</v>
      </c>
      <c r="Y1" s="47" t="s">
        <v>11</v>
      </c>
      <c r="Z1" s="47" t="s">
        <v>12</v>
      </c>
      <c r="AA1" s="46" t="s">
        <v>13</v>
      </c>
      <c r="AB1" s="46"/>
      <c r="AC1" s="46"/>
      <c r="AD1" s="46" t="s">
        <v>13</v>
      </c>
      <c r="AE1" s="46"/>
      <c r="AF1" s="46"/>
      <c r="AG1" s="46" t="s">
        <v>14</v>
      </c>
      <c r="AH1" s="46"/>
      <c r="AI1" s="47" t="s">
        <v>15</v>
      </c>
      <c r="AJ1" s="47" t="s">
        <v>16</v>
      </c>
      <c r="AK1" s="48" t="s">
        <v>18</v>
      </c>
      <c r="AL1" s="47" t="s">
        <v>11</v>
      </c>
      <c r="AM1" s="47" t="s">
        <v>12</v>
      </c>
      <c r="AN1" s="46" t="s">
        <v>13</v>
      </c>
      <c r="AO1" s="46"/>
      <c r="AP1" s="46"/>
      <c r="AQ1" s="46" t="s">
        <v>13</v>
      </c>
      <c r="AR1" s="46"/>
      <c r="AS1" s="46"/>
      <c r="AT1" s="46" t="s">
        <v>14</v>
      </c>
      <c r="AU1" s="46"/>
      <c r="AV1" s="47" t="s">
        <v>15</v>
      </c>
      <c r="AW1" s="47" t="s">
        <v>16</v>
      </c>
      <c r="AX1" s="48" t="s">
        <v>19</v>
      </c>
      <c r="AY1" s="47" t="s">
        <v>20</v>
      </c>
      <c r="AZ1" s="47" t="s">
        <v>21</v>
      </c>
      <c r="BA1" s="47" t="s">
        <v>22</v>
      </c>
      <c r="BB1" s="47" t="s">
        <v>23</v>
      </c>
      <c r="BC1" s="47" t="s">
        <v>24</v>
      </c>
      <c r="BD1" s="47" t="s">
        <v>25</v>
      </c>
      <c r="BE1" s="47" t="s">
        <v>26</v>
      </c>
      <c r="BF1" s="47" t="s">
        <v>27</v>
      </c>
      <c r="BG1" s="47" t="s">
        <v>28</v>
      </c>
      <c r="BH1" s="47" t="s">
        <v>29</v>
      </c>
      <c r="BI1" s="48" t="s">
        <v>30</v>
      </c>
      <c r="BJ1" s="47" t="s">
        <v>31</v>
      </c>
      <c r="BK1" s="47" t="s">
        <v>32</v>
      </c>
      <c r="BL1" s="47" t="s">
        <v>33</v>
      </c>
      <c r="BM1" s="47" t="s">
        <v>34</v>
      </c>
      <c r="BN1" s="47" t="s">
        <v>35</v>
      </c>
      <c r="BO1" s="47" t="s">
        <v>36</v>
      </c>
      <c r="BP1" s="47" t="s">
        <v>37</v>
      </c>
      <c r="BQ1" s="47" t="str">
        <f>H1</f>
        <v>Stack length
[mm]</v>
      </c>
      <c r="BR1" s="47" t="s">
        <v>38</v>
      </c>
      <c r="BS1" s="47"/>
      <c r="BT1" s="47"/>
      <c r="BU1" s="47" t="s">
        <v>39</v>
      </c>
      <c r="BV1" s="47" t="s">
        <v>40</v>
      </c>
      <c r="BW1" s="47" t="s">
        <v>41</v>
      </c>
      <c r="BX1" s="47" t="s">
        <v>42</v>
      </c>
      <c r="BY1" s="47" t="s">
        <v>43</v>
      </c>
      <c r="BZ1" s="47" t="s">
        <v>44</v>
      </c>
      <c r="CA1" s="47" t="s">
        <v>45</v>
      </c>
      <c r="CB1" s="47" t="s">
        <v>46</v>
      </c>
      <c r="CC1" s="47" t="s">
        <v>47</v>
      </c>
      <c r="CD1" s="47" t="s">
        <v>48</v>
      </c>
      <c r="CE1" s="48" t="s">
        <v>49</v>
      </c>
    </row>
    <row r="2" spans="1:84" ht="30">
      <c r="A2" s="49"/>
      <c r="B2" s="46"/>
      <c r="C2" s="50"/>
      <c r="D2" s="47"/>
      <c r="E2" s="47"/>
      <c r="F2" s="47"/>
      <c r="G2" s="47"/>
      <c r="H2" s="47"/>
      <c r="I2" s="47"/>
      <c r="J2" s="47"/>
      <c r="K2" s="48"/>
      <c r="L2" s="47"/>
      <c r="M2" s="47"/>
      <c r="N2" s="42" t="s">
        <v>50</v>
      </c>
      <c r="O2" s="42" t="s">
        <v>51</v>
      </c>
      <c r="P2" s="42" t="s">
        <v>52</v>
      </c>
      <c r="Q2" s="42" t="s">
        <v>50</v>
      </c>
      <c r="R2" s="42" t="s">
        <v>51</v>
      </c>
      <c r="S2" s="42" t="s">
        <v>52</v>
      </c>
      <c r="T2" s="42" t="s">
        <v>50</v>
      </c>
      <c r="U2" s="42" t="s">
        <v>52</v>
      </c>
      <c r="V2" s="46"/>
      <c r="W2" s="46"/>
      <c r="X2" s="49"/>
      <c r="Y2" s="47"/>
      <c r="Z2" s="47"/>
      <c r="AA2" s="42" t="s">
        <v>50</v>
      </c>
      <c r="AB2" s="42" t="s">
        <v>51</v>
      </c>
      <c r="AC2" s="42" t="s">
        <v>52</v>
      </c>
      <c r="AD2" s="42" t="s">
        <v>50</v>
      </c>
      <c r="AE2" s="42" t="s">
        <v>51</v>
      </c>
      <c r="AF2" s="42" t="s">
        <v>52</v>
      </c>
      <c r="AG2" s="42" t="s">
        <v>50</v>
      </c>
      <c r="AH2" s="42" t="s">
        <v>52</v>
      </c>
      <c r="AI2" s="46"/>
      <c r="AJ2" s="46"/>
      <c r="AK2" s="49"/>
      <c r="AL2" s="47"/>
      <c r="AM2" s="47"/>
      <c r="AN2" s="42" t="s">
        <v>50</v>
      </c>
      <c r="AO2" s="42" t="s">
        <v>51</v>
      </c>
      <c r="AP2" s="42" t="s">
        <v>52</v>
      </c>
      <c r="AQ2" s="42" t="s">
        <v>50</v>
      </c>
      <c r="AR2" s="42" t="s">
        <v>51</v>
      </c>
      <c r="AS2" s="42" t="s">
        <v>52</v>
      </c>
      <c r="AT2" s="42" t="s">
        <v>50</v>
      </c>
      <c r="AU2" s="42" t="s">
        <v>52</v>
      </c>
      <c r="AV2" s="46"/>
      <c r="AW2" s="46"/>
      <c r="AX2" s="49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9"/>
      <c r="BJ2" s="47"/>
      <c r="BK2" s="47"/>
      <c r="BL2" s="47"/>
      <c r="BM2" s="47"/>
      <c r="BN2" s="47"/>
      <c r="BO2" s="47"/>
      <c r="BP2" s="47"/>
      <c r="BQ2" s="47"/>
      <c r="BR2" s="42" t="s">
        <v>53</v>
      </c>
      <c r="BS2" s="42" t="s">
        <v>54</v>
      </c>
      <c r="BT2" s="42" t="s">
        <v>55</v>
      </c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9"/>
    </row>
    <row r="3" spans="1:84">
      <c r="A3" s="64" t="s">
        <v>56</v>
      </c>
      <c r="B3" s="1" t="s">
        <v>57</v>
      </c>
      <c r="C3" s="1" t="s">
        <v>58</v>
      </c>
      <c r="D3" s="1" t="s">
        <v>59</v>
      </c>
      <c r="E3" s="17">
        <v>18252305</v>
      </c>
      <c r="F3" s="8">
        <v>65</v>
      </c>
      <c r="G3" s="8">
        <v>35.5</v>
      </c>
      <c r="H3" s="8">
        <v>10</v>
      </c>
      <c r="I3" s="8" t="s">
        <v>60</v>
      </c>
      <c r="J3" s="8">
        <v>420</v>
      </c>
      <c r="K3" s="24"/>
      <c r="L3" s="8">
        <v>6742</v>
      </c>
      <c r="M3" s="8">
        <v>2</v>
      </c>
      <c r="N3" s="8">
        <v>0.32</v>
      </c>
      <c r="O3" s="8">
        <v>4210</v>
      </c>
      <c r="P3" s="8">
        <v>22</v>
      </c>
      <c r="Q3" s="8" t="s">
        <v>61</v>
      </c>
      <c r="R3" s="8" t="s">
        <v>61</v>
      </c>
      <c r="S3" s="8" t="s">
        <v>61</v>
      </c>
      <c r="T3" s="8">
        <v>0.85</v>
      </c>
      <c r="U3" s="8">
        <v>56</v>
      </c>
      <c r="V3" s="10">
        <v>141</v>
      </c>
      <c r="W3" s="8" t="s">
        <v>62</v>
      </c>
      <c r="X3" s="24"/>
      <c r="Y3" s="8">
        <v>7720</v>
      </c>
      <c r="Z3" s="8">
        <v>1.3</v>
      </c>
      <c r="AA3" s="8">
        <v>0.32</v>
      </c>
      <c r="AB3" s="8">
        <v>3384</v>
      </c>
      <c r="AC3" s="8">
        <v>22</v>
      </c>
      <c r="AD3" s="8" t="s">
        <v>61</v>
      </c>
      <c r="AE3" s="8" t="s">
        <v>61</v>
      </c>
      <c r="AF3" s="8" t="s">
        <v>61</v>
      </c>
      <c r="AG3" s="8">
        <v>0.65</v>
      </c>
      <c r="AH3" s="8">
        <v>43</v>
      </c>
      <c r="AI3" s="10">
        <v>114</v>
      </c>
      <c r="AJ3" s="8" t="s">
        <v>62</v>
      </c>
      <c r="AK3" s="24"/>
      <c r="AL3" s="8">
        <v>6423</v>
      </c>
      <c r="AM3" s="8">
        <v>2.5</v>
      </c>
      <c r="AN3" s="8">
        <v>0.32</v>
      </c>
      <c r="AO3" s="8">
        <v>4408</v>
      </c>
      <c r="AP3" s="8">
        <v>22.5</v>
      </c>
      <c r="AQ3" s="8" t="s">
        <v>61</v>
      </c>
      <c r="AR3" s="8" t="s">
        <v>61</v>
      </c>
      <c r="AS3" s="8" t="s">
        <v>61</v>
      </c>
      <c r="AT3" s="8">
        <v>1.02</v>
      </c>
      <c r="AU3" s="8">
        <v>66</v>
      </c>
      <c r="AV3" s="10">
        <v>148</v>
      </c>
      <c r="AW3" s="8" t="s">
        <v>62</v>
      </c>
      <c r="AX3" s="24"/>
      <c r="AY3" s="13">
        <v>1.6299999999999999E-2</v>
      </c>
      <c r="AZ3" s="13">
        <v>1.5599999999999999E-2</v>
      </c>
      <c r="BA3" s="8">
        <v>180</v>
      </c>
      <c r="BB3" s="8">
        <v>231</v>
      </c>
      <c r="BC3" s="8">
        <v>8.6199999999999992</v>
      </c>
      <c r="BD3" s="8">
        <f>(BB3-BA3-2*BC3)/2</f>
        <v>16.880000000000003</v>
      </c>
      <c r="BE3" s="8">
        <v>228</v>
      </c>
      <c r="BF3" s="14">
        <f>41/1000000</f>
        <v>4.1E-5</v>
      </c>
      <c r="BG3" s="7" t="s">
        <v>63</v>
      </c>
      <c r="BH3" s="8">
        <v>20.5</v>
      </c>
      <c r="BI3" s="24"/>
      <c r="BJ3" s="8">
        <v>4</v>
      </c>
      <c r="BK3" s="8">
        <v>13</v>
      </c>
      <c r="BL3" s="8">
        <v>11</v>
      </c>
      <c r="BM3" s="8">
        <v>0.6</v>
      </c>
      <c r="BN3" s="8">
        <v>2</v>
      </c>
      <c r="BO3" s="8">
        <v>13</v>
      </c>
      <c r="BP3" s="8">
        <v>10</v>
      </c>
      <c r="BQ3" s="8">
        <v>10</v>
      </c>
      <c r="BR3" s="8">
        <v>4.3499999999999996</v>
      </c>
      <c r="BS3" s="8">
        <v>4.0999999999999996</v>
      </c>
      <c r="BT3" s="8">
        <v>11</v>
      </c>
      <c r="BU3" s="8">
        <v>2.5089999999999999</v>
      </c>
      <c r="BV3" s="7" t="s">
        <v>63</v>
      </c>
      <c r="BW3" s="15">
        <f>BU3/(BR3*BS3)</f>
        <v>0.1406784412671713</v>
      </c>
      <c r="BX3" s="15" t="s">
        <v>61</v>
      </c>
      <c r="BY3" s="15" t="s">
        <v>61</v>
      </c>
      <c r="BZ3" s="15" t="s">
        <v>61</v>
      </c>
      <c r="CA3" s="8">
        <v>1.6</v>
      </c>
      <c r="CB3" s="8" t="s">
        <v>64</v>
      </c>
      <c r="CC3" s="8">
        <v>20</v>
      </c>
      <c r="CD3" s="8">
        <v>5.15</v>
      </c>
      <c r="CE3" s="25"/>
      <c r="CF3" s="9" t="s">
        <v>65</v>
      </c>
    </row>
    <row r="4" spans="1:84">
      <c r="A4" s="63"/>
      <c r="B4" s="4" t="s">
        <v>66</v>
      </c>
      <c r="C4" s="4"/>
      <c r="D4" s="4"/>
      <c r="E4" s="26"/>
      <c r="F4" s="26">
        <v>65</v>
      </c>
      <c r="G4" s="26">
        <v>35.5</v>
      </c>
      <c r="H4" s="26" t="s">
        <v>67</v>
      </c>
      <c r="I4" s="26">
        <v>0.65</v>
      </c>
      <c r="J4" s="26"/>
      <c r="K4" s="24"/>
      <c r="L4" s="4">
        <f>AVERAGE(L5:L6)</f>
        <v>6750</v>
      </c>
      <c r="M4" s="4"/>
      <c r="N4" s="4">
        <v>0.32</v>
      </c>
      <c r="O4" s="4">
        <f>AVERAGE(O5:O6)</f>
        <v>4000</v>
      </c>
      <c r="P4" s="4"/>
      <c r="Q4" s="4"/>
      <c r="R4" s="4"/>
      <c r="S4" s="4"/>
      <c r="T4" s="4">
        <f>AVERAGE(T5:T6)</f>
        <v>0.9</v>
      </c>
      <c r="U4" s="4"/>
      <c r="V4" s="5">
        <f t="shared" ref="V4" si="0">T4/2*2*PI()*L4/2/60</f>
        <v>159.04312808798329</v>
      </c>
      <c r="W4" s="41" t="s">
        <v>68</v>
      </c>
      <c r="X4" s="24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24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24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24"/>
      <c r="BJ4" s="53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5"/>
      <c r="CE4" s="25"/>
      <c r="CF4" s="9"/>
    </row>
    <row r="5" spans="1:84">
      <c r="A5" s="63"/>
      <c r="B5" s="4" t="s">
        <v>69</v>
      </c>
      <c r="C5" s="4"/>
      <c r="D5" s="4"/>
      <c r="E5" s="26"/>
      <c r="F5" s="26">
        <v>64.5</v>
      </c>
      <c r="G5" s="26">
        <v>35</v>
      </c>
      <c r="H5" s="26" t="s">
        <v>67</v>
      </c>
      <c r="I5" s="26">
        <v>0.6</v>
      </c>
      <c r="J5" s="26"/>
      <c r="K5" s="24"/>
      <c r="L5" s="4">
        <v>6000</v>
      </c>
      <c r="M5" s="4"/>
      <c r="N5" s="4">
        <v>0.32</v>
      </c>
      <c r="O5" s="4">
        <v>3500</v>
      </c>
      <c r="P5" s="4"/>
      <c r="Q5" s="4"/>
      <c r="R5" s="4"/>
      <c r="S5" s="4"/>
      <c r="T5" s="4">
        <v>0.8</v>
      </c>
      <c r="U5" s="4"/>
      <c r="V5" s="4"/>
      <c r="W5" s="41" t="s">
        <v>68</v>
      </c>
      <c r="X5" s="24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24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24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24"/>
      <c r="BJ5" s="56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8"/>
      <c r="CE5" s="25"/>
      <c r="CF5" s="9"/>
    </row>
    <row r="6" spans="1:84">
      <c r="A6" s="50"/>
      <c r="B6" s="4" t="s">
        <v>70</v>
      </c>
      <c r="C6" s="4"/>
      <c r="D6" s="4"/>
      <c r="E6" s="26"/>
      <c r="F6" s="26">
        <v>65.5</v>
      </c>
      <c r="G6" s="26">
        <v>36</v>
      </c>
      <c r="H6" s="26" t="s">
        <v>67</v>
      </c>
      <c r="I6" s="26">
        <v>0.7</v>
      </c>
      <c r="J6" s="26">
        <v>420</v>
      </c>
      <c r="K6" s="24"/>
      <c r="L6" s="4">
        <v>7500</v>
      </c>
      <c r="M6" s="4">
        <v>7</v>
      </c>
      <c r="N6" s="4">
        <v>0.32</v>
      </c>
      <c r="O6" s="4">
        <v>4500</v>
      </c>
      <c r="P6" s="4">
        <v>28</v>
      </c>
      <c r="Q6" s="4"/>
      <c r="R6" s="4"/>
      <c r="S6" s="4"/>
      <c r="T6" s="4">
        <v>1</v>
      </c>
      <c r="U6" s="4">
        <v>65</v>
      </c>
      <c r="V6" s="4"/>
      <c r="W6" s="41" t="s">
        <v>68</v>
      </c>
      <c r="X6" s="24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24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24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24"/>
      <c r="BJ6" s="59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1"/>
      <c r="CE6" s="25"/>
      <c r="CF6" s="9"/>
    </row>
    <row r="7" spans="1:84" hidden="1">
      <c r="A7" s="51" t="s">
        <v>71</v>
      </c>
      <c r="B7" s="1" t="s">
        <v>72</v>
      </c>
      <c r="C7" s="1" t="s">
        <v>67</v>
      </c>
      <c r="D7" s="1" t="s">
        <v>73</v>
      </c>
      <c r="E7" s="17" t="s">
        <v>74</v>
      </c>
      <c r="F7" s="8">
        <v>76</v>
      </c>
      <c r="G7" s="8">
        <v>41.5</v>
      </c>
      <c r="H7" s="8">
        <v>11</v>
      </c>
      <c r="I7" s="8">
        <v>1</v>
      </c>
      <c r="J7" s="8">
        <v>687</v>
      </c>
      <c r="K7" s="24"/>
      <c r="L7" s="8">
        <v>5550</v>
      </c>
      <c r="M7" s="8">
        <v>3</v>
      </c>
      <c r="N7" s="8">
        <v>0.7</v>
      </c>
      <c r="O7" s="8">
        <v>2952</v>
      </c>
      <c r="P7" s="8">
        <v>36.5</v>
      </c>
      <c r="Q7" s="8">
        <v>1</v>
      </c>
      <c r="R7" s="8">
        <v>2242</v>
      </c>
      <c r="S7" s="11">
        <v>52.6</v>
      </c>
      <c r="T7" s="8">
        <v>1.79</v>
      </c>
      <c r="U7" s="8">
        <v>108.7</v>
      </c>
      <c r="V7" s="10">
        <f>T7/2*2*PI()*L7/2/60</f>
        <v>260.08460180906502</v>
      </c>
      <c r="W7" s="8" t="s">
        <v>75</v>
      </c>
      <c r="X7" s="24"/>
      <c r="Y7" s="10">
        <f>L7+0.15*L7</f>
        <v>6382.5</v>
      </c>
      <c r="Z7" s="8">
        <v>2.5</v>
      </c>
      <c r="AA7" s="8">
        <f>N7</f>
        <v>0.7</v>
      </c>
      <c r="AB7" s="8">
        <f>O7-0.06*O7</f>
        <v>2774.88</v>
      </c>
      <c r="AC7" s="11">
        <f>P7+0.07*P7</f>
        <v>39.055</v>
      </c>
      <c r="AD7" s="8">
        <f>Q7</f>
        <v>1</v>
      </c>
      <c r="AE7" s="8">
        <f>R7-0.21*R7</f>
        <v>1771.18</v>
      </c>
      <c r="AF7" s="11">
        <f>S7+0.1*S7</f>
        <v>57.86</v>
      </c>
      <c r="AG7" s="12">
        <v>1.4</v>
      </c>
      <c r="AH7" s="8">
        <v>95</v>
      </c>
      <c r="AI7" s="10">
        <f>AG7/2*2*PI()*Y7/2/60</f>
        <v>233.93084296792998</v>
      </c>
      <c r="AJ7" s="8" t="s">
        <v>75</v>
      </c>
      <c r="AK7" s="24"/>
      <c r="AL7" s="8">
        <f>L7-0.1*L7</f>
        <v>4995</v>
      </c>
      <c r="AM7" s="8">
        <v>6.8</v>
      </c>
      <c r="AN7" s="8">
        <v>0.7</v>
      </c>
      <c r="AO7" s="8">
        <f>O7+0.03*O7</f>
        <v>3040.56</v>
      </c>
      <c r="AP7" s="8">
        <v>35</v>
      </c>
      <c r="AQ7" s="8">
        <v>1</v>
      </c>
      <c r="AR7" s="8">
        <f>R7+0.14*R7</f>
        <v>2555.88</v>
      </c>
      <c r="AS7" s="10">
        <v>50</v>
      </c>
      <c r="AT7" s="8">
        <v>2</v>
      </c>
      <c r="AU7" s="8">
        <v>130</v>
      </c>
      <c r="AV7" s="10">
        <f>AT7/2*2*PI()*AL7/2/60</f>
        <v>261.53758841135027</v>
      </c>
      <c r="AW7" s="8" t="s">
        <v>75</v>
      </c>
      <c r="AX7" s="24"/>
      <c r="AY7" s="13">
        <v>2.1000000000000001E-2</v>
      </c>
      <c r="AZ7" s="8">
        <v>2.0799999999999999E-2</v>
      </c>
      <c r="BA7" s="8">
        <v>85</v>
      </c>
      <c r="BB7" s="8">
        <f>BA7+28</f>
        <v>113</v>
      </c>
      <c r="BC7" s="8">
        <v>9.5</v>
      </c>
      <c r="BD7" s="8">
        <f>(BB7-BA7-2*BC7)/2</f>
        <v>4.5</v>
      </c>
      <c r="BE7" s="8">
        <v>150</v>
      </c>
      <c r="BF7" s="14">
        <v>1.12E-4</v>
      </c>
      <c r="BG7" s="16" t="s">
        <v>63</v>
      </c>
      <c r="BH7" s="10">
        <f>0.087*1000</f>
        <v>87</v>
      </c>
      <c r="BI7" s="24"/>
      <c r="BJ7" s="8">
        <v>6</v>
      </c>
      <c r="BK7" s="8">
        <v>9</v>
      </c>
      <c r="BL7" s="8" t="s">
        <v>76</v>
      </c>
      <c r="BM7" s="8">
        <v>0.47499999999999998</v>
      </c>
      <c r="BN7" s="8">
        <v>3</v>
      </c>
      <c r="BO7" s="8">
        <f>LCM(BJ7,BK7)</f>
        <v>18</v>
      </c>
      <c r="BP7" s="8">
        <v>16.399999999999999</v>
      </c>
      <c r="BQ7" s="8">
        <f>H7</f>
        <v>11</v>
      </c>
      <c r="BR7" s="8">
        <v>4</v>
      </c>
      <c r="BS7" s="8">
        <v>8.1999999999999993</v>
      </c>
      <c r="BT7" s="8">
        <v>17</v>
      </c>
      <c r="BU7" s="8">
        <v>8</v>
      </c>
      <c r="BV7" s="8">
        <v>0.26900000000000002</v>
      </c>
      <c r="BW7" s="15">
        <f>BU7/(BR7*BS7)</f>
        <v>0.24390243902439027</v>
      </c>
      <c r="BX7" s="8" t="s">
        <v>77</v>
      </c>
      <c r="BY7" s="8" t="s">
        <v>78</v>
      </c>
      <c r="BZ7" s="8">
        <v>3.1</v>
      </c>
      <c r="CA7" s="8">
        <v>1.6</v>
      </c>
      <c r="CB7" s="8" t="s">
        <v>64</v>
      </c>
      <c r="CC7" s="8">
        <v>21</v>
      </c>
      <c r="CD7" s="8">
        <v>5.5</v>
      </c>
      <c r="CE7" s="25"/>
      <c r="CF7" s="9" t="s">
        <v>79</v>
      </c>
    </row>
    <row r="8" spans="1:84">
      <c r="A8" s="52"/>
      <c r="B8" s="1" t="s">
        <v>80</v>
      </c>
      <c r="C8" s="1" t="s">
        <v>81</v>
      </c>
      <c r="D8" s="1" t="s">
        <v>82</v>
      </c>
      <c r="E8" s="17" t="s">
        <v>83</v>
      </c>
      <c r="F8" s="8">
        <v>76</v>
      </c>
      <c r="G8" s="8">
        <v>41</v>
      </c>
      <c r="H8" s="8">
        <v>10</v>
      </c>
      <c r="I8" s="8">
        <v>1</v>
      </c>
      <c r="J8" s="8">
        <v>670</v>
      </c>
      <c r="K8" s="24"/>
      <c r="L8" s="8">
        <v>5535</v>
      </c>
      <c r="M8" s="8">
        <v>4.5999999999999996</v>
      </c>
      <c r="N8" s="8">
        <v>0.7</v>
      </c>
      <c r="O8" s="8">
        <v>3166</v>
      </c>
      <c r="P8" s="8">
        <v>37</v>
      </c>
      <c r="Q8" s="8">
        <v>1</v>
      </c>
      <c r="R8" s="8">
        <v>2495</v>
      </c>
      <c r="S8" s="8">
        <v>52.9</v>
      </c>
      <c r="T8" s="8">
        <v>1.9</v>
      </c>
      <c r="U8" s="10">
        <v>119</v>
      </c>
      <c r="V8" s="10">
        <f>T8/2*2*PI()*L8/2/60</f>
        <v>275.32132617897548</v>
      </c>
      <c r="W8" s="8" t="s">
        <v>75</v>
      </c>
      <c r="X8" s="24"/>
      <c r="Y8" s="10">
        <f>L8+0.08*L8</f>
        <v>5977.8</v>
      </c>
      <c r="Z8" s="11">
        <f>M8*1.04</f>
        <v>4.7839999999999998</v>
      </c>
      <c r="AA8" s="8">
        <v>0.7</v>
      </c>
      <c r="AB8" s="8">
        <f>O8-0.09*O8</f>
        <v>2881.06</v>
      </c>
      <c r="AC8" s="11">
        <f>P8+0.06*P8</f>
        <v>39.22</v>
      </c>
      <c r="AD8" s="8">
        <f>Q8</f>
        <v>1</v>
      </c>
      <c r="AE8" s="8">
        <f>R8-0.21*R8</f>
        <v>1971.0500000000002</v>
      </c>
      <c r="AF8" s="11">
        <f>S8+0.1*S8</f>
        <v>58.19</v>
      </c>
      <c r="AG8" s="12">
        <f>0.86*T8</f>
        <v>1.6339999999999999</v>
      </c>
      <c r="AH8" s="10">
        <f>U8*0.9</f>
        <v>107.10000000000001</v>
      </c>
      <c r="AI8" s="10">
        <f>AG8/2*2*PI()*Y8/2/60</f>
        <v>255.7184477550324</v>
      </c>
      <c r="AJ8" s="8" t="s">
        <v>75</v>
      </c>
      <c r="AK8" s="24"/>
      <c r="AL8" s="8">
        <f>L8-0.1*L8</f>
        <v>4981.5</v>
      </c>
      <c r="AM8" s="11">
        <f>M8*1.36</f>
        <v>6.2560000000000002</v>
      </c>
      <c r="AN8" s="8">
        <v>0.7</v>
      </c>
      <c r="AO8" s="8">
        <f>O8+0.035*O8</f>
        <v>3276.81</v>
      </c>
      <c r="AP8" s="11">
        <f>P8-0.02*P8</f>
        <v>36.26</v>
      </c>
      <c r="AQ8" s="8">
        <v>1</v>
      </c>
      <c r="AR8" s="8">
        <f>R8+0.12*R8</f>
        <v>2794.4</v>
      </c>
      <c r="AS8" s="11">
        <f>S8-0.04*S8</f>
        <v>50.783999999999999</v>
      </c>
      <c r="AT8" s="12">
        <f>T8*1.14</f>
        <v>2.1659999999999999</v>
      </c>
      <c r="AU8" s="10">
        <f>U8*1.05</f>
        <v>124.95</v>
      </c>
      <c r="AV8" s="10">
        <f>AT8/2*2*PI()*AL8/2/60</f>
        <v>282.47968065962885</v>
      </c>
      <c r="AW8" s="8" t="s">
        <v>75</v>
      </c>
      <c r="AX8" s="24"/>
      <c r="AY8" s="13">
        <v>1.9699999999999999E-2</v>
      </c>
      <c r="AZ8" s="13">
        <v>1.8200000000000001E-2</v>
      </c>
      <c r="BA8" s="8">
        <v>81.599999999999994</v>
      </c>
      <c r="BB8" s="8">
        <v>97.6</v>
      </c>
      <c r="BC8" s="8">
        <v>3.14</v>
      </c>
      <c r="BD8" s="8">
        <f>(BB8-BA8-2*BC8)/2</f>
        <v>4.8599999999999994</v>
      </c>
      <c r="BE8" s="8">
        <v>131</v>
      </c>
      <c r="BF8" s="14">
        <f>87.654/1000000</f>
        <v>8.7653999999999998E-5</v>
      </c>
      <c r="BG8" s="16" t="s">
        <v>63</v>
      </c>
      <c r="BH8" s="8">
        <v>71.2</v>
      </c>
      <c r="BI8" s="24"/>
      <c r="BJ8" s="8">
        <v>6</v>
      </c>
      <c r="BK8" s="8">
        <v>8</v>
      </c>
      <c r="BL8" s="8" t="s">
        <v>84</v>
      </c>
      <c r="BM8" s="8">
        <v>0.56999999999999995</v>
      </c>
      <c r="BN8" s="8">
        <v>0</v>
      </c>
      <c r="BO8" s="8">
        <f>LCM(BJ8,BK8)</f>
        <v>24</v>
      </c>
      <c r="BP8" s="8">
        <v>16.5</v>
      </c>
      <c r="BQ8" s="8">
        <f>H8</f>
        <v>10</v>
      </c>
      <c r="BR8" s="8">
        <v>4.0999999999999996</v>
      </c>
      <c r="BS8" s="8">
        <v>8.5</v>
      </c>
      <c r="BT8" s="8">
        <v>14</v>
      </c>
      <c r="BU8" s="8">
        <v>6</v>
      </c>
      <c r="BV8" s="8">
        <v>0.41699999999999998</v>
      </c>
      <c r="BW8" s="15">
        <f>BU8/(BR8*BS8)</f>
        <v>0.17216642754662845</v>
      </c>
      <c r="BX8" s="8" t="s">
        <v>85</v>
      </c>
      <c r="BY8" s="8" t="s">
        <v>86</v>
      </c>
      <c r="BZ8" s="8">
        <v>2.5</v>
      </c>
      <c r="CA8" s="8">
        <v>1.6</v>
      </c>
      <c r="CB8" s="8" t="s">
        <v>87</v>
      </c>
      <c r="CC8" s="8">
        <v>21</v>
      </c>
      <c r="CD8" s="8">
        <v>5.5</v>
      </c>
      <c r="CE8" s="25"/>
      <c r="CF8" s="9" t="s">
        <v>79</v>
      </c>
    </row>
    <row r="9" spans="1:84" customFormat="1" hidden="1">
      <c r="A9" s="52"/>
      <c r="B9" s="1" t="s">
        <v>88</v>
      </c>
      <c r="C9" s="1" t="s">
        <v>67</v>
      </c>
      <c r="D9" s="1" t="s">
        <v>89</v>
      </c>
      <c r="E9" s="7" t="s">
        <v>63</v>
      </c>
      <c r="F9" s="8">
        <v>76</v>
      </c>
      <c r="G9" s="8">
        <v>41</v>
      </c>
      <c r="H9" s="8">
        <v>12</v>
      </c>
      <c r="I9" s="8">
        <v>1</v>
      </c>
      <c r="J9" s="7" t="s">
        <v>63</v>
      </c>
      <c r="K9" s="24"/>
      <c r="L9" s="8">
        <v>5040</v>
      </c>
      <c r="M9" s="8">
        <v>4</v>
      </c>
      <c r="N9" s="8">
        <v>0.7</v>
      </c>
      <c r="O9" s="8">
        <v>3107</v>
      </c>
      <c r="P9" s="8">
        <v>39.5</v>
      </c>
      <c r="Q9" s="8">
        <v>1</v>
      </c>
      <c r="R9" s="8">
        <v>2430</v>
      </c>
      <c r="S9" s="8">
        <v>56.2</v>
      </c>
      <c r="T9" s="8">
        <v>2</v>
      </c>
      <c r="U9" s="8">
        <v>133</v>
      </c>
      <c r="V9" s="10">
        <f t="shared" ref="V9:V10" si="1">T9/2*2*PI()*L9/2/60</f>
        <v>263.89378290154264</v>
      </c>
      <c r="W9" s="8" t="s">
        <v>75</v>
      </c>
      <c r="X9" s="24"/>
      <c r="Y9" s="7" t="s">
        <v>63</v>
      </c>
      <c r="Z9" s="7" t="s">
        <v>63</v>
      </c>
      <c r="AA9" s="7" t="s">
        <v>63</v>
      </c>
      <c r="AB9" s="7" t="s">
        <v>63</v>
      </c>
      <c r="AC9" s="7" t="s">
        <v>63</v>
      </c>
      <c r="AD9" s="7" t="s">
        <v>63</v>
      </c>
      <c r="AE9" s="7" t="s">
        <v>63</v>
      </c>
      <c r="AF9" s="7" t="s">
        <v>63</v>
      </c>
      <c r="AG9" s="7" t="s">
        <v>63</v>
      </c>
      <c r="AH9" s="7" t="s">
        <v>63</v>
      </c>
      <c r="AI9" s="7" t="s">
        <v>63</v>
      </c>
      <c r="AJ9" s="44"/>
      <c r="AK9" s="24"/>
      <c r="AL9" s="7" t="s">
        <v>63</v>
      </c>
      <c r="AM9" s="7" t="s">
        <v>63</v>
      </c>
      <c r="AN9" s="7" t="s">
        <v>63</v>
      </c>
      <c r="AO9" s="7" t="s">
        <v>63</v>
      </c>
      <c r="AP9" s="7" t="s">
        <v>63</v>
      </c>
      <c r="AQ9" s="7" t="s">
        <v>63</v>
      </c>
      <c r="AR9" s="7" t="s">
        <v>63</v>
      </c>
      <c r="AS9" s="7" t="s">
        <v>63</v>
      </c>
      <c r="AT9" s="7" t="s">
        <v>63</v>
      </c>
      <c r="AU9" s="7" t="s">
        <v>63</v>
      </c>
      <c r="AV9" s="7" t="s">
        <v>63</v>
      </c>
      <c r="AW9" s="7" t="s">
        <v>63</v>
      </c>
      <c r="AX9" s="24"/>
      <c r="AY9" s="7" t="s">
        <v>63</v>
      </c>
      <c r="AZ9" s="7" t="s">
        <v>63</v>
      </c>
      <c r="BA9" s="7" t="s">
        <v>63</v>
      </c>
      <c r="BB9" s="7" t="s">
        <v>63</v>
      </c>
      <c r="BC9" s="7" t="s">
        <v>63</v>
      </c>
      <c r="BD9" s="7" t="s">
        <v>63</v>
      </c>
      <c r="BE9" s="7" t="s">
        <v>63</v>
      </c>
      <c r="BF9" s="7" t="s">
        <v>63</v>
      </c>
      <c r="BG9" s="7" t="s">
        <v>63</v>
      </c>
      <c r="BH9" s="7" t="s">
        <v>63</v>
      </c>
      <c r="BI9" s="24"/>
      <c r="BJ9" s="8">
        <v>6</v>
      </c>
      <c r="BK9" s="8">
        <v>8</v>
      </c>
      <c r="BL9" s="8" t="s">
        <v>90</v>
      </c>
      <c r="BM9" s="8">
        <v>0.6</v>
      </c>
      <c r="BN9" s="7" t="s">
        <v>63</v>
      </c>
      <c r="BO9" s="8">
        <v>24</v>
      </c>
      <c r="BP9" s="7" t="s">
        <v>63</v>
      </c>
      <c r="BQ9" s="8">
        <f>H9</f>
        <v>12</v>
      </c>
      <c r="BR9" s="8">
        <v>3.6</v>
      </c>
      <c r="BS9" s="8">
        <v>8.1</v>
      </c>
      <c r="BT9" s="7" t="s">
        <v>63</v>
      </c>
      <c r="BU9" s="7" t="s">
        <v>63</v>
      </c>
      <c r="BV9" s="7" t="s">
        <v>63</v>
      </c>
      <c r="BW9" s="7" t="s">
        <v>63</v>
      </c>
      <c r="BX9" s="7" t="s">
        <v>63</v>
      </c>
      <c r="BY9" s="7" t="s">
        <v>63</v>
      </c>
      <c r="BZ9" s="7" t="s">
        <v>63</v>
      </c>
      <c r="CA9" s="8">
        <v>1.6</v>
      </c>
      <c r="CB9" s="7" t="s">
        <v>63</v>
      </c>
      <c r="CC9" s="7" t="s">
        <v>63</v>
      </c>
      <c r="CD9" s="7" t="s">
        <v>63</v>
      </c>
      <c r="CE9" s="25"/>
      <c r="CF9" s="9" t="s">
        <v>91</v>
      </c>
    </row>
    <row r="10" spans="1:84" ht="15" customHeight="1">
      <c r="A10" s="52"/>
      <c r="B10" s="4" t="s">
        <v>66</v>
      </c>
      <c r="C10" s="4"/>
      <c r="D10" s="4"/>
      <c r="E10" s="26"/>
      <c r="F10" s="41">
        <v>76</v>
      </c>
      <c r="G10" s="41">
        <v>40</v>
      </c>
      <c r="H10" s="41" t="s">
        <v>67</v>
      </c>
      <c r="I10" s="41">
        <v>1</v>
      </c>
      <c r="J10" s="41" t="s">
        <v>67</v>
      </c>
      <c r="K10" s="24"/>
      <c r="L10" s="41">
        <v>5500</v>
      </c>
      <c r="M10" s="41"/>
      <c r="N10" s="41">
        <v>0.7</v>
      </c>
      <c r="O10" s="41">
        <v>2950</v>
      </c>
      <c r="P10" s="41" t="s">
        <v>67</v>
      </c>
      <c r="Q10" s="41">
        <v>1</v>
      </c>
      <c r="R10" s="41">
        <v>2250</v>
      </c>
      <c r="S10" s="41" t="s">
        <v>67</v>
      </c>
      <c r="T10" s="41">
        <v>1.75</v>
      </c>
      <c r="U10" s="41" t="s">
        <v>67</v>
      </c>
      <c r="V10" s="5">
        <f t="shared" si="1"/>
        <v>251.98191075668132</v>
      </c>
      <c r="W10" s="41" t="s">
        <v>92</v>
      </c>
      <c r="X10" s="24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24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24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24"/>
      <c r="BJ10" s="53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5"/>
      <c r="CE10" s="25"/>
    </row>
    <row r="11" spans="1:84" ht="15" customHeight="1">
      <c r="A11" s="52"/>
      <c r="B11" s="4" t="s">
        <v>69</v>
      </c>
      <c r="C11" s="4"/>
      <c r="D11" s="4"/>
      <c r="E11" s="26"/>
      <c r="F11" s="41">
        <v>75.5</v>
      </c>
      <c r="G11" s="41">
        <v>39.5</v>
      </c>
      <c r="H11" s="41" t="s">
        <v>67</v>
      </c>
      <c r="I11" s="41">
        <v>0.95</v>
      </c>
      <c r="J11" s="41" t="s">
        <v>67</v>
      </c>
      <c r="K11" s="24"/>
      <c r="L11" s="41">
        <v>5000</v>
      </c>
      <c r="M11" s="41"/>
      <c r="N11" s="41">
        <v>0.7</v>
      </c>
      <c r="O11" s="41">
        <v>2600</v>
      </c>
      <c r="P11" s="41" t="s">
        <v>67</v>
      </c>
      <c r="Q11" s="41">
        <v>1</v>
      </c>
      <c r="R11" s="41">
        <v>1850</v>
      </c>
      <c r="S11" s="41" t="s">
        <v>67</v>
      </c>
      <c r="T11" s="41">
        <v>1.61</v>
      </c>
      <c r="U11" s="41" t="s">
        <v>67</v>
      </c>
      <c r="V11" s="5" t="s">
        <v>67</v>
      </c>
      <c r="W11" s="41" t="s">
        <v>92</v>
      </c>
      <c r="X11" s="24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24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24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24"/>
      <c r="BJ11" s="56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8"/>
      <c r="CE11" s="25"/>
    </row>
    <row r="12" spans="1:84" ht="15" customHeight="1">
      <c r="A12" s="52"/>
      <c r="B12" s="4" t="s">
        <v>70</v>
      </c>
      <c r="C12" s="4"/>
      <c r="D12" s="4"/>
      <c r="E12" s="26"/>
      <c r="F12" s="41">
        <v>76.5</v>
      </c>
      <c r="G12" s="41">
        <v>40.5</v>
      </c>
      <c r="H12" s="41" t="s">
        <v>67</v>
      </c>
      <c r="I12" s="41">
        <v>1.05</v>
      </c>
      <c r="J12" s="41">
        <v>630</v>
      </c>
      <c r="K12" s="24"/>
      <c r="L12" s="41">
        <v>6000</v>
      </c>
      <c r="M12" s="41"/>
      <c r="N12" s="41">
        <v>0.7</v>
      </c>
      <c r="O12" s="41">
        <v>3300</v>
      </c>
      <c r="P12" s="41">
        <v>39</v>
      </c>
      <c r="Q12" s="41">
        <v>1</v>
      </c>
      <c r="R12" s="41">
        <v>2650</v>
      </c>
      <c r="S12" s="41">
        <v>56</v>
      </c>
      <c r="T12" s="41" t="s">
        <v>67</v>
      </c>
      <c r="U12" s="41">
        <v>115</v>
      </c>
      <c r="V12" s="5" t="s">
        <v>67</v>
      </c>
      <c r="W12" s="41" t="s">
        <v>92</v>
      </c>
      <c r="X12" s="24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24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24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24"/>
      <c r="BJ12" s="59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1"/>
      <c r="CE12" s="25"/>
    </row>
    <row r="13" spans="1:84" hidden="1">
      <c r="A13" s="51" t="s">
        <v>93</v>
      </c>
      <c r="B13" s="35" t="s">
        <v>72</v>
      </c>
      <c r="C13" s="1" t="s">
        <v>81</v>
      </c>
      <c r="D13" s="1" t="s">
        <v>59</v>
      </c>
      <c r="E13" s="17">
        <v>17916129</v>
      </c>
      <c r="F13" s="8">
        <v>65.900000000000006</v>
      </c>
      <c r="G13" s="8">
        <v>47</v>
      </c>
      <c r="H13" s="8">
        <v>16</v>
      </c>
      <c r="I13" s="8">
        <v>1</v>
      </c>
      <c r="J13" s="8">
        <v>607</v>
      </c>
      <c r="K13" s="24"/>
      <c r="L13" s="8">
        <v>8310</v>
      </c>
      <c r="M13" s="8">
        <v>5.3</v>
      </c>
      <c r="N13" s="8">
        <v>0.42</v>
      </c>
      <c r="O13" s="8">
        <v>5457</v>
      </c>
      <c r="P13" s="8">
        <v>33.299999999999997</v>
      </c>
      <c r="Q13" s="8">
        <v>0.62</v>
      </c>
      <c r="R13" s="8">
        <v>4502</v>
      </c>
      <c r="S13" s="8">
        <v>47.2</v>
      </c>
      <c r="T13" s="8">
        <v>1.7</v>
      </c>
      <c r="U13" s="8">
        <v>138</v>
      </c>
      <c r="V13" s="10">
        <f>T13/2*2*PI()*L13/2/60</f>
        <v>369.84399514385842</v>
      </c>
      <c r="W13" s="8" t="s">
        <v>62</v>
      </c>
      <c r="X13" s="24"/>
      <c r="Y13" s="8">
        <f>L13*1.11</f>
        <v>9224.1</v>
      </c>
      <c r="Z13" s="11">
        <f>M13*1.09</f>
        <v>5.7770000000000001</v>
      </c>
      <c r="AA13" s="7" t="s">
        <v>63</v>
      </c>
      <c r="AB13" s="7" t="s">
        <v>63</v>
      </c>
      <c r="AC13" s="7" t="s">
        <v>63</v>
      </c>
      <c r="AD13" s="7" t="s">
        <v>63</v>
      </c>
      <c r="AE13" s="7" t="s">
        <v>63</v>
      </c>
      <c r="AF13" s="7" t="s">
        <v>63</v>
      </c>
      <c r="AG13" s="12">
        <f>T13*(1-0.28)</f>
        <v>1.224</v>
      </c>
      <c r="AH13" s="10">
        <f>U13*(1-0.18)</f>
        <v>113.16000000000001</v>
      </c>
      <c r="AI13" s="10">
        <f>AG13/2*2*PI()*Y13/2/60</f>
        <v>295.57932091897163</v>
      </c>
      <c r="AJ13" s="8" t="s">
        <v>62</v>
      </c>
      <c r="AK13" s="24"/>
      <c r="AL13" s="8">
        <f>L13*(1-0.07)</f>
        <v>7728.2999999999993</v>
      </c>
      <c r="AM13" s="11">
        <f>M13*(1-0.08)</f>
        <v>4.8760000000000003</v>
      </c>
      <c r="AN13" s="7" t="s">
        <v>63</v>
      </c>
      <c r="AO13" s="7" t="s">
        <v>63</v>
      </c>
      <c r="AP13" s="7" t="s">
        <v>63</v>
      </c>
      <c r="AQ13" s="7" t="s">
        <v>63</v>
      </c>
      <c r="AR13" s="7" t="s">
        <v>63</v>
      </c>
      <c r="AS13" s="7" t="s">
        <v>63</v>
      </c>
      <c r="AT13" s="12">
        <f>T13*(1+0.34)</f>
        <v>2.278</v>
      </c>
      <c r="AU13" s="10">
        <f>U13*(1+0.2)</f>
        <v>165.6</v>
      </c>
      <c r="AV13" s="10">
        <f>AT13/2*2*PI()*AL13/2/60</f>
        <v>460.89958674827631</v>
      </c>
      <c r="AW13" s="8" t="s">
        <v>62</v>
      </c>
      <c r="AX13" s="24"/>
      <c r="AY13" s="8">
        <v>1.3899999999999999E-2</v>
      </c>
      <c r="AZ13" s="8">
        <v>1.34E-2</v>
      </c>
      <c r="BA13" s="8">
        <v>69</v>
      </c>
      <c r="BB13" s="8">
        <v>85</v>
      </c>
      <c r="BC13" s="8">
        <f>3.9/2</f>
        <v>1.95</v>
      </c>
      <c r="BD13" s="8">
        <f>(BB13-BA13-2*BC13)/2</f>
        <v>6.05</v>
      </c>
      <c r="BE13" s="8">
        <v>150</v>
      </c>
      <c r="BF13" s="14">
        <v>6.2710000000000001E-5</v>
      </c>
      <c r="BG13" s="16" t="s">
        <v>63</v>
      </c>
      <c r="BH13" s="8">
        <v>4</v>
      </c>
      <c r="BI13" s="24"/>
      <c r="BJ13" s="8">
        <v>4</v>
      </c>
      <c r="BK13" s="8">
        <v>6</v>
      </c>
      <c r="BL13" s="8">
        <v>42</v>
      </c>
      <c r="BM13" s="8">
        <v>0.56000000000000005</v>
      </c>
      <c r="BN13" s="8">
        <v>9</v>
      </c>
      <c r="BO13" s="8">
        <v>6</v>
      </c>
      <c r="BP13" s="8">
        <v>11</v>
      </c>
      <c r="BQ13" s="8">
        <f>H13</f>
        <v>16</v>
      </c>
      <c r="BR13" s="8">
        <v>4.9000000000000004</v>
      </c>
      <c r="BS13" s="8">
        <v>8.1</v>
      </c>
      <c r="BT13" s="8">
        <v>14.3</v>
      </c>
      <c r="BU13" s="8">
        <v>5.5</v>
      </c>
      <c r="BV13" s="8">
        <v>0.28399999999999997</v>
      </c>
      <c r="BW13" s="15">
        <f>BU13/(BR13*BS13)</f>
        <v>0.13857394809775764</v>
      </c>
      <c r="BX13" s="8" t="s">
        <v>67</v>
      </c>
      <c r="BY13" s="8" t="s">
        <v>67</v>
      </c>
      <c r="BZ13" s="8" t="s">
        <v>67</v>
      </c>
      <c r="CA13" s="8">
        <v>1.6</v>
      </c>
      <c r="CB13" s="8" t="s">
        <v>94</v>
      </c>
      <c r="CC13" s="8">
        <v>25.1</v>
      </c>
      <c r="CD13" s="8">
        <v>6.2</v>
      </c>
      <c r="CE13" s="25"/>
      <c r="CF13" s="9" t="s">
        <v>95</v>
      </c>
    </row>
    <row r="14" spans="1:84">
      <c r="A14" s="52"/>
      <c r="B14" s="1" t="s">
        <v>80</v>
      </c>
      <c r="C14" s="1" t="s">
        <v>96</v>
      </c>
      <c r="D14" s="1" t="s">
        <v>59</v>
      </c>
      <c r="E14" s="17">
        <v>18931205</v>
      </c>
      <c r="F14" s="8">
        <v>66.5</v>
      </c>
      <c r="G14" s="8">
        <v>47</v>
      </c>
      <c r="H14" s="8">
        <v>16</v>
      </c>
      <c r="I14" s="8">
        <v>1</v>
      </c>
      <c r="J14" s="8">
        <v>600</v>
      </c>
      <c r="K14" s="24"/>
      <c r="L14" s="8">
        <v>7800</v>
      </c>
      <c r="M14" s="8">
        <v>4.5</v>
      </c>
      <c r="N14" s="8">
        <v>0.42</v>
      </c>
      <c r="O14" s="8">
        <v>5774</v>
      </c>
      <c r="P14" s="8">
        <v>34</v>
      </c>
      <c r="Q14" s="8">
        <v>0.62</v>
      </c>
      <c r="R14" s="8">
        <v>4972</v>
      </c>
      <c r="S14" s="8">
        <v>48.7</v>
      </c>
      <c r="T14" s="8">
        <v>1.64</v>
      </c>
      <c r="U14" s="8">
        <v>142</v>
      </c>
      <c r="V14" s="10">
        <f t="shared" ref="V14:V17" si="2">T14/2*2*PI()*L14/2/60</f>
        <v>334.89377687267188</v>
      </c>
      <c r="W14" s="8" t="s">
        <v>62</v>
      </c>
      <c r="X14" s="24"/>
      <c r="Y14" s="8">
        <f>9100/7800*L14</f>
        <v>9100</v>
      </c>
      <c r="Z14" s="8">
        <v>3.5</v>
      </c>
      <c r="AA14" s="8">
        <v>0.42</v>
      </c>
      <c r="AB14" s="8">
        <f>6000/5800*O14</f>
        <v>5973.1034482758623</v>
      </c>
      <c r="AC14" s="11">
        <f>27.5/28.5*P14</f>
        <v>32.807017543859651</v>
      </c>
      <c r="AD14" s="8">
        <v>0.62</v>
      </c>
      <c r="AE14" s="8">
        <f>4900/5000*R14</f>
        <v>4872.5599999999995</v>
      </c>
      <c r="AF14" s="11">
        <f>42/43*S14</f>
        <v>47.567441860465117</v>
      </c>
      <c r="AG14" s="8">
        <v>1.3</v>
      </c>
      <c r="AH14" s="8">
        <v>120</v>
      </c>
      <c r="AI14" s="10">
        <f>AG14/2*2*PI()*Y14/2/60</f>
        <v>309.70867576639375</v>
      </c>
      <c r="AJ14" s="8" t="s">
        <v>62</v>
      </c>
      <c r="AK14" s="24"/>
      <c r="AL14" s="8">
        <v>7450</v>
      </c>
      <c r="AM14" s="8">
        <v>5</v>
      </c>
      <c r="AN14" s="17">
        <v>0.42</v>
      </c>
      <c r="AO14" s="17">
        <f>5650/5800*O14</f>
        <v>5624.6724137931033</v>
      </c>
      <c r="AP14" s="18">
        <f>28/28.5*P14</f>
        <v>33.403508771929822</v>
      </c>
      <c r="AQ14" s="17">
        <v>0.62</v>
      </c>
      <c r="AR14" s="17">
        <f>5050/5000*R14</f>
        <v>5021.72</v>
      </c>
      <c r="AS14" s="17">
        <f>43/43*S14</f>
        <v>48.7</v>
      </c>
      <c r="AT14" s="8">
        <v>2</v>
      </c>
      <c r="AU14" s="8">
        <v>160</v>
      </c>
      <c r="AV14" s="10">
        <f>AT14/2*2*PI()*AL14/2/60</f>
        <v>390.08108782073265</v>
      </c>
      <c r="AW14" s="8" t="s">
        <v>62</v>
      </c>
      <c r="AX14" s="24"/>
      <c r="AY14" s="8">
        <v>1.38E-2</v>
      </c>
      <c r="AZ14" s="13">
        <v>1.4999999999999999E-2</v>
      </c>
      <c r="BA14" s="8">
        <v>66</v>
      </c>
      <c r="BB14" s="8">
        <v>85.9</v>
      </c>
      <c r="BC14" s="8">
        <v>3.6</v>
      </c>
      <c r="BD14" s="8">
        <f>(BB14-BA14-2*BC14)/2</f>
        <v>6.3500000000000032</v>
      </c>
      <c r="BE14" s="8">
        <v>73</v>
      </c>
      <c r="BF14" s="14">
        <f>55/1000000</f>
        <v>5.5000000000000002E-5</v>
      </c>
      <c r="BG14" s="16" t="s">
        <v>63</v>
      </c>
      <c r="BH14" s="8">
        <v>25</v>
      </c>
      <c r="BI14" s="24"/>
      <c r="BJ14" s="8">
        <v>4</v>
      </c>
      <c r="BK14" s="8">
        <v>13</v>
      </c>
      <c r="BL14" s="8" t="s">
        <v>97</v>
      </c>
      <c r="BM14" s="8">
        <v>0.65</v>
      </c>
      <c r="BN14" s="8">
        <v>1</v>
      </c>
      <c r="BO14" s="8">
        <v>13</v>
      </c>
      <c r="BP14" s="8">
        <v>11</v>
      </c>
      <c r="BQ14" s="8">
        <f>H14</f>
        <v>16</v>
      </c>
      <c r="BR14" s="8">
        <v>4.5</v>
      </c>
      <c r="BS14" s="8">
        <v>5.5</v>
      </c>
      <c r="BT14" s="8">
        <v>14.9</v>
      </c>
      <c r="BU14" s="8">
        <v>4.5</v>
      </c>
      <c r="BV14" s="8">
        <v>0.26700000000000002</v>
      </c>
      <c r="BW14" s="15">
        <f>BU14/(BR14*BS14)</f>
        <v>0.18181818181818182</v>
      </c>
      <c r="BX14" s="8" t="s">
        <v>85</v>
      </c>
      <c r="BY14" s="8" t="s">
        <v>86</v>
      </c>
      <c r="BZ14" s="8">
        <v>2.2000000000000002</v>
      </c>
      <c r="CA14" s="8">
        <v>1.6</v>
      </c>
      <c r="CB14" s="8" t="s">
        <v>98</v>
      </c>
      <c r="CC14" s="8">
        <v>24</v>
      </c>
      <c r="CD14" s="8">
        <v>6.6</v>
      </c>
      <c r="CE14" s="25"/>
      <c r="CF14" s="9" t="s">
        <v>91</v>
      </c>
    </row>
    <row r="15" spans="1:84">
      <c r="A15" s="52"/>
      <c r="B15" s="1" t="s">
        <v>80</v>
      </c>
      <c r="C15" s="1" t="s">
        <v>99</v>
      </c>
      <c r="D15" s="1" t="s">
        <v>59</v>
      </c>
      <c r="E15" s="17">
        <v>18216504</v>
      </c>
      <c r="F15" s="8">
        <v>66.5</v>
      </c>
      <c r="G15" s="8">
        <v>47</v>
      </c>
      <c r="H15" s="8">
        <v>16</v>
      </c>
      <c r="I15" s="8" t="s">
        <v>100</v>
      </c>
      <c r="J15" s="8">
        <v>620</v>
      </c>
      <c r="K15" s="24"/>
      <c r="L15" s="8">
        <v>7900</v>
      </c>
      <c r="M15" s="8">
        <v>3.7</v>
      </c>
      <c r="N15" s="8">
        <v>0.42</v>
      </c>
      <c r="O15" s="8">
        <v>5926</v>
      </c>
      <c r="P15" s="8">
        <v>30.7</v>
      </c>
      <c r="Q15" s="8">
        <v>0.62</v>
      </c>
      <c r="R15" s="8">
        <v>5278</v>
      </c>
      <c r="S15" s="8">
        <v>44.2</v>
      </c>
      <c r="T15" s="8">
        <v>1.82</v>
      </c>
      <c r="U15" s="8">
        <v>121</v>
      </c>
      <c r="V15" s="10">
        <f t="shared" si="2"/>
        <v>376.41515977761708</v>
      </c>
      <c r="W15" s="8" t="s">
        <v>62</v>
      </c>
      <c r="X15" s="24"/>
      <c r="Y15" s="7" t="s">
        <v>63</v>
      </c>
      <c r="Z15" s="7" t="s">
        <v>63</v>
      </c>
      <c r="AA15" s="7" t="s">
        <v>63</v>
      </c>
      <c r="AB15" s="7" t="s">
        <v>63</v>
      </c>
      <c r="AC15" s="7" t="s">
        <v>63</v>
      </c>
      <c r="AD15" s="7" t="s">
        <v>63</v>
      </c>
      <c r="AE15" s="7" t="s">
        <v>63</v>
      </c>
      <c r="AF15" s="7" t="s">
        <v>63</v>
      </c>
      <c r="AG15" s="7" t="s">
        <v>63</v>
      </c>
      <c r="AH15" s="7" t="s">
        <v>63</v>
      </c>
      <c r="AI15" s="7" t="s">
        <v>63</v>
      </c>
      <c r="AJ15" s="22"/>
      <c r="AK15" s="24"/>
      <c r="AL15" s="7" t="s">
        <v>63</v>
      </c>
      <c r="AM15" s="7" t="s">
        <v>63</v>
      </c>
      <c r="AN15" s="7" t="s">
        <v>63</v>
      </c>
      <c r="AO15" s="7" t="s">
        <v>63</v>
      </c>
      <c r="AP15" s="7" t="s">
        <v>63</v>
      </c>
      <c r="AQ15" s="7" t="s">
        <v>63</v>
      </c>
      <c r="AR15" s="7" t="s">
        <v>63</v>
      </c>
      <c r="AS15" s="7" t="s">
        <v>63</v>
      </c>
      <c r="AT15" s="7" t="s">
        <v>63</v>
      </c>
      <c r="AU15" s="7" t="s">
        <v>63</v>
      </c>
      <c r="AV15" s="7" t="s">
        <v>63</v>
      </c>
      <c r="AW15" s="19"/>
      <c r="AX15" s="24"/>
      <c r="AY15" s="8">
        <v>1.5100000000000001E-2</v>
      </c>
      <c r="AZ15" s="13">
        <v>1.37E-2</v>
      </c>
      <c r="BA15" s="8">
        <v>65.77</v>
      </c>
      <c r="BB15" s="8">
        <v>84.1</v>
      </c>
      <c r="BC15" s="8">
        <f>0.8+0.35+0.43</f>
        <v>1.5799999999999998</v>
      </c>
      <c r="BD15" s="8">
        <f>(BB15-BA15-2*BC15)/2</f>
        <v>7.5849999999999991</v>
      </c>
      <c r="BE15" s="8">
        <v>68</v>
      </c>
      <c r="BF15" s="14">
        <f>55/1000000</f>
        <v>5.5000000000000002E-5</v>
      </c>
      <c r="BG15" s="16" t="s">
        <v>63</v>
      </c>
      <c r="BH15" s="8">
        <v>10</v>
      </c>
      <c r="BI15" s="24"/>
      <c r="BJ15" s="8">
        <v>4</v>
      </c>
      <c r="BK15" s="8">
        <v>13</v>
      </c>
      <c r="BL15" s="7" t="s">
        <v>63</v>
      </c>
      <c r="BM15" s="7" t="s">
        <v>63</v>
      </c>
      <c r="BN15" s="7" t="s">
        <v>63</v>
      </c>
      <c r="BO15" s="8">
        <v>13</v>
      </c>
      <c r="BP15" s="7" t="s">
        <v>63</v>
      </c>
      <c r="BQ15" s="8">
        <f>H15</f>
        <v>16</v>
      </c>
      <c r="BR15" s="8">
        <v>4.5</v>
      </c>
      <c r="BS15" s="8">
        <v>5.5</v>
      </c>
      <c r="BT15" s="8">
        <v>14.9</v>
      </c>
      <c r="BU15" s="7" t="s">
        <v>63</v>
      </c>
      <c r="BV15" s="7" t="s">
        <v>63</v>
      </c>
      <c r="BW15" s="7" t="s">
        <v>63</v>
      </c>
      <c r="BX15" s="7" t="s">
        <v>63</v>
      </c>
      <c r="BY15" s="7" t="s">
        <v>63</v>
      </c>
      <c r="BZ15" s="7" t="s">
        <v>63</v>
      </c>
      <c r="CA15" s="7" t="s">
        <v>63</v>
      </c>
      <c r="CB15" s="8" t="s">
        <v>87</v>
      </c>
      <c r="CC15" s="7" t="s">
        <v>63</v>
      </c>
      <c r="CD15" s="7" t="s">
        <v>63</v>
      </c>
      <c r="CE15" s="25"/>
      <c r="CF15" s="9"/>
    </row>
    <row r="16" spans="1:84" customFormat="1">
      <c r="A16" s="52"/>
      <c r="B16" s="1" t="s">
        <v>57</v>
      </c>
      <c r="C16" s="1" t="s">
        <v>101</v>
      </c>
      <c r="D16" s="1" t="s">
        <v>59</v>
      </c>
      <c r="E16" s="17">
        <v>18252306</v>
      </c>
      <c r="F16" s="8">
        <v>66.5</v>
      </c>
      <c r="G16" s="8">
        <v>47</v>
      </c>
      <c r="H16" s="8">
        <v>16</v>
      </c>
      <c r="I16" s="8" t="s">
        <v>100</v>
      </c>
      <c r="J16" s="8">
        <v>660</v>
      </c>
      <c r="K16" s="24"/>
      <c r="L16" s="8">
        <v>7892.5</v>
      </c>
      <c r="M16" s="8">
        <v>7.1</v>
      </c>
      <c r="N16" s="8">
        <v>0.42</v>
      </c>
      <c r="O16" s="8">
        <v>5831.7</v>
      </c>
      <c r="P16" s="11">
        <v>35.96</v>
      </c>
      <c r="Q16" s="8">
        <v>0.62</v>
      </c>
      <c r="R16" s="8">
        <v>4991.8</v>
      </c>
      <c r="S16" s="11">
        <v>50.38</v>
      </c>
      <c r="T16" s="12">
        <v>1.974</v>
      </c>
      <c r="U16" s="11">
        <v>164.55</v>
      </c>
      <c r="V16" s="10">
        <f t="shared" si="2"/>
        <v>407.87807930362493</v>
      </c>
      <c r="W16" s="8" t="s">
        <v>75</v>
      </c>
      <c r="X16" s="24"/>
      <c r="Y16" s="8">
        <v>8445.51</v>
      </c>
      <c r="Z16" s="11">
        <v>7.4194999999999993</v>
      </c>
      <c r="AA16" s="8">
        <v>0.42</v>
      </c>
      <c r="AB16" s="8">
        <f>5708/5994*O16</f>
        <v>5553.4440440440439</v>
      </c>
      <c r="AC16" s="11">
        <f>36.5/35.6*P16</f>
        <v>36.869101123595506</v>
      </c>
      <c r="AD16" s="8">
        <v>0.62</v>
      </c>
      <c r="AE16" s="8">
        <f>4695/5195*R16</f>
        <v>4511.3572666025029</v>
      </c>
      <c r="AF16" s="11">
        <f>51.6/49.8*S16</f>
        <v>52.200963855421691</v>
      </c>
      <c r="AG16" s="8">
        <v>1.69</v>
      </c>
      <c r="AH16" s="8">
        <v>143.80000000000001</v>
      </c>
      <c r="AI16" s="10">
        <f>AG16/2*2*PI()*Y16/2/60</f>
        <v>373.66395975311946</v>
      </c>
      <c r="AJ16" s="8" t="s">
        <v>75</v>
      </c>
      <c r="AK16" s="24"/>
      <c r="AL16" s="8">
        <v>6867</v>
      </c>
      <c r="AM16" s="8">
        <v>9.1999999999999993</v>
      </c>
      <c r="AN16" s="17">
        <v>0.42</v>
      </c>
      <c r="AO16" s="8">
        <f>5378/5994*O16</f>
        <v>5232.3794794794794</v>
      </c>
      <c r="AP16" s="11">
        <f>33.7/35.6*P16</f>
        <v>34.040786516853935</v>
      </c>
      <c r="AQ16" s="17">
        <v>0.62</v>
      </c>
      <c r="AR16" s="8">
        <f>4758/5195*R16</f>
        <v>4571.8930510105874</v>
      </c>
      <c r="AS16" s="11">
        <f>47/49.8*S16</f>
        <v>47.547389558232936</v>
      </c>
      <c r="AT16" s="8">
        <v>2.25</v>
      </c>
      <c r="AU16" s="8">
        <v>181.1</v>
      </c>
      <c r="AV16" s="10">
        <f>AT16/2*2*PI()*AL16/2/60</f>
        <v>404.49968910377078</v>
      </c>
      <c r="AW16" s="8" t="s">
        <v>75</v>
      </c>
      <c r="AX16" s="24"/>
      <c r="AY16" s="8">
        <v>1.44E-2</v>
      </c>
      <c r="AZ16" s="8">
        <v>1.44E-2</v>
      </c>
      <c r="BA16" s="8">
        <v>52.6</v>
      </c>
      <c r="BB16" s="8">
        <v>79.7</v>
      </c>
      <c r="BC16" s="8">
        <v>4</v>
      </c>
      <c r="BD16" s="8">
        <f>(BB16-BA16-2*BC16)/2</f>
        <v>9.5500000000000007</v>
      </c>
      <c r="BE16" s="8">
        <v>35.229999999999997</v>
      </c>
      <c r="BF16" s="14">
        <v>6.4129999999999998E-5</v>
      </c>
      <c r="BG16" s="16" t="s">
        <v>63</v>
      </c>
      <c r="BH16" s="8">
        <v>29.57</v>
      </c>
      <c r="BI16" s="24"/>
      <c r="BJ16" s="8">
        <v>4</v>
      </c>
      <c r="BK16" s="8">
        <v>13</v>
      </c>
      <c r="BL16" s="8">
        <v>6.5</v>
      </c>
      <c r="BM16" s="8">
        <v>0.65</v>
      </c>
      <c r="BN16" s="8">
        <v>2</v>
      </c>
      <c r="BO16" s="8">
        <v>13</v>
      </c>
      <c r="BP16" s="21">
        <v>14.5</v>
      </c>
      <c r="BQ16" s="8">
        <f>H16</f>
        <v>16</v>
      </c>
      <c r="BR16" s="8">
        <v>4.2</v>
      </c>
      <c r="BS16" s="8">
        <v>6.5</v>
      </c>
      <c r="BT16" s="8">
        <v>15.5</v>
      </c>
      <c r="BU16" s="8">
        <v>3.8</v>
      </c>
      <c r="BV16" s="8">
        <v>0.193</v>
      </c>
      <c r="BW16" s="15">
        <f>BU16/(BR16*BS16)</f>
        <v>0.13919413919413917</v>
      </c>
      <c r="BX16" s="8" t="s">
        <v>102</v>
      </c>
      <c r="BY16" s="8" t="s">
        <v>103</v>
      </c>
      <c r="BZ16" s="8">
        <v>3.67</v>
      </c>
      <c r="CA16" s="8">
        <v>1.6</v>
      </c>
      <c r="CB16" s="8" t="s">
        <v>94</v>
      </c>
      <c r="CC16" s="8">
        <v>26</v>
      </c>
      <c r="CD16" s="8">
        <v>5.9</v>
      </c>
      <c r="CE16" s="25"/>
      <c r="CF16" s="9" t="s">
        <v>104</v>
      </c>
    </row>
    <row r="17" spans="1:84" ht="15" customHeight="1">
      <c r="A17" s="52"/>
      <c r="B17" s="4" t="s">
        <v>66</v>
      </c>
      <c r="C17" s="4"/>
      <c r="D17" s="4"/>
      <c r="E17" s="26"/>
      <c r="F17" s="41">
        <v>66.5</v>
      </c>
      <c r="G17" s="41">
        <v>47</v>
      </c>
      <c r="H17" s="41" t="s">
        <v>67</v>
      </c>
      <c r="I17" s="41">
        <v>1</v>
      </c>
      <c r="J17" s="41" t="s">
        <v>67</v>
      </c>
      <c r="K17" s="24"/>
      <c r="L17" s="41">
        <v>7600</v>
      </c>
      <c r="M17" s="41" t="s">
        <v>67</v>
      </c>
      <c r="N17" s="41">
        <v>0.42</v>
      </c>
      <c r="O17" s="41">
        <v>5450</v>
      </c>
      <c r="P17" s="41" t="s">
        <v>67</v>
      </c>
      <c r="Q17" s="41">
        <v>0.62</v>
      </c>
      <c r="R17" s="41">
        <v>4500</v>
      </c>
      <c r="S17" s="41" t="s">
        <v>67</v>
      </c>
      <c r="T17" s="41">
        <v>1.65</v>
      </c>
      <c r="U17" s="41" t="s">
        <v>67</v>
      </c>
      <c r="V17" s="5">
        <f t="shared" si="2"/>
        <v>328.2964323001334</v>
      </c>
      <c r="W17" s="41" t="s">
        <v>68</v>
      </c>
      <c r="X17" s="24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24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24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24"/>
      <c r="BJ17" s="53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5"/>
      <c r="CE17" s="25"/>
    </row>
    <row r="18" spans="1:84" ht="15" customHeight="1">
      <c r="A18" s="52"/>
      <c r="B18" s="4" t="s">
        <v>69</v>
      </c>
      <c r="C18" s="4"/>
      <c r="D18" s="4"/>
      <c r="E18" s="26"/>
      <c r="F18" s="41">
        <v>66</v>
      </c>
      <c r="G18" s="41">
        <v>46.5</v>
      </c>
      <c r="H18" s="41" t="s">
        <v>67</v>
      </c>
      <c r="I18" s="41">
        <v>0.95</v>
      </c>
      <c r="J18" s="41" t="s">
        <v>67</v>
      </c>
      <c r="K18" s="24"/>
      <c r="L18" s="41">
        <v>6700</v>
      </c>
      <c r="M18" s="41" t="s">
        <v>67</v>
      </c>
      <c r="N18" s="41">
        <v>0.42</v>
      </c>
      <c r="O18" s="41">
        <v>4950</v>
      </c>
      <c r="P18" s="41" t="s">
        <v>67</v>
      </c>
      <c r="Q18" s="41">
        <v>0.62</v>
      </c>
      <c r="R18" s="41">
        <v>4000</v>
      </c>
      <c r="S18" s="41" t="s">
        <v>67</v>
      </c>
      <c r="T18" s="41">
        <v>1.55</v>
      </c>
      <c r="U18" s="41" t="s">
        <v>67</v>
      </c>
      <c r="V18" s="41" t="s">
        <v>67</v>
      </c>
      <c r="W18" s="41" t="s">
        <v>68</v>
      </c>
      <c r="X18" s="24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24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24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24"/>
      <c r="BJ18" s="56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8"/>
      <c r="CE18" s="25"/>
    </row>
    <row r="19" spans="1:84" ht="15" customHeight="1">
      <c r="A19" s="52"/>
      <c r="B19" s="4" t="s">
        <v>70</v>
      </c>
      <c r="C19" s="4"/>
      <c r="D19" s="4"/>
      <c r="E19" s="26"/>
      <c r="F19" s="41">
        <v>67</v>
      </c>
      <c r="G19" s="41">
        <v>47.5</v>
      </c>
      <c r="H19" s="41" t="s">
        <v>67</v>
      </c>
      <c r="I19" s="41">
        <v>1.05</v>
      </c>
      <c r="J19" s="41">
        <v>610</v>
      </c>
      <c r="K19" s="24"/>
      <c r="L19" s="41">
        <v>8500</v>
      </c>
      <c r="M19" s="41">
        <v>7</v>
      </c>
      <c r="N19" s="41">
        <v>0.42</v>
      </c>
      <c r="O19" s="41">
        <v>5950</v>
      </c>
      <c r="P19" s="41">
        <v>36</v>
      </c>
      <c r="Q19" s="41">
        <v>0.62</v>
      </c>
      <c r="R19" s="41">
        <v>5000</v>
      </c>
      <c r="S19" s="41">
        <v>50</v>
      </c>
      <c r="T19" s="41" t="s">
        <v>67</v>
      </c>
      <c r="U19" s="41">
        <v>150</v>
      </c>
      <c r="V19" s="41" t="s">
        <v>67</v>
      </c>
      <c r="W19" s="41" t="s">
        <v>68</v>
      </c>
      <c r="X19" s="24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24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24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24"/>
      <c r="BJ19" s="59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1"/>
      <c r="CE19" s="25"/>
    </row>
    <row r="20" spans="1:84" hidden="1">
      <c r="A20" s="51" t="s">
        <v>105</v>
      </c>
      <c r="B20" s="1" t="s">
        <v>72</v>
      </c>
      <c r="C20" s="1" t="s">
        <v>67</v>
      </c>
      <c r="D20" s="1" t="s">
        <v>106</v>
      </c>
      <c r="E20" s="17" t="s">
        <v>107</v>
      </c>
      <c r="F20" s="8">
        <v>76</v>
      </c>
      <c r="G20" s="8">
        <v>46</v>
      </c>
      <c r="H20" s="8">
        <v>15</v>
      </c>
      <c r="I20" s="8">
        <v>1</v>
      </c>
      <c r="J20" s="8">
        <v>800</v>
      </c>
      <c r="K20" s="24"/>
      <c r="L20" s="8">
        <v>8300</v>
      </c>
      <c r="M20" s="8">
        <v>5</v>
      </c>
      <c r="N20" s="8">
        <v>0.7</v>
      </c>
      <c r="O20" s="7" t="s">
        <v>63</v>
      </c>
      <c r="P20" s="7" t="s">
        <v>63</v>
      </c>
      <c r="Q20" s="8">
        <v>1</v>
      </c>
      <c r="R20" s="8">
        <v>4200</v>
      </c>
      <c r="S20" s="8">
        <v>75</v>
      </c>
      <c r="T20" s="8">
        <v>2.2000000000000002</v>
      </c>
      <c r="U20" s="8">
        <v>203.5</v>
      </c>
      <c r="V20" s="10">
        <f>T20/2*2*PI()*L20/2/60</f>
        <v>478.0456821212469</v>
      </c>
      <c r="W20" s="20" t="s">
        <v>108</v>
      </c>
      <c r="X20" s="24"/>
      <c r="Y20" s="7" t="s">
        <v>63</v>
      </c>
      <c r="Z20" s="7" t="s">
        <v>63</v>
      </c>
      <c r="AA20" s="7" t="s">
        <v>63</v>
      </c>
      <c r="AB20" s="7" t="s">
        <v>63</v>
      </c>
      <c r="AC20" s="7" t="s">
        <v>63</v>
      </c>
      <c r="AD20" s="7" t="s">
        <v>63</v>
      </c>
      <c r="AE20" s="7" t="s">
        <v>63</v>
      </c>
      <c r="AF20" s="7" t="s">
        <v>63</v>
      </c>
      <c r="AG20" s="7" t="s">
        <v>63</v>
      </c>
      <c r="AH20" s="7" t="s">
        <v>63</v>
      </c>
      <c r="AI20" s="7" t="s">
        <v>63</v>
      </c>
      <c r="AJ20" s="43"/>
      <c r="AK20" s="24"/>
      <c r="AL20" s="7" t="s">
        <v>63</v>
      </c>
      <c r="AM20" s="7" t="s">
        <v>63</v>
      </c>
      <c r="AN20" s="7" t="s">
        <v>63</v>
      </c>
      <c r="AO20" s="7" t="s">
        <v>63</v>
      </c>
      <c r="AP20" s="7" t="s">
        <v>63</v>
      </c>
      <c r="AQ20" s="7" t="s">
        <v>63</v>
      </c>
      <c r="AR20" s="7" t="s">
        <v>63</v>
      </c>
      <c r="AS20" s="7" t="s">
        <v>63</v>
      </c>
      <c r="AT20" s="7" t="s">
        <v>63</v>
      </c>
      <c r="AU20" s="7" t="s">
        <v>63</v>
      </c>
      <c r="AV20" s="7" t="s">
        <v>63</v>
      </c>
      <c r="AW20" s="43"/>
      <c r="AX20" s="24"/>
      <c r="AY20" s="8">
        <v>1.38E-2</v>
      </c>
      <c r="AZ20" s="8">
        <v>1.47E-2</v>
      </c>
      <c r="BA20" s="8">
        <v>44</v>
      </c>
      <c r="BB20" s="8">
        <v>67</v>
      </c>
      <c r="BC20" s="8">
        <v>9.5</v>
      </c>
      <c r="BD20" s="8">
        <f>(BB20-BA20-2*BC20)/2</f>
        <v>2</v>
      </c>
      <c r="BE20" s="8">
        <v>64</v>
      </c>
      <c r="BF20" s="14">
        <f>139/1000000</f>
        <v>1.3899999999999999E-4</v>
      </c>
      <c r="BG20" s="7" t="s">
        <v>63</v>
      </c>
      <c r="BH20" s="10">
        <f>0.087*1000</f>
        <v>87</v>
      </c>
      <c r="BI20" s="24"/>
      <c r="BJ20" s="8">
        <v>6</v>
      </c>
      <c r="BK20" s="8">
        <v>9</v>
      </c>
      <c r="BL20" s="8" t="s">
        <v>109</v>
      </c>
      <c r="BM20" s="8">
        <v>0.65</v>
      </c>
      <c r="BN20" s="8">
        <v>3</v>
      </c>
      <c r="BO20" s="8">
        <v>18</v>
      </c>
      <c r="BP20" s="8">
        <v>16.399999999999999</v>
      </c>
      <c r="BQ20" s="8">
        <v>15</v>
      </c>
      <c r="BR20" s="8">
        <v>4</v>
      </c>
      <c r="BS20" s="8">
        <v>8.1</v>
      </c>
      <c r="BT20" s="8">
        <v>17</v>
      </c>
      <c r="BU20" s="8">
        <v>8</v>
      </c>
      <c r="BV20" s="8">
        <v>0.26900000000000002</v>
      </c>
      <c r="BW20" s="15">
        <f>BU20/(BR20*BS20)</f>
        <v>0.24691358024691359</v>
      </c>
      <c r="BX20" s="8" t="s">
        <v>77</v>
      </c>
      <c r="BY20" s="8" t="s">
        <v>78</v>
      </c>
      <c r="BZ20" s="8">
        <v>3.1</v>
      </c>
      <c r="CA20" s="8">
        <v>1.6</v>
      </c>
      <c r="CB20" s="7" t="s">
        <v>63</v>
      </c>
      <c r="CC20" s="8">
        <v>25</v>
      </c>
      <c r="CD20" s="8">
        <v>5.5</v>
      </c>
      <c r="CE20" s="25"/>
      <c r="CF20" s="9" t="s">
        <v>110</v>
      </c>
    </row>
    <row r="21" spans="1:84">
      <c r="A21" s="52"/>
      <c r="B21" s="1" t="s">
        <v>80</v>
      </c>
      <c r="C21" s="1" t="s">
        <v>67</v>
      </c>
      <c r="D21" s="1" t="s">
        <v>111</v>
      </c>
      <c r="E21" s="17" t="s">
        <v>112</v>
      </c>
      <c r="F21" s="8">
        <v>76</v>
      </c>
      <c r="G21" s="8">
        <v>41</v>
      </c>
      <c r="H21" s="8">
        <v>10</v>
      </c>
      <c r="I21" s="8">
        <v>1</v>
      </c>
      <c r="J21" s="8">
        <v>670</v>
      </c>
      <c r="K21" s="24"/>
      <c r="L21" s="8">
        <v>8015</v>
      </c>
      <c r="M21" s="8">
        <v>7.61</v>
      </c>
      <c r="N21" s="8">
        <v>0.7</v>
      </c>
      <c r="O21" s="8">
        <v>4735</v>
      </c>
      <c r="P21" s="8">
        <v>56.18</v>
      </c>
      <c r="Q21" s="8">
        <v>1</v>
      </c>
      <c r="R21" s="8">
        <v>3800</v>
      </c>
      <c r="S21" s="8">
        <v>80.31</v>
      </c>
      <c r="T21" s="8">
        <v>2.09</v>
      </c>
      <c r="U21" s="8">
        <v>209</v>
      </c>
      <c r="V21" s="10">
        <f t="shared" ref="V21:V23" si="3">T21/2*2*PI()*L21/2/60</f>
        <v>438.5493174809281</v>
      </c>
      <c r="W21" s="8" t="s">
        <v>75</v>
      </c>
      <c r="X21" s="24"/>
      <c r="Y21" s="36">
        <v>8616.125</v>
      </c>
      <c r="Z21" s="37">
        <v>7.9267999999999992</v>
      </c>
      <c r="AA21" s="7" t="s">
        <v>63</v>
      </c>
      <c r="AB21" s="7" t="s">
        <v>63</v>
      </c>
      <c r="AC21" s="7" t="s">
        <v>63</v>
      </c>
      <c r="AD21" s="7" t="s">
        <v>63</v>
      </c>
      <c r="AE21" s="7" t="s">
        <v>63</v>
      </c>
      <c r="AF21" s="7" t="s">
        <v>63</v>
      </c>
      <c r="AG21" s="38">
        <v>1.7303999999999999</v>
      </c>
      <c r="AH21" s="36">
        <v>178.5</v>
      </c>
      <c r="AI21" s="39">
        <f>AG21/2*2*PI()*Y21/2/60</f>
        <v>390.32567913477175</v>
      </c>
      <c r="AJ21" s="40" t="s">
        <v>75</v>
      </c>
      <c r="AK21" s="24"/>
      <c r="AL21" s="36">
        <v>7053.2</v>
      </c>
      <c r="AM21" s="37">
        <v>10.412000000000001</v>
      </c>
      <c r="AN21" s="7" t="s">
        <v>63</v>
      </c>
      <c r="AO21" s="7" t="s">
        <v>63</v>
      </c>
      <c r="AP21" s="7" t="s">
        <v>63</v>
      </c>
      <c r="AQ21" s="7" t="s">
        <v>63</v>
      </c>
      <c r="AR21" s="7" t="s">
        <v>63</v>
      </c>
      <c r="AS21" s="7" t="s">
        <v>63</v>
      </c>
      <c r="AT21" s="38">
        <v>2.3484000000000003</v>
      </c>
      <c r="AU21" s="36">
        <v>224.4</v>
      </c>
      <c r="AV21" s="39">
        <f>AT21/2*2*PI()*AL21/2/60</f>
        <v>433.6375651251418</v>
      </c>
      <c r="AW21" s="40" t="s">
        <v>75</v>
      </c>
      <c r="AX21" s="24"/>
      <c r="AY21" s="8">
        <v>1.4999999999999999E-2</v>
      </c>
      <c r="AZ21" s="8">
        <v>1.2E-2</v>
      </c>
      <c r="BA21" s="8">
        <v>46.6</v>
      </c>
      <c r="BB21" s="7">
        <f>BA21+2*BC21+2*BD21</f>
        <v>62.6</v>
      </c>
      <c r="BC21" s="27">
        <f>BC8</f>
        <v>3.14</v>
      </c>
      <c r="BD21" s="27">
        <f>BD8</f>
        <v>4.8599999999999994</v>
      </c>
      <c r="BE21" s="8">
        <v>63.1</v>
      </c>
      <c r="BF21" s="14">
        <f>91.9/1000000</f>
        <v>9.1900000000000011E-5</v>
      </c>
      <c r="BG21" s="7" t="s">
        <v>63</v>
      </c>
      <c r="BH21" s="8">
        <v>25</v>
      </c>
      <c r="BI21" s="24"/>
      <c r="BJ21" s="8">
        <v>6</v>
      </c>
      <c r="BK21" s="8">
        <v>8</v>
      </c>
      <c r="BL21" s="8" t="s">
        <v>113</v>
      </c>
      <c r="BM21" s="8">
        <v>0.7</v>
      </c>
      <c r="BN21" s="8">
        <v>0</v>
      </c>
      <c r="BO21" s="8">
        <v>24</v>
      </c>
      <c r="BP21" s="8">
        <v>16.5</v>
      </c>
      <c r="BQ21" s="8">
        <f>H21</f>
        <v>10</v>
      </c>
      <c r="BR21" s="8">
        <v>4.0999999999999996</v>
      </c>
      <c r="BS21" s="8">
        <v>8.5</v>
      </c>
      <c r="BT21" s="8">
        <v>14</v>
      </c>
      <c r="BU21" s="8">
        <v>6</v>
      </c>
      <c r="BV21" s="8">
        <v>0.41699999999999998</v>
      </c>
      <c r="BW21" s="15">
        <f>BU21/(BR21*BS21)</f>
        <v>0.17216642754662845</v>
      </c>
      <c r="BX21" s="8" t="s">
        <v>85</v>
      </c>
      <c r="BY21" s="8" t="s">
        <v>86</v>
      </c>
      <c r="BZ21" s="8">
        <v>2.5</v>
      </c>
      <c r="CA21" s="8">
        <v>1.6</v>
      </c>
      <c r="CB21" s="8" t="s">
        <v>87</v>
      </c>
      <c r="CC21" s="8">
        <v>21</v>
      </c>
      <c r="CD21" s="8">
        <v>5.5</v>
      </c>
      <c r="CE21" s="25"/>
      <c r="CF21" s="9" t="s">
        <v>114</v>
      </c>
    </row>
    <row r="22" spans="1:84" customFormat="1" hidden="1">
      <c r="A22" s="52"/>
      <c r="B22" s="1" t="s">
        <v>88</v>
      </c>
      <c r="C22" s="1" t="s">
        <v>67</v>
      </c>
      <c r="D22" s="1" t="s">
        <v>89</v>
      </c>
      <c r="E22" s="7" t="s">
        <v>63</v>
      </c>
      <c r="F22" s="8">
        <v>76</v>
      </c>
      <c r="G22" s="8">
        <v>42</v>
      </c>
      <c r="H22" s="8">
        <v>14</v>
      </c>
      <c r="I22" s="8">
        <v>1</v>
      </c>
      <c r="J22" s="7" t="s">
        <v>63</v>
      </c>
      <c r="K22" s="24"/>
      <c r="L22" s="8">
        <v>7388</v>
      </c>
      <c r="M22" s="8">
        <v>8.1300000000000008</v>
      </c>
      <c r="N22" s="8">
        <v>0.7</v>
      </c>
      <c r="O22" s="8">
        <v>4307</v>
      </c>
      <c r="P22" s="8">
        <v>53.3</v>
      </c>
      <c r="Q22" s="8">
        <v>1</v>
      </c>
      <c r="R22" s="8">
        <v>3401</v>
      </c>
      <c r="S22" s="8">
        <v>73.400000000000006</v>
      </c>
      <c r="T22" s="8">
        <v>2.14</v>
      </c>
      <c r="U22" s="8">
        <v>166.13</v>
      </c>
      <c r="V22" s="10">
        <f t="shared" si="3"/>
        <v>413.91320969086485</v>
      </c>
      <c r="W22" s="8" t="s">
        <v>75</v>
      </c>
      <c r="X22" s="24"/>
      <c r="Y22" s="7" t="s">
        <v>63</v>
      </c>
      <c r="Z22" s="7" t="s">
        <v>63</v>
      </c>
      <c r="AA22" s="7" t="s">
        <v>63</v>
      </c>
      <c r="AB22" s="7" t="s">
        <v>63</v>
      </c>
      <c r="AC22" s="7" t="s">
        <v>63</v>
      </c>
      <c r="AD22" s="7" t="s">
        <v>63</v>
      </c>
      <c r="AE22" s="7" t="s">
        <v>63</v>
      </c>
      <c r="AF22" s="7" t="s">
        <v>63</v>
      </c>
      <c r="AG22" s="7" t="s">
        <v>63</v>
      </c>
      <c r="AH22" s="7" t="s">
        <v>63</v>
      </c>
      <c r="AI22" s="7" t="s">
        <v>63</v>
      </c>
      <c r="AJ22" s="44"/>
      <c r="AK22" s="24"/>
      <c r="AL22" s="7" t="s">
        <v>63</v>
      </c>
      <c r="AM22" s="7" t="s">
        <v>63</v>
      </c>
      <c r="AN22" s="7" t="s">
        <v>63</v>
      </c>
      <c r="AO22" s="7" t="s">
        <v>63</v>
      </c>
      <c r="AP22" s="7" t="s">
        <v>63</v>
      </c>
      <c r="AQ22" s="7" t="s">
        <v>63</v>
      </c>
      <c r="AR22" s="7" t="s">
        <v>63</v>
      </c>
      <c r="AS22" s="7" t="s">
        <v>63</v>
      </c>
      <c r="AT22" s="7" t="s">
        <v>63</v>
      </c>
      <c r="AU22" s="7" t="s">
        <v>63</v>
      </c>
      <c r="AV22" s="7" t="s">
        <v>63</v>
      </c>
      <c r="AW22" s="44"/>
      <c r="AX22" s="24"/>
      <c r="AY22" s="7" t="s">
        <v>63</v>
      </c>
      <c r="AZ22" s="7" t="s">
        <v>63</v>
      </c>
      <c r="BA22" s="7" t="s">
        <v>63</v>
      </c>
      <c r="BB22" s="7" t="s">
        <v>63</v>
      </c>
      <c r="BC22" s="7" t="s">
        <v>63</v>
      </c>
      <c r="BD22" s="7" t="s">
        <v>63</v>
      </c>
      <c r="BE22" s="7" t="s">
        <v>63</v>
      </c>
      <c r="BF22" s="7" t="s">
        <v>63</v>
      </c>
      <c r="BG22" s="7" t="s">
        <v>63</v>
      </c>
      <c r="BH22" s="7" t="s">
        <v>63</v>
      </c>
      <c r="BI22" s="24"/>
      <c r="BJ22" s="8">
        <v>6</v>
      </c>
      <c r="BK22" s="8">
        <v>8</v>
      </c>
      <c r="BL22" s="8" t="s">
        <v>115</v>
      </c>
      <c r="BM22" s="8">
        <v>0.65</v>
      </c>
      <c r="BN22" s="7" t="s">
        <v>63</v>
      </c>
      <c r="BO22" s="8">
        <v>24</v>
      </c>
      <c r="BP22" s="7" t="s">
        <v>63</v>
      </c>
      <c r="BQ22" s="8">
        <v>14</v>
      </c>
      <c r="BR22" s="8">
        <v>3.6</v>
      </c>
      <c r="BS22" s="8">
        <v>8.1</v>
      </c>
      <c r="BT22" s="7" t="s">
        <v>63</v>
      </c>
      <c r="BU22" s="7" t="s">
        <v>63</v>
      </c>
      <c r="BV22" s="7" t="s">
        <v>63</v>
      </c>
      <c r="BW22" s="7" t="s">
        <v>63</v>
      </c>
      <c r="BX22" s="7" t="s">
        <v>63</v>
      </c>
      <c r="BY22" s="7" t="s">
        <v>63</v>
      </c>
      <c r="BZ22" s="7" t="s">
        <v>63</v>
      </c>
      <c r="CA22" s="8">
        <v>1.6</v>
      </c>
      <c r="CB22" s="7" t="s">
        <v>63</v>
      </c>
      <c r="CC22" s="7" t="s">
        <v>63</v>
      </c>
      <c r="CD22" s="7" t="s">
        <v>63</v>
      </c>
      <c r="CE22" s="25"/>
      <c r="CF22" s="9" t="s">
        <v>110</v>
      </c>
    </row>
    <row r="23" spans="1:84" ht="15" customHeight="1">
      <c r="A23" s="52"/>
      <c r="B23" s="4" t="s">
        <v>66</v>
      </c>
      <c r="C23" s="4"/>
      <c r="D23" s="4"/>
      <c r="E23" s="26"/>
      <c r="F23" s="41">
        <v>76</v>
      </c>
      <c r="G23" s="41">
        <v>40</v>
      </c>
      <c r="H23" s="41" t="s">
        <v>67</v>
      </c>
      <c r="I23" s="41">
        <v>1</v>
      </c>
      <c r="J23" s="41" t="s">
        <v>67</v>
      </c>
      <c r="K23" s="24"/>
      <c r="L23" s="41">
        <v>8000</v>
      </c>
      <c r="M23" s="41"/>
      <c r="N23" s="41">
        <v>0.7</v>
      </c>
      <c r="O23" s="41">
        <v>4700</v>
      </c>
      <c r="P23" s="41" t="s">
        <v>67</v>
      </c>
      <c r="Q23" s="41">
        <v>1</v>
      </c>
      <c r="R23" s="41">
        <v>4000</v>
      </c>
      <c r="S23" s="41" t="s">
        <v>67</v>
      </c>
      <c r="T23" s="41">
        <v>2</v>
      </c>
      <c r="U23" s="41" t="s">
        <v>67</v>
      </c>
      <c r="V23" s="5">
        <f t="shared" si="3"/>
        <v>418.87902047863906</v>
      </c>
      <c r="W23" s="41" t="s">
        <v>92</v>
      </c>
      <c r="X23" s="24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24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24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24"/>
      <c r="BJ23" s="53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5"/>
      <c r="CE23" s="25"/>
    </row>
    <row r="24" spans="1:84" ht="15" customHeight="1">
      <c r="A24" s="52"/>
      <c r="B24" s="4" t="s">
        <v>69</v>
      </c>
      <c r="C24" s="4"/>
      <c r="D24" s="4"/>
      <c r="E24" s="26"/>
      <c r="F24" s="41">
        <v>75.5</v>
      </c>
      <c r="G24" s="41">
        <v>39.5</v>
      </c>
      <c r="H24" s="41" t="s">
        <v>67</v>
      </c>
      <c r="I24" s="41">
        <v>0.95</v>
      </c>
      <c r="J24" s="41" t="s">
        <v>67</v>
      </c>
      <c r="K24" s="24"/>
      <c r="L24" s="41">
        <v>7200</v>
      </c>
      <c r="M24" s="41"/>
      <c r="N24" s="41">
        <v>0.7</v>
      </c>
      <c r="O24" s="41">
        <v>4300</v>
      </c>
      <c r="P24" s="41" t="s">
        <v>67</v>
      </c>
      <c r="Q24" s="41">
        <v>1</v>
      </c>
      <c r="R24" s="41">
        <v>3600</v>
      </c>
      <c r="S24" s="41" t="s">
        <v>67</v>
      </c>
      <c r="T24" s="41">
        <v>1.82</v>
      </c>
      <c r="U24" s="41" t="s">
        <v>67</v>
      </c>
      <c r="V24" s="41" t="s">
        <v>67</v>
      </c>
      <c r="W24" s="41" t="s">
        <v>92</v>
      </c>
      <c r="X24" s="24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24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24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24"/>
      <c r="BJ24" s="56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8"/>
      <c r="CE24" s="25"/>
    </row>
    <row r="25" spans="1:84" ht="15" customHeight="1">
      <c r="A25" s="52"/>
      <c r="B25" s="4" t="s">
        <v>70</v>
      </c>
      <c r="C25" s="4"/>
      <c r="D25" s="4"/>
      <c r="E25" s="26"/>
      <c r="F25" s="41">
        <v>76.5</v>
      </c>
      <c r="G25" s="41">
        <v>40.5</v>
      </c>
      <c r="H25" s="41" t="s">
        <v>67</v>
      </c>
      <c r="I25" s="41">
        <v>1.05</v>
      </c>
      <c r="J25" s="41">
        <v>650</v>
      </c>
      <c r="K25" s="24"/>
      <c r="L25" s="41">
        <v>8800</v>
      </c>
      <c r="M25" s="41"/>
      <c r="N25" s="41">
        <v>0.7</v>
      </c>
      <c r="O25" s="41">
        <v>5100</v>
      </c>
      <c r="P25" s="41">
        <v>50</v>
      </c>
      <c r="Q25" s="41">
        <v>1</v>
      </c>
      <c r="R25" s="41">
        <v>4400</v>
      </c>
      <c r="S25" s="41">
        <v>75</v>
      </c>
      <c r="T25" s="41" t="s">
        <v>67</v>
      </c>
      <c r="U25" s="41">
        <v>160</v>
      </c>
      <c r="V25" s="41" t="s">
        <v>67</v>
      </c>
      <c r="W25" s="41" t="s">
        <v>92</v>
      </c>
      <c r="X25" s="24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24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24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24"/>
      <c r="BJ25" s="59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1"/>
      <c r="CE25" s="25"/>
    </row>
    <row r="26" spans="1:84">
      <c r="A26" s="47" t="s">
        <v>116</v>
      </c>
      <c r="B26" s="1" t="s">
        <v>80</v>
      </c>
      <c r="C26" s="1" t="s">
        <v>117</v>
      </c>
      <c r="D26" s="1" t="s">
        <v>118</v>
      </c>
      <c r="E26" s="17" t="s">
        <v>119</v>
      </c>
      <c r="F26" s="8">
        <v>67.900000000000006</v>
      </c>
      <c r="G26" s="8">
        <v>62.4</v>
      </c>
      <c r="H26" s="8">
        <v>31.5</v>
      </c>
      <c r="I26" s="8">
        <v>0.8</v>
      </c>
      <c r="J26" s="8">
        <v>1050</v>
      </c>
      <c r="K26" s="24"/>
      <c r="L26" s="8">
        <v>5868</v>
      </c>
      <c r="M26" s="8">
        <v>7.5</v>
      </c>
      <c r="N26" s="8">
        <v>1.5</v>
      </c>
      <c r="O26" s="8">
        <v>3514</v>
      </c>
      <c r="P26" s="8">
        <v>70.099999999999994</v>
      </c>
      <c r="Q26" s="8">
        <v>2.75</v>
      </c>
      <c r="R26" s="8">
        <v>1942</v>
      </c>
      <c r="S26" s="8">
        <v>137.4</v>
      </c>
      <c r="T26" s="8">
        <v>4.3</v>
      </c>
      <c r="U26" s="8">
        <v>238.9</v>
      </c>
      <c r="V26" s="10">
        <f>T26/2*2*PI()*L26/2/60</f>
        <v>660.58268727032578</v>
      </c>
      <c r="W26" s="8" t="s">
        <v>62</v>
      </c>
      <c r="X26" s="24"/>
      <c r="Y26" s="8">
        <v>6253</v>
      </c>
      <c r="Z26" s="8">
        <v>8</v>
      </c>
      <c r="AA26" s="8">
        <v>1.5</v>
      </c>
      <c r="AB26" s="8">
        <v>3227</v>
      </c>
      <c r="AC26" s="8">
        <v>75</v>
      </c>
      <c r="AD26" s="8">
        <v>2.75</v>
      </c>
      <c r="AE26" s="8">
        <v>923</v>
      </c>
      <c r="AF26" s="8">
        <v>148</v>
      </c>
      <c r="AG26" s="8">
        <v>3.08</v>
      </c>
      <c r="AH26" s="8">
        <v>190</v>
      </c>
      <c r="AI26" s="10">
        <f>AG26/2*2*PI()*Y26/2/60</f>
        <v>504.20572414768907</v>
      </c>
      <c r="AJ26" s="8" t="s">
        <v>62</v>
      </c>
      <c r="AK26" s="24"/>
      <c r="AL26" s="8">
        <v>5300</v>
      </c>
      <c r="AM26" s="8">
        <v>8.9</v>
      </c>
      <c r="AN26" s="8">
        <v>1.5</v>
      </c>
      <c r="AO26" s="8">
        <v>3530</v>
      </c>
      <c r="AP26" s="8">
        <v>64.5</v>
      </c>
      <c r="AQ26" s="8">
        <v>2.75</v>
      </c>
      <c r="AR26" s="8">
        <v>2300</v>
      </c>
      <c r="AS26" s="8">
        <v>125</v>
      </c>
      <c r="AT26" s="8">
        <v>5.2</v>
      </c>
      <c r="AU26" s="8">
        <v>250</v>
      </c>
      <c r="AV26" s="10">
        <f>AT26/2*2*PI()*AL26/2/60</f>
        <v>721.51911277445583</v>
      </c>
      <c r="AW26" s="8" t="s">
        <v>62</v>
      </c>
      <c r="AX26" s="24"/>
      <c r="AY26" s="8">
        <v>2.0799999999999999E-2</v>
      </c>
      <c r="AZ26" s="8">
        <v>2.07E-2</v>
      </c>
      <c r="BA26" s="8">
        <v>44</v>
      </c>
      <c r="BB26" s="8">
        <v>64.599999999999994</v>
      </c>
      <c r="BC26" s="8">
        <v>2.68</v>
      </c>
      <c r="BD26" s="8">
        <f>(BB26-BA26-2*BC26)/2</f>
        <v>7.6199999999999974</v>
      </c>
      <c r="BE26" s="8">
        <v>65</v>
      </c>
      <c r="BF26" s="14">
        <f>111.6/1000000</f>
        <v>1.1159999999999999E-4</v>
      </c>
      <c r="BG26" s="7" t="s">
        <v>63</v>
      </c>
      <c r="BH26" s="8">
        <v>77.8</v>
      </c>
      <c r="BI26" s="24"/>
      <c r="BJ26" s="8">
        <v>4</v>
      </c>
      <c r="BK26" s="8">
        <v>13</v>
      </c>
      <c r="BL26" s="8" t="s">
        <v>120</v>
      </c>
      <c r="BM26" s="8">
        <v>0.8</v>
      </c>
      <c r="BN26" s="7" t="s">
        <v>63</v>
      </c>
      <c r="BO26" s="8">
        <v>13</v>
      </c>
      <c r="BP26" s="8">
        <v>14.9</v>
      </c>
      <c r="BQ26" s="8">
        <v>31.5</v>
      </c>
      <c r="BR26" s="8">
        <v>4.5</v>
      </c>
      <c r="BS26" s="8">
        <v>7.5</v>
      </c>
      <c r="BT26" s="8">
        <v>15</v>
      </c>
      <c r="BU26" s="8">
        <v>4</v>
      </c>
      <c r="BV26" s="7" t="s">
        <v>63</v>
      </c>
      <c r="BW26" s="15">
        <f>BU26/(BR26*BS26)</f>
        <v>0.11851851851851852</v>
      </c>
      <c r="BX26" s="7" t="s">
        <v>63</v>
      </c>
      <c r="BY26" s="8" t="s">
        <v>121</v>
      </c>
      <c r="BZ26" s="8">
        <v>2.5</v>
      </c>
      <c r="CA26" s="8">
        <v>2</v>
      </c>
      <c r="CB26" s="8" t="s">
        <v>87</v>
      </c>
      <c r="CC26" s="8">
        <v>41.5</v>
      </c>
      <c r="CD26" s="8">
        <v>6.2</v>
      </c>
      <c r="CE26" s="25"/>
      <c r="CF26" s="9" t="s">
        <v>122</v>
      </c>
    </row>
    <row r="27" spans="1:84">
      <c r="A27" s="47"/>
      <c r="B27" s="1" t="s">
        <v>80</v>
      </c>
      <c r="C27" s="1" t="s">
        <v>99</v>
      </c>
      <c r="D27" s="1" t="s">
        <v>59</v>
      </c>
      <c r="E27" s="17">
        <v>18605301</v>
      </c>
      <c r="F27" s="8">
        <v>66.5</v>
      </c>
      <c r="G27" s="8">
        <v>62</v>
      </c>
      <c r="H27" s="8">
        <v>30</v>
      </c>
      <c r="I27" s="8">
        <v>0.8</v>
      </c>
      <c r="J27" s="8">
        <v>1000</v>
      </c>
      <c r="K27" s="24"/>
      <c r="L27" s="7" t="s">
        <v>63</v>
      </c>
      <c r="M27" s="7" t="s">
        <v>63</v>
      </c>
      <c r="N27" s="7" t="s">
        <v>63</v>
      </c>
      <c r="O27" s="7" t="s">
        <v>63</v>
      </c>
      <c r="P27" s="7" t="s">
        <v>63</v>
      </c>
      <c r="Q27" s="7" t="s">
        <v>63</v>
      </c>
      <c r="R27" s="7" t="s">
        <v>63</v>
      </c>
      <c r="S27" s="7" t="s">
        <v>63</v>
      </c>
      <c r="T27" s="7" t="s">
        <v>63</v>
      </c>
      <c r="U27" s="7" t="s">
        <v>63</v>
      </c>
      <c r="V27" s="7" t="s">
        <v>63</v>
      </c>
      <c r="W27" s="19"/>
      <c r="X27" s="24"/>
      <c r="Y27" s="7" t="s">
        <v>63</v>
      </c>
      <c r="Z27" s="7" t="s">
        <v>63</v>
      </c>
      <c r="AA27" s="7" t="s">
        <v>63</v>
      </c>
      <c r="AB27" s="7" t="s">
        <v>63</v>
      </c>
      <c r="AC27" s="7" t="s">
        <v>63</v>
      </c>
      <c r="AD27" s="7" t="s">
        <v>63</v>
      </c>
      <c r="AE27" s="7" t="s">
        <v>63</v>
      </c>
      <c r="AF27" s="7" t="s">
        <v>63</v>
      </c>
      <c r="AG27" s="7" t="s">
        <v>63</v>
      </c>
      <c r="AH27" s="7" t="s">
        <v>63</v>
      </c>
      <c r="AI27" s="7" t="s">
        <v>63</v>
      </c>
      <c r="AJ27" s="19"/>
      <c r="AK27" s="24"/>
      <c r="AL27" s="7" t="s">
        <v>63</v>
      </c>
      <c r="AM27" s="7" t="s">
        <v>63</v>
      </c>
      <c r="AN27" s="7" t="s">
        <v>63</v>
      </c>
      <c r="AO27" s="7" t="s">
        <v>63</v>
      </c>
      <c r="AP27" s="7" t="s">
        <v>63</v>
      </c>
      <c r="AQ27" s="7" t="s">
        <v>63</v>
      </c>
      <c r="AR27" s="7" t="s">
        <v>63</v>
      </c>
      <c r="AS27" s="7" t="s">
        <v>63</v>
      </c>
      <c r="AT27" s="7" t="s">
        <v>63</v>
      </c>
      <c r="AU27" s="7" t="s">
        <v>63</v>
      </c>
      <c r="AV27" s="7" t="s">
        <v>63</v>
      </c>
      <c r="AW27" s="19"/>
      <c r="AX27" s="24"/>
      <c r="AY27" s="7" t="s">
        <v>63</v>
      </c>
      <c r="AZ27" s="7" t="s">
        <v>63</v>
      </c>
      <c r="BA27" s="7" t="s">
        <v>63</v>
      </c>
      <c r="BB27" s="7" t="s">
        <v>63</v>
      </c>
      <c r="BC27" s="7" t="s">
        <v>63</v>
      </c>
      <c r="BD27" s="7" t="s">
        <v>63</v>
      </c>
      <c r="BE27" s="7" t="s">
        <v>63</v>
      </c>
      <c r="BF27" s="7" t="s">
        <v>63</v>
      </c>
      <c r="BG27" s="7" t="s">
        <v>63</v>
      </c>
      <c r="BH27" s="7" t="s">
        <v>63</v>
      </c>
      <c r="BI27" s="24"/>
      <c r="BJ27" s="8">
        <v>4</v>
      </c>
      <c r="BK27" s="8">
        <v>13</v>
      </c>
      <c r="BL27" s="7" t="s">
        <v>63</v>
      </c>
      <c r="BM27" s="7" t="s">
        <v>63</v>
      </c>
      <c r="BN27" s="7" t="s">
        <v>63</v>
      </c>
      <c r="BO27" s="8">
        <v>13</v>
      </c>
      <c r="BP27" s="7" t="s">
        <v>63</v>
      </c>
      <c r="BQ27" s="23">
        <v>30</v>
      </c>
      <c r="BR27" s="8">
        <v>4.5</v>
      </c>
      <c r="BS27" s="8">
        <v>7.5</v>
      </c>
      <c r="BT27" s="8">
        <v>15</v>
      </c>
      <c r="BU27" s="7" t="s">
        <v>63</v>
      </c>
      <c r="BV27" s="7" t="s">
        <v>63</v>
      </c>
      <c r="BW27" s="7" t="s">
        <v>63</v>
      </c>
      <c r="BX27" s="7" t="s">
        <v>63</v>
      </c>
      <c r="BY27" s="7" t="s">
        <v>63</v>
      </c>
      <c r="BZ27" s="7" t="s">
        <v>63</v>
      </c>
      <c r="CA27" s="7" t="s">
        <v>63</v>
      </c>
      <c r="CB27" s="8" t="s">
        <v>87</v>
      </c>
      <c r="CC27" s="7" t="s">
        <v>63</v>
      </c>
      <c r="CD27" s="7" t="s">
        <v>63</v>
      </c>
      <c r="CE27" s="25"/>
      <c r="CF27" s="9"/>
    </row>
    <row r="28" spans="1:84" ht="15" customHeight="1">
      <c r="A28" s="46"/>
      <c r="B28" s="4" t="s">
        <v>66</v>
      </c>
      <c r="C28" s="4"/>
      <c r="D28" s="4"/>
      <c r="E28" s="26"/>
      <c r="F28" s="41">
        <v>67.900000000000006</v>
      </c>
      <c r="G28" s="41">
        <v>62.4</v>
      </c>
      <c r="H28" s="41" t="s">
        <v>67</v>
      </c>
      <c r="I28" s="41">
        <v>0.8</v>
      </c>
      <c r="J28" s="41" t="s">
        <v>67</v>
      </c>
      <c r="K28" s="24"/>
      <c r="L28" s="41">
        <v>6000</v>
      </c>
      <c r="M28" s="41"/>
      <c r="N28" s="41">
        <v>1.5</v>
      </c>
      <c r="O28" s="41">
        <v>3400</v>
      </c>
      <c r="P28" s="41" t="s">
        <v>67</v>
      </c>
      <c r="Q28" s="41">
        <v>2.75</v>
      </c>
      <c r="R28" s="41">
        <v>2100</v>
      </c>
      <c r="S28" s="41" t="s">
        <v>67</v>
      </c>
      <c r="T28" s="41">
        <v>4.55</v>
      </c>
      <c r="U28" s="41" t="s">
        <v>67</v>
      </c>
      <c r="V28" s="5">
        <f t="shared" ref="V28" si="4">T28/2*2*PI()*L28/2/60</f>
        <v>714.71232869167784</v>
      </c>
      <c r="W28" s="41" t="s">
        <v>68</v>
      </c>
      <c r="X28" s="24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24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24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24"/>
      <c r="BJ28" s="53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5"/>
      <c r="CE28" s="25"/>
    </row>
    <row r="29" spans="1:84" ht="15" customHeight="1">
      <c r="A29" s="46"/>
      <c r="B29" s="4" t="s">
        <v>69</v>
      </c>
      <c r="C29" s="4"/>
      <c r="D29" s="4"/>
      <c r="E29" s="26"/>
      <c r="F29" s="41">
        <v>67.400000000000006</v>
      </c>
      <c r="G29" s="41">
        <v>61.9</v>
      </c>
      <c r="H29" s="41" t="s">
        <v>67</v>
      </c>
      <c r="I29" s="41">
        <v>0.75</v>
      </c>
      <c r="J29" s="41" t="s">
        <v>67</v>
      </c>
      <c r="K29" s="24"/>
      <c r="L29" s="41">
        <v>5600</v>
      </c>
      <c r="M29" s="41"/>
      <c r="N29" s="41">
        <v>1.5</v>
      </c>
      <c r="O29" s="41">
        <v>2900</v>
      </c>
      <c r="P29" s="41" t="s">
        <v>67</v>
      </c>
      <c r="Q29" s="41">
        <v>2.75</v>
      </c>
      <c r="R29" s="41">
        <v>1600</v>
      </c>
      <c r="S29" s="41" t="s">
        <v>67</v>
      </c>
      <c r="T29" s="41">
        <v>4.0999999999999996</v>
      </c>
      <c r="U29" s="41" t="s">
        <v>67</v>
      </c>
      <c r="V29" s="41" t="s">
        <v>67</v>
      </c>
      <c r="W29" s="41" t="s">
        <v>68</v>
      </c>
      <c r="X29" s="24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24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24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24"/>
      <c r="BJ29" s="56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8"/>
      <c r="CE29" s="25"/>
    </row>
    <row r="30" spans="1:84" ht="15" customHeight="1">
      <c r="A30" s="46"/>
      <c r="B30" s="4" t="s">
        <v>70</v>
      </c>
      <c r="C30" s="4"/>
      <c r="D30" s="4"/>
      <c r="E30" s="26"/>
      <c r="F30" s="41">
        <v>68.400000000000006</v>
      </c>
      <c r="G30" s="41">
        <v>62.9</v>
      </c>
      <c r="H30" s="41" t="s">
        <v>67</v>
      </c>
      <c r="I30" s="41">
        <v>0.85</v>
      </c>
      <c r="J30" s="41" t="s">
        <v>123</v>
      </c>
      <c r="K30" s="24"/>
      <c r="L30" s="41">
        <v>6400</v>
      </c>
      <c r="M30" s="41"/>
      <c r="N30" s="41">
        <v>1.5</v>
      </c>
      <c r="O30" s="41">
        <v>3900</v>
      </c>
      <c r="P30" s="41">
        <v>83</v>
      </c>
      <c r="Q30" s="41">
        <v>2.75</v>
      </c>
      <c r="R30" s="41">
        <v>2600</v>
      </c>
      <c r="S30" s="41">
        <v>108</v>
      </c>
      <c r="T30" s="41" t="s">
        <v>67</v>
      </c>
      <c r="U30" s="41">
        <v>225</v>
      </c>
      <c r="V30" s="41" t="s">
        <v>67</v>
      </c>
      <c r="W30" s="41" t="s">
        <v>68</v>
      </c>
      <c r="X30" s="24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24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24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24"/>
      <c r="BJ30" s="59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1"/>
      <c r="CE30" s="25"/>
    </row>
    <row r="31" spans="1:84" ht="15" customHeight="1">
      <c r="A31" s="62" t="s">
        <v>124</v>
      </c>
      <c r="B31" s="1" t="s">
        <v>80</v>
      </c>
      <c r="C31" s="1" t="s">
        <v>67</v>
      </c>
      <c r="D31" s="1" t="s">
        <v>125</v>
      </c>
      <c r="E31" s="17" t="s">
        <v>126</v>
      </c>
      <c r="F31" s="8">
        <v>67.900000000000006</v>
      </c>
      <c r="G31" s="8">
        <v>62.4</v>
      </c>
      <c r="H31" s="8">
        <v>31.5</v>
      </c>
      <c r="I31" s="8">
        <v>1.2</v>
      </c>
      <c r="J31" s="8">
        <v>1050</v>
      </c>
      <c r="K31" s="24"/>
      <c r="L31" s="8">
        <v>6957</v>
      </c>
      <c r="M31" s="8">
        <v>9.1</v>
      </c>
      <c r="N31" s="8">
        <v>0.8</v>
      </c>
      <c r="O31" s="8">
        <v>4865</v>
      </c>
      <c r="P31" s="8">
        <v>52</v>
      </c>
      <c r="Q31" s="8">
        <v>1.4</v>
      </c>
      <c r="R31" s="8">
        <v>3645</v>
      </c>
      <c r="S31" s="8">
        <v>85.7</v>
      </c>
      <c r="T31" s="8">
        <v>3.29</v>
      </c>
      <c r="U31" s="8">
        <v>212.1</v>
      </c>
      <c r="V31" s="10">
        <f>T31/2*2*PI()*L31/2/60</f>
        <v>599.22031416224661</v>
      </c>
      <c r="W31" s="8" t="s">
        <v>92</v>
      </c>
      <c r="X31" s="24"/>
      <c r="Y31" s="8">
        <f>L31+200</f>
        <v>7157</v>
      </c>
      <c r="Z31" s="8">
        <f>M31-2.5</f>
        <v>6.6</v>
      </c>
      <c r="AA31" s="8">
        <v>0.8</v>
      </c>
      <c r="AB31" s="8">
        <f>O31+40</f>
        <v>4905</v>
      </c>
      <c r="AC31" s="8">
        <f>P31+1</f>
        <v>53</v>
      </c>
      <c r="AD31" s="8">
        <v>1.4</v>
      </c>
      <c r="AE31" s="8">
        <f>R31-200</f>
        <v>3445</v>
      </c>
      <c r="AF31" s="8">
        <f>S31+7</f>
        <v>92.7</v>
      </c>
      <c r="AG31" s="8">
        <f>T31-0.5</f>
        <v>2.79</v>
      </c>
      <c r="AH31" s="8">
        <f>U31-18</f>
        <v>194.1</v>
      </c>
      <c r="AI31" s="10">
        <f>AG31/2*2*PI()*Y31/2/60</f>
        <v>522.761802955505</v>
      </c>
      <c r="AJ31" s="8" t="s">
        <v>75</v>
      </c>
      <c r="AK31" s="24"/>
      <c r="AL31" s="7" t="s">
        <v>63</v>
      </c>
      <c r="AM31" s="7" t="s">
        <v>63</v>
      </c>
      <c r="AN31" s="7" t="s">
        <v>63</v>
      </c>
      <c r="AO31" s="7" t="s">
        <v>63</v>
      </c>
      <c r="AP31" s="7" t="s">
        <v>63</v>
      </c>
      <c r="AQ31" s="7" t="s">
        <v>63</v>
      </c>
      <c r="AR31" s="7" t="s">
        <v>63</v>
      </c>
      <c r="AS31" s="7" t="s">
        <v>63</v>
      </c>
      <c r="AT31" s="7" t="s">
        <v>63</v>
      </c>
      <c r="AU31" s="7" t="s">
        <v>63</v>
      </c>
      <c r="AV31" s="7" t="s">
        <v>63</v>
      </c>
      <c r="AW31" s="33"/>
      <c r="AX31" s="24"/>
      <c r="AY31" s="7" t="s">
        <v>63</v>
      </c>
      <c r="AZ31" s="7" t="s">
        <v>63</v>
      </c>
      <c r="BA31" s="7" t="s">
        <v>63</v>
      </c>
      <c r="BB31" s="8">
        <v>54</v>
      </c>
      <c r="BC31" s="7" t="s">
        <v>63</v>
      </c>
      <c r="BD31" s="7" t="s">
        <v>63</v>
      </c>
      <c r="BE31" s="7" t="s">
        <v>63</v>
      </c>
      <c r="BF31" s="14">
        <f>111.6/1000000</f>
        <v>1.1159999999999999E-4</v>
      </c>
      <c r="BG31" s="7" t="s">
        <v>63</v>
      </c>
      <c r="BH31" s="8">
        <v>77.8</v>
      </c>
      <c r="BI31" s="24"/>
      <c r="BJ31" s="8">
        <v>4</v>
      </c>
      <c r="BK31" s="8">
        <v>13</v>
      </c>
      <c r="BL31" s="8" t="s">
        <v>127</v>
      </c>
      <c r="BM31" s="8">
        <v>0.75</v>
      </c>
      <c r="BN31" s="8">
        <v>-5</v>
      </c>
      <c r="BO31" s="8">
        <v>13</v>
      </c>
      <c r="BP31" s="8">
        <v>14.9</v>
      </c>
      <c r="BQ31" s="8">
        <v>31.5</v>
      </c>
      <c r="BR31" s="8">
        <v>4.5</v>
      </c>
      <c r="BS31" s="8">
        <v>7.5</v>
      </c>
      <c r="BT31" s="8">
        <v>15</v>
      </c>
      <c r="BU31" s="8">
        <v>4</v>
      </c>
      <c r="BV31" s="7" t="s">
        <v>63</v>
      </c>
      <c r="BW31" s="15">
        <f>BU31/(BR31*BS31)</f>
        <v>0.11851851851851852</v>
      </c>
      <c r="BX31" s="7" t="s">
        <v>63</v>
      </c>
      <c r="BY31" s="8" t="s">
        <v>121</v>
      </c>
      <c r="BZ31" s="8">
        <v>2.5</v>
      </c>
      <c r="CA31" s="8">
        <v>2</v>
      </c>
      <c r="CB31" s="8" t="s">
        <v>87</v>
      </c>
      <c r="CC31" s="8">
        <v>41.5</v>
      </c>
      <c r="CD31" s="8">
        <v>6.2</v>
      </c>
      <c r="CE31" s="25"/>
      <c r="CF31" s="9" t="s">
        <v>128</v>
      </c>
    </row>
    <row r="32" spans="1:84" ht="15" customHeight="1">
      <c r="A32" s="63"/>
      <c r="B32" s="4" t="s">
        <v>66</v>
      </c>
      <c r="C32" s="4"/>
      <c r="D32" s="4"/>
      <c r="E32" s="26"/>
      <c r="F32" s="41">
        <v>67.900000000000006</v>
      </c>
      <c r="G32" s="41">
        <v>62.4</v>
      </c>
      <c r="H32" s="41" t="s">
        <v>67</v>
      </c>
      <c r="I32" s="41">
        <v>1.2</v>
      </c>
      <c r="J32" s="41" t="s">
        <v>67</v>
      </c>
      <c r="K32" s="24"/>
      <c r="L32" s="41">
        <f>AVERAGE(L33:L34)</f>
        <v>6800</v>
      </c>
      <c r="M32" s="41" t="s">
        <v>67</v>
      </c>
      <c r="N32" s="41">
        <v>0.8</v>
      </c>
      <c r="O32" s="41">
        <f>AVERAGE(O33:O34)</f>
        <v>5300</v>
      </c>
      <c r="P32" s="41" t="s">
        <v>67</v>
      </c>
      <c r="Q32" s="41">
        <v>1.4</v>
      </c>
      <c r="R32" s="41">
        <f>AVERAGE(R33:R34)</f>
        <v>4200</v>
      </c>
      <c r="S32" s="41" t="s">
        <v>67</v>
      </c>
      <c r="T32" s="41">
        <v>3.5</v>
      </c>
      <c r="U32" s="41" t="s">
        <v>67</v>
      </c>
      <c r="V32" s="5">
        <f t="shared" ref="V32" si="5">T32/2*2*PI()*L32/2/60</f>
        <v>623.08254296197572</v>
      </c>
      <c r="W32" s="41" t="s">
        <v>92</v>
      </c>
      <c r="X32" s="31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34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32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24"/>
      <c r="BJ32" s="53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5"/>
      <c r="CE32" s="25"/>
    </row>
    <row r="33" spans="1:84" ht="15" customHeight="1">
      <c r="A33" s="63"/>
      <c r="B33" s="4" t="s">
        <v>69</v>
      </c>
      <c r="C33" s="4"/>
      <c r="D33" s="4"/>
      <c r="E33" s="26"/>
      <c r="F33" s="41">
        <v>67.400000000000006</v>
      </c>
      <c r="G33" s="41">
        <v>61.9</v>
      </c>
      <c r="H33" s="41" t="s">
        <v>67</v>
      </c>
      <c r="I33" s="41">
        <v>1.1499999999999999</v>
      </c>
      <c r="J33" s="41" t="s">
        <v>67</v>
      </c>
      <c r="K33" s="24"/>
      <c r="L33" s="41">
        <v>5800</v>
      </c>
      <c r="M33" s="41" t="s">
        <v>67</v>
      </c>
      <c r="N33" s="41">
        <v>0.8</v>
      </c>
      <c r="O33" s="41">
        <v>4800</v>
      </c>
      <c r="P33" s="41" t="s">
        <v>67</v>
      </c>
      <c r="Q33" s="41">
        <v>1.4</v>
      </c>
      <c r="R33" s="41">
        <v>3700</v>
      </c>
      <c r="S33" s="41" t="s">
        <v>67</v>
      </c>
      <c r="T33" s="41">
        <v>3.05</v>
      </c>
      <c r="U33" s="41" t="s">
        <v>67</v>
      </c>
      <c r="V33" s="41" t="s">
        <v>67</v>
      </c>
      <c r="W33" s="41" t="s">
        <v>92</v>
      </c>
      <c r="X33" s="31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34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32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24"/>
      <c r="BJ33" s="56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  <c r="CE33" s="25"/>
    </row>
    <row r="34" spans="1:84" ht="15" customHeight="1">
      <c r="A34" s="50"/>
      <c r="B34" s="4" t="s">
        <v>70</v>
      </c>
      <c r="C34" s="4"/>
      <c r="D34" s="4"/>
      <c r="E34" s="26"/>
      <c r="F34" s="41">
        <v>68.400000000000006</v>
      </c>
      <c r="G34" s="41">
        <v>62.9</v>
      </c>
      <c r="H34" s="41" t="s">
        <v>67</v>
      </c>
      <c r="I34" s="41">
        <v>1.25</v>
      </c>
      <c r="J34" s="41" t="s">
        <v>123</v>
      </c>
      <c r="K34" s="24"/>
      <c r="L34" s="41">
        <v>7800</v>
      </c>
      <c r="M34" s="41">
        <v>8</v>
      </c>
      <c r="N34" s="41">
        <v>0.8</v>
      </c>
      <c r="O34" s="41">
        <v>5800</v>
      </c>
      <c r="P34" s="41">
        <v>60</v>
      </c>
      <c r="Q34" s="41">
        <v>1.4</v>
      </c>
      <c r="R34" s="41">
        <v>4700</v>
      </c>
      <c r="S34" s="41">
        <v>97</v>
      </c>
      <c r="T34" s="41" t="s">
        <v>67</v>
      </c>
      <c r="U34" s="41">
        <v>210</v>
      </c>
      <c r="V34" s="41" t="s">
        <v>67</v>
      </c>
      <c r="W34" s="41" t="s">
        <v>92</v>
      </c>
      <c r="X34" s="31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34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32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24"/>
      <c r="BJ34" s="59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1"/>
      <c r="CE34" s="25"/>
    </row>
    <row r="35" spans="1:84" hidden="1">
      <c r="A35" s="51" t="s">
        <v>129</v>
      </c>
      <c r="B35" s="1" t="s">
        <v>72</v>
      </c>
      <c r="C35" s="1" t="s">
        <v>67</v>
      </c>
      <c r="D35" s="1" t="s">
        <v>106</v>
      </c>
      <c r="E35" s="7" t="s">
        <v>63</v>
      </c>
      <c r="F35" s="8">
        <v>76</v>
      </c>
      <c r="G35" s="8">
        <v>74</v>
      </c>
      <c r="H35" s="8">
        <v>42</v>
      </c>
      <c r="I35" s="8">
        <v>1.6</v>
      </c>
      <c r="J35" s="7" t="s">
        <v>63</v>
      </c>
      <c r="K35" s="24"/>
      <c r="L35" s="8">
        <v>6200</v>
      </c>
      <c r="M35" s="8">
        <v>8</v>
      </c>
      <c r="N35" s="8">
        <v>1</v>
      </c>
      <c r="O35" s="8">
        <v>4700</v>
      </c>
      <c r="P35" s="8">
        <v>55</v>
      </c>
      <c r="Q35" s="8">
        <v>2.2999999999999998</v>
      </c>
      <c r="R35" s="8">
        <v>3200</v>
      </c>
      <c r="S35" s="8">
        <v>118</v>
      </c>
      <c r="T35" s="8">
        <v>6.1</v>
      </c>
      <c r="U35" s="8">
        <v>350</v>
      </c>
      <c r="V35" s="10">
        <f>T35/2*2*PI()*L35/2/60</f>
        <v>990.12528465638309</v>
      </c>
      <c r="W35" s="30" t="s">
        <v>108</v>
      </c>
      <c r="X35" s="24"/>
      <c r="Y35" s="7" t="s">
        <v>63</v>
      </c>
      <c r="Z35" s="7" t="s">
        <v>63</v>
      </c>
      <c r="AA35" s="7" t="s">
        <v>63</v>
      </c>
      <c r="AB35" s="7" t="s">
        <v>63</v>
      </c>
      <c r="AC35" s="7" t="s">
        <v>63</v>
      </c>
      <c r="AD35" s="7" t="s">
        <v>63</v>
      </c>
      <c r="AE35" s="7" t="s">
        <v>63</v>
      </c>
      <c r="AF35" s="7" t="s">
        <v>63</v>
      </c>
      <c r="AG35" s="7" t="s">
        <v>63</v>
      </c>
      <c r="AH35" s="7" t="s">
        <v>63</v>
      </c>
      <c r="AI35" s="7" t="s">
        <v>63</v>
      </c>
      <c r="AJ35" s="43"/>
      <c r="AK35" s="24"/>
      <c r="AL35" s="7" t="s">
        <v>63</v>
      </c>
      <c r="AM35" s="7" t="s">
        <v>63</v>
      </c>
      <c r="AN35" s="7" t="s">
        <v>63</v>
      </c>
      <c r="AO35" s="7" t="s">
        <v>63</v>
      </c>
      <c r="AP35" s="7" t="s">
        <v>63</v>
      </c>
      <c r="AQ35" s="7" t="s">
        <v>63</v>
      </c>
      <c r="AR35" s="7" t="s">
        <v>63</v>
      </c>
      <c r="AS35" s="7" t="s">
        <v>63</v>
      </c>
      <c r="AT35" s="7" t="s">
        <v>63</v>
      </c>
      <c r="AU35" s="7" t="s">
        <v>63</v>
      </c>
      <c r="AV35" s="7" t="s">
        <v>63</v>
      </c>
      <c r="AW35" s="43"/>
      <c r="AX35" s="24"/>
      <c r="AY35" s="7" t="s">
        <v>63</v>
      </c>
      <c r="AZ35" s="7" t="s">
        <v>63</v>
      </c>
      <c r="BA35" s="7" t="s">
        <v>63</v>
      </c>
      <c r="BB35" s="7" t="s">
        <v>63</v>
      </c>
      <c r="BC35" s="7" t="s">
        <v>63</v>
      </c>
      <c r="BD35" s="7" t="s">
        <v>63</v>
      </c>
      <c r="BE35" s="7" t="s">
        <v>63</v>
      </c>
      <c r="BF35" s="7" t="s">
        <v>63</v>
      </c>
      <c r="BG35" s="7" t="s">
        <v>63</v>
      </c>
      <c r="BH35" s="7" t="s">
        <v>63</v>
      </c>
      <c r="BI35" s="24"/>
      <c r="BJ35" s="8">
        <v>6</v>
      </c>
      <c r="BK35" s="8">
        <v>9</v>
      </c>
      <c r="BL35" s="7" t="s">
        <v>63</v>
      </c>
      <c r="BM35" s="8">
        <v>0.8</v>
      </c>
      <c r="BN35" s="7" t="s">
        <v>63</v>
      </c>
      <c r="BO35" s="8">
        <v>18</v>
      </c>
      <c r="BP35" s="7" t="s">
        <v>63</v>
      </c>
      <c r="BQ35" s="8">
        <v>42</v>
      </c>
      <c r="BR35" s="7" t="s">
        <v>63</v>
      </c>
      <c r="BS35" s="7" t="s">
        <v>63</v>
      </c>
      <c r="BT35" s="7" t="s">
        <v>63</v>
      </c>
      <c r="BU35" s="7" t="s">
        <v>63</v>
      </c>
      <c r="BV35" s="7" t="s">
        <v>63</v>
      </c>
      <c r="BW35" s="7" t="s">
        <v>63</v>
      </c>
      <c r="BX35" s="7" t="s">
        <v>63</v>
      </c>
      <c r="BY35" s="7" t="s">
        <v>63</v>
      </c>
      <c r="BZ35" s="7" t="s">
        <v>63</v>
      </c>
      <c r="CA35" s="7" t="s">
        <v>63</v>
      </c>
      <c r="CB35" s="7" t="s">
        <v>63</v>
      </c>
      <c r="CC35" s="7" t="s">
        <v>63</v>
      </c>
      <c r="CD35" s="7" t="s">
        <v>63</v>
      </c>
      <c r="CE35" s="25"/>
      <c r="CF35" s="9" t="s">
        <v>122</v>
      </c>
    </row>
    <row r="36" spans="1:84">
      <c r="A36" s="52"/>
      <c r="B36" s="1" t="s">
        <v>80</v>
      </c>
      <c r="C36" s="1" t="s">
        <v>67</v>
      </c>
      <c r="D36" s="1" t="s">
        <v>106</v>
      </c>
      <c r="E36" s="28" t="s">
        <v>130</v>
      </c>
      <c r="F36" s="8">
        <v>76</v>
      </c>
      <c r="G36" s="8">
        <v>68</v>
      </c>
      <c r="H36" s="8">
        <v>32</v>
      </c>
      <c r="I36" s="8">
        <v>1.6</v>
      </c>
      <c r="J36" s="7" t="s">
        <v>63</v>
      </c>
      <c r="K36" s="24"/>
      <c r="L36" s="8">
        <v>6000</v>
      </c>
      <c r="M36" s="8">
        <v>8</v>
      </c>
      <c r="N36" s="8">
        <v>1</v>
      </c>
      <c r="O36" s="8">
        <v>4300</v>
      </c>
      <c r="P36" s="8">
        <v>52</v>
      </c>
      <c r="Q36" s="8">
        <v>2.2999999999999998</v>
      </c>
      <c r="R36" s="8">
        <v>2800</v>
      </c>
      <c r="S36" s="8">
        <v>120</v>
      </c>
      <c r="T36" s="8">
        <v>4.5</v>
      </c>
      <c r="U36" s="8">
        <v>250</v>
      </c>
      <c r="V36" s="10">
        <f t="shared" ref="V36:V38" si="6">T36/2*2*PI()*L36/2/60</f>
        <v>706.85834705770344</v>
      </c>
      <c r="W36" s="20" t="s">
        <v>108</v>
      </c>
      <c r="X36" s="24"/>
      <c r="Y36" s="7" t="s">
        <v>63</v>
      </c>
      <c r="Z36" s="7" t="s">
        <v>63</v>
      </c>
      <c r="AA36" s="7" t="s">
        <v>63</v>
      </c>
      <c r="AB36" s="7" t="s">
        <v>63</v>
      </c>
      <c r="AC36" s="7" t="s">
        <v>63</v>
      </c>
      <c r="AD36" s="7" t="s">
        <v>63</v>
      </c>
      <c r="AE36" s="7" t="s">
        <v>63</v>
      </c>
      <c r="AF36" s="7" t="s">
        <v>63</v>
      </c>
      <c r="AG36" s="7" t="s">
        <v>63</v>
      </c>
      <c r="AH36" s="7" t="s">
        <v>63</v>
      </c>
      <c r="AI36" s="7" t="s">
        <v>63</v>
      </c>
      <c r="AJ36" s="6"/>
      <c r="AK36" s="24"/>
      <c r="AL36" s="7" t="s">
        <v>63</v>
      </c>
      <c r="AM36" s="7" t="s">
        <v>63</v>
      </c>
      <c r="AN36" s="7" t="s">
        <v>63</v>
      </c>
      <c r="AO36" s="7" t="s">
        <v>63</v>
      </c>
      <c r="AP36" s="7" t="s">
        <v>63</v>
      </c>
      <c r="AQ36" s="7" t="s">
        <v>63</v>
      </c>
      <c r="AR36" s="7" t="s">
        <v>63</v>
      </c>
      <c r="AS36" s="7" t="s">
        <v>63</v>
      </c>
      <c r="AT36" s="7" t="s">
        <v>63</v>
      </c>
      <c r="AU36" s="7" t="s">
        <v>63</v>
      </c>
      <c r="AV36" s="7" t="s">
        <v>63</v>
      </c>
      <c r="AW36" s="6"/>
      <c r="AX36" s="24"/>
      <c r="AY36" s="7" t="s">
        <v>63</v>
      </c>
      <c r="AZ36" s="7" t="s">
        <v>63</v>
      </c>
      <c r="BA36" s="7" t="s">
        <v>63</v>
      </c>
      <c r="BB36" s="7" t="s">
        <v>63</v>
      </c>
      <c r="BC36" s="7" t="s">
        <v>63</v>
      </c>
      <c r="BD36" s="7" t="s">
        <v>63</v>
      </c>
      <c r="BE36" s="7" t="s">
        <v>63</v>
      </c>
      <c r="BF36" s="7" t="s">
        <v>63</v>
      </c>
      <c r="BG36" s="7" t="s">
        <v>63</v>
      </c>
      <c r="BH36" s="7" t="s">
        <v>63</v>
      </c>
      <c r="BI36" s="24"/>
      <c r="BJ36" s="8">
        <v>6</v>
      </c>
      <c r="BK36" s="8">
        <v>8</v>
      </c>
      <c r="BL36" s="8" t="s">
        <v>131</v>
      </c>
      <c r="BM36" s="8">
        <v>0.79</v>
      </c>
      <c r="BN36" s="7" t="s">
        <v>63</v>
      </c>
      <c r="BO36" s="8">
        <v>24</v>
      </c>
      <c r="BP36" s="7" t="s">
        <v>63</v>
      </c>
      <c r="BQ36" s="8">
        <v>32</v>
      </c>
      <c r="BR36" s="8">
        <v>4.5</v>
      </c>
      <c r="BS36" s="8">
        <v>7.5</v>
      </c>
      <c r="BT36" s="7" t="s">
        <v>63</v>
      </c>
      <c r="BU36" s="7" t="s">
        <v>63</v>
      </c>
      <c r="BV36" s="7" t="s">
        <v>63</v>
      </c>
      <c r="BW36" s="7" t="s">
        <v>63</v>
      </c>
      <c r="BX36" s="7" t="s">
        <v>63</v>
      </c>
      <c r="BY36" s="7" t="s">
        <v>63</v>
      </c>
      <c r="BZ36" s="7" t="s">
        <v>63</v>
      </c>
      <c r="CA36" s="8">
        <v>1.6</v>
      </c>
      <c r="CB36" s="8" t="s">
        <v>87</v>
      </c>
      <c r="CC36" s="8">
        <v>42</v>
      </c>
      <c r="CD36" s="8">
        <v>5.5</v>
      </c>
      <c r="CE36" s="25"/>
      <c r="CF36" s="9" t="s">
        <v>122</v>
      </c>
    </row>
    <row r="37" spans="1:84" customFormat="1" hidden="1">
      <c r="A37" s="52"/>
      <c r="B37" s="1" t="s">
        <v>88</v>
      </c>
      <c r="C37" s="1" t="s">
        <v>67</v>
      </c>
      <c r="D37" s="1" t="s">
        <v>106</v>
      </c>
      <c r="E37" s="28" t="s">
        <v>132</v>
      </c>
      <c r="F37" s="8">
        <v>76</v>
      </c>
      <c r="G37" s="8">
        <v>72</v>
      </c>
      <c r="H37" s="8">
        <v>30</v>
      </c>
      <c r="I37" s="8">
        <v>1.6</v>
      </c>
      <c r="J37" s="7" t="s">
        <v>63</v>
      </c>
      <c r="K37" s="24"/>
      <c r="L37" s="8">
        <v>6700</v>
      </c>
      <c r="M37" s="8">
        <v>8</v>
      </c>
      <c r="N37" s="8">
        <v>1</v>
      </c>
      <c r="O37" s="8">
        <v>5000</v>
      </c>
      <c r="P37" s="8">
        <v>65</v>
      </c>
      <c r="Q37" s="8">
        <v>2.2999999999999998</v>
      </c>
      <c r="R37" s="8">
        <v>3100</v>
      </c>
      <c r="S37" s="8">
        <v>140</v>
      </c>
      <c r="T37" s="8">
        <v>4.8</v>
      </c>
      <c r="U37" s="8">
        <v>320</v>
      </c>
      <c r="V37" s="10">
        <f t="shared" si="6"/>
        <v>841.94683116206454</v>
      </c>
      <c r="W37" s="20" t="s">
        <v>108</v>
      </c>
      <c r="X37" s="24"/>
      <c r="Y37" s="7" t="s">
        <v>63</v>
      </c>
      <c r="Z37" s="7" t="s">
        <v>63</v>
      </c>
      <c r="AA37" s="7" t="s">
        <v>63</v>
      </c>
      <c r="AB37" s="7" t="s">
        <v>63</v>
      </c>
      <c r="AC37" s="7" t="s">
        <v>63</v>
      </c>
      <c r="AD37" s="7" t="s">
        <v>63</v>
      </c>
      <c r="AE37" s="7" t="s">
        <v>63</v>
      </c>
      <c r="AF37" s="7" t="s">
        <v>63</v>
      </c>
      <c r="AG37" s="7" t="s">
        <v>63</v>
      </c>
      <c r="AH37" s="7" t="s">
        <v>63</v>
      </c>
      <c r="AI37" s="7" t="s">
        <v>63</v>
      </c>
      <c r="AJ37" s="44"/>
      <c r="AK37" s="24"/>
      <c r="AL37" s="7" t="s">
        <v>63</v>
      </c>
      <c r="AM37" s="7" t="s">
        <v>63</v>
      </c>
      <c r="AN37" s="7" t="s">
        <v>63</v>
      </c>
      <c r="AO37" s="7" t="s">
        <v>63</v>
      </c>
      <c r="AP37" s="7" t="s">
        <v>63</v>
      </c>
      <c r="AQ37" s="7" t="s">
        <v>63</v>
      </c>
      <c r="AR37" s="7" t="s">
        <v>63</v>
      </c>
      <c r="AS37" s="7" t="s">
        <v>63</v>
      </c>
      <c r="AT37" s="7" t="s">
        <v>63</v>
      </c>
      <c r="AU37" s="7" t="s">
        <v>63</v>
      </c>
      <c r="AV37" s="7" t="s">
        <v>63</v>
      </c>
      <c r="AW37" s="44"/>
      <c r="AX37" s="24"/>
      <c r="AY37" s="7" t="s">
        <v>63</v>
      </c>
      <c r="AZ37" s="7" t="s">
        <v>63</v>
      </c>
      <c r="BA37" s="7" t="s">
        <v>63</v>
      </c>
      <c r="BB37" s="7" t="s">
        <v>63</v>
      </c>
      <c r="BC37" s="7" t="s">
        <v>63</v>
      </c>
      <c r="BD37" s="7" t="s">
        <v>63</v>
      </c>
      <c r="BE37" s="7" t="s">
        <v>63</v>
      </c>
      <c r="BF37" s="7" t="s">
        <v>63</v>
      </c>
      <c r="BG37" s="7" t="s">
        <v>63</v>
      </c>
      <c r="BH37" s="7" t="s">
        <v>63</v>
      </c>
      <c r="BI37" s="24"/>
      <c r="BJ37" s="8">
        <v>4</v>
      </c>
      <c r="BK37" s="8">
        <v>12</v>
      </c>
      <c r="BL37" s="8">
        <v>8</v>
      </c>
      <c r="BM37" s="8">
        <v>0.7</v>
      </c>
      <c r="BN37" s="7" t="s">
        <v>63</v>
      </c>
      <c r="BO37" s="8">
        <v>12</v>
      </c>
      <c r="BP37" s="7" t="s">
        <v>63</v>
      </c>
      <c r="BQ37" s="8">
        <v>30</v>
      </c>
      <c r="BR37" s="8">
        <v>5</v>
      </c>
      <c r="BS37" s="8">
        <v>10</v>
      </c>
      <c r="BT37" s="7" t="s">
        <v>63</v>
      </c>
      <c r="BU37" s="7" t="s">
        <v>63</v>
      </c>
      <c r="BV37" s="7" t="s">
        <v>63</v>
      </c>
      <c r="BW37" s="7" t="s">
        <v>63</v>
      </c>
      <c r="BX37" s="7" t="s">
        <v>63</v>
      </c>
      <c r="BY37" s="7" t="s">
        <v>63</v>
      </c>
      <c r="BZ37" s="7" t="s">
        <v>63</v>
      </c>
      <c r="CA37" s="8">
        <v>2</v>
      </c>
      <c r="CB37" s="8" t="s">
        <v>133</v>
      </c>
      <c r="CC37" s="7" t="s">
        <v>63</v>
      </c>
      <c r="CD37" s="8">
        <v>6.2</v>
      </c>
      <c r="CE37" s="25"/>
      <c r="CF37" s="9" t="s">
        <v>122</v>
      </c>
    </row>
    <row r="38" spans="1:84" ht="15" customHeight="1">
      <c r="A38" s="52"/>
      <c r="B38" s="4" t="s">
        <v>66</v>
      </c>
      <c r="C38" s="4"/>
      <c r="D38" s="4"/>
      <c r="E38" s="26"/>
      <c r="F38" s="41">
        <v>76</v>
      </c>
      <c r="G38" s="41">
        <v>64</v>
      </c>
      <c r="H38" s="41" t="s">
        <v>67</v>
      </c>
      <c r="I38" s="41">
        <v>1.8</v>
      </c>
      <c r="J38" s="41" t="s">
        <v>67</v>
      </c>
      <c r="K38" s="24"/>
      <c r="L38" s="41">
        <v>5700</v>
      </c>
      <c r="M38" s="41"/>
      <c r="N38" s="41">
        <v>1</v>
      </c>
      <c r="O38" s="41">
        <v>4580</v>
      </c>
      <c r="P38" s="41" t="s">
        <v>67</v>
      </c>
      <c r="Q38" s="41">
        <v>2.2999999999999998</v>
      </c>
      <c r="R38" s="41">
        <v>3130</v>
      </c>
      <c r="S38" s="41" t="s">
        <v>67</v>
      </c>
      <c r="T38" s="41">
        <v>5.0999999999999996</v>
      </c>
      <c r="U38" s="41" t="s">
        <v>67</v>
      </c>
      <c r="V38" s="5">
        <f t="shared" si="6"/>
        <v>761.05082033212739</v>
      </c>
      <c r="W38" s="41" t="s">
        <v>92</v>
      </c>
      <c r="X38" s="24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24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24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24"/>
      <c r="BJ38" s="53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5"/>
      <c r="CE38" s="25"/>
    </row>
    <row r="39" spans="1:84" ht="15" customHeight="1">
      <c r="A39" s="52"/>
      <c r="B39" s="4" t="s">
        <v>69</v>
      </c>
      <c r="C39" s="4"/>
      <c r="D39" s="4"/>
      <c r="E39" s="26"/>
      <c r="F39" s="41">
        <v>75.5</v>
      </c>
      <c r="G39" s="41">
        <v>63.5</v>
      </c>
      <c r="H39" s="41" t="s">
        <v>67</v>
      </c>
      <c r="I39" s="41">
        <v>1.85</v>
      </c>
      <c r="J39" s="41" t="s">
        <v>67</v>
      </c>
      <c r="K39" s="24"/>
      <c r="L39" s="41">
        <v>5200</v>
      </c>
      <c r="M39" s="41"/>
      <c r="N39" s="41">
        <v>1</v>
      </c>
      <c r="O39" s="41">
        <v>4280</v>
      </c>
      <c r="P39" s="41" t="s">
        <v>67</v>
      </c>
      <c r="Q39" s="41">
        <v>2.2999999999999998</v>
      </c>
      <c r="R39" s="41">
        <v>2830</v>
      </c>
      <c r="S39" s="41" t="s">
        <v>67</v>
      </c>
      <c r="T39" s="41">
        <v>4.6500000000000004</v>
      </c>
      <c r="U39" s="41" t="s">
        <v>67</v>
      </c>
      <c r="V39" s="41" t="s">
        <v>67</v>
      </c>
      <c r="W39" s="41" t="s">
        <v>92</v>
      </c>
      <c r="X39" s="24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24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24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24"/>
      <c r="BJ39" s="56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8"/>
      <c r="CE39" s="25"/>
    </row>
    <row r="40" spans="1:84" ht="15" customHeight="1">
      <c r="A40" s="52"/>
      <c r="B40" s="4" t="s">
        <v>70</v>
      </c>
      <c r="C40" s="4"/>
      <c r="D40" s="4"/>
      <c r="E40" s="26"/>
      <c r="F40" s="41">
        <v>76.5</v>
      </c>
      <c r="G40" s="41">
        <v>64.5</v>
      </c>
      <c r="H40" s="41" t="s">
        <v>67</v>
      </c>
      <c r="I40" s="41">
        <v>1.75</v>
      </c>
      <c r="J40" s="41">
        <v>1100</v>
      </c>
      <c r="K40" s="24"/>
      <c r="L40" s="41">
        <v>6200</v>
      </c>
      <c r="M40" s="41"/>
      <c r="N40" s="41">
        <v>1</v>
      </c>
      <c r="O40" s="41">
        <v>4880</v>
      </c>
      <c r="P40" s="41">
        <v>55</v>
      </c>
      <c r="Q40" s="41">
        <v>2.2999999999999998</v>
      </c>
      <c r="R40" s="41">
        <v>3430</v>
      </c>
      <c r="S40" s="41">
        <v>120</v>
      </c>
      <c r="T40" s="41" t="s">
        <v>67</v>
      </c>
      <c r="U40" s="41">
        <v>260</v>
      </c>
      <c r="V40" s="41" t="s">
        <v>67</v>
      </c>
      <c r="W40" s="41" t="s">
        <v>92</v>
      </c>
      <c r="X40" s="24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24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24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24"/>
      <c r="BJ40" s="59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1"/>
      <c r="CE40" s="25"/>
    </row>
    <row r="41" spans="1:84" hidden="1">
      <c r="A41" s="51" t="s">
        <v>134</v>
      </c>
      <c r="B41" s="1" t="s">
        <v>72</v>
      </c>
      <c r="C41" s="1" t="s">
        <v>67</v>
      </c>
      <c r="D41" s="1" t="s">
        <v>106</v>
      </c>
      <c r="E41" s="7" t="s">
        <v>63</v>
      </c>
      <c r="F41" s="8">
        <v>76</v>
      </c>
      <c r="G41" s="8">
        <v>74</v>
      </c>
      <c r="H41" s="8">
        <v>42</v>
      </c>
      <c r="I41" s="8">
        <v>0.9</v>
      </c>
      <c r="J41" s="7" t="s">
        <v>63</v>
      </c>
      <c r="K41" s="24"/>
      <c r="L41" s="8">
        <v>6200</v>
      </c>
      <c r="M41" s="8">
        <v>8</v>
      </c>
      <c r="N41" s="8">
        <v>1</v>
      </c>
      <c r="O41" s="8">
        <v>4700</v>
      </c>
      <c r="P41" s="8">
        <v>55</v>
      </c>
      <c r="Q41" s="8">
        <v>2.2999999999999998</v>
      </c>
      <c r="R41" s="8">
        <v>3200</v>
      </c>
      <c r="S41" s="8">
        <v>118</v>
      </c>
      <c r="T41" s="8">
        <v>6.1</v>
      </c>
      <c r="U41" s="8">
        <v>350</v>
      </c>
      <c r="V41" s="10">
        <f>T41/2*2*PI()*L41/2/60</f>
        <v>990.12528465638309</v>
      </c>
      <c r="W41" s="20" t="s">
        <v>108</v>
      </c>
      <c r="X41" s="24"/>
      <c r="Y41" s="7" t="s">
        <v>63</v>
      </c>
      <c r="Z41" s="7" t="s">
        <v>63</v>
      </c>
      <c r="AA41" s="7" t="s">
        <v>63</v>
      </c>
      <c r="AB41" s="7" t="s">
        <v>63</v>
      </c>
      <c r="AC41" s="7" t="s">
        <v>63</v>
      </c>
      <c r="AD41" s="7" t="s">
        <v>63</v>
      </c>
      <c r="AE41" s="7" t="s">
        <v>63</v>
      </c>
      <c r="AF41" s="7" t="s">
        <v>63</v>
      </c>
      <c r="AG41" s="7" t="s">
        <v>63</v>
      </c>
      <c r="AH41" s="7" t="s">
        <v>63</v>
      </c>
      <c r="AI41" s="7" t="s">
        <v>63</v>
      </c>
      <c r="AJ41" s="43"/>
      <c r="AK41" s="24"/>
      <c r="AL41" s="7" t="s">
        <v>63</v>
      </c>
      <c r="AM41" s="7" t="s">
        <v>63</v>
      </c>
      <c r="AN41" s="7" t="s">
        <v>63</v>
      </c>
      <c r="AO41" s="7" t="s">
        <v>63</v>
      </c>
      <c r="AP41" s="7" t="s">
        <v>63</v>
      </c>
      <c r="AQ41" s="7" t="s">
        <v>63</v>
      </c>
      <c r="AR41" s="7" t="s">
        <v>63</v>
      </c>
      <c r="AS41" s="7" t="s">
        <v>63</v>
      </c>
      <c r="AT41" s="7" t="s">
        <v>63</v>
      </c>
      <c r="AU41" s="7" t="s">
        <v>63</v>
      </c>
      <c r="AV41" s="7" t="s">
        <v>63</v>
      </c>
      <c r="AW41" s="43"/>
      <c r="AX41" s="24"/>
      <c r="AY41" s="7" t="s">
        <v>63</v>
      </c>
      <c r="AZ41" s="7" t="s">
        <v>63</v>
      </c>
      <c r="BA41" s="7" t="s">
        <v>63</v>
      </c>
      <c r="BB41" s="7" t="s">
        <v>63</v>
      </c>
      <c r="BC41" s="7" t="s">
        <v>63</v>
      </c>
      <c r="BD41" s="7" t="s">
        <v>63</v>
      </c>
      <c r="BE41" s="7" t="s">
        <v>63</v>
      </c>
      <c r="BF41" s="7" t="s">
        <v>63</v>
      </c>
      <c r="BG41" s="7" t="s">
        <v>63</v>
      </c>
      <c r="BH41" s="7" t="s">
        <v>63</v>
      </c>
      <c r="BI41" s="24"/>
      <c r="BJ41" s="8">
        <v>6</v>
      </c>
      <c r="BK41" s="8">
        <v>9</v>
      </c>
      <c r="BL41" s="7" t="s">
        <v>63</v>
      </c>
      <c r="BM41" s="8">
        <v>0.8</v>
      </c>
      <c r="BN41" s="7" t="s">
        <v>63</v>
      </c>
      <c r="BO41" s="8">
        <v>18</v>
      </c>
      <c r="BP41" s="7" t="s">
        <v>63</v>
      </c>
      <c r="BQ41" s="8">
        <v>42</v>
      </c>
      <c r="BR41" s="7" t="s">
        <v>63</v>
      </c>
      <c r="BS41" s="7" t="s">
        <v>63</v>
      </c>
      <c r="BT41" s="7" t="s">
        <v>63</v>
      </c>
      <c r="BU41" s="7" t="s">
        <v>63</v>
      </c>
      <c r="BV41" s="7" t="s">
        <v>63</v>
      </c>
      <c r="BW41" s="7" t="s">
        <v>63</v>
      </c>
      <c r="BX41" s="7" t="s">
        <v>63</v>
      </c>
      <c r="BY41" s="7" t="s">
        <v>63</v>
      </c>
      <c r="BZ41" s="7" t="s">
        <v>63</v>
      </c>
      <c r="CA41" s="7" t="s">
        <v>63</v>
      </c>
      <c r="CB41" s="7" t="s">
        <v>63</v>
      </c>
      <c r="CC41" s="7" t="s">
        <v>63</v>
      </c>
      <c r="CD41" s="7" t="s">
        <v>63</v>
      </c>
      <c r="CE41" s="25"/>
      <c r="CF41" s="9" t="s">
        <v>122</v>
      </c>
    </row>
    <row r="42" spans="1:84">
      <c r="A42" s="52"/>
      <c r="B42" s="1" t="s">
        <v>80</v>
      </c>
      <c r="C42" s="1" t="s">
        <v>67</v>
      </c>
      <c r="D42" s="1" t="s">
        <v>106</v>
      </c>
      <c r="E42" s="28" t="s">
        <v>135</v>
      </c>
      <c r="F42" s="8">
        <v>76</v>
      </c>
      <c r="G42" s="8">
        <v>68</v>
      </c>
      <c r="H42" s="8">
        <v>32</v>
      </c>
      <c r="I42" s="8">
        <v>0.9</v>
      </c>
      <c r="J42" s="7" t="s">
        <v>63</v>
      </c>
      <c r="K42" s="24"/>
      <c r="L42" s="8">
        <v>6000</v>
      </c>
      <c r="M42" s="8">
        <v>8</v>
      </c>
      <c r="N42" s="8">
        <v>1</v>
      </c>
      <c r="O42" s="8">
        <v>4300</v>
      </c>
      <c r="P42" s="8">
        <v>52</v>
      </c>
      <c r="Q42" s="8">
        <v>2.2999999999999998</v>
      </c>
      <c r="R42" s="8">
        <v>2800</v>
      </c>
      <c r="S42" s="8">
        <v>120</v>
      </c>
      <c r="T42" s="8">
        <v>4.5</v>
      </c>
      <c r="U42" s="8">
        <v>250</v>
      </c>
      <c r="V42" s="10">
        <f t="shared" ref="V42:V43" si="7">T42/2*2*PI()*L42/2/60</f>
        <v>706.85834705770344</v>
      </c>
      <c r="W42" s="20" t="s">
        <v>108</v>
      </c>
      <c r="X42" s="24"/>
      <c r="Y42" s="7" t="s">
        <v>63</v>
      </c>
      <c r="Z42" s="7" t="s">
        <v>63</v>
      </c>
      <c r="AA42" s="7" t="s">
        <v>63</v>
      </c>
      <c r="AB42" s="7" t="s">
        <v>63</v>
      </c>
      <c r="AC42" s="7" t="s">
        <v>63</v>
      </c>
      <c r="AD42" s="7" t="s">
        <v>63</v>
      </c>
      <c r="AE42" s="7" t="s">
        <v>63</v>
      </c>
      <c r="AF42" s="7" t="s">
        <v>63</v>
      </c>
      <c r="AG42" s="7" t="s">
        <v>63</v>
      </c>
      <c r="AH42" s="7" t="s">
        <v>63</v>
      </c>
      <c r="AI42" s="7" t="s">
        <v>63</v>
      </c>
      <c r="AJ42" s="43"/>
      <c r="AK42" s="24"/>
      <c r="AL42" s="7" t="s">
        <v>63</v>
      </c>
      <c r="AM42" s="7" t="s">
        <v>63</v>
      </c>
      <c r="AN42" s="7" t="s">
        <v>63</v>
      </c>
      <c r="AO42" s="7" t="s">
        <v>63</v>
      </c>
      <c r="AP42" s="7" t="s">
        <v>63</v>
      </c>
      <c r="AQ42" s="7" t="s">
        <v>63</v>
      </c>
      <c r="AR42" s="7" t="s">
        <v>63</v>
      </c>
      <c r="AS42" s="7" t="s">
        <v>63</v>
      </c>
      <c r="AT42" s="7" t="s">
        <v>63</v>
      </c>
      <c r="AU42" s="7" t="s">
        <v>63</v>
      </c>
      <c r="AV42" s="7" t="s">
        <v>63</v>
      </c>
      <c r="AW42" s="43"/>
      <c r="AX42" s="24"/>
      <c r="AY42" s="7" t="s">
        <v>63</v>
      </c>
      <c r="AZ42" s="7" t="s">
        <v>63</v>
      </c>
      <c r="BA42" s="7" t="s">
        <v>63</v>
      </c>
      <c r="BB42" s="7" t="s">
        <v>63</v>
      </c>
      <c r="BC42" s="7" t="s">
        <v>63</v>
      </c>
      <c r="BD42" s="7" t="s">
        <v>63</v>
      </c>
      <c r="BE42" s="7" t="s">
        <v>63</v>
      </c>
      <c r="BF42" s="7" t="s">
        <v>63</v>
      </c>
      <c r="BG42" s="7" t="s">
        <v>63</v>
      </c>
      <c r="BH42" s="7" t="s">
        <v>63</v>
      </c>
      <c r="BI42" s="24"/>
      <c r="BJ42" s="8">
        <v>6</v>
      </c>
      <c r="BK42" s="8">
        <v>8</v>
      </c>
      <c r="BL42" s="8" t="s">
        <v>131</v>
      </c>
      <c r="BM42" s="8">
        <v>0.79</v>
      </c>
      <c r="BN42" s="7" t="s">
        <v>63</v>
      </c>
      <c r="BO42" s="8">
        <v>24</v>
      </c>
      <c r="BP42" s="7" t="s">
        <v>63</v>
      </c>
      <c r="BQ42" s="8">
        <v>32</v>
      </c>
      <c r="BR42" s="8">
        <v>4.5</v>
      </c>
      <c r="BS42" s="8">
        <v>7.5</v>
      </c>
      <c r="BT42" s="7" t="s">
        <v>63</v>
      </c>
      <c r="BU42" s="7" t="s">
        <v>63</v>
      </c>
      <c r="BV42" s="7" t="s">
        <v>63</v>
      </c>
      <c r="BW42" s="7" t="s">
        <v>63</v>
      </c>
      <c r="BX42" s="7" t="s">
        <v>63</v>
      </c>
      <c r="BY42" s="7" t="s">
        <v>63</v>
      </c>
      <c r="BZ42" s="7" t="s">
        <v>63</v>
      </c>
      <c r="CA42" s="8">
        <v>1.6</v>
      </c>
      <c r="CB42" s="8" t="s">
        <v>87</v>
      </c>
      <c r="CC42" s="8">
        <v>42</v>
      </c>
      <c r="CD42" s="8">
        <v>5.5</v>
      </c>
      <c r="CE42" s="25"/>
      <c r="CF42" s="9" t="s">
        <v>122</v>
      </c>
    </row>
    <row r="43" spans="1:84" customFormat="1" hidden="1">
      <c r="A43" s="52"/>
      <c r="B43" s="1" t="s">
        <v>88</v>
      </c>
      <c r="C43" s="1" t="s">
        <v>67</v>
      </c>
      <c r="D43" s="1" t="s">
        <v>106</v>
      </c>
      <c r="E43" s="7" t="s">
        <v>63</v>
      </c>
      <c r="F43" s="8">
        <v>76</v>
      </c>
      <c r="G43" s="8">
        <v>72</v>
      </c>
      <c r="H43" s="8">
        <v>30</v>
      </c>
      <c r="I43" s="8">
        <v>0.9</v>
      </c>
      <c r="J43" s="7" t="s">
        <v>63</v>
      </c>
      <c r="K43" s="24"/>
      <c r="L43" s="8">
        <v>6700</v>
      </c>
      <c r="M43" s="8">
        <v>8</v>
      </c>
      <c r="N43" s="8">
        <v>1</v>
      </c>
      <c r="O43" s="8">
        <v>5000</v>
      </c>
      <c r="P43" s="8">
        <v>65</v>
      </c>
      <c r="Q43" s="8">
        <v>2.2999999999999998</v>
      </c>
      <c r="R43" s="8">
        <v>3100</v>
      </c>
      <c r="S43" s="8">
        <v>140</v>
      </c>
      <c r="T43" s="8">
        <v>4.8</v>
      </c>
      <c r="U43" s="8">
        <v>320</v>
      </c>
      <c r="V43" s="10">
        <f t="shared" si="7"/>
        <v>841.94683116206454</v>
      </c>
      <c r="W43" s="20" t="s">
        <v>108</v>
      </c>
      <c r="X43" s="24"/>
      <c r="Y43" s="7" t="s">
        <v>63</v>
      </c>
      <c r="Z43" s="7" t="s">
        <v>63</v>
      </c>
      <c r="AA43" s="7" t="s">
        <v>63</v>
      </c>
      <c r="AB43" s="7" t="s">
        <v>63</v>
      </c>
      <c r="AC43" s="7" t="s">
        <v>63</v>
      </c>
      <c r="AD43" s="7" t="s">
        <v>63</v>
      </c>
      <c r="AE43" s="7" t="s">
        <v>63</v>
      </c>
      <c r="AF43" s="7" t="s">
        <v>63</v>
      </c>
      <c r="AG43" s="7" t="s">
        <v>63</v>
      </c>
      <c r="AH43" s="7" t="s">
        <v>63</v>
      </c>
      <c r="AI43" s="7" t="s">
        <v>63</v>
      </c>
      <c r="AJ43" s="44"/>
      <c r="AK43" s="24"/>
      <c r="AL43" s="7" t="s">
        <v>63</v>
      </c>
      <c r="AM43" s="7" t="s">
        <v>63</v>
      </c>
      <c r="AN43" s="7" t="s">
        <v>63</v>
      </c>
      <c r="AO43" s="7" t="s">
        <v>63</v>
      </c>
      <c r="AP43" s="7" t="s">
        <v>63</v>
      </c>
      <c r="AQ43" s="7" t="s">
        <v>63</v>
      </c>
      <c r="AR43" s="7" t="s">
        <v>63</v>
      </c>
      <c r="AS43" s="7" t="s">
        <v>63</v>
      </c>
      <c r="AT43" s="7" t="s">
        <v>63</v>
      </c>
      <c r="AU43" s="7" t="s">
        <v>63</v>
      </c>
      <c r="AV43" s="7" t="s">
        <v>63</v>
      </c>
      <c r="AW43" s="44"/>
      <c r="AX43" s="24"/>
      <c r="AY43" s="7" t="s">
        <v>63</v>
      </c>
      <c r="AZ43" s="7" t="s">
        <v>63</v>
      </c>
      <c r="BA43" s="7" t="s">
        <v>63</v>
      </c>
      <c r="BB43" s="7" t="s">
        <v>63</v>
      </c>
      <c r="BC43" s="7" t="s">
        <v>63</v>
      </c>
      <c r="BD43" s="7" t="s">
        <v>63</v>
      </c>
      <c r="BE43" s="7" t="s">
        <v>63</v>
      </c>
      <c r="BF43" s="7" t="s">
        <v>63</v>
      </c>
      <c r="BG43" s="7" t="s">
        <v>63</v>
      </c>
      <c r="BH43" s="7" t="s">
        <v>63</v>
      </c>
      <c r="BI43" s="24"/>
      <c r="BJ43" s="8">
        <v>4</v>
      </c>
      <c r="BK43" s="8">
        <v>12</v>
      </c>
      <c r="BL43" s="8">
        <v>8</v>
      </c>
      <c r="BM43" s="8">
        <v>0.7</v>
      </c>
      <c r="BN43" s="7" t="s">
        <v>63</v>
      </c>
      <c r="BO43" s="8">
        <v>12</v>
      </c>
      <c r="BP43" s="7" t="s">
        <v>63</v>
      </c>
      <c r="BQ43" s="8">
        <v>30</v>
      </c>
      <c r="BR43" s="8">
        <v>5</v>
      </c>
      <c r="BS43" s="8">
        <v>10</v>
      </c>
      <c r="BT43" s="7" t="s">
        <v>63</v>
      </c>
      <c r="BU43" s="7" t="s">
        <v>63</v>
      </c>
      <c r="BV43" s="7" t="s">
        <v>63</v>
      </c>
      <c r="BW43" s="7" t="s">
        <v>63</v>
      </c>
      <c r="BX43" s="7" t="s">
        <v>63</v>
      </c>
      <c r="BY43" s="7" t="s">
        <v>63</v>
      </c>
      <c r="BZ43" s="7" t="s">
        <v>63</v>
      </c>
      <c r="CA43" s="8">
        <v>2</v>
      </c>
      <c r="CB43" s="8" t="s">
        <v>133</v>
      </c>
      <c r="CC43" s="7" t="s">
        <v>63</v>
      </c>
      <c r="CD43" s="8">
        <v>6.2</v>
      </c>
      <c r="CE43" s="25"/>
      <c r="CF43" s="9" t="s">
        <v>122</v>
      </c>
    </row>
    <row r="44" spans="1:84" ht="15" customHeight="1">
      <c r="A44" s="52"/>
      <c r="B44" s="4" t="s">
        <v>66</v>
      </c>
      <c r="C44" s="4"/>
      <c r="D44" s="4"/>
      <c r="E44" s="26"/>
      <c r="F44" s="41">
        <v>76</v>
      </c>
      <c r="G44" s="41">
        <v>64</v>
      </c>
      <c r="H44" s="41" t="s">
        <v>67</v>
      </c>
      <c r="I44" s="41">
        <v>0.9</v>
      </c>
      <c r="J44" s="41" t="s">
        <v>67</v>
      </c>
      <c r="K44" s="24"/>
      <c r="L44" s="41">
        <v>5700</v>
      </c>
      <c r="M44" s="41"/>
      <c r="N44" s="41">
        <v>1</v>
      </c>
      <c r="O44" s="41">
        <v>4580</v>
      </c>
      <c r="P44" s="41" t="s">
        <v>67</v>
      </c>
      <c r="Q44" s="41">
        <v>2.2999999999999998</v>
      </c>
      <c r="R44" s="41">
        <v>3130</v>
      </c>
      <c r="S44" s="41" t="s">
        <v>67</v>
      </c>
      <c r="T44" s="41">
        <v>5.0999999999999996</v>
      </c>
      <c r="U44" s="41" t="s">
        <v>67</v>
      </c>
      <c r="V44" s="5">
        <f t="shared" ref="V44" si="8">T44/2*2*PI()*L44/2/60</f>
        <v>761.05082033212739</v>
      </c>
      <c r="W44" s="41" t="s">
        <v>92</v>
      </c>
      <c r="X44" s="24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24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24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24"/>
      <c r="BJ44" s="53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5"/>
      <c r="CE44" s="25"/>
    </row>
    <row r="45" spans="1:84" ht="15" customHeight="1">
      <c r="A45" s="52"/>
      <c r="B45" s="4" t="s">
        <v>69</v>
      </c>
      <c r="C45" s="4"/>
      <c r="D45" s="4"/>
      <c r="E45" s="26"/>
      <c r="F45" s="41">
        <v>75.5</v>
      </c>
      <c r="G45" s="41">
        <v>63.5</v>
      </c>
      <c r="H45" s="41" t="s">
        <v>67</v>
      </c>
      <c r="I45" s="41">
        <v>0.85</v>
      </c>
      <c r="J45" s="41" t="s">
        <v>67</v>
      </c>
      <c r="K45" s="24"/>
      <c r="L45" s="41">
        <v>5200</v>
      </c>
      <c r="M45" s="41"/>
      <c r="N45" s="41">
        <v>1</v>
      </c>
      <c r="O45" s="41">
        <v>4280</v>
      </c>
      <c r="P45" s="41" t="s">
        <v>67</v>
      </c>
      <c r="Q45" s="41">
        <v>2.2999999999999998</v>
      </c>
      <c r="R45" s="41">
        <v>2830</v>
      </c>
      <c r="S45" s="41" t="s">
        <v>67</v>
      </c>
      <c r="T45" s="41">
        <v>4.6500000000000004</v>
      </c>
      <c r="U45" s="41" t="s">
        <v>67</v>
      </c>
      <c r="V45" s="41" t="s">
        <v>67</v>
      </c>
      <c r="W45" s="41" t="s">
        <v>92</v>
      </c>
      <c r="X45" s="24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24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24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24"/>
      <c r="BJ45" s="56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8"/>
      <c r="CE45" s="25"/>
    </row>
    <row r="46" spans="1:84" ht="15" customHeight="1">
      <c r="A46" s="52"/>
      <c r="B46" s="4" t="s">
        <v>70</v>
      </c>
      <c r="C46" s="4"/>
      <c r="D46" s="4"/>
      <c r="E46" s="26"/>
      <c r="F46" s="41">
        <v>76.5</v>
      </c>
      <c r="G46" s="41">
        <v>64.5</v>
      </c>
      <c r="H46" s="41" t="s">
        <v>67</v>
      </c>
      <c r="I46" s="41">
        <v>0.95</v>
      </c>
      <c r="J46" s="41">
        <v>1100</v>
      </c>
      <c r="K46" s="24"/>
      <c r="L46" s="41">
        <v>6200</v>
      </c>
      <c r="M46" s="41"/>
      <c r="N46" s="41">
        <v>1</v>
      </c>
      <c r="O46" s="41">
        <v>4880</v>
      </c>
      <c r="P46" s="41">
        <v>55</v>
      </c>
      <c r="Q46" s="41">
        <v>2.2999999999999998</v>
      </c>
      <c r="R46" s="41">
        <v>3430</v>
      </c>
      <c r="S46" s="41">
        <v>120</v>
      </c>
      <c r="T46" s="41" t="s">
        <v>67</v>
      </c>
      <c r="U46" s="41">
        <v>260</v>
      </c>
      <c r="V46" s="41" t="s">
        <v>67</v>
      </c>
      <c r="W46" s="41" t="s">
        <v>92</v>
      </c>
      <c r="X46" s="24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24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24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24"/>
      <c r="BJ46" s="59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1"/>
      <c r="CE46" s="25"/>
    </row>
    <row r="47" spans="1:84">
      <c r="A47" s="47" t="s">
        <v>136</v>
      </c>
      <c r="B47" s="1" t="s">
        <v>80</v>
      </c>
      <c r="C47" s="1" t="s">
        <v>137</v>
      </c>
      <c r="D47" s="1" t="s">
        <v>138</v>
      </c>
      <c r="E47" s="17" t="s">
        <v>139</v>
      </c>
      <c r="F47" s="8">
        <v>67.900000000000006</v>
      </c>
      <c r="G47" s="8">
        <v>72.3</v>
      </c>
      <c r="H47" s="8">
        <v>39</v>
      </c>
      <c r="I47" s="8">
        <v>0.9</v>
      </c>
      <c r="J47" s="7" t="s">
        <v>63</v>
      </c>
      <c r="K47" s="24"/>
      <c r="L47" s="8">
        <v>5870</v>
      </c>
      <c r="M47" s="8">
        <v>8.56</v>
      </c>
      <c r="N47" s="8">
        <v>1.5</v>
      </c>
      <c r="O47" s="8">
        <v>3627</v>
      </c>
      <c r="P47" s="8">
        <v>77</v>
      </c>
      <c r="Q47" s="8">
        <v>2.75</v>
      </c>
      <c r="R47" s="8">
        <v>2223</v>
      </c>
      <c r="S47" s="8">
        <v>139.6</v>
      </c>
      <c r="T47" s="8">
        <v>4.3600000000000003</v>
      </c>
      <c r="U47" s="8">
        <v>238</v>
      </c>
      <c r="V47" s="10">
        <f>T47/2*2*PI()*L47/2/60</f>
        <v>670.02840918211916</v>
      </c>
      <c r="W47" s="8" t="s">
        <v>75</v>
      </c>
      <c r="X47" s="24"/>
      <c r="Y47" s="8">
        <v>6100</v>
      </c>
      <c r="Z47" s="8">
        <v>9.5</v>
      </c>
      <c r="AA47" s="8">
        <v>1.5</v>
      </c>
      <c r="AB47" s="8">
        <v>3500</v>
      </c>
      <c r="AC47" s="8">
        <v>73</v>
      </c>
      <c r="AD47" s="8">
        <v>2.75</v>
      </c>
      <c r="AE47" s="8">
        <v>1700</v>
      </c>
      <c r="AF47" s="8">
        <v>140</v>
      </c>
      <c r="AG47" s="8">
        <v>3.8</v>
      </c>
      <c r="AH47" s="8">
        <v>220</v>
      </c>
      <c r="AI47" s="10">
        <f>AG47/2*2*PI()*Y47/2/60</f>
        <v>606.85098091842838</v>
      </c>
      <c r="AJ47" s="8" t="s">
        <v>75</v>
      </c>
      <c r="AK47" s="24"/>
      <c r="AL47" s="8">
        <v>5050</v>
      </c>
      <c r="AM47" s="8">
        <v>10.5</v>
      </c>
      <c r="AN47" s="8">
        <v>1.5</v>
      </c>
      <c r="AO47" s="8">
        <v>3700</v>
      </c>
      <c r="AP47" s="8">
        <v>64.5</v>
      </c>
      <c r="AQ47" s="8">
        <v>2.75</v>
      </c>
      <c r="AR47" s="8">
        <v>2720</v>
      </c>
      <c r="AS47" s="8">
        <v>121</v>
      </c>
      <c r="AT47" s="8">
        <v>5.3</v>
      </c>
      <c r="AU47" s="8">
        <v>290</v>
      </c>
      <c r="AV47" s="10">
        <f>AT47/2*2*PI()*AL47/2/60</f>
        <v>700.70606144442343</v>
      </c>
      <c r="AW47" s="8" t="s">
        <v>75</v>
      </c>
      <c r="AX47" s="24"/>
      <c r="AY47" s="13">
        <v>2.06E-2</v>
      </c>
      <c r="AZ47" s="13">
        <v>2.24E-2</v>
      </c>
      <c r="BA47" s="8">
        <v>35.700000000000003</v>
      </c>
      <c r="BB47" s="8">
        <v>52.7</v>
      </c>
      <c r="BC47" s="8">
        <v>2.68</v>
      </c>
      <c r="BD47" s="8">
        <f>(BB47-BA47-2*BC47)/2</f>
        <v>5.82</v>
      </c>
      <c r="BE47" s="8">
        <v>53</v>
      </c>
      <c r="BF47" s="14">
        <f>86.63/1000000</f>
        <v>8.6629999999999989E-5</v>
      </c>
      <c r="BG47" s="7" t="s">
        <v>63</v>
      </c>
      <c r="BH47" s="8">
        <v>86.4</v>
      </c>
      <c r="BI47" s="24"/>
      <c r="BJ47" s="8">
        <v>4</v>
      </c>
      <c r="BK47" s="8">
        <v>13</v>
      </c>
      <c r="BL47" s="8" t="s">
        <v>127</v>
      </c>
      <c r="BM47" s="8">
        <v>0.87</v>
      </c>
      <c r="BN47" s="7" t="s">
        <v>63</v>
      </c>
      <c r="BO47" s="8">
        <v>13</v>
      </c>
      <c r="BP47" s="8">
        <v>14.9</v>
      </c>
      <c r="BQ47" s="8">
        <v>39</v>
      </c>
      <c r="BR47" s="8">
        <v>4.5</v>
      </c>
      <c r="BS47" s="8">
        <v>7.5</v>
      </c>
      <c r="BT47" s="8">
        <v>15</v>
      </c>
      <c r="BU47" s="8">
        <v>4</v>
      </c>
      <c r="BV47" s="7" t="s">
        <v>63</v>
      </c>
      <c r="BW47" s="15">
        <f>BU47/(BR47*BS47)</f>
        <v>0.11851851851851852</v>
      </c>
      <c r="BX47" s="7" t="s">
        <v>63</v>
      </c>
      <c r="BY47" s="8" t="s">
        <v>121</v>
      </c>
      <c r="BZ47" s="8">
        <v>2.5</v>
      </c>
      <c r="CA47" s="8">
        <v>2</v>
      </c>
      <c r="CB47" s="8" t="s">
        <v>87</v>
      </c>
      <c r="CC47" s="8">
        <v>50</v>
      </c>
      <c r="CD47" s="8">
        <v>6.2</v>
      </c>
      <c r="CE47" s="25"/>
      <c r="CF47" s="9" t="s">
        <v>122</v>
      </c>
    </row>
    <row r="48" spans="1:84" ht="15" customHeight="1">
      <c r="A48" s="50"/>
      <c r="B48" s="4" t="s">
        <v>66</v>
      </c>
      <c r="C48" s="4"/>
      <c r="D48" s="4"/>
      <c r="E48" s="26"/>
      <c r="F48" s="41">
        <v>67.900000000000006</v>
      </c>
      <c r="G48" s="41">
        <v>70.900000000000006</v>
      </c>
      <c r="H48" s="41" t="s">
        <v>67</v>
      </c>
      <c r="I48" s="41">
        <v>0.9</v>
      </c>
      <c r="J48" s="41" t="s">
        <v>67</v>
      </c>
      <c r="K48" s="24"/>
      <c r="L48" s="41">
        <v>5700</v>
      </c>
      <c r="M48" s="41"/>
      <c r="N48" s="41">
        <v>1.5</v>
      </c>
      <c r="O48" s="41">
        <v>3700</v>
      </c>
      <c r="P48" s="41" t="s">
        <v>67</v>
      </c>
      <c r="Q48" s="41">
        <v>2.75</v>
      </c>
      <c r="R48" s="41">
        <v>2400</v>
      </c>
      <c r="S48" s="41" t="s">
        <v>67</v>
      </c>
      <c r="T48" s="41">
        <v>5.0999999999999996</v>
      </c>
      <c r="U48" s="41" t="s">
        <v>67</v>
      </c>
      <c r="V48" s="5">
        <f t="shared" ref="V48" si="9">T48/2*2*PI()*L48/2/60</f>
        <v>761.05082033212739</v>
      </c>
      <c r="W48" s="41" t="s">
        <v>68</v>
      </c>
      <c r="X48" s="24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24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24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24"/>
      <c r="BJ48" s="5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5"/>
      <c r="CE48" s="25"/>
    </row>
    <row r="49" spans="1:83" ht="15" customHeight="1">
      <c r="A49" s="46"/>
      <c r="B49" s="4" t="s">
        <v>69</v>
      </c>
      <c r="C49" s="4"/>
      <c r="D49" s="4"/>
      <c r="E49" s="26"/>
      <c r="F49" s="41">
        <v>67.400000000000006</v>
      </c>
      <c r="G49" s="41">
        <v>70.400000000000006</v>
      </c>
      <c r="H49" s="41" t="s">
        <v>67</v>
      </c>
      <c r="I49" s="41">
        <v>0.85</v>
      </c>
      <c r="J49" s="41" t="s">
        <v>67</v>
      </c>
      <c r="K49" s="24"/>
      <c r="L49" s="41">
        <v>5200</v>
      </c>
      <c r="M49" s="41"/>
      <c r="N49" s="41">
        <v>1.5</v>
      </c>
      <c r="O49" s="41">
        <v>3200</v>
      </c>
      <c r="P49" s="41" t="s">
        <v>67</v>
      </c>
      <c r="Q49" s="41">
        <v>2.75</v>
      </c>
      <c r="R49" s="41">
        <v>1900</v>
      </c>
      <c r="S49" s="41" t="s">
        <v>67</v>
      </c>
      <c r="T49" s="41">
        <v>4.8</v>
      </c>
      <c r="U49" s="41" t="s">
        <v>67</v>
      </c>
      <c r="V49" s="41" t="s">
        <v>67</v>
      </c>
      <c r="W49" s="41" t="s">
        <v>68</v>
      </c>
      <c r="X49" s="24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24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24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24"/>
      <c r="BJ49" s="56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8"/>
      <c r="CE49" s="25"/>
    </row>
    <row r="50" spans="1:83" ht="15" customHeight="1">
      <c r="A50" s="46"/>
      <c r="B50" s="4" t="s">
        <v>70</v>
      </c>
      <c r="C50" s="4"/>
      <c r="D50" s="4"/>
      <c r="E50" s="26"/>
      <c r="F50" s="41">
        <v>68.400000000000006</v>
      </c>
      <c r="G50" s="41">
        <v>71.400000000000006</v>
      </c>
      <c r="H50" s="41" t="s">
        <v>67</v>
      </c>
      <c r="I50" s="41">
        <v>0.95</v>
      </c>
      <c r="J50" s="41">
        <v>1300</v>
      </c>
      <c r="K50" s="24"/>
      <c r="L50" s="41">
        <v>6200</v>
      </c>
      <c r="M50" s="41"/>
      <c r="N50" s="41">
        <v>1.5</v>
      </c>
      <c r="O50" s="41">
        <v>4200</v>
      </c>
      <c r="P50" s="41">
        <v>75</v>
      </c>
      <c r="Q50" s="41">
        <v>2.75</v>
      </c>
      <c r="R50" s="41">
        <v>2900</v>
      </c>
      <c r="S50" s="41">
        <v>140</v>
      </c>
      <c r="T50" s="41" t="s">
        <v>67</v>
      </c>
      <c r="U50" s="41">
        <v>250</v>
      </c>
      <c r="V50" s="41" t="s">
        <v>67</v>
      </c>
      <c r="W50" s="41" t="s">
        <v>68</v>
      </c>
      <c r="X50" s="24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24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24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24"/>
      <c r="BJ50" s="59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1"/>
      <c r="CE50" s="25"/>
    </row>
  </sheetData>
  <autoFilter ref="B1:B50" xr:uid="{00000000-0009-0000-0000-000001000000}">
    <filterColumn colId="0">
      <filters blank="1">
        <filter val="Kokusan"/>
        <filter val="LG"/>
        <filter val="Spec MAX"/>
        <filter val="Spec MIN"/>
        <filter val="Spec NOM"/>
      </filters>
    </filterColumn>
  </autoFilter>
  <mergeCells count="111">
    <mergeCell ref="A31:A34"/>
    <mergeCell ref="Y32:AJ34"/>
    <mergeCell ref="AL32:AW34"/>
    <mergeCell ref="AY32:BH34"/>
    <mergeCell ref="BJ32:CD34"/>
    <mergeCell ref="E1:E2"/>
    <mergeCell ref="AI1:AI2"/>
    <mergeCell ref="X1:X2"/>
    <mergeCell ref="L1:L2"/>
    <mergeCell ref="N1:P1"/>
    <mergeCell ref="AQ1:AS1"/>
    <mergeCell ref="BD1:BD2"/>
    <mergeCell ref="Q1:S1"/>
    <mergeCell ref="AL23:AW25"/>
    <mergeCell ref="AL28:AW30"/>
    <mergeCell ref="A3:A6"/>
    <mergeCell ref="Y4:AJ6"/>
    <mergeCell ref="AL4:AW6"/>
    <mergeCell ref="C1:C2"/>
    <mergeCell ref="K1:K2"/>
    <mergeCell ref="H1:H2"/>
    <mergeCell ref="AY28:BH30"/>
    <mergeCell ref="T1:U1"/>
    <mergeCell ref="V1:V2"/>
    <mergeCell ref="BJ44:CD46"/>
    <mergeCell ref="BJ48:CD50"/>
    <mergeCell ref="CD1:CD2"/>
    <mergeCell ref="BL1:BL2"/>
    <mergeCell ref="BO1:BO2"/>
    <mergeCell ref="BM1:BM2"/>
    <mergeCell ref="BN1:BN2"/>
    <mergeCell ref="BF1:BF2"/>
    <mergeCell ref="BH1:BH2"/>
    <mergeCell ref="BG1:BG2"/>
    <mergeCell ref="CA1:CA2"/>
    <mergeCell ref="CB1:CB2"/>
    <mergeCell ref="BZ1:BZ2"/>
    <mergeCell ref="CC1:CC2"/>
    <mergeCell ref="BJ10:CD12"/>
    <mergeCell ref="BJ17:CD19"/>
    <mergeCell ref="BJ23:CD25"/>
    <mergeCell ref="BJ28:CD30"/>
    <mergeCell ref="BJ38:CD40"/>
    <mergeCell ref="AY10:BH12"/>
    <mergeCell ref="AY4:BH6"/>
    <mergeCell ref="BJ4:CD6"/>
    <mergeCell ref="AY17:BH19"/>
    <mergeCell ref="AY23:BH25"/>
    <mergeCell ref="A47:A50"/>
    <mergeCell ref="AY1:AY2"/>
    <mergeCell ref="AZ1:AZ2"/>
    <mergeCell ref="BA1:BA2"/>
    <mergeCell ref="BE1:BE2"/>
    <mergeCell ref="BC1:BC2"/>
    <mergeCell ref="A7:A12"/>
    <mergeCell ref="A13:A19"/>
    <mergeCell ref="A20:A25"/>
    <mergeCell ref="A26:A30"/>
    <mergeCell ref="A35:A40"/>
    <mergeCell ref="A41:A46"/>
    <mergeCell ref="W1:W2"/>
    <mergeCell ref="J1:J2"/>
    <mergeCell ref="Y1:Y2"/>
    <mergeCell ref="AA1:AC1"/>
    <mergeCell ref="I1:I2"/>
    <mergeCell ref="A1:A2"/>
    <mergeCell ref="B1:B2"/>
    <mergeCell ref="F1:F2"/>
    <mergeCell ref="G1:G2"/>
    <mergeCell ref="BB1:BB2"/>
    <mergeCell ref="D1:D2"/>
    <mergeCell ref="AL17:AW19"/>
    <mergeCell ref="AY38:BH40"/>
    <mergeCell ref="AY44:BH46"/>
    <mergeCell ref="AY48:BH50"/>
    <mergeCell ref="CE1:CE2"/>
    <mergeCell ref="M1:M2"/>
    <mergeCell ref="Z1:Z2"/>
    <mergeCell ref="AM1:AM2"/>
    <mergeCell ref="BV1:BV2"/>
    <mergeCell ref="BP1:BP2"/>
    <mergeCell ref="BQ1:BQ2"/>
    <mergeCell ref="BX1:BX2"/>
    <mergeCell ref="BY1:BY2"/>
    <mergeCell ref="BU1:BU2"/>
    <mergeCell ref="BW1:BW2"/>
    <mergeCell ref="BJ1:BJ2"/>
    <mergeCell ref="BK1:BK2"/>
    <mergeCell ref="BI1:BI2"/>
    <mergeCell ref="AK1:AK2"/>
    <mergeCell ref="AX1:AX2"/>
    <mergeCell ref="BR1:BT1"/>
    <mergeCell ref="AN1:AP1"/>
    <mergeCell ref="Y48:AJ50"/>
    <mergeCell ref="AT1:AU1"/>
    <mergeCell ref="AG1:AH1"/>
    <mergeCell ref="AL48:AW50"/>
    <mergeCell ref="AD1:AF1"/>
    <mergeCell ref="Y10:AJ12"/>
    <mergeCell ref="Y17:AJ19"/>
    <mergeCell ref="Y23:AJ25"/>
    <mergeCell ref="Y28:AJ30"/>
    <mergeCell ref="Y38:AJ40"/>
    <mergeCell ref="Y44:AJ46"/>
    <mergeCell ref="AL10:AW12"/>
    <mergeCell ref="AV1:AV2"/>
    <mergeCell ref="AW1:AW2"/>
    <mergeCell ref="AJ1:AJ2"/>
    <mergeCell ref="AL1:AL2"/>
    <mergeCell ref="AL38:AW40"/>
    <mergeCell ref="AL44:AW46"/>
  </mergeCells>
  <pageMargins left="0.7" right="0.7" top="0.75" bottom="0.75" header="0.3" footer="0.3"/>
  <pageSetup paperSize="9" scale="43" orientation="landscape" r:id="rId1"/>
  <ignoredErrors>
    <ignoredError sqref="L32 O32 R32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 2 0 1 8 - 0 7 - 0 6 T 1 6 : 1 0 : 1 7 . 0 1 9 5 3 6 + 0 2 : 0 0 < / L a s t P r o c e s s e d T i m e > < / D a t a M o d e l i n g S a n d b o x . S e r i a l i z e d S a n d b o x E r r o r C a c h e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FB74338EE3343902A51E0ECCDC7F2" ma:contentTypeVersion="6" ma:contentTypeDescription="Create a new document." ma:contentTypeScope="" ma:versionID="643cc4fa1f9eeacfb592a17dce6b5e44">
  <xsd:schema xmlns:xsd="http://www.w3.org/2001/XMLSchema" xmlns:xs="http://www.w3.org/2001/XMLSchema" xmlns:p="http://schemas.microsoft.com/office/2006/metadata/properties" xmlns:ns2="ac0704d9-be96-4205-a868-2e8833226b4c" xmlns:ns3="d61395f5-30b3-4f13-ad6b-a9726300ee8b" targetNamespace="http://schemas.microsoft.com/office/2006/metadata/properties" ma:root="true" ma:fieldsID="09657ebb4fc625ae88104afe5593a8af" ns2:_="" ns3:_="">
    <xsd:import namespace="ac0704d9-be96-4205-a868-2e8833226b4c"/>
    <xsd:import namespace="d61395f5-30b3-4f13-ad6b-a9726300ee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704d9-be96-4205-a868-2e8833226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395f5-30b3-4f13-ad6b-a9726300ee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 C o l u m n s \ U p d a t e d   4 / 1 1 / 2 0 1 7 < / K e y > < / D i a g r a m O b j e c t K e y > < D i a g r a m O b j e c t K e y > < K e y > C o l u m n s \ S u p p l i e r < / K e y > < / D i a g r a m O b j e c t K e y > < D i a g r a m O b j e c t K e y > < K e y > C o l u m n s \ S a m p l e   l e v e l < / K e y > < / D i a g r a m O b j e c t K e y > < D i a g r a m O b j e c t K e y > < K e y > C o l u m n s \ H o u s i n g   d i a m e t e r   ( D )   [ m m ] < / K e y > < / D i a g r a m O b j e c t K e y > < D i a g r a m O b j e c t K e y > < K e y > C o l u m n s \ H o u s i n g   l e n g t h   ( L )   [ m m ] < / K e y > < / D i a g r a m O b j e c t K e y > < D i a g r a m O b j e c t K e y > < K e y > C o l u m n s \ S t a c k   l e n g t h   [ m m ] < / K e y > < / D i a g r a m O b j e c t K e y > < D i a g r a m O b j e c t K e y > < K e y > C o l u m n s \ E c c e n t r i c i t y   [ m m ] < / K e y > < / D i a g r a m O b j e c t K e y > < D i a g r a m O b j e c t K e y > < K e y > C o l u m n s \ W e i g h t   [ g ] 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 C o l u m n s \ U p d a t e d   4 / 1 1 / 2 0 1 7 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  l e v e l 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  d i a m e t e r   ( D )   [ m m ] 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  l e n g t h   ( L )   [ m m ] 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 C o l u m n s \ S t a c k   l e n g t h   [ m m ] 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 C o l u m n s \ E c c e n t r i c i t y   [ m m ] 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 [ g ] 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 U p d a t e d   4 / 1 1 / 2 0 1 7 < / s t r i n g > < / k e y > < v a l u e > < s t r i n g > W C h a r < / s t r i n g > < / v a l u e > < / i t e m > < i t e m > < k e y > < s t r i n g > S u p p l i e r < / s t r i n g > < / k e y > < v a l u e > < s t r i n g > W C h a r < / s t r i n g > < / v a l u e > < / i t e m > < i t e m > < k e y > < s t r i n g > S a m p l e   l e v e l < / s t r i n g > < / k e y > < v a l u e > < s t r i n g > W C h a r < / s t r i n g > < / v a l u e > < / i t e m > < i t e m > < k e y > < s t r i n g > H o u s i n g   d i a m e t e r   ( D )   [ m m ] < / s t r i n g > < / k e y > < v a l u e > < s t r i n g > D o u b l e < / s t r i n g > < / v a l u e > < / i t e m > < i t e m > < k e y > < s t r i n g > H o u s i n g   l e n g t h   ( L )   [ m m ] < / s t r i n g > < / k e y > < v a l u e > < s t r i n g > D o u b l e < / s t r i n g > < / v a l u e > < / i t e m > < i t e m > < k e y > < s t r i n g > S t a c k   l e n g t h   [ m m ] < / s t r i n g > < / k e y > < v a l u e > < s t r i n g > W C h a r < / s t r i n g > < / v a l u e > < / i t e m > < i t e m > < k e y > < s t r i n g > E c c e n t r i c i t y   [ m m ] < / s t r i n g > < / k e y > < v a l u e > < s t r i n g > D o u b l e < / s t r i n g > < / v a l u e > < / i t e m > < i t e m > < k e y > < s t r i n g > W e i g h t   [ g ] 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 U p d a t e d   4 / 1 1 / 2 0 1 7 < / s t r i n g > < / k e y > < v a l u e > < i n t > 1 6 4 < / i n t > < / v a l u e > < / i t e m > < i t e m > < k e y > < s t r i n g > S u p p l i e r < / s t r i n g > < / k e y > < v a l u e > < i n t > 8 5 < / i n t > < / v a l u e > < / i t e m > < i t e m > < k e y > < s t r i n g > S a m p l e   l e v e l < / s t r i n g > < / k e y > < v a l u e > < i n t > 1 1 6 < / i n t > < / v a l u e > < / i t e m > < i t e m > < k e y > < s t r i n g > H o u s i n g   d i a m e t e r   ( D )   [ m m ] < / s t r i n g > < / k e y > < v a l u e > < i n t > 2 1 9 < / i n t > < / v a l u e > < / i t e m > < i t e m > < k e y > < s t r i n g > H o u s i n g   l e n g t h   ( L )   [ m m ] < / s t r i n g > < / k e y > < v a l u e > < i n t > 1 9 8 < / i n t > < / v a l u e > < / i t e m > < i t e m > < k e y > < s t r i n g > S t a c k   l e n g t h   [ m m ] < / s t r i n g > < / k e y > < v a l u e > < i n t > 1 5 8 < / i n t > < / v a l u e > < / i t e m > < i t e m > < k e y > < s t r i n g > E c c e n t r i c i t y   [ m m ] < / s t r i n g > < / k e y > < v a l u e > < i n t > 1 5 1 < / i n t > < / v a l u e > < / i t e m > < i t e m > < k e y > < s t r i n g > W e i g h t   [ g ] < / s t r i n g > < / k e y > < v a l u e > < i n t > 1 0 6 < / i n t > < / v a l u e > < / i t e m > < / C o l u m n W i d t h s > < C o l u m n D i s p l a y I n d e x > < i t e m > < k e y > < s t r i n g > U p d a t e d   4 / 1 1 / 2 0 1 7 < / s t r i n g > < / k e y > < v a l u e > < i n t > 0 < / i n t > < / v a l u e > < / i t e m > < i t e m > < k e y > < s t r i n g > S u p p l i e r < / s t r i n g > < / k e y > < v a l u e > < i n t > 1 < / i n t > < / v a l u e > < / i t e m > < i t e m > < k e y > < s t r i n g > S a m p l e   l e v e l < / s t r i n g > < / k e y > < v a l u e > < i n t > 2 < / i n t > < / v a l u e > < / i t e m > < i t e m > < k e y > < s t r i n g > H o u s i n g   d i a m e t e r   ( D )   [ m m ] < / s t r i n g > < / k e y > < v a l u e > < i n t > 3 < / i n t > < / v a l u e > < / i t e m > < i t e m > < k e y > < s t r i n g > H o u s i n g   l e n g t h   ( L )   [ m m ] < / s t r i n g > < / k e y > < v a l u e > < i n t > 4 < / i n t > < / v a l u e > < / i t e m > < i t e m > < k e y > < s t r i n g > S t a c k   l e n g t h   [ m m ] < / s t r i n g > < / k e y > < v a l u e > < i n t > 5 < / i n t > < / v a l u e > < / i t e m > < i t e m > < k e y > < s t r i n g > E c c e n t r i c i t y   [ m m ] < / s t r i n g > < / k e y > < v a l u e > < i n t > 6 < / i n t > < / v a l u e > < / i t e m > < i t e m > < k e y > < s t r i n g > W e i g h t   [ g ] 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  4 / 1 1 / 2 0 1 7 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  d i a m e t e r   ( D )   [ m m ] 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  l e n g t h   ( L )   [ m m ] 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 C o l u m n s \ S t a c k   l e n g t h   [ m m ] 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 C o l u m n s \ E c c e n t r i c i t y   [ m m ] 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 [ g ] 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5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57DE972-87C1-45D8-89F9-B8CA2315931F}"/>
</file>

<file path=customXml/itemProps10.xml><?xml version="1.0" encoding="utf-8"?>
<ds:datastoreItem xmlns:ds="http://schemas.openxmlformats.org/officeDocument/2006/customXml" ds:itemID="{D530BD7F-48A8-4047-BA97-39C012035634}"/>
</file>

<file path=customXml/itemProps11.xml><?xml version="1.0" encoding="utf-8"?>
<ds:datastoreItem xmlns:ds="http://schemas.openxmlformats.org/officeDocument/2006/customXml" ds:itemID="{DFE33D4C-A467-44C5-858B-88F8F52E5F22}"/>
</file>

<file path=customXml/itemProps12.xml><?xml version="1.0" encoding="utf-8"?>
<ds:datastoreItem xmlns:ds="http://schemas.openxmlformats.org/officeDocument/2006/customXml" ds:itemID="{673CBE8E-8175-4EAC-A037-3E37B92B6726}"/>
</file>

<file path=customXml/itemProps13.xml><?xml version="1.0" encoding="utf-8"?>
<ds:datastoreItem xmlns:ds="http://schemas.openxmlformats.org/officeDocument/2006/customXml" ds:itemID="{939C2064-F77D-4633-9751-CBD3CDAD398E}"/>
</file>

<file path=customXml/itemProps14.xml><?xml version="1.0" encoding="utf-8"?>
<ds:datastoreItem xmlns:ds="http://schemas.openxmlformats.org/officeDocument/2006/customXml" ds:itemID="{14C7EAB9-A4BF-447B-BC8F-9F8712E69D5B}"/>
</file>

<file path=customXml/itemProps15.xml><?xml version="1.0" encoding="utf-8"?>
<ds:datastoreItem xmlns:ds="http://schemas.openxmlformats.org/officeDocument/2006/customXml" ds:itemID="{E86EC966-E8AF-41A6-BFBF-4CA4B9E5992D}"/>
</file>

<file path=customXml/itemProps16.xml><?xml version="1.0" encoding="utf-8"?>
<ds:datastoreItem xmlns:ds="http://schemas.openxmlformats.org/officeDocument/2006/customXml" ds:itemID="{63259279-160E-4F59-ADFA-86E050D2234E}"/>
</file>

<file path=customXml/itemProps17.xml><?xml version="1.0" encoding="utf-8"?>
<ds:datastoreItem xmlns:ds="http://schemas.openxmlformats.org/officeDocument/2006/customXml" ds:itemID="{EF2C6EE8-4872-4435-87D6-80F5528CDBC5}"/>
</file>

<file path=customXml/itemProps18.xml><?xml version="1.0" encoding="utf-8"?>
<ds:datastoreItem xmlns:ds="http://schemas.openxmlformats.org/officeDocument/2006/customXml" ds:itemID="{ACEE6B38-F0B7-4349-B5A3-49D3A4DA2419}"/>
</file>

<file path=customXml/itemProps19.xml><?xml version="1.0" encoding="utf-8"?>
<ds:datastoreItem xmlns:ds="http://schemas.openxmlformats.org/officeDocument/2006/customXml" ds:itemID="{C7118051-B58E-461A-B3C7-2B577A4590D6}"/>
</file>

<file path=customXml/itemProps2.xml><?xml version="1.0" encoding="utf-8"?>
<ds:datastoreItem xmlns:ds="http://schemas.openxmlformats.org/officeDocument/2006/customXml" ds:itemID="{6A3C7FFC-6EA7-4ACD-BE37-FCB664401393}"/>
</file>

<file path=customXml/itemProps20.xml><?xml version="1.0" encoding="utf-8"?>
<ds:datastoreItem xmlns:ds="http://schemas.openxmlformats.org/officeDocument/2006/customXml" ds:itemID="{555A6B84-DDD3-484E-91B1-28A3EBEF1AA5}"/>
</file>

<file path=customXml/itemProps3.xml><?xml version="1.0" encoding="utf-8"?>
<ds:datastoreItem xmlns:ds="http://schemas.openxmlformats.org/officeDocument/2006/customXml" ds:itemID="{438E418B-4918-4DBA-A1CE-0058AF463FCD}"/>
</file>

<file path=customXml/itemProps4.xml><?xml version="1.0" encoding="utf-8"?>
<ds:datastoreItem xmlns:ds="http://schemas.openxmlformats.org/officeDocument/2006/customXml" ds:itemID="{BE75E6D2-33F0-40D1-99F1-7EB69517360B}"/>
</file>

<file path=customXml/itemProps5.xml><?xml version="1.0" encoding="utf-8"?>
<ds:datastoreItem xmlns:ds="http://schemas.openxmlformats.org/officeDocument/2006/customXml" ds:itemID="{C6ABEA13-8A09-45BA-9006-824CEEA1BC54}"/>
</file>

<file path=customXml/itemProps6.xml><?xml version="1.0" encoding="utf-8"?>
<ds:datastoreItem xmlns:ds="http://schemas.openxmlformats.org/officeDocument/2006/customXml" ds:itemID="{6A143443-4409-4FD0-821F-0968DD09C544}"/>
</file>

<file path=customXml/itemProps7.xml><?xml version="1.0" encoding="utf-8"?>
<ds:datastoreItem xmlns:ds="http://schemas.openxmlformats.org/officeDocument/2006/customXml" ds:itemID="{EFFF0287-2090-47A2-83F9-CC6E6B948589}"/>
</file>

<file path=customXml/itemProps8.xml><?xml version="1.0" encoding="utf-8"?>
<ds:datastoreItem xmlns:ds="http://schemas.openxmlformats.org/officeDocument/2006/customXml" ds:itemID="{D760A254-B091-4324-88B9-D6E923935E3D}"/>
</file>

<file path=customXml/itemProps9.xml><?xml version="1.0" encoding="utf-8"?>
<ds:datastoreItem xmlns:ds="http://schemas.openxmlformats.org/officeDocument/2006/customXml" ds:itemID="{A5D85CCE-C995-4F0E-B9AE-8B5B85EFDD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TRW Automotive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HodikR</dc:creator>
  <cp:keywords/>
  <dc:description/>
  <cp:lastModifiedBy>Romanowski Mike</cp:lastModifiedBy>
  <cp:revision/>
  <dcterms:created xsi:type="dcterms:W3CDTF">2015-09-21T08:33:01Z</dcterms:created>
  <dcterms:modified xsi:type="dcterms:W3CDTF">2019-08-21T12:16:24Z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0x010100F20FB74338EE3343902A51E0ECCDC7F2</vt:lpwstr>
  </property>
</Properties>
</file>