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comazzacc\Desktop\External Customers - New\Isuzu\Foundation Brakes\"/>
    </mc:Choice>
  </mc:AlternateContent>
  <xr:revisionPtr revIDLastSave="0" documentId="8_{B27AE200-F95D-47D8-AE83-B57391E28BA1}" xr6:coauthVersionLast="41" xr6:coauthVersionMax="41" xr10:uidLastSave="{00000000-0000-0000-0000-000000000000}"/>
  <bookViews>
    <workbookView xWindow="-120" yWindow="-120" windowWidth="19440" windowHeight="15000" tabRatio="765" xr2:uid="{00000000-000D-0000-FFFF-FFFF00000000}"/>
  </bookViews>
  <sheets>
    <sheet name="Calipers" sheetId="1" r:id="rId1"/>
    <sheet name="Front Rotors" sheetId="2" r:id="rId2"/>
    <sheet name="Rear Rotors" sheetId="3" r:id="rId3"/>
    <sheet name="Hubs" sheetId="4" r:id="rId4"/>
    <sheet name="Uni-cast Front Rotor Assys" sheetId="5" r:id="rId5"/>
    <sheet name="Rotor Assys" sheetId="6" r:id="rId6"/>
    <sheet name="Drum &amp; DIH Brakes" sheetId="7" r:id="rId7"/>
    <sheet name="Drums" sheetId="8" r:id="rId8"/>
    <sheet name="Corner Modules" sheetId="9" r:id="rId9"/>
    <sheet name="Sheet1" sheetId="10" r:id="rId10"/>
  </sheets>
  <definedNames>
    <definedName name="_xlnm._FilterDatabase" localSheetId="0" hidden="1">Calipers!$A$3:$DJ$108</definedName>
    <definedName name="_xlnm._FilterDatabase" localSheetId="6" hidden="1">'Drum &amp; DIH Brakes'!$A$5:$AN$5</definedName>
    <definedName name="_xlnm._FilterDatabase" localSheetId="7" hidden="1">Drums!$A$2:$AA$8</definedName>
    <definedName name="_xlnm._FilterDatabase" localSheetId="1" hidden="1">'Front Rotors'!$A$2:$AW$23</definedName>
    <definedName name="_xlnm._FilterDatabase" localSheetId="3" hidden="1">Hubs!#REF!</definedName>
    <definedName name="_xlnm._FilterDatabase" localSheetId="2" hidden="1">'Rear Rotors'!$A$2:$O$31</definedName>
    <definedName name="_xlnm._FilterDatabase" localSheetId="5" hidden="1">'Rotor Assys'!$A$2:$N$22</definedName>
    <definedName name="_xlnm._FilterDatabase" localSheetId="4" hidden="1">'Uni-cast Front Rotor Assys'!$A$2:$BA$6</definedName>
    <definedName name="_Order1" hidden="1">0</definedName>
    <definedName name="KHROTORS" localSheetId="6">#REF!</definedName>
    <definedName name="KHROTORS" localSheetId="2">#REF!</definedName>
    <definedName name="KHROTORS">#REF!</definedName>
    <definedName name="_xlnm.Print_Area" localSheetId="6">'Drum &amp; DIH Brakes'!$A$1:$AF$26</definedName>
    <definedName name="_xlnm.Print_Area" localSheetId="2">'Rear Rotors'!$A$1:$AY$28</definedName>
    <definedName name="_xlnm.Print_Area">#REF!</definedName>
    <definedName name="Z_21F37784_ACDF_4AA9_A8FA_2D6F1A2FCD6C_.wvu.FilterData" localSheetId="0" hidden="1">Calipers!$A$3:$DJ$90</definedName>
    <definedName name="Z_21F37784_ACDF_4AA9_A8FA_2D6F1A2FCD6C_.wvu.FilterData" localSheetId="6" hidden="1">'Drum &amp; DIH Brakes'!$A$5:$AN$5</definedName>
    <definedName name="Z_21F37784_ACDF_4AA9_A8FA_2D6F1A2FCD6C_.wvu.FilterData" localSheetId="7" hidden="1">Drums!$A$2:$AA$8</definedName>
    <definedName name="Z_21F37784_ACDF_4AA9_A8FA_2D6F1A2FCD6C_.wvu.FilterData" localSheetId="1" hidden="1">'Front Rotors'!$A$2:$AW$22</definedName>
    <definedName name="Z_21F37784_ACDF_4AA9_A8FA_2D6F1A2FCD6C_.wvu.FilterData" localSheetId="2" hidden="1">'Rear Rotors'!$A$2:$O$30</definedName>
    <definedName name="Z_21F37784_ACDF_4AA9_A8FA_2D6F1A2FCD6C_.wvu.FilterData" localSheetId="5" hidden="1">'Rotor Assys'!$A$2:$N$2</definedName>
    <definedName name="Z_21F37784_ACDF_4AA9_A8FA_2D6F1A2FCD6C_.wvu.FilterData" localSheetId="4" hidden="1">'Uni-cast Front Rotor Assys'!$A$2:$BA$6</definedName>
    <definedName name="Z_21F37784_ACDF_4AA9_A8FA_2D6F1A2FCD6C_.wvu.PrintArea" localSheetId="6" hidden="1">'Drum &amp; DIH Brakes'!$A$1:$AF$26</definedName>
    <definedName name="Z_21F37784_ACDF_4AA9_A8FA_2D6F1A2FCD6C_.wvu.PrintArea" localSheetId="2" hidden="1">'Rear Rotors'!$A$1:$AY$28</definedName>
    <definedName name="Z_21F37784_ACDF_4AA9_A8FA_2D6F1A2FCD6C_.wvu.Rows" localSheetId="3" hidden="1">Hubs!$12:$13,Hubs!$15:$16</definedName>
    <definedName name="Z_275BB88B_3A37_4962_BA3C_0F5EAFF30D1E_.wvu.FilterData" localSheetId="0" hidden="1">Calipers!$A$3:$DJ$90</definedName>
    <definedName name="Z_566E9C19_68F9_43AD_B8B2_0A93EA7FF33D_.wvu.Cols" localSheetId="6" hidden="1">'Drum &amp; DIH Brakes'!$AD:$AF</definedName>
    <definedName name="Z_566E9C19_68F9_43AD_B8B2_0A93EA7FF33D_.wvu.FilterData" localSheetId="3" hidden="1">Hubs!$A$2:$Y$19</definedName>
    <definedName name="Z_566E9C19_68F9_43AD_B8B2_0A93EA7FF33D_.wvu.FilterData" localSheetId="5" hidden="1">'Rotor Assys'!$A$2:$K$38</definedName>
    <definedName name="Z_66001546_7B68_43D0_B04D_8A7714CFEAB9_.wvu.FilterData" localSheetId="0" hidden="1">Calipers!$A$3:$DJ$90</definedName>
    <definedName name="Z_801E23F3_FC9F_43A5_93DB_36C68FD2F2D6_.wvu.FilterData" localSheetId="0" hidden="1">Calipers!$A$3:$DJ$90</definedName>
    <definedName name="Z_B63C1546_AB53_4C46_B1C6_C4BDDF28CE38_.wvu.FilterData" localSheetId="0" hidden="1">Calipers!$A$3:$DJ$90</definedName>
    <definedName name="Z_BC10C353_5F84_457F_B284_D15119024E8F_.wvu.FilterData" localSheetId="0" hidden="1">Calipers!$A$1:$BG$3</definedName>
    <definedName name="Z_BD983C39_643B_49A4_A851_3C307533663B_.wvu.FilterData" localSheetId="0" hidden="1">Calipers!$A$3:$DJ$90</definedName>
    <definedName name="Z_BD983C39_643B_49A4_A851_3C307533663B_.wvu.FilterData" localSheetId="6" hidden="1">'Drum &amp; DIH Brakes'!$A$5:$AN$5</definedName>
    <definedName name="Z_BD983C39_643B_49A4_A851_3C307533663B_.wvu.FilterData" localSheetId="7" hidden="1">Drums!$A$2:$AA$8</definedName>
    <definedName name="Z_BD983C39_643B_49A4_A851_3C307533663B_.wvu.FilterData" localSheetId="1" hidden="1">'Front Rotors'!$A$2:$AW$22</definedName>
    <definedName name="Z_BD983C39_643B_49A4_A851_3C307533663B_.wvu.FilterData" localSheetId="2" hidden="1">'Rear Rotors'!$A$2:$O$30</definedName>
    <definedName name="Z_BD983C39_643B_49A4_A851_3C307533663B_.wvu.FilterData" localSheetId="5" hidden="1">'Rotor Assys'!$A$2:$N$2</definedName>
    <definedName name="Z_BD983C39_643B_49A4_A851_3C307533663B_.wvu.FilterData" localSheetId="4" hidden="1">'Uni-cast Front Rotor Assys'!$A$2:$BA$6</definedName>
    <definedName name="Z_BD983C39_643B_49A4_A851_3C307533663B_.wvu.PrintArea" localSheetId="6" hidden="1">'Drum &amp; DIH Brakes'!$A$1:$AF$26</definedName>
    <definedName name="Z_BD983C39_643B_49A4_A851_3C307533663B_.wvu.PrintArea" localSheetId="2" hidden="1">'Rear Rotors'!$A$1:$AY$28</definedName>
    <definedName name="Z_BD983C39_643B_49A4_A851_3C307533663B_.wvu.Rows" localSheetId="3" hidden="1">Hubs!$12:$13,Hubs!$15:$16</definedName>
    <definedName name="Z_BDAEB28A_7E10_448D_A971_7675AC895086_.wvu.Cols" localSheetId="6" hidden="1">'Drum &amp; DIH Brakes'!$AD:$AF</definedName>
    <definedName name="Z_BDAEB28A_7E10_448D_A971_7675AC895086_.wvu.FilterData" localSheetId="3" hidden="1">Hubs!$A$2:$Y$21</definedName>
    <definedName name="Z_BDAEB28A_7E10_448D_A971_7675AC895086_.wvu.FilterData" localSheetId="5" hidden="1">'Rotor Assys'!$A$2:$K$22</definedName>
    <definedName name="Z_C2337F0D_C612_41C8_ACD9_886415B727D7_.wvu.FilterData" localSheetId="0" hidden="1">Calipers!$A$3:$DJ$90</definedName>
    <definedName name="Z_DD29C058_EBB6_45B0_A3C1_73FF22B5B5F4_.wvu.FilterData" localSheetId="0" hidden="1">Calipers!$A$3:$DJ$90</definedName>
    <definedName name="Z_E843ABEA_26A9_452A_956F_4BE96FD7059F_.wvu.Cols" localSheetId="6" hidden="1">'Drum &amp; DIH Brakes'!$AD:$AF</definedName>
    <definedName name="Z_E843ABEA_26A9_452A_956F_4BE96FD7059F_.wvu.FilterData" localSheetId="3" hidden="1">Hubs!$A$2:$Y$19</definedName>
    <definedName name="Z_E843ABEA_26A9_452A_956F_4BE96FD7059F_.wvu.FilterData" localSheetId="5" hidden="1">'Rotor Assys'!$A$2:$K$38</definedName>
  </definedNames>
  <calcPr calcId="191029"/>
  <customWorkbookViews>
    <customWorkbookView name="Windows User - Personal View" guid="{21F37784-ACDF-4AA9-A8FA-2D6F1A2FCD6C}" mergeInterval="0" personalView="1" maximized="1" xWindow="1" yWindow="1" windowWidth="1920" windowHeight="850" tabRatio="765" activeSheetId="1"/>
    <customWorkbookView name="TRW - Personal View" guid="{BDAEB28A-7E10-448D-A971-7675AC895086}" mergeInterval="0" personalView="1" maximized="1" windowWidth="1596" windowHeight="1039" tabRatio="844" activeSheetId="7"/>
    <customWorkbookView name="  - Personal View" guid="{E843ABEA-26A9-452A-956F-4BE96FD7059F}" mergeInterval="0" personalView="1" maximized="1" windowWidth="1276" windowHeight="827" tabRatio="844" activeSheetId="5" showStatusbar="0"/>
    <customWorkbookView name="SandersML - Personal View" guid="{566E9C19-68F9-43AD-B8B2-0A93EA7FF33D}" mergeInterval="0" personalView="1" maximized="1" windowWidth="1148" windowHeight="700" tabRatio="844" activeSheetId="5"/>
    <customWorkbookView name="Sky Lintner - Personal View" guid="{BD983C39-643B-49A4-A851-3C307533663B}" mergeInterval="0" personalView="1" maximized="1" xWindow="1" yWindow="1" windowWidth="1916" windowHeight="804" tabRatio="765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6" i="1" l="1"/>
  <c r="A95" i="1"/>
  <c r="A98" i="1"/>
  <c r="A94" i="1"/>
  <c r="A87" i="1"/>
  <c r="A86" i="1"/>
  <c r="A85" i="1"/>
  <c r="A84" i="1"/>
  <c r="A83" i="1"/>
  <c r="A82" i="1"/>
  <c r="A93" i="1"/>
  <c r="A92" i="1"/>
  <c r="AW72" i="1"/>
  <c r="V72" i="1"/>
  <c r="U72" i="1"/>
  <c r="AW74" i="1"/>
  <c r="V74" i="1"/>
  <c r="U74" i="1"/>
  <c r="CI107" i="1" l="1"/>
  <c r="BX107" i="1"/>
  <c r="BZ107" i="1" s="1"/>
  <c r="BU107" i="1"/>
  <c r="CC107" i="1" s="1"/>
  <c r="BP107" i="1"/>
  <c r="BV107" i="1" s="1"/>
  <c r="CD107" i="1" s="1"/>
  <c r="A107" i="1"/>
  <c r="CI101" i="1"/>
  <c r="BX101" i="1"/>
  <c r="BZ101" i="1" s="1"/>
  <c r="BU101" i="1"/>
  <c r="CC101" i="1" s="1"/>
  <c r="BP101" i="1"/>
  <c r="BW101" i="1" s="1"/>
  <c r="A101" i="1"/>
  <c r="CI88" i="1"/>
  <c r="BX88" i="1"/>
  <c r="BZ88" i="1" s="1"/>
  <c r="BU88" i="1"/>
  <c r="CC88" i="1" s="1"/>
  <c r="BP88" i="1"/>
  <c r="BW88" i="1" s="1"/>
  <c r="A88" i="1"/>
  <c r="CI75" i="1"/>
  <c r="BX75" i="1"/>
  <c r="BZ75" i="1" s="1"/>
  <c r="BU75" i="1"/>
  <c r="CC75" i="1" s="1"/>
  <c r="BP75" i="1"/>
  <c r="BW75" i="1" s="1"/>
  <c r="A75" i="1"/>
  <c r="BV75" i="1" l="1"/>
  <c r="CD75" i="1" s="1"/>
  <c r="CE75" i="1" s="1"/>
  <c r="BV101" i="1"/>
  <c r="CD101" i="1" s="1"/>
  <c r="CE101" i="1" s="1"/>
  <c r="BV88" i="1"/>
  <c r="CD88" i="1" s="1"/>
  <c r="CE88" i="1" s="1"/>
  <c r="BW107" i="1"/>
  <c r="CF101" i="1" l="1"/>
  <c r="CF75" i="1"/>
  <c r="CF88" i="1"/>
  <c r="A269" i="1"/>
  <c r="AW269" i="1" s="1"/>
  <c r="A108" i="1"/>
  <c r="AW33" i="1"/>
  <c r="V97" i="1"/>
  <c r="V99" i="1"/>
  <c r="U99" i="1"/>
  <c r="U97" i="1"/>
  <c r="BZ59" i="1"/>
  <c r="BL59" i="1"/>
  <c r="BK59" i="1"/>
  <c r="BJ59" i="1"/>
  <c r="AW59" i="1"/>
  <c r="AW58" i="1"/>
  <c r="BZ58" i="1"/>
  <c r="BL58" i="1"/>
  <c r="BK58" i="1"/>
  <c r="BJ58" i="1"/>
  <c r="BJ28" i="1"/>
  <c r="AW27" i="1"/>
  <c r="AW8" i="1"/>
  <c r="A99" i="1"/>
  <c r="AW99" i="1" s="1"/>
  <c r="A80" i="1"/>
  <c r="A97" i="1"/>
  <c r="AW97" i="1" s="1"/>
  <c r="A91" i="1"/>
  <c r="AH22" i="7"/>
  <c r="AV23" i="2"/>
  <c r="CF33" i="1"/>
  <c r="CF106" i="1"/>
  <c r="BZ33" i="1"/>
  <c r="BZ106" i="1"/>
  <c r="BL33" i="1"/>
  <c r="BL106" i="1"/>
  <c r="A106" i="1"/>
  <c r="AW106" i="1" s="1"/>
  <c r="BK105" i="1"/>
  <c r="BJ105" i="1"/>
  <c r="BK103" i="1"/>
  <c r="BJ103" i="1"/>
  <c r="A105" i="1"/>
  <c r="AW105" i="1" s="1"/>
  <c r="A103" i="1"/>
  <c r="AW103" i="1" s="1"/>
  <c r="A90" i="1"/>
  <c r="AW90" i="1" s="1"/>
  <c r="BK77" i="1"/>
  <c r="BJ77" i="1"/>
  <c r="A77" i="1"/>
  <c r="BZ26" i="1"/>
  <c r="BZ27" i="1"/>
  <c r="BZ28" i="1"/>
  <c r="BV28" i="1"/>
  <c r="CD28" i="1" s="1"/>
  <c r="BW28" i="1"/>
  <c r="BW26" i="1"/>
  <c r="BV26" i="1"/>
  <c r="CD26" i="1" s="1"/>
  <c r="AW28" i="1"/>
  <c r="AW26" i="1"/>
  <c r="AW12" i="1"/>
  <c r="AW10" i="1"/>
  <c r="AW9" i="1"/>
  <c r="AW7" i="1"/>
  <c r="AW11" i="1"/>
  <c r="H8" i="9"/>
  <c r="H9" i="9"/>
  <c r="H10" i="9"/>
  <c r="H11" i="9"/>
  <c r="H12" i="9"/>
  <c r="H13" i="9"/>
  <c r="H14" i="9"/>
  <c r="H15" i="9"/>
  <c r="G19" i="9"/>
  <c r="G21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5" i="9"/>
  <c r="G76" i="9"/>
  <c r="G77" i="9"/>
  <c r="G78" i="9"/>
  <c r="G79" i="9"/>
  <c r="G80" i="9"/>
  <c r="G81" i="9"/>
  <c r="O10" i="7"/>
  <c r="I14" i="7"/>
  <c r="AG15" i="7"/>
  <c r="AG20" i="7"/>
  <c r="AH20" i="7" s="1"/>
  <c r="AG21" i="7"/>
  <c r="AG25" i="7"/>
  <c r="O26" i="7"/>
  <c r="O38" i="7"/>
  <c r="O39" i="7"/>
  <c r="O40" i="7"/>
  <c r="V53" i="7"/>
  <c r="I60" i="7"/>
  <c r="D61" i="7"/>
  <c r="D62" i="7"/>
  <c r="D63" i="7"/>
  <c r="O64" i="7"/>
  <c r="O77" i="7"/>
  <c r="V77" i="7"/>
  <c r="O78" i="7"/>
  <c r="V78" i="7"/>
  <c r="V79" i="7"/>
  <c r="W79" i="7"/>
  <c r="O80" i="7"/>
  <c r="AC80" i="7"/>
  <c r="O84" i="7"/>
  <c r="O85" i="7"/>
  <c r="O86" i="7"/>
  <c r="A3" i="5"/>
  <c r="B3" i="5"/>
  <c r="AZ3" i="5"/>
  <c r="A4" i="5"/>
  <c r="B4" i="5"/>
  <c r="AZ4" i="5"/>
  <c r="A5" i="5"/>
  <c r="B5" i="5"/>
  <c r="AZ5" i="5"/>
  <c r="A6" i="5"/>
  <c r="B6" i="5"/>
  <c r="AZ6" i="5"/>
  <c r="A14" i="5"/>
  <c r="B14" i="5"/>
  <c r="AZ14" i="5"/>
  <c r="A15" i="5"/>
  <c r="B15" i="5"/>
  <c r="AZ15" i="5"/>
  <c r="A16" i="5"/>
  <c r="B16" i="5"/>
  <c r="AZ16" i="5"/>
  <c r="A17" i="5"/>
  <c r="B17" i="5"/>
  <c r="AZ17" i="5"/>
  <c r="A18" i="5"/>
  <c r="B18" i="5"/>
  <c r="AZ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Q4" i="4"/>
  <c r="U30" i="4"/>
  <c r="U32" i="4"/>
  <c r="B3" i="3"/>
  <c r="AZ3" i="3"/>
  <c r="B4" i="3"/>
  <c r="AZ4" i="3"/>
  <c r="B5" i="3"/>
  <c r="AZ5" i="3"/>
  <c r="AZ6" i="3"/>
  <c r="B7" i="3"/>
  <c r="AZ7" i="3"/>
  <c r="AZ8" i="3"/>
  <c r="AZ9" i="3"/>
  <c r="AZ10" i="3"/>
  <c r="AZ11" i="3"/>
  <c r="AZ13" i="3"/>
  <c r="AZ14" i="3"/>
  <c r="B16" i="3"/>
  <c r="AZ16" i="3"/>
  <c r="B17" i="3"/>
  <c r="AZ17" i="3"/>
  <c r="B18" i="3"/>
  <c r="AZ18" i="3"/>
  <c r="B21" i="3"/>
  <c r="AZ21" i="3"/>
  <c r="AZ22" i="3"/>
  <c r="AZ23" i="3"/>
  <c r="B24" i="3"/>
  <c r="AZ24" i="3"/>
  <c r="B28" i="3"/>
  <c r="AZ28" i="3"/>
  <c r="AZ29" i="3"/>
  <c r="B30" i="3"/>
  <c r="AZ34" i="3"/>
  <c r="B35" i="3"/>
  <c r="AZ35" i="3"/>
  <c r="B36" i="3"/>
  <c r="AZ36" i="3"/>
  <c r="B37" i="3"/>
  <c r="AZ37" i="3"/>
  <c r="B38" i="3"/>
  <c r="AZ38" i="3"/>
  <c r="B39" i="3"/>
  <c r="AZ39" i="3"/>
  <c r="B40" i="3"/>
  <c r="AZ40" i="3"/>
  <c r="B41" i="3"/>
  <c r="B42" i="3"/>
  <c r="B43" i="3"/>
  <c r="B44" i="3"/>
  <c r="B45" i="3"/>
  <c r="B46" i="3"/>
  <c r="B47" i="3"/>
  <c r="B48" i="3"/>
  <c r="B49" i="3"/>
  <c r="B50" i="3"/>
  <c r="AZ50" i="3"/>
  <c r="B51" i="3"/>
  <c r="B52" i="3"/>
  <c r="B53" i="3"/>
  <c r="B54" i="3"/>
  <c r="AZ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A3" i="2"/>
  <c r="B3" i="2"/>
  <c r="AV3" i="2"/>
  <c r="A4" i="2"/>
  <c r="B4" i="2"/>
  <c r="AV4" i="2"/>
  <c r="A5" i="2"/>
  <c r="B5" i="2"/>
  <c r="AV5" i="2"/>
  <c r="A6" i="2"/>
  <c r="B6" i="2"/>
  <c r="AV6" i="2"/>
  <c r="A7" i="2"/>
  <c r="B7" i="2"/>
  <c r="AV7" i="2"/>
  <c r="A8" i="2"/>
  <c r="B8" i="2"/>
  <c r="AV8" i="2"/>
  <c r="A9" i="2"/>
  <c r="B9" i="2"/>
  <c r="AV9" i="2"/>
  <c r="A10" i="2"/>
  <c r="B10" i="2"/>
  <c r="AV10" i="2"/>
  <c r="A11" i="2"/>
  <c r="B11" i="2"/>
  <c r="AV11" i="2"/>
  <c r="A12" i="2"/>
  <c r="B12" i="2"/>
  <c r="AV12" i="2"/>
  <c r="A13" i="2"/>
  <c r="B13" i="2"/>
  <c r="AV13" i="2"/>
  <c r="A14" i="2"/>
  <c r="B14" i="2"/>
  <c r="AV14" i="2"/>
  <c r="B15" i="2"/>
  <c r="AV15" i="2"/>
  <c r="A16" i="2"/>
  <c r="B16" i="2"/>
  <c r="AV16" i="2"/>
  <c r="A18" i="2"/>
  <c r="B18" i="2"/>
  <c r="AV18" i="2"/>
  <c r="A19" i="2"/>
  <c r="B19" i="2"/>
  <c r="AV19" i="2"/>
  <c r="A20" i="2"/>
  <c r="B20" i="2"/>
  <c r="AV20" i="2"/>
  <c r="A21" i="2"/>
  <c r="B21" i="2"/>
  <c r="AV21" i="2"/>
  <c r="AV22" i="2"/>
  <c r="A31" i="2"/>
  <c r="B31" i="2"/>
  <c r="AV31" i="2"/>
  <c r="A32" i="2"/>
  <c r="B32" i="2"/>
  <c r="AV32" i="2"/>
  <c r="A33" i="2"/>
  <c r="B33" i="2"/>
  <c r="AV33" i="2"/>
  <c r="A34" i="2"/>
  <c r="B34" i="2"/>
  <c r="AV34" i="2"/>
  <c r="A35" i="2"/>
  <c r="B35" i="2"/>
  <c r="AV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V88" i="2"/>
  <c r="A89" i="2"/>
  <c r="B89" i="2"/>
  <c r="A90" i="2"/>
  <c r="B90" i="2"/>
  <c r="A91" i="2"/>
  <c r="B91" i="2"/>
  <c r="A92" i="2"/>
  <c r="B92" i="2"/>
  <c r="A93" i="2"/>
  <c r="B93" i="2"/>
  <c r="AV93" i="2"/>
  <c r="CI13" i="1"/>
  <c r="CI14" i="1"/>
  <c r="AW25" i="1"/>
  <c r="BJ25" i="1"/>
  <c r="BK25" i="1"/>
  <c r="BZ25" i="1"/>
  <c r="BJ26" i="1"/>
  <c r="BK26" i="1"/>
  <c r="BJ27" i="1"/>
  <c r="BK27" i="1"/>
  <c r="BK28" i="1"/>
  <c r="AR137" i="1"/>
  <c r="AR138" i="1"/>
  <c r="AR139" i="1"/>
  <c r="AR140" i="1"/>
  <c r="BJ60" i="1"/>
  <c r="BK60" i="1"/>
  <c r="A73" i="1"/>
  <c r="AW73" i="1" s="1"/>
  <c r="BP73" i="1"/>
  <c r="BW73" i="1" s="1"/>
  <c r="BZ73" i="1"/>
  <c r="CI73" i="1"/>
  <c r="A215" i="1"/>
  <c r="A216" i="1"/>
  <c r="A217" i="1"/>
  <c r="A76" i="1"/>
  <c r="AW76" i="1" s="1"/>
  <c r="BJ76" i="1"/>
  <c r="BK76" i="1"/>
  <c r="A263" i="1"/>
  <c r="BJ263" i="1"/>
  <c r="BK263" i="1"/>
  <c r="BV263" i="1"/>
  <c r="CD263" i="1" s="1"/>
  <c r="BW263" i="1"/>
  <c r="BZ263" i="1"/>
  <c r="A89" i="1"/>
  <c r="AW89" i="1" s="1"/>
  <c r="BJ269" i="1"/>
  <c r="BU269" i="1"/>
  <c r="CC269" i="1" s="1"/>
  <c r="BV269" i="1"/>
  <c r="CD269" i="1" s="1"/>
  <c r="BW269" i="1"/>
  <c r="BZ269" i="1"/>
  <c r="AW94" i="1"/>
  <c r="BJ94" i="1"/>
  <c r="BU94" i="1"/>
  <c r="CC94" i="1" s="1"/>
  <c r="BV94" i="1"/>
  <c r="CD94" i="1" s="1"/>
  <c r="BW94" i="1"/>
  <c r="BZ94" i="1"/>
  <c r="A305" i="1"/>
  <c r="AW305" i="1" s="1"/>
  <c r="BU305" i="1"/>
  <c r="CC305" i="1" s="1"/>
  <c r="BV305" i="1"/>
  <c r="CD305" i="1" s="1"/>
  <c r="BW305" i="1"/>
  <c r="BX305" i="1"/>
  <c r="BZ305" i="1" s="1"/>
  <c r="A306" i="1"/>
  <c r="AW306" i="1" s="1"/>
  <c r="BU306" i="1"/>
  <c r="CC306" i="1" s="1"/>
  <c r="BV306" i="1"/>
  <c r="CD306" i="1" s="1"/>
  <c r="BW306" i="1"/>
  <c r="BX306" i="1"/>
  <c r="BZ306" i="1" s="1"/>
  <c r="A307" i="1"/>
  <c r="AW307" i="1" s="1"/>
  <c r="A308" i="1"/>
  <c r="AW308" i="1" s="1"/>
  <c r="BZ308" i="1"/>
  <c r="A100" i="1"/>
  <c r="BU100" i="1"/>
  <c r="BV100" i="1"/>
  <c r="CD100" i="1" s="1"/>
  <c r="CE100" i="1" s="1"/>
  <c r="BW100" i="1"/>
  <c r="BX100" i="1"/>
  <c r="A290" i="1"/>
  <c r="BJ290" i="1"/>
  <c r="BK290" i="1"/>
  <c r="CC290" i="1"/>
  <c r="A102" i="1"/>
  <c r="AW102" i="1" s="1"/>
  <c r="BJ102" i="1"/>
  <c r="BK102" i="1"/>
  <c r="A104" i="1"/>
  <c r="AW104" i="1" s="1"/>
  <c r="BJ104" i="1"/>
  <c r="BK104" i="1"/>
  <c r="A309" i="1"/>
  <c r="BJ309" i="1"/>
  <c r="BK309" i="1"/>
  <c r="A310" i="1"/>
  <c r="BJ310" i="1"/>
  <c r="BK310" i="1"/>
  <c r="A291" i="1"/>
  <c r="AW291" i="1" s="1"/>
  <c r="AF291" i="1"/>
  <c r="BJ291" i="1"/>
  <c r="BK291" i="1"/>
  <c r="BZ291" i="1"/>
  <c r="CI291" i="1"/>
  <c r="A292" i="1"/>
  <c r="AW292" i="1" s="1"/>
  <c r="AF292" i="1"/>
  <c r="BJ292" i="1"/>
  <c r="BK292" i="1"/>
  <c r="BZ292" i="1"/>
  <c r="CI292" i="1"/>
  <c r="A259" i="1"/>
  <c r="AR259" i="1"/>
  <c r="BJ259" i="1"/>
  <c r="BK259" i="1"/>
  <c r="A270" i="1"/>
  <c r="BJ270" i="1"/>
  <c r="BK270" i="1"/>
  <c r="AR131" i="1"/>
  <c r="AU131" i="1"/>
  <c r="AV131" i="1"/>
  <c r="AW131" i="1" s="1"/>
  <c r="BJ131" i="1"/>
  <c r="BK131" i="1"/>
  <c r="BZ131" i="1"/>
  <c r="BJ132" i="1"/>
  <c r="BK132" i="1"/>
  <c r="AU133" i="1"/>
  <c r="AV133" i="1"/>
  <c r="AW133" i="1" s="1"/>
  <c r="BJ133" i="1"/>
  <c r="BK133" i="1"/>
  <c r="BZ133" i="1"/>
  <c r="BJ134" i="1"/>
  <c r="BK134" i="1"/>
  <c r="AW117" i="1"/>
  <c r="BL117" i="1"/>
  <c r="BU117" i="1" s="1"/>
  <c r="CC117" i="1" s="1"/>
  <c r="BP118" i="1"/>
  <c r="BL119" i="1"/>
  <c r="BP119" i="1" s="1"/>
  <c r="BP120" i="1"/>
  <c r="BP121" i="1"/>
  <c r="AV124" i="1"/>
  <c r="AW124" i="1" s="1"/>
  <c r="BL124" i="1"/>
  <c r="BP124" i="1" s="1"/>
  <c r="AV125" i="1"/>
  <c r="AW125" i="1" s="1"/>
  <c r="BL125" i="1"/>
  <c r="BP125" i="1" s="1"/>
  <c r="AV126" i="1"/>
  <c r="AW126" i="1" s="1"/>
  <c r="BL126" i="1"/>
  <c r="BU126" i="1" s="1"/>
  <c r="CC126" i="1" s="1"/>
  <c r="AV127" i="1"/>
  <c r="AV128" i="1" s="1"/>
  <c r="AW128" i="1" s="1"/>
  <c r="BL127" i="1"/>
  <c r="BX127" i="1" s="1"/>
  <c r="BZ127" i="1" s="1"/>
  <c r="BL128" i="1"/>
  <c r="BU128" i="1" s="1"/>
  <c r="CC128" i="1" s="1"/>
  <c r="AV135" i="1"/>
  <c r="AW143" i="1"/>
  <c r="BL143" i="1"/>
  <c r="BX143" i="1" s="1"/>
  <c r="BZ143" i="1" s="1"/>
  <c r="AR147" i="1"/>
  <c r="BL147" i="1"/>
  <c r="AR148" i="1"/>
  <c r="BL148" i="1"/>
  <c r="BP150" i="1"/>
  <c r="AW151" i="1"/>
  <c r="BP151" i="1"/>
  <c r="BV151" i="1" s="1"/>
  <c r="BU151" i="1"/>
  <c r="BX151" i="1"/>
  <c r="BZ151" i="1" s="1"/>
  <c r="AW152" i="1"/>
  <c r="BL152" i="1"/>
  <c r="BU152" i="1" s="1"/>
  <c r="CC152" i="1" s="1"/>
  <c r="AW153" i="1"/>
  <c r="BL153" i="1"/>
  <c r="BX153" i="1" s="1"/>
  <c r="BZ153" i="1" s="1"/>
  <c r="AU154" i="1"/>
  <c r="AV154" i="1"/>
  <c r="AW154" i="1" s="1"/>
  <c r="BL154" i="1"/>
  <c r="BU154" i="1" s="1"/>
  <c r="CC154" i="1" s="1"/>
  <c r="AS155" i="1"/>
  <c r="AT155" i="1"/>
  <c r="AW155" i="1"/>
  <c r="BL155" i="1"/>
  <c r="BX155" i="1" s="1"/>
  <c r="BZ155" i="1" s="1"/>
  <c r="AS171" i="1"/>
  <c r="AT171" i="1"/>
  <c r="AU171" i="1"/>
  <c r="AV171" i="1"/>
  <c r="AW171" i="1" s="1"/>
  <c r="BL171" i="1"/>
  <c r="BM171" i="1"/>
  <c r="BN171" i="1"/>
  <c r="BO171" i="1"/>
  <c r="BL174" i="1"/>
  <c r="AR175" i="1"/>
  <c r="BL175" i="1"/>
  <c r="AW179" i="1"/>
  <c r="BL179" i="1"/>
  <c r="BU179" i="1" s="1"/>
  <c r="A180" i="1"/>
  <c r="BZ181" i="1"/>
  <c r="CC181" i="1"/>
  <c r="BP182" i="1"/>
  <c r="AW183" i="1"/>
  <c r="BL183" i="1"/>
  <c r="BP183" i="1" s="1"/>
  <c r="AW184" i="1"/>
  <c r="BL184" i="1"/>
  <c r="BU184" i="1" s="1"/>
  <c r="CC184" i="1" s="1"/>
  <c r="CG184" i="1"/>
  <c r="AW186" i="1"/>
  <c r="BL186" i="1"/>
  <c r="BP186" i="1" s="1"/>
  <c r="AW187" i="1"/>
  <c r="BL187" i="1"/>
  <c r="BP187" i="1" s="1"/>
  <c r="AF188" i="1"/>
  <c r="BU188" i="1" s="1"/>
  <c r="CC188" i="1" s="1"/>
  <c r="AW188" i="1"/>
  <c r="BP188" i="1"/>
  <c r="BX188" i="1"/>
  <c r="BZ188" i="1" s="1"/>
  <c r="BP189" i="1"/>
  <c r="BP190" i="1"/>
  <c r="AF193" i="1"/>
  <c r="AW193" i="1"/>
  <c r="BL193" i="1"/>
  <c r="BX193" i="1" s="1"/>
  <c r="BZ193" i="1" s="1"/>
  <c r="BP194" i="1"/>
  <c r="A198" i="1"/>
  <c r="AW198" i="1" s="1"/>
  <c r="AO198" i="1"/>
  <c r="BL198" i="1"/>
  <c r="BP198" i="1" s="1"/>
  <c r="CH198" i="1"/>
  <c r="A199" i="1"/>
  <c r="AW199" i="1" s="1"/>
  <c r="AO199" i="1"/>
  <c r="AR199" i="1"/>
  <c r="BL199" i="1"/>
  <c r="BX199" i="1" s="1"/>
  <c r="BZ199" i="1" s="1"/>
  <c r="CH199" i="1"/>
  <c r="A200" i="1"/>
  <c r="AO200" i="1"/>
  <c r="BL200" i="1"/>
  <c r="BX200" i="1" s="1"/>
  <c r="BZ200" i="1" s="1"/>
  <c r="CH200" i="1"/>
  <c r="AW201" i="1"/>
  <c r="BK201" i="1"/>
  <c r="BP201" i="1"/>
  <c r="BX201" i="1"/>
  <c r="AW202" i="1"/>
  <c r="BK202" i="1"/>
  <c r="BP202" i="1"/>
  <c r="BW202" i="1" s="1"/>
  <c r="BU202" i="1"/>
  <c r="BX202" i="1"/>
  <c r="BZ202" i="1" s="1"/>
  <c r="BP203" i="1"/>
  <c r="BP204" i="1"/>
  <c r="AT205" i="1"/>
  <c r="BP205" i="1"/>
  <c r="AF207" i="1"/>
  <c r="AW207" i="1"/>
  <c r="BL207" i="1"/>
  <c r="BP207" i="1" s="1"/>
  <c r="BZ207" i="1"/>
  <c r="AF208" i="1"/>
  <c r="AW208" i="1"/>
  <c r="BL208" i="1"/>
  <c r="BZ208" i="1"/>
  <c r="AF209" i="1"/>
  <c r="AW209" i="1"/>
  <c r="BL209" i="1"/>
  <c r="BP209" i="1" s="1"/>
  <c r="BZ209" i="1"/>
  <c r="BP210" i="1"/>
  <c r="BP211" i="1"/>
  <c r="A218" i="1"/>
  <c r="AW218" i="1" s="1"/>
  <c r="AO218" i="1"/>
  <c r="BL218" i="1"/>
  <c r="BU218" i="1" s="1"/>
  <c r="CC218" i="1" s="1"/>
  <c r="BZ218" i="1"/>
  <c r="CI218" i="1"/>
  <c r="A219" i="1"/>
  <c r="AO219" i="1"/>
  <c r="BL219" i="1"/>
  <c r="BU219" i="1" s="1"/>
  <c r="CC219" i="1" s="1"/>
  <c r="BZ219" i="1"/>
  <c r="CI219" i="1"/>
  <c r="A220" i="1"/>
  <c r="AR220" i="1"/>
  <c r="BJ220" i="1"/>
  <c r="BK220" i="1"/>
  <c r="A221" i="1"/>
  <c r="AR221" i="1"/>
  <c r="BJ221" i="1"/>
  <c r="BK221" i="1"/>
  <c r="A222" i="1"/>
  <c r="AR222" i="1"/>
  <c r="BJ222" i="1"/>
  <c r="BK222" i="1"/>
  <c r="A223" i="1"/>
  <c r="AR223" i="1"/>
  <c r="BJ223" i="1"/>
  <c r="BK223" i="1"/>
  <c r="A224" i="1"/>
  <c r="AR224" i="1"/>
  <c r="BJ224" i="1"/>
  <c r="BK224" i="1"/>
  <c r="A225" i="1"/>
  <c r="AR225" i="1"/>
  <c r="BJ225" i="1"/>
  <c r="BK225" i="1"/>
  <c r="A226" i="1"/>
  <c r="A227" i="1"/>
  <c r="AW227" i="1" s="1"/>
  <c r="BK227" i="1"/>
  <c r="BP227" i="1"/>
  <c r="BV227" i="1" s="1"/>
  <c r="BU227" i="1"/>
  <c r="BX227" i="1"/>
  <c r="BZ227" i="1" s="1"/>
  <c r="A229" i="1"/>
  <c r="AW229" i="1" s="1"/>
  <c r="BL229" i="1"/>
  <c r="BP229" i="1" s="1"/>
  <c r="A230" i="1"/>
  <c r="AW230" i="1" s="1"/>
  <c r="BL230" i="1"/>
  <c r="BX230" i="1" s="1"/>
  <c r="BZ230" i="1" s="1"/>
  <c r="A231" i="1"/>
  <c r="AW231" i="1" s="1"/>
  <c r="BL231" i="1"/>
  <c r="BU231" i="1" s="1"/>
  <c r="CC231" i="1" s="1"/>
  <c r="A232" i="1"/>
  <c r="BP232" i="1"/>
  <c r="A233" i="1"/>
  <c r="AW233" i="1" s="1"/>
  <c r="BL233" i="1"/>
  <c r="BU233" i="1" s="1"/>
  <c r="A234" i="1"/>
  <c r="AW234" i="1" s="1"/>
  <c r="BL234" i="1"/>
  <c r="BP234" i="1" s="1"/>
  <c r="A235" i="1"/>
  <c r="BJ235" i="1"/>
  <c r="BK235" i="1"/>
  <c r="BV235" i="1"/>
  <c r="CD235" i="1" s="1"/>
  <c r="BW235" i="1"/>
  <c r="BZ235" i="1"/>
  <c r="BP236" i="1"/>
  <c r="AW237" i="1"/>
  <c r="BL237" i="1"/>
  <c r="BP237" i="1" s="1"/>
  <c r="AW238" i="1"/>
  <c r="BL238" i="1"/>
  <c r="BU238" i="1" s="1"/>
  <c r="CC238" i="1" s="1"/>
  <c r="CF238" i="1" s="1"/>
  <c r="AW239" i="1"/>
  <c r="BL239" i="1"/>
  <c r="BP239" i="1" s="1"/>
  <c r="AW240" i="1"/>
  <c r="BL240" i="1"/>
  <c r="BP240" i="1" s="1"/>
  <c r="BV240" i="1" s="1"/>
  <c r="CD240" i="1" s="1"/>
  <c r="AW251" i="1"/>
  <c r="BL251" i="1"/>
  <c r="BU251" i="1" s="1"/>
  <c r="CC251" i="1" s="1"/>
  <c r="AW252" i="1"/>
  <c r="BL252" i="1"/>
  <c r="BP252" i="1" s="1"/>
  <c r="AW253" i="1"/>
  <c r="BL253" i="1"/>
  <c r="BX253" i="1" s="1"/>
  <c r="BZ253" i="1" s="1"/>
  <c r="BP254" i="1"/>
  <c r="A260" i="1"/>
  <c r="A261" i="1"/>
  <c r="AW261" i="1" s="1"/>
  <c r="BL261" i="1"/>
  <c r="BU261" i="1" s="1"/>
  <c r="A262" i="1"/>
  <c r="AW262" i="1" s="1"/>
  <c r="BL262" i="1"/>
  <c r="BU262" i="1" s="1"/>
  <c r="CC262" i="1" s="1"/>
  <c r="A264" i="1"/>
  <c r="AW264" i="1" s="1"/>
  <c r="BL264" i="1"/>
  <c r="BX264" i="1" s="1"/>
  <c r="BZ264" i="1" s="1"/>
  <c r="A265" i="1"/>
  <c r="AW265" i="1" s="1"/>
  <c r="BL265" i="1"/>
  <c r="BU265" i="1" s="1"/>
  <c r="CC265" i="1" s="1"/>
  <c r="A266" i="1"/>
  <c r="AW266" i="1" s="1"/>
  <c r="BL266" i="1"/>
  <c r="BU266" i="1" s="1"/>
  <c r="A267" i="1"/>
  <c r="AW267" i="1" s="1"/>
  <c r="BL267" i="1"/>
  <c r="BP267" i="1" s="1"/>
  <c r="A268" i="1"/>
  <c r="AW268" i="1" s="1"/>
  <c r="BL268" i="1"/>
  <c r="BU268" i="1" s="1"/>
  <c r="CC268" i="1" s="1"/>
  <c r="BM268" i="1"/>
  <c r="BN268" i="1"/>
  <c r="CI268" i="1"/>
  <c r="A271" i="1"/>
  <c r="AW271" i="1" s="1"/>
  <c r="BL271" i="1"/>
  <c r="BX271" i="1" s="1"/>
  <c r="BZ271" i="1" s="1"/>
  <c r="A272" i="1"/>
  <c r="AW272" i="1" s="1"/>
  <c r="BL272" i="1"/>
  <c r="BX272" i="1" s="1"/>
  <c r="BZ272" i="1" s="1"/>
  <c r="A273" i="1"/>
  <c r="A274" i="1"/>
  <c r="A275" i="1"/>
  <c r="A276" i="1"/>
  <c r="AW276" i="1" s="1"/>
  <c r="BL276" i="1"/>
  <c r="BM276" i="1"/>
  <c r="BN276" i="1"/>
  <c r="BO276" i="1"/>
  <c r="BT276" i="1"/>
  <c r="BU276" i="1"/>
  <c r="A277" i="1"/>
  <c r="AZ277" i="1"/>
  <c r="BP277" i="1"/>
  <c r="A278" i="1"/>
  <c r="AW278" i="1" s="1"/>
  <c r="BL278" i="1"/>
  <c r="BP278" i="1" s="1"/>
  <c r="BZ278" i="1"/>
  <c r="AW281" i="1"/>
  <c r="BL281" i="1"/>
  <c r="BU281" i="1" s="1"/>
  <c r="CC281" i="1" s="1"/>
  <c r="A282" i="1"/>
  <c r="AW282" i="1" s="1"/>
  <c r="AZ282" i="1"/>
  <c r="BL282" i="1"/>
  <c r="BU282" i="1" s="1"/>
  <c r="CC282" i="1" s="1"/>
  <c r="A283" i="1"/>
  <c r="AW283" i="1" s="1"/>
  <c r="AG283" i="1"/>
  <c r="BL283" i="1"/>
  <c r="BU283" i="1" s="1"/>
  <c r="CC283" i="1" s="1"/>
  <c r="A284" i="1"/>
  <c r="A285" i="1"/>
  <c r="AW285" i="1" s="1"/>
  <c r="BL285" i="1"/>
  <c r="BP285" i="1" s="1"/>
  <c r="A286" i="1"/>
  <c r="AW286" i="1" s="1"/>
  <c r="BL286" i="1"/>
  <c r="BU286" i="1" s="1"/>
  <c r="CC286" i="1" s="1"/>
  <c r="BP288" i="1"/>
  <c r="A289" i="1"/>
  <c r="A293" i="1"/>
  <c r="A294" i="1"/>
  <c r="A295" i="1"/>
  <c r="A296" i="1"/>
  <c r="BP296" i="1"/>
  <c r="A297" i="1"/>
  <c r="AW297" i="1" s="1"/>
  <c r="BL297" i="1"/>
  <c r="BU297" i="1" s="1"/>
  <c r="CC297" i="1" s="1"/>
  <c r="A298" i="1"/>
  <c r="AW298" i="1" s="1"/>
  <c r="BL298" i="1"/>
  <c r="BP298" i="1" s="1"/>
  <c r="A299" i="1"/>
  <c r="AW299" i="1" s="1"/>
  <c r="BL299" i="1"/>
  <c r="BP299" i="1" s="1"/>
  <c r="A300" i="1"/>
  <c r="AW300" i="1" s="1"/>
  <c r="BL300" i="1"/>
  <c r="BX300" i="1" s="1"/>
  <c r="BZ300" i="1" s="1"/>
  <c r="A301" i="1"/>
  <c r="AW301" i="1" s="1"/>
  <c r="BL301" i="1"/>
  <c r="BU301" i="1" s="1"/>
  <c r="A302" i="1"/>
  <c r="AW302" i="1" s="1"/>
  <c r="BL302" i="1"/>
  <c r="BU302" i="1" s="1"/>
  <c r="CC302" i="1" s="1"/>
  <c r="A303" i="1"/>
  <c r="AW303" i="1" s="1"/>
  <c r="BL303" i="1"/>
  <c r="BX303" i="1" s="1"/>
  <c r="BZ303" i="1" s="1"/>
  <c r="A304" i="1"/>
  <c r="BP304" i="1"/>
  <c r="A311" i="1"/>
  <c r="AW311" i="1" s="1"/>
  <c r="BL311" i="1"/>
  <c r="BP311" i="1" s="1"/>
  <c r="A312" i="1"/>
  <c r="AW312" i="1" s="1"/>
  <c r="BL312" i="1"/>
  <c r="BX312" i="1" s="1"/>
  <c r="BZ312" i="1" s="1"/>
  <c r="A313" i="1"/>
  <c r="AW313" i="1" s="1"/>
  <c r="BL313" i="1"/>
  <c r="BP313" i="1" s="1"/>
  <c r="A314" i="1"/>
  <c r="AW314" i="1" s="1"/>
  <c r="BU314" i="1"/>
  <c r="BX314" i="1"/>
  <c r="A315" i="1"/>
  <c r="AW315" i="1" s="1"/>
  <c r="BP315" i="1"/>
  <c r="BU315" i="1"/>
  <c r="BX315" i="1"/>
  <c r="BZ315" i="1" s="1"/>
  <c r="AR156" i="1"/>
  <c r="BL156" i="1"/>
  <c r="AR163" i="1"/>
  <c r="BL163" i="1"/>
  <c r="BP318" i="1"/>
  <c r="BP319" i="1"/>
  <c r="BP320" i="1"/>
  <c r="BP321" i="1"/>
  <c r="BX152" i="1" l="1"/>
  <c r="BZ152" i="1" s="1"/>
  <c r="BX297" i="1"/>
  <c r="BZ297" i="1" s="1"/>
  <c r="BP303" i="1"/>
  <c r="BW303" i="1" s="1"/>
  <c r="BU303" i="1"/>
  <c r="CC303" i="1" s="1"/>
  <c r="BU229" i="1"/>
  <c r="CC229" i="1" s="1"/>
  <c r="BP297" i="1"/>
  <c r="BV297" i="1" s="1"/>
  <c r="CD297" i="1" s="1"/>
  <c r="CE297" i="1" s="1"/>
  <c r="BP301" i="1"/>
  <c r="BV301" i="1" s="1"/>
  <c r="BP300" i="1"/>
  <c r="BV300" i="1" s="1"/>
  <c r="CD300" i="1" s="1"/>
  <c r="BU253" i="1"/>
  <c r="CC253" i="1" s="1"/>
  <c r="BL291" i="1"/>
  <c r="BL310" i="1"/>
  <c r="BL76" i="1"/>
  <c r="BP282" i="1"/>
  <c r="BW282" i="1" s="1"/>
  <c r="BU186" i="1"/>
  <c r="CC186" i="1" s="1"/>
  <c r="BU127" i="1"/>
  <c r="CC127" i="1" s="1"/>
  <c r="BP143" i="1"/>
  <c r="BW143" i="1" s="1"/>
  <c r="BX286" i="1"/>
  <c r="BZ286" i="1" s="1"/>
  <c r="BX265" i="1"/>
  <c r="BZ265" i="1" s="1"/>
  <c r="BP152" i="1"/>
  <c r="BW152" i="1" s="1"/>
  <c r="BL133" i="1"/>
  <c r="BP133" i="1" s="1"/>
  <c r="BW133" i="1" s="1"/>
  <c r="BL132" i="1"/>
  <c r="BL27" i="1"/>
  <c r="BP27" i="1" s="1"/>
  <c r="BV27" i="1" s="1"/>
  <c r="CD27" i="1" s="1"/>
  <c r="BW151" i="1"/>
  <c r="BL105" i="1"/>
  <c r="BP253" i="1"/>
  <c r="BW253" i="1" s="1"/>
  <c r="BP251" i="1"/>
  <c r="BV251" i="1" s="1"/>
  <c r="CD251" i="1" s="1"/>
  <c r="CE251" i="1" s="1"/>
  <c r="BP128" i="1"/>
  <c r="BW128" i="1" s="1"/>
  <c r="AW200" i="1"/>
  <c r="BL131" i="1"/>
  <c r="BP131" i="1" s="1"/>
  <c r="BX285" i="1"/>
  <c r="BZ285" i="1" s="1"/>
  <c r="BP179" i="1"/>
  <c r="BW179" i="1" s="1"/>
  <c r="BX184" i="1"/>
  <c r="BZ184" i="1" s="1"/>
  <c r="BX231" i="1"/>
  <c r="BZ231" i="1" s="1"/>
  <c r="BP233" i="1"/>
  <c r="BV233" i="1" s="1"/>
  <c r="BL60" i="1"/>
  <c r="BL25" i="1"/>
  <c r="BP25" i="1" s="1"/>
  <c r="BV25" i="1" s="1"/>
  <c r="CD25" i="1" s="1"/>
  <c r="BP154" i="1"/>
  <c r="BV154" i="1" s="1"/>
  <c r="CD154" i="1" s="1"/>
  <c r="CE154" i="1" s="1"/>
  <c r="BX128" i="1"/>
  <c r="BZ128" i="1" s="1"/>
  <c r="BU124" i="1"/>
  <c r="CC124" i="1" s="1"/>
  <c r="BX238" i="1"/>
  <c r="BZ238" i="1" s="1"/>
  <c r="BX154" i="1"/>
  <c r="BZ154" i="1" s="1"/>
  <c r="BU298" i="1"/>
  <c r="CC298" i="1" s="1"/>
  <c r="BL224" i="1"/>
  <c r="BL223" i="1"/>
  <c r="BL222" i="1"/>
  <c r="BL221" i="1"/>
  <c r="BL220" i="1"/>
  <c r="BV188" i="1"/>
  <c r="CD188" i="1" s="1"/>
  <c r="CE188" i="1" s="1"/>
  <c r="BL292" i="1"/>
  <c r="BL104" i="1"/>
  <c r="BL263" i="1"/>
  <c r="BU263" i="1" s="1"/>
  <c r="CC263" i="1" s="1"/>
  <c r="CE263" i="1" s="1"/>
  <c r="BX186" i="1"/>
  <c r="BZ186" i="1" s="1"/>
  <c r="BP264" i="1"/>
  <c r="BV264" i="1" s="1"/>
  <c r="CD264" i="1" s="1"/>
  <c r="BP283" i="1"/>
  <c r="BW283" i="1" s="1"/>
  <c r="BP238" i="1"/>
  <c r="BW238" i="1" s="1"/>
  <c r="BU264" i="1"/>
  <c r="CC264" i="1" s="1"/>
  <c r="BU300" i="1"/>
  <c r="CC300" i="1" s="1"/>
  <c r="BX298" i="1"/>
  <c r="BZ298" i="1" s="1"/>
  <c r="BU272" i="1"/>
  <c r="CC272" i="1" s="1"/>
  <c r="BL235" i="1"/>
  <c r="BU235" i="1" s="1"/>
  <c r="CC235" i="1" s="1"/>
  <c r="CF235" i="1" s="1"/>
  <c r="BL102" i="1"/>
  <c r="BL290" i="1"/>
  <c r="BP290" i="1" s="1"/>
  <c r="BU240" i="1"/>
  <c r="CC240" i="1" s="1"/>
  <c r="CF240" i="1" s="1"/>
  <c r="BX171" i="1"/>
  <c r="BZ171" i="1" s="1"/>
  <c r="BL134" i="1"/>
  <c r="CE269" i="1"/>
  <c r="BP184" i="1"/>
  <c r="BV184" i="1" s="1"/>
  <c r="CD184" i="1" s="1"/>
  <c r="CF184" i="1" s="1"/>
  <c r="BP231" i="1"/>
  <c r="BP272" i="1"/>
  <c r="BW272" i="1" s="1"/>
  <c r="BP281" i="1"/>
  <c r="BW281" i="1" s="1"/>
  <c r="BU237" i="1"/>
  <c r="CC237" i="1" s="1"/>
  <c r="CF237" i="1" s="1"/>
  <c r="BX126" i="1"/>
  <c r="BZ126" i="1" s="1"/>
  <c r="BP276" i="1"/>
  <c r="BL225" i="1"/>
  <c r="AW219" i="1"/>
  <c r="BL270" i="1"/>
  <c r="BL309" i="1"/>
  <c r="CF305" i="1"/>
  <c r="BL26" i="1"/>
  <c r="BL77" i="1"/>
  <c r="BL28" i="1"/>
  <c r="BX281" i="1"/>
  <c r="BZ281" i="1" s="1"/>
  <c r="BX240" i="1"/>
  <c r="BZ240" i="1" s="1"/>
  <c r="BX233" i="1"/>
  <c r="BZ233" i="1" s="1"/>
  <c r="BL259" i="1"/>
  <c r="BP200" i="1"/>
  <c r="BW200" i="1" s="1"/>
  <c r="BX268" i="1"/>
  <c r="BZ268" i="1" s="1"/>
  <c r="BX282" i="1"/>
  <c r="BZ282" i="1" s="1"/>
  <c r="BP126" i="1"/>
  <c r="BW126" i="1" s="1"/>
  <c r="BU208" i="1"/>
  <c r="CC208" i="1" s="1"/>
  <c r="BL103" i="1"/>
  <c r="BV73" i="1"/>
  <c r="CD73" i="1" s="1"/>
  <c r="BP117" i="1"/>
  <c r="BW117" i="1" s="1"/>
  <c r="BV298" i="1"/>
  <c r="CD298" i="1" s="1"/>
  <c r="BW298" i="1"/>
  <c r="BW229" i="1"/>
  <c r="BV229" i="1"/>
  <c r="CD229" i="1" s="1"/>
  <c r="BV186" i="1"/>
  <c r="CD186" i="1" s="1"/>
  <c r="CF186" i="1" s="1"/>
  <c r="BW186" i="1"/>
  <c r="BW313" i="1"/>
  <c r="BV313" i="1"/>
  <c r="CD313" i="1" s="1"/>
  <c r="BW252" i="1"/>
  <c r="BV252" i="1"/>
  <c r="CD252" i="1" s="1"/>
  <c r="BW187" i="1"/>
  <c r="BV187" i="1"/>
  <c r="CD187" i="1" s="1"/>
  <c r="CF269" i="1"/>
  <c r="BX261" i="1"/>
  <c r="BZ261" i="1" s="1"/>
  <c r="BX266" i="1"/>
  <c r="BZ266" i="1" s="1"/>
  <c r="BX183" i="1"/>
  <c r="BZ183" i="1" s="1"/>
  <c r="BP127" i="1"/>
  <c r="BU199" i="1"/>
  <c r="CC199" i="1" s="1"/>
  <c r="BX229" i="1"/>
  <c r="BZ229" i="1" s="1"/>
  <c r="BU200" i="1"/>
  <c r="CC200" i="1" s="1"/>
  <c r="BX252" i="1"/>
  <c r="BZ252" i="1" s="1"/>
  <c r="BU153" i="1"/>
  <c r="CC153" i="1" s="1"/>
  <c r="BX198" i="1"/>
  <c r="BZ198" i="1" s="1"/>
  <c r="BX299" i="1"/>
  <c r="BZ299" i="1" s="1"/>
  <c r="BP155" i="1"/>
  <c r="BX239" i="1"/>
  <c r="BZ239" i="1" s="1"/>
  <c r="BX179" i="1"/>
  <c r="BZ179" i="1" s="1"/>
  <c r="BU313" i="1"/>
  <c r="CC313" i="1" s="1"/>
  <c r="BX301" i="1"/>
  <c r="BU207" i="1"/>
  <c r="CC207" i="1" s="1"/>
  <c r="BU187" i="1"/>
  <c r="CC187" i="1" s="1"/>
  <c r="BU252" i="1"/>
  <c r="CC252" i="1" s="1"/>
  <c r="BP153" i="1"/>
  <c r="BP286" i="1"/>
  <c r="BP266" i="1"/>
  <c r="BX124" i="1"/>
  <c r="BZ124" i="1" s="1"/>
  <c r="BX313" i="1"/>
  <c r="BZ313" i="1" s="1"/>
  <c r="BP261" i="1"/>
  <c r="BW188" i="1"/>
  <c r="BX117" i="1"/>
  <c r="BZ117" i="1" s="1"/>
  <c r="BU230" i="1"/>
  <c r="CC230" i="1" s="1"/>
  <c r="BW227" i="1"/>
  <c r="BP193" i="1"/>
  <c r="CE305" i="1"/>
  <c r="BA28" i="3"/>
  <c r="BA8" i="3"/>
  <c r="AW21" i="2"/>
  <c r="BW285" i="1"/>
  <c r="BV285" i="1"/>
  <c r="CD285" i="1" s="1"/>
  <c r="BW234" i="1"/>
  <c r="BV234" i="1"/>
  <c r="CD234" i="1" s="1"/>
  <c r="BW239" i="1"/>
  <c r="BV239" i="1"/>
  <c r="CD239" i="1" s="1"/>
  <c r="BW299" i="1"/>
  <c r="BV299" i="1"/>
  <c r="CD299" i="1" s="1"/>
  <c r="BV278" i="1"/>
  <c r="CD278" i="1" s="1"/>
  <c r="BW278" i="1"/>
  <c r="BW237" i="1"/>
  <c r="BV237" i="1"/>
  <c r="CD237" i="1" s="1"/>
  <c r="BW124" i="1"/>
  <c r="BV124" i="1"/>
  <c r="CD124" i="1" s="1"/>
  <c r="CE306" i="1"/>
  <c r="CF306" i="1"/>
  <c r="BV183" i="1"/>
  <c r="CD183" i="1" s="1"/>
  <c r="BW183" i="1"/>
  <c r="BV267" i="1"/>
  <c r="CD267" i="1" s="1"/>
  <c r="BW267" i="1"/>
  <c r="BW125" i="1"/>
  <c r="BV125" i="1"/>
  <c r="CD125" i="1" s="1"/>
  <c r="BW311" i="1"/>
  <c r="BV311" i="1"/>
  <c r="CD311" i="1" s="1"/>
  <c r="BW198" i="1"/>
  <c r="BV198" i="1"/>
  <c r="CD198" i="1" s="1"/>
  <c r="BV209" i="1"/>
  <c r="CD209" i="1" s="1"/>
  <c r="BW209" i="1"/>
  <c r="BV207" i="1"/>
  <c r="CD207" i="1" s="1"/>
  <c r="BW207" i="1"/>
  <c r="BP312" i="1"/>
  <c r="BU239" i="1"/>
  <c r="CC239" i="1" s="1"/>
  <c r="BX237" i="1"/>
  <c r="BZ237" i="1" s="1"/>
  <c r="BU125" i="1"/>
  <c r="CC125" i="1" s="1"/>
  <c r="BV202" i="1"/>
  <c r="BP262" i="1"/>
  <c r="BU278" i="1"/>
  <c r="CC278" i="1" s="1"/>
  <c r="BP208" i="1"/>
  <c r="BU198" i="1"/>
  <c r="CC198" i="1" s="1"/>
  <c r="BU193" i="1"/>
  <c r="CC193" i="1" s="1"/>
  <c r="BU285" i="1"/>
  <c r="CC285" i="1" s="1"/>
  <c r="BP230" i="1"/>
  <c r="BU171" i="1"/>
  <c r="CC171" i="1" s="1"/>
  <c r="BU311" i="1"/>
  <c r="CC311" i="1" s="1"/>
  <c r="BX283" i="1"/>
  <c r="BZ283" i="1" s="1"/>
  <c r="BX267" i="1"/>
  <c r="BZ267" i="1" s="1"/>
  <c r="BP265" i="1"/>
  <c r="BU183" i="1"/>
  <c r="CC183" i="1" s="1"/>
  <c r="BV117" i="1"/>
  <c r="CD117" i="1" s="1"/>
  <c r="CE117" i="1" s="1"/>
  <c r="BP302" i="1"/>
  <c r="BU271" i="1"/>
  <c r="CC271" i="1" s="1"/>
  <c r="BP219" i="1"/>
  <c r="BV253" i="1"/>
  <c r="CD253" i="1" s="1"/>
  <c r="CE253" i="1" s="1"/>
  <c r="BX262" i="1"/>
  <c r="BZ262" i="1" s="1"/>
  <c r="BX234" i="1"/>
  <c r="BZ234" i="1" s="1"/>
  <c r="BX125" i="1"/>
  <c r="BZ125" i="1" s="1"/>
  <c r="BP171" i="1"/>
  <c r="BU234" i="1"/>
  <c r="CC234" i="1" s="1"/>
  <c r="BU155" i="1"/>
  <c r="CC155" i="1" s="1"/>
  <c r="BP268" i="1"/>
  <c r="BX311" i="1"/>
  <c r="BZ311" i="1" s="1"/>
  <c r="BU312" i="1"/>
  <c r="CC312" i="1" s="1"/>
  <c r="BP218" i="1"/>
  <c r="BW240" i="1"/>
  <c r="BP199" i="1"/>
  <c r="BU299" i="1"/>
  <c r="CC299" i="1" s="1"/>
  <c r="BX302" i="1"/>
  <c r="BZ302" i="1" s="1"/>
  <c r="BU267" i="1"/>
  <c r="CC267" i="1" s="1"/>
  <c r="AW127" i="1"/>
  <c r="BU209" i="1"/>
  <c r="CC209" i="1" s="1"/>
  <c r="CF209" i="1" s="1"/>
  <c r="BX251" i="1"/>
  <c r="BZ251" i="1" s="1"/>
  <c r="BP271" i="1"/>
  <c r="CE94" i="1"/>
  <c r="CF94" i="1"/>
  <c r="CF297" i="1" l="1"/>
  <c r="BV303" i="1"/>
  <c r="CD303" i="1" s="1"/>
  <c r="CF303" i="1" s="1"/>
  <c r="BW301" i="1"/>
  <c r="CF278" i="1"/>
  <c r="BV200" i="1"/>
  <c r="CD200" i="1" s="1"/>
  <c r="CF200" i="1" s="1"/>
  <c r="CE235" i="1"/>
  <c r="CF188" i="1"/>
  <c r="CE303" i="1"/>
  <c r="BV272" i="1"/>
  <c r="CD272" i="1" s="1"/>
  <c r="CF272" i="1" s="1"/>
  <c r="CF298" i="1"/>
  <c r="BW27" i="1"/>
  <c r="BW297" i="1"/>
  <c r="CF311" i="1"/>
  <c r="CF154" i="1"/>
  <c r="CF229" i="1"/>
  <c r="BV282" i="1"/>
  <c r="CD282" i="1" s="1"/>
  <c r="CE282" i="1" s="1"/>
  <c r="BW251" i="1"/>
  <c r="BV143" i="1"/>
  <c r="CD143" i="1" s="1"/>
  <c r="BW154" i="1"/>
  <c r="CF263" i="1"/>
  <c r="CF300" i="1"/>
  <c r="BW300" i="1"/>
  <c r="CF239" i="1"/>
  <c r="CE272" i="1"/>
  <c r="BX290" i="1"/>
  <c r="BZ290" i="1" s="1"/>
  <c r="BW25" i="1"/>
  <c r="BV133" i="1"/>
  <c r="CD133" i="1" s="1"/>
  <c r="BV238" i="1"/>
  <c r="CD238" i="1" s="1"/>
  <c r="CE238" i="1" s="1"/>
  <c r="CF264" i="1"/>
  <c r="BV152" i="1"/>
  <c r="CD152" i="1" s="1"/>
  <c r="CE152" i="1" s="1"/>
  <c r="CE240" i="1"/>
  <c r="CF183" i="1"/>
  <c r="CF251" i="1"/>
  <c r="CE237" i="1"/>
  <c r="BV283" i="1"/>
  <c r="CD283" i="1" s="1"/>
  <c r="BV179" i="1"/>
  <c r="BW233" i="1"/>
  <c r="CE313" i="1"/>
  <c r="BV128" i="1"/>
  <c r="CD128" i="1" s="1"/>
  <c r="CE128" i="1" s="1"/>
  <c r="CE298" i="1"/>
  <c r="CE198" i="1"/>
  <c r="CE264" i="1"/>
  <c r="BW264" i="1"/>
  <c r="CF267" i="1"/>
  <c r="CF125" i="1"/>
  <c r="CE300" i="1"/>
  <c r="CE187" i="1"/>
  <c r="CF252" i="1"/>
  <c r="BW184" i="1"/>
  <c r="CE229" i="1"/>
  <c r="CE207" i="1"/>
  <c r="CF313" i="1"/>
  <c r="CE252" i="1"/>
  <c r="BW231" i="1"/>
  <c r="BV231" i="1"/>
  <c r="CD231" i="1" s="1"/>
  <c r="BV126" i="1"/>
  <c r="CD126" i="1" s="1"/>
  <c r="CE126" i="1" s="1"/>
  <c r="BV281" i="1"/>
  <c r="CD281" i="1" s="1"/>
  <c r="CE184" i="1"/>
  <c r="CF187" i="1"/>
  <c r="BW153" i="1"/>
  <c r="BV153" i="1"/>
  <c r="CD153" i="1" s="1"/>
  <c r="BV266" i="1"/>
  <c r="BW266" i="1"/>
  <c r="BV155" i="1"/>
  <c r="CD155" i="1" s="1"/>
  <c r="CE155" i="1" s="1"/>
  <c r="BW155" i="1"/>
  <c r="CE285" i="1"/>
  <c r="CE186" i="1"/>
  <c r="BW193" i="1"/>
  <c r="BV193" i="1"/>
  <c r="CD193" i="1" s="1"/>
  <c r="CE193" i="1" s="1"/>
  <c r="BV127" i="1"/>
  <c r="CD127" i="1" s="1"/>
  <c r="BW127" i="1"/>
  <c r="BV286" i="1"/>
  <c r="CD286" i="1" s="1"/>
  <c r="BW286" i="1"/>
  <c r="BW261" i="1"/>
  <c r="BV261" i="1"/>
  <c r="CF234" i="1"/>
  <c r="CF193" i="1"/>
  <c r="CE299" i="1"/>
  <c r="BV268" i="1"/>
  <c r="CD268" i="1" s="1"/>
  <c r="BW268" i="1"/>
  <c r="BV208" i="1"/>
  <c r="CD208" i="1" s="1"/>
  <c r="BW208" i="1"/>
  <c r="CE125" i="1"/>
  <c r="CF253" i="1"/>
  <c r="CE278" i="1"/>
  <c r="BV219" i="1"/>
  <c r="CD219" i="1" s="1"/>
  <c r="BW219" i="1"/>
  <c r="BV271" i="1"/>
  <c r="CD271" i="1" s="1"/>
  <c r="CE271" i="1" s="1"/>
  <c r="BW271" i="1"/>
  <c r="BW171" i="1"/>
  <c r="BV171" i="1"/>
  <c r="CD171" i="1" s="1"/>
  <c r="CE171" i="1" s="1"/>
  <c r="CF198" i="1"/>
  <c r="CE183" i="1"/>
  <c r="CF285" i="1"/>
  <c r="CF117" i="1"/>
  <c r="CE234" i="1"/>
  <c r="BW262" i="1"/>
  <c r="BV262" i="1"/>
  <c r="CD262" i="1" s="1"/>
  <c r="BV265" i="1"/>
  <c r="CD265" i="1" s="1"/>
  <c r="BW265" i="1"/>
  <c r="BV131" i="1"/>
  <c r="CD131" i="1" s="1"/>
  <c r="BW131" i="1"/>
  <c r="BV218" i="1"/>
  <c r="CD218" i="1" s="1"/>
  <c r="BW218" i="1"/>
  <c r="BV199" i="1"/>
  <c r="CD199" i="1" s="1"/>
  <c r="BW199" i="1"/>
  <c r="BV302" i="1"/>
  <c r="CD302" i="1" s="1"/>
  <c r="BW302" i="1"/>
  <c r="BW230" i="1"/>
  <c r="BV230" i="1"/>
  <c r="CD230" i="1" s="1"/>
  <c r="BW312" i="1"/>
  <c r="BV312" i="1"/>
  <c r="CD312" i="1" s="1"/>
  <c r="CE312" i="1" s="1"/>
  <c r="CF124" i="1"/>
  <c r="CE124" i="1"/>
  <c r="BV290" i="1"/>
  <c r="CD290" i="1" s="1"/>
  <c r="BW290" i="1"/>
  <c r="CE311" i="1"/>
  <c r="CE267" i="1"/>
  <c r="CF299" i="1"/>
  <c r="CF207" i="1"/>
  <c r="CE209" i="1"/>
  <c r="CE239" i="1"/>
  <c r="CE200" i="1" l="1"/>
  <c r="CF282" i="1"/>
  <c r="CF152" i="1"/>
  <c r="CE283" i="1"/>
  <c r="CF283" i="1"/>
  <c r="CF171" i="1"/>
  <c r="CF126" i="1"/>
  <c r="CF128" i="1"/>
  <c r="CF281" i="1"/>
  <c r="CE281" i="1"/>
  <c r="CE231" i="1"/>
  <c r="CF231" i="1"/>
  <c r="CF312" i="1"/>
  <c r="CF127" i="1"/>
  <c r="CE127" i="1"/>
  <c r="CE153" i="1"/>
  <c r="CF153" i="1"/>
  <c r="CE286" i="1"/>
  <c r="CF286" i="1"/>
  <c r="CF155" i="1"/>
  <c r="CE219" i="1"/>
  <c r="CF219" i="1"/>
  <c r="CE208" i="1"/>
  <c r="CF208" i="1"/>
  <c r="CE268" i="1"/>
  <c r="CF268" i="1"/>
  <c r="CE230" i="1"/>
  <c r="CF230" i="1"/>
  <c r="CE199" i="1"/>
  <c r="CF199" i="1"/>
  <c r="CE262" i="1"/>
  <c r="CF262" i="1"/>
  <c r="CF271" i="1"/>
  <c r="CE218" i="1"/>
  <c r="CF218" i="1"/>
  <c r="CF290" i="1"/>
  <c r="CE290" i="1"/>
  <c r="CE302" i="1"/>
  <c r="CF302" i="1"/>
  <c r="CE265" i="1"/>
  <c r="CF2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TRW User</author>
    <author>Windows User</author>
  </authors>
  <commentList>
    <comment ref="CC20" authorId="0" shapeId="0" xr:uid="{00000000-0006-0000-0000-000001000000}">
      <text>
        <r>
          <rPr>
            <sz val="11"/>
            <color indexed="8"/>
            <rFont val="Calibri"/>
            <family val="2"/>
          </rPr>
          <t>TRW User:
Mike mentioned verbally</t>
        </r>
        <r>
          <rPr>
            <sz val="10"/>
            <rFont val="Arial"/>
            <family val="2"/>
          </rPr>
          <t xml:space="preserve">
19.68 (at 80% of Vmax at 1g dec.(value from January 2012)</t>
        </r>
      </text>
    </comment>
    <comment ref="Y72" authorId="1" shapeId="0" xr:uid="{00000000-0006-0000-0000-000002000000}">
      <text>
        <r>
          <rPr>
            <b/>
            <sz val="8"/>
            <color indexed="81"/>
            <rFont val="Tahoma"/>
            <charset val="1"/>
          </rPr>
          <t>BI Textured</t>
        </r>
      </text>
    </comment>
    <comment ref="Y74" authorId="1" shapeId="0" xr:uid="{00000000-0006-0000-0000-000003000000}">
      <text>
        <r>
          <rPr>
            <b/>
            <sz val="8"/>
            <color indexed="81"/>
            <rFont val="Tahoma"/>
            <charset val="1"/>
          </rPr>
          <t>BI Textured</t>
        </r>
      </text>
    </comment>
  </commentList>
</comments>
</file>

<file path=xl/sharedStrings.xml><?xml version="1.0" encoding="utf-8"?>
<sst xmlns="http://schemas.openxmlformats.org/spreadsheetml/2006/main" count="17198" uniqueCount="4381">
  <si>
    <t>240 HOURS
10% MAX RUST</t>
  </si>
  <si>
    <t>52010080 AE</t>
  </si>
  <si>
    <t>WORWAG  WG102-922</t>
  </si>
  <si>
    <t>445.9
482
509</t>
  </si>
  <si>
    <t>01.010
C001-05
C012-04</t>
  </si>
  <si>
    <t>KJ
LIBERTY</t>
  </si>
  <si>
    <t>52128347 AA</t>
  </si>
  <si>
    <t>390
478.45</t>
  </si>
  <si>
    <t>00.163 B
C016-00</t>
  </si>
  <si>
    <t>XJ/TJ
CHEROKEE &amp; WRANGLER</t>
  </si>
  <si>
    <t>1999-2001</t>
  </si>
  <si>
    <t>52008440 AB
(DANA 49979)</t>
  </si>
  <si>
    <t>C 010-00</t>
  </si>
  <si>
    <t>FORD PASS CAR</t>
  </si>
  <si>
    <t>S197
 MUSTANG BASE</t>
  </si>
  <si>
    <t>408
392
359
385</t>
  </si>
  <si>
    <t>F067-02
F068-02
F118-03
F108-03</t>
  </si>
  <si>
    <t>356
362</t>
  </si>
  <si>
    <t>F095-03
F096-03</t>
  </si>
  <si>
    <t>C008-02</t>
  </si>
  <si>
    <t>DC-JTE</t>
  </si>
  <si>
    <t>YOUNGLOVE</t>
  </si>
  <si>
    <t>52855394AA</t>
  </si>
  <si>
    <t>CMS</t>
  </si>
  <si>
    <t>FULLCAST VENTED</t>
  </si>
  <si>
    <t>MSC PCX28.10</t>
  </si>
  <si>
    <t>59.7,59.7</t>
  </si>
  <si>
    <t>Silver bleached zinc chromate to TS3-21-37</t>
  </si>
  <si>
    <t>15.6 est.</t>
  </si>
  <si>
    <t>3.37 (15")  3.89 (16")</t>
  </si>
  <si>
    <t xml:space="preserve"> 4.1 (15")  4.5 (16")</t>
  </si>
  <si>
    <t>2001 GMT 250/257</t>
  </si>
  <si>
    <t>13539501/02 (15") 13540901/02 (16")</t>
  </si>
  <si>
    <t>10424420/1 (15") 10424422/3 (16")</t>
  </si>
  <si>
    <t>13539601/02</t>
  </si>
  <si>
    <t>Fiberite F1 with cap</t>
  </si>
  <si>
    <t>2002 GMT 200 front</t>
  </si>
  <si>
    <t>13540901/02</t>
  </si>
  <si>
    <t>10424422/3</t>
  </si>
  <si>
    <t>CII 66/28/12</t>
  </si>
  <si>
    <t>2847 / 1071</t>
  </si>
  <si>
    <t>Fiberite F1</t>
  </si>
  <si>
    <t>T1                   
 U222 - Expedition
U228 Navigator 
U354 - Stretched Espedition</t>
  </si>
  <si>
    <t>VPCC1561/2-0</t>
  </si>
  <si>
    <t>Tao</t>
  </si>
  <si>
    <t>1148 / 2234</t>
  </si>
  <si>
    <t>TMD TX2024TX</t>
  </si>
  <si>
    <t>Rubore RPNS14001</t>
  </si>
  <si>
    <t xml:space="preserve">A357 T6, D5506 </t>
  </si>
  <si>
    <t>Housing: black anodizing - Adaptor: Zinc Cobalt</t>
  </si>
  <si>
    <t>Lincoln Sport, Jaguar X350</t>
  </si>
  <si>
    <t>Jul.- 02</t>
  </si>
  <si>
    <t>16 + 54</t>
  </si>
  <si>
    <t>SK13944205 / 06</t>
  </si>
  <si>
    <t>3W43-2K327/328-AD</t>
  </si>
  <si>
    <t>SK14306301</t>
  </si>
  <si>
    <t xml:space="preserve">P356  SOUTH AMERICA
F-250/350 SRW PICK-UP 
</t>
  </si>
  <si>
    <t>P356
F450 / 550, PICKUP / STRIP CHASSIS</t>
  </si>
  <si>
    <t>SPINDLE PRESSED INTO CARTRIDGE BEARING</t>
  </si>
  <si>
    <t>SPINDLE CRITICAL DIA - 94.05 MM</t>
  </si>
  <si>
    <t>5C34-1102-FJ</t>
  </si>
  <si>
    <t>P356
F350 DRW</t>
  </si>
  <si>
    <t>P356
 F350 DRW</t>
  </si>
  <si>
    <t>Double Link</t>
  </si>
  <si>
    <t>F250/350 (P356)</t>
  </si>
  <si>
    <t>8C34-2209-AA(RH)
8C34-2210-AA (LH)</t>
  </si>
  <si>
    <t>MAGNI C40</t>
  </si>
  <si>
    <t>2012
(Magni C40)</t>
  </si>
  <si>
    <t>GRAY IRON
WSS-M1A176-B2</t>
  </si>
  <si>
    <t>16499401/02</t>
  </si>
  <si>
    <t xml:space="preserve">Akebono NS317             </t>
  </si>
  <si>
    <t>BRAKE PLATE
THICKNESS
VARIATION
(MM)</t>
  </si>
  <si>
    <t>HUB MOUNT
SURFACE
FLATNESS
(MM)</t>
  </si>
  <si>
    <t>STATIC
IMBALANCE
(G-CM)</t>
  </si>
  <si>
    <t>VEHICLE
CURB WEIGHT
(KG)</t>
  </si>
  <si>
    <t>VEHICLE
GVWR
(KG)</t>
  </si>
  <si>
    <t>FRONT AXLE
GVWR
(KG)</t>
  </si>
  <si>
    <t>13862301/02</t>
  </si>
  <si>
    <t>Vorwerk</t>
  </si>
  <si>
    <t>M10 x 1.5 inlet / M10 x 1.0 bleed</t>
  </si>
  <si>
    <t>M</t>
  </si>
  <si>
    <t>D4512 - hsg, D5506-brkt</t>
  </si>
  <si>
    <t>Clear Zinc Trivalent</t>
  </si>
  <si>
    <t>tbd</t>
  </si>
  <si>
    <t>Valle</t>
  </si>
  <si>
    <t>RPS 36+36/30/11.8</t>
  </si>
  <si>
    <t>1686.6/3650</t>
  </si>
  <si>
    <t>20" &amp; 22"</t>
  </si>
  <si>
    <t>Durez 29502B</t>
  </si>
  <si>
    <t>TMD TX4045TB FF</t>
  </si>
  <si>
    <t>Wolverine MS18027</t>
  </si>
  <si>
    <t>NRS</t>
  </si>
  <si>
    <t>-</t>
  </si>
  <si>
    <t>TS2-11-83/D5506</t>
  </si>
  <si>
    <t>Zinc Plating:  TS2-21-04  Red PCoat:  TS2-24-106</t>
  </si>
  <si>
    <t>2004.5 SRT10 Rear</t>
  </si>
  <si>
    <t>C149901 00</t>
  </si>
  <si>
    <t>05290370AA/371AA</t>
  </si>
  <si>
    <t>149430 01</t>
  </si>
  <si>
    <t>149431 00</t>
  </si>
  <si>
    <t>T. Stermer</t>
  </si>
  <si>
    <t>M10 x 1.0 -6H Bleed</t>
  </si>
  <si>
    <t>1686.6 Nm</t>
  </si>
  <si>
    <t>Power</t>
  </si>
  <si>
    <t>VN127
E-250/350 SRW</t>
  </si>
  <si>
    <t>DAMPED GRAY IRON  
WSS-M1A176-B3</t>
  </si>
  <si>
    <t>17441101/02</t>
  </si>
  <si>
    <t xml:space="preserve">Ford LS6-LS8, Jaguar X200, Thunderbird </t>
  </si>
  <si>
    <t>213 + 50</t>
  </si>
  <si>
    <t>VCFD 0264-7/5-5</t>
  </si>
  <si>
    <t>1W43-2K327/328-AB</t>
  </si>
  <si>
    <t>VFCC 2427-9</t>
  </si>
  <si>
    <t>RPS 34/9/11</t>
  </si>
  <si>
    <t>813 / 813</t>
  </si>
  <si>
    <t>Livonia</t>
  </si>
  <si>
    <t>14"</t>
  </si>
  <si>
    <t>Durez 29502</t>
  </si>
  <si>
    <t>TMD 2006</t>
  </si>
  <si>
    <t>MSC-1.18</t>
  </si>
  <si>
    <t>NAO</t>
  </si>
  <si>
    <t>I.M.</t>
  </si>
  <si>
    <t>25.3, 25.3</t>
  </si>
  <si>
    <t>N</t>
  </si>
  <si>
    <t>13781701/02</t>
  </si>
  <si>
    <t>Livonia/Nissh</t>
  </si>
  <si>
    <t>Haataja</t>
  </si>
  <si>
    <t>JBI</t>
  </si>
  <si>
    <t>NL85-EE</t>
  </si>
  <si>
    <t>CAMI</t>
  </si>
  <si>
    <t xml:space="preserve"> (Suzuki) Geo Tracker</t>
  </si>
  <si>
    <t>PRODUCT
ENGINEER</t>
  </si>
  <si>
    <t>PROD.
MODEL
YEAR
START</t>
  </si>
  <si>
    <t>MACHINING
PLANT</t>
  </si>
  <si>
    <t>TRW
ASSEMBLY</t>
  </si>
  <si>
    <t>ROTOR
FINISH</t>
  </si>
  <si>
    <t>CII 43+43/30-11</t>
  </si>
  <si>
    <t>2234 / 769</t>
  </si>
  <si>
    <t>16"/  17"&amp;18"</t>
  </si>
  <si>
    <t>Akebono NS307H</t>
  </si>
  <si>
    <t>MSC19.1</t>
  </si>
  <si>
    <t>357-T6</t>
  </si>
  <si>
    <t>MAXIMUM
VEHICLE
SPEED
(KPH)</t>
  </si>
  <si>
    <t>ROLLING
RADIUS
@ GVW
(MM)</t>
  </si>
  <si>
    <t>CENTER OF 
GRAVITY
HEIGHT @GVW
(MM)</t>
  </si>
  <si>
    <t>WHEEL
BASE
(MM)</t>
  </si>
  <si>
    <t>FRONT
LOADING
@ 0.5 G
DECEL
(%)</t>
  </si>
  <si>
    <t>MAX. PRINCIPAL TENSILE STRESS FROM PEAK BRAKE TORQUE (MPA)</t>
  </si>
  <si>
    <t>100Km/h FADE
10th STOP TEMP RISE OVER IBT
(DEGREES C)</t>
  </si>
  <si>
    <t>VEHICLE
TEST
REPORT
NUMBER</t>
  </si>
  <si>
    <t>AM
GENERAL</t>
  </si>
  <si>
    <t>HUMMER
A3</t>
  </si>
  <si>
    <t>WOZNIAK</t>
  </si>
  <si>
    <t>KINGSWAY</t>
  </si>
  <si>
    <t>WAUPACA</t>
  </si>
  <si>
    <t>GRAY IRON</t>
  </si>
  <si>
    <t>FULLCAST
VENTED</t>
  </si>
  <si>
    <t>NONE</t>
  </si>
  <si>
    <t>N/A</t>
  </si>
  <si>
    <t>6 X 110.0</t>
  </si>
  <si>
    <t>TURNED</t>
  </si>
  <si>
    <t>HUMMER
M11-13 &amp; M11-14</t>
  </si>
  <si>
    <t>DANA</t>
  </si>
  <si>
    <t>EX4857</t>
  </si>
  <si>
    <t>FULLCAST
SOLID</t>
  </si>
  <si>
    <t>DAIMLER
CHRYSLER</t>
  </si>
  <si>
    <t>JR/JX
CIRRUS, STRATUS, SEBRING &amp; BREEZE</t>
  </si>
  <si>
    <t>NAGHER</t>
  </si>
  <si>
    <t>Pad Shear stress based on Ideal Torque (N/cm2)</t>
  </si>
  <si>
    <t>Pad Power Loading based on Actual Torque (W/cm2)</t>
  </si>
  <si>
    <t>Assumed lining mu</t>
  </si>
  <si>
    <t>Ideal Torque 1.1 g forward for fronts and 0.9g reverse for rear (Nm)</t>
  </si>
  <si>
    <t>Products Spreadsheet Update Date</t>
  </si>
  <si>
    <t>1L14-2B663-AA</t>
  </si>
  <si>
    <t>ECONOLINE
E-150 VAN/W/O ABS</t>
  </si>
  <si>
    <t>XC25-1102-B</t>
  </si>
  <si>
    <t>5 X 139.70</t>
  </si>
  <si>
    <t>17" (all calipers) 18" (for NAO Lining material only)</t>
  </si>
  <si>
    <t>GMX 390 / GMX 391</t>
  </si>
  <si>
    <t>cancelled</t>
  </si>
  <si>
    <t>Banner/Signia</t>
  </si>
  <si>
    <t>Brighton, MI</t>
  </si>
  <si>
    <t>Lansing, MI</t>
  </si>
  <si>
    <t>16"/17"</t>
  </si>
  <si>
    <t>300.0 x 28.0</t>
  </si>
  <si>
    <t>2x43 - C2</t>
  </si>
  <si>
    <t>Rear Gen2</t>
  </si>
  <si>
    <t>X13884601/02</t>
  </si>
  <si>
    <t>1X216125A/126A</t>
  </si>
  <si>
    <t>MUSTANG (SN95)</t>
  </si>
  <si>
    <t>Varga</t>
  </si>
  <si>
    <t>VCFD 0216-7/7-5</t>
  </si>
  <si>
    <t>1R33-2K327/328-AB</t>
  </si>
  <si>
    <t>VFCC 2386-8/7-6</t>
  </si>
  <si>
    <t>VPCC 0400-0/1-0</t>
  </si>
  <si>
    <t>Seigle</t>
  </si>
  <si>
    <t>M10 x 1.5</t>
  </si>
  <si>
    <t>CI HL 38/16/10</t>
  </si>
  <si>
    <t>17"</t>
  </si>
  <si>
    <t>25.6, 25.6</t>
  </si>
  <si>
    <t>Zinc / black</t>
  </si>
  <si>
    <t>COBRA / Bullit (SN95)</t>
  </si>
  <si>
    <t>VCFD 0237-1/8-8</t>
  </si>
  <si>
    <t>1R33-2K327/8-BB  Cobra, 1R33-2K3427 / 8-CB - Bullit</t>
  </si>
  <si>
    <t>VPCC 2607-1/8-8</t>
  </si>
  <si>
    <t>CI HL 43/14/11</t>
  </si>
  <si>
    <t>17097101/02</t>
  </si>
  <si>
    <t>17025201/02</t>
  </si>
  <si>
    <t>Explorer (U502)</t>
  </si>
  <si>
    <t>17791801/02</t>
  </si>
  <si>
    <t>BB53-2K327/8-JA</t>
  </si>
  <si>
    <t>VENT OPENING WIDTH
@ O.D.
(MM)</t>
  </si>
  <si>
    <t>Durez w/o cap</t>
  </si>
  <si>
    <t xml:space="preserve">17" </t>
  </si>
  <si>
    <t>FINISHED
WEIGHT
(KG)</t>
  </si>
  <si>
    <t>KINNEY</t>
  </si>
  <si>
    <t>VARGA-Brazil</t>
  </si>
  <si>
    <t>DM
4500/5500 DODGE RAM</t>
  </si>
  <si>
    <t>MAGNI B09G</t>
  </si>
  <si>
    <t>DM
4500/5500 Dodge Ram</t>
  </si>
  <si>
    <t xml:space="preserve">DAMPED GRAY IRON MS-10179 GRADE A
</t>
  </si>
  <si>
    <t>VN127
E-350/450 DRW</t>
  </si>
  <si>
    <t>VN127
E-150/250/350 SRW</t>
  </si>
  <si>
    <t>BRAKE
PLATE
THERMAL
MASS
(KG)</t>
  </si>
  <si>
    <t>VENT PASSAGE
THERMAL
CONVECTIVE
SURFACE AREA
(CM^2)</t>
  </si>
  <si>
    <t>BRAKE PLATE
FRICTION
SURFACE AREA
(CM^2)</t>
  </si>
  <si>
    <t>BRAKE
SURFACE
FINISH
METHOD</t>
  </si>
  <si>
    <t>BRAKE
PLATE
LATERAL
RUNOUT
(MM)</t>
  </si>
  <si>
    <t>INTERMET</t>
  </si>
  <si>
    <t>FM2234</t>
  </si>
  <si>
    <t>16499201/02</t>
  </si>
  <si>
    <t xml:space="preserve">HE caliper, V5 Parametric </t>
  </si>
  <si>
    <t>Sanders</t>
  </si>
  <si>
    <t>Brake Type - 
Front or Rear</t>
  </si>
  <si>
    <t>Production
Model
Year
Start</t>
  </si>
  <si>
    <t>D5506</t>
  </si>
  <si>
    <t>SURFINCO IF2935I</t>
  </si>
  <si>
    <t>TMD 2006 Taurus, 2016 Continental</t>
  </si>
  <si>
    <t>MSC 1.18</t>
  </si>
  <si>
    <t>22, 22</t>
  </si>
  <si>
    <t>TAURUS (DN101), CONTINENTAL (FN74)</t>
  </si>
  <si>
    <t>56 + 24</t>
  </si>
  <si>
    <t>68026856/55 AD</t>
  </si>
  <si>
    <t>RPS 60+60/39/14.6</t>
  </si>
  <si>
    <t>Standard BIC</t>
  </si>
  <si>
    <t>(N-m)</t>
  </si>
  <si>
    <t>Current Production</t>
  </si>
  <si>
    <t>DIH</t>
  </si>
  <si>
    <t>w/ABS</t>
  </si>
  <si>
    <t>Kava</t>
  </si>
  <si>
    <t>Nisshinbo</t>
  </si>
  <si>
    <t>NAC D9097 FE</t>
  </si>
  <si>
    <t>bonded</t>
  </si>
  <si>
    <t>CIRRUS/STRATUS (JR)</t>
  </si>
  <si>
    <t>JAC</t>
  </si>
  <si>
    <t>4616538/39</t>
  </si>
  <si>
    <t>12810701/02</t>
  </si>
  <si>
    <t>manual</t>
  </si>
  <si>
    <t>w/o ABS</t>
  </si>
  <si>
    <t>04790302/03</t>
  </si>
  <si>
    <t>12810703/04</t>
  </si>
  <si>
    <t>04509560AB/61AB</t>
  </si>
  <si>
    <t>13864601/02</t>
  </si>
  <si>
    <t>04509558AB/59AB</t>
  </si>
  <si>
    <t>13864603/04</t>
  </si>
  <si>
    <t>PT Cruiser (PT-44)</t>
  </si>
  <si>
    <t>04860030AB/31AB</t>
  </si>
  <si>
    <t>13864701/02</t>
  </si>
  <si>
    <t>PT Cruiser Turbo (PT-44 Turbo)</t>
  </si>
  <si>
    <t>05273160AA/61AA</t>
  </si>
  <si>
    <t>Nisshinbo N550H</t>
  </si>
  <si>
    <t>MSC 14.03</t>
  </si>
  <si>
    <t>Design Authority</t>
  </si>
  <si>
    <t>TYPE</t>
  </si>
  <si>
    <t>Inner</t>
  </si>
  <si>
    <t>Outer</t>
  </si>
  <si>
    <t>Integral</t>
  </si>
  <si>
    <t>Bolt-on</t>
  </si>
  <si>
    <t>Bolt-on with tie bar</t>
  </si>
  <si>
    <t>FEA</t>
  </si>
  <si>
    <t>LAB (rib steel block)</t>
  </si>
  <si>
    <t>Total - Caliper Ass'y with Bracket</t>
  </si>
  <si>
    <t>Bracket Machined</t>
  </si>
  <si>
    <t>53001/02-67D00</t>
  </si>
  <si>
    <t>34019524/25</t>
  </si>
  <si>
    <t>1199 (GG)</t>
  </si>
  <si>
    <t>GS (European Minivan)</t>
  </si>
  <si>
    <t>04721362/3AH</t>
  </si>
  <si>
    <t>Akebono</t>
  </si>
  <si>
    <t>A602-EE</t>
  </si>
  <si>
    <t>HS (Sentra)</t>
  </si>
  <si>
    <t>44010/00-42001</t>
  </si>
  <si>
    <t>34019528/29</t>
  </si>
  <si>
    <t>one-shot</t>
  </si>
  <si>
    <t>44010/00-4Z000</t>
  </si>
  <si>
    <t>34019526/27</t>
  </si>
  <si>
    <t>D9071A-FF</t>
  </si>
  <si>
    <t>Mazda</t>
  </si>
  <si>
    <t>ST44 (626/Probe)</t>
  </si>
  <si>
    <t>GA2A26980</t>
  </si>
  <si>
    <t>136194-03/04</t>
  </si>
  <si>
    <t>A901-FE</t>
  </si>
  <si>
    <t>ZQ (Altima)</t>
  </si>
  <si>
    <t>44010/00-02800</t>
  </si>
  <si>
    <t>13856301/02</t>
  </si>
  <si>
    <t>E250 / E350 SRW</t>
  </si>
  <si>
    <t>Front Gen1</t>
  </si>
  <si>
    <t>1C24-3B305/6-A</t>
  </si>
  <si>
    <t>326.0 x 30.0</t>
  </si>
  <si>
    <t>2x56 - RPS</t>
  </si>
  <si>
    <t>Haldex 7033-801</t>
  </si>
  <si>
    <t>E350 / E450 DRW</t>
  </si>
  <si>
    <t>1C24-3B305/6-C</t>
  </si>
  <si>
    <t>Chrysler</t>
  </si>
  <si>
    <t>Prowler</t>
  </si>
  <si>
    <t>Jackson, MI</t>
  </si>
  <si>
    <t>Detroit, MI</t>
  </si>
  <si>
    <t>313.5 x 20.0</t>
  </si>
  <si>
    <t>Dacromet plus</t>
  </si>
  <si>
    <t>60mm - RPS</t>
  </si>
  <si>
    <t>Gen 3</t>
  </si>
  <si>
    <t>Al.</t>
  </si>
  <si>
    <t>P-131 F-250/350 SRW PICK-UP
4X2 DRIVE W/O ABS</t>
  </si>
  <si>
    <t>130746 02</t>
  </si>
  <si>
    <t>130797 02</t>
  </si>
  <si>
    <t>= in production</t>
  </si>
  <si>
    <t>F7LC-1125-A</t>
  </si>
  <si>
    <t>THUNDERBIRD
(MN12)</t>
  </si>
  <si>
    <t>F5SC-1125-A</t>
  </si>
  <si>
    <t>SERMAGARD</t>
  </si>
  <si>
    <t>Younglove / Garrington</t>
  </si>
  <si>
    <t>CII 42+42/30/10</t>
  </si>
  <si>
    <t>CII 43+43/30/11</t>
  </si>
  <si>
    <t>CII 45+45/38/12</t>
  </si>
  <si>
    <t xml:space="preserve">CII 45+45/34/13 </t>
  </si>
  <si>
    <t xml:space="preserve">CII 51+51/34/13 </t>
  </si>
  <si>
    <t xml:space="preserve">F250/350 SRW (P473)  </t>
  </si>
  <si>
    <t xml:space="preserve">F250/350 DRW (P473)  </t>
  </si>
  <si>
    <t>CII 60+60/40/12.5</t>
  </si>
  <si>
    <t>Ram 2500/3500 SRW &amp; DRW (DC/DH/D1)</t>
  </si>
  <si>
    <t>Terminated or Cancelled Projects and Service Calipers</t>
  </si>
  <si>
    <t>SOLID OR VENTED</t>
  </si>
  <si>
    <t>VENTED</t>
  </si>
  <si>
    <t>OVERALL THICKNESS (MM)</t>
  </si>
  <si>
    <t>F250-3027/5483
F350 SRW-  4571/6942</t>
  </si>
  <si>
    <t xml:space="preserve">Durez w/ cap </t>
  </si>
  <si>
    <t>FM 2160 without Underlayer</t>
  </si>
  <si>
    <t>SAE 1040 &amp; MODIFIED
FORGED STEEL</t>
  </si>
  <si>
    <t>W706504-S436 (FORD)</t>
  </si>
  <si>
    <t>TIMKEN 3A.14 SPEC</t>
  </si>
  <si>
    <t>P-131
F-350 DRW PICK-UP 4X2 DRIVE W/O ABS</t>
  </si>
  <si>
    <t>GMT Sys 3</t>
  </si>
  <si>
    <t>4C24-2B120(1)-AE</t>
  </si>
  <si>
    <t>14586201/02</t>
  </si>
  <si>
    <t>RPS 2x56/30/13</t>
  </si>
  <si>
    <t>6101 / 1456</t>
  </si>
  <si>
    <t>Rubore RPNS 13901 (was Palmer -ACT IV)</t>
  </si>
  <si>
    <t>none</t>
  </si>
  <si>
    <t>P207
EXPLORER - SPORT TRAC</t>
  </si>
  <si>
    <t xml:space="preserve">
CHRYSLER PASS CAR</t>
  </si>
  <si>
    <t xml:space="preserve">
CHRYSLER TRUCK</t>
  </si>
  <si>
    <t>JK 
WRANGLER</t>
  </si>
  <si>
    <t>VN127
E450 DRW</t>
  </si>
  <si>
    <t>VN127
E350 DRW</t>
  </si>
  <si>
    <t xml:space="preserve"> 1996 E250/350/450  (VN127) FRONT</t>
  </si>
  <si>
    <t>13424501/02</t>
  </si>
  <si>
    <t>4C24-2B120/1-C</t>
  </si>
  <si>
    <t>Outboard lift stops</t>
  </si>
  <si>
    <t>RPS 2x56/32/13</t>
  </si>
  <si>
    <t>Clip-on, TBD</t>
  </si>
  <si>
    <t>TS2-11-083</t>
  </si>
  <si>
    <t>Haldex 7033-4B</t>
  </si>
  <si>
    <t>Palmer P-ACT IV</t>
  </si>
  <si>
    <t>RPS 2x56/35.5/13</t>
  </si>
  <si>
    <t>Surfinco IF 29351</t>
  </si>
  <si>
    <t>13297001/02</t>
  </si>
  <si>
    <t>52009666AA</t>
  </si>
  <si>
    <t>13297301/02</t>
  </si>
  <si>
    <t>13297201/02</t>
  </si>
  <si>
    <t>Midship lift stops; stretched</t>
  </si>
  <si>
    <t>RPS 56+56/35.5/13</t>
  </si>
  <si>
    <t>FM2170</t>
  </si>
  <si>
    <t>Wolverine MS-18027</t>
  </si>
  <si>
    <t>E-coat before mach'g</t>
  </si>
  <si>
    <t>13717801/02</t>
  </si>
  <si>
    <t>52010204AA/05AA</t>
  </si>
  <si>
    <t>13946801/02</t>
  </si>
  <si>
    <t>Midship lift stops</t>
  </si>
  <si>
    <t>RPS 56+56/35.5/12.4</t>
  </si>
  <si>
    <t>4705/1775</t>
  </si>
  <si>
    <t>Wolverine MS18035 1510-39</t>
  </si>
  <si>
    <t>Hsg: D-5506 Bkt:TS2-11-83</t>
  </si>
  <si>
    <t>2004.5 SRT10 Front</t>
  </si>
  <si>
    <t>C149626 01/02</t>
  </si>
  <si>
    <t>05290368AA/369AA</t>
  </si>
  <si>
    <t>134248 01</t>
  </si>
  <si>
    <t>P-131
F-350 DRW PICK-UP 4X2 DRIVE WITH ABS</t>
  </si>
  <si>
    <t>130797 07</t>
  </si>
  <si>
    <t>China: Jan-09
EU: Oct-08
NA: Feb-09
Kor: Jul-09</t>
  </si>
  <si>
    <t>MSC 40.0
MSC 39.2 (NAO)</t>
  </si>
  <si>
    <t>TMD 4140 (4EW)
Nisshinbo N541H</t>
  </si>
  <si>
    <t>TMD 4140 (4EW)
Nisshinbo N54H</t>
  </si>
  <si>
    <t>Taurus Base (D258/D385)</t>
  </si>
  <si>
    <t>CII HE 44/26/10</t>
  </si>
  <si>
    <t>98 (DR)
59 (HB)</t>
  </si>
  <si>
    <t xml:space="preserve">
146.7 </t>
  </si>
  <si>
    <t xml:space="preserve">
17" </t>
  </si>
  <si>
    <t>17759803 RH
17759804 LH</t>
  </si>
  <si>
    <t>17759703 RH
17759704 LH</t>
  </si>
  <si>
    <t>14413903 RH
14413904 LH</t>
  </si>
  <si>
    <t>16611203 RH
16611204 LH</t>
  </si>
  <si>
    <t>18050903 RH
18050904 LH</t>
  </si>
  <si>
    <t xml:space="preserve">                     </t>
  </si>
  <si>
    <t>65 mm</t>
  </si>
  <si>
    <t>70 mm</t>
  </si>
  <si>
    <t>100 mm</t>
  </si>
  <si>
    <t>DIMENSIONS</t>
  </si>
  <si>
    <t>WHEEL CYLINDER</t>
  </si>
  <si>
    <t>DESIGN</t>
  </si>
  <si>
    <t>MANUFACTURING</t>
  </si>
  <si>
    <t>ADJUSTER</t>
  </si>
  <si>
    <t>PARK BRAKE (@ 1300N Cable Force)</t>
  </si>
  <si>
    <t>Dia.</t>
  </si>
  <si>
    <t>Width</t>
  </si>
  <si>
    <t>Offset</t>
  </si>
  <si>
    <t>Seal</t>
  </si>
  <si>
    <t>Hsg. Mat'l</t>
  </si>
  <si>
    <t>Brake Factor</t>
  </si>
  <si>
    <t>Assy Weight</t>
  </si>
  <si>
    <t>ABS Sensor?</t>
  </si>
  <si>
    <t>Supplier</t>
  </si>
  <si>
    <t>Code</t>
  </si>
  <si>
    <t>GVW</t>
  </si>
  <si>
    <t>Tire RR</t>
  </si>
  <si>
    <t>Prod. Date</t>
  </si>
  <si>
    <t>VOLUME  (Brakes)</t>
  </si>
  <si>
    <t>TRW</t>
  </si>
  <si>
    <t>Type</t>
  </si>
  <si>
    <t>Thermo Clip?</t>
  </si>
  <si>
    <t>Nominal TSCC</t>
  </si>
  <si>
    <t>Lever Ratio</t>
  </si>
  <si>
    <t>Torque</t>
  </si>
  <si>
    <t>Cable Travel</t>
  </si>
  <si>
    <t>(mm)</t>
  </si>
  <si>
    <t>(kg)</t>
  </si>
  <si>
    <t>(X1000/YR)</t>
  </si>
  <si>
    <t>DG13-2K327-AF
DG13-2K328-AF</t>
  </si>
  <si>
    <t>18208407
18208408</t>
  </si>
  <si>
    <t>High BIC</t>
  </si>
  <si>
    <t>WORWAG   
   WG102-922</t>
  </si>
  <si>
    <t>Housing Casting</t>
  </si>
  <si>
    <t>Housing Machined</t>
  </si>
  <si>
    <t>Bracket Casting</t>
  </si>
  <si>
    <t>Job 1 Date</t>
  </si>
  <si>
    <t>7864 / 3402</t>
  </si>
  <si>
    <t xml:space="preserve">12734 / 14153 </t>
  </si>
  <si>
    <t>CII 60+60/38/12</t>
  </si>
  <si>
    <t>4197 / 1385</t>
  </si>
  <si>
    <t>15451802
15451803</t>
  </si>
  <si>
    <t>7990 /  3027</t>
  </si>
  <si>
    <t xml:space="preserve">CII 60+60/39-14 </t>
  </si>
  <si>
    <t xml:space="preserve">CII 66+66/39/14 </t>
  </si>
  <si>
    <t>CII HR 45/12/11</t>
  </si>
  <si>
    <t>CII HR 45/12/12</t>
  </si>
  <si>
    <t>4490 / 1035</t>
  </si>
  <si>
    <t xml:space="preserve">Rubore MD1233          
clip on </t>
  </si>
  <si>
    <t>7444 / 7782</t>
  </si>
  <si>
    <t>15890107 RH
15890108 LH</t>
  </si>
  <si>
    <t>52013506-AJ RH
52013507-AJ LH</t>
  </si>
  <si>
    <t>5062 / 1707 ND,DR
4897 / 1444 HB</t>
  </si>
  <si>
    <t>135.4 ND
146.7 DR/HB</t>
  </si>
  <si>
    <t>403 DR/ND
378 HB</t>
  </si>
  <si>
    <t>3569 DR/ND
3022 HB</t>
  </si>
  <si>
    <t>4144 / 4144</t>
  </si>
  <si>
    <t>5745 / 8725</t>
  </si>
  <si>
    <t>6070 / 9394</t>
  </si>
  <si>
    <t>391 JK
375 KA</t>
  </si>
  <si>
    <t>2946 JK
2763 KA</t>
  </si>
  <si>
    <t>730 JK 
703 KA</t>
  </si>
  <si>
    <t>730 JK 
703 KK</t>
  </si>
  <si>
    <t>2946 JK
2763 KK</t>
  </si>
  <si>
    <t>391 JK
375 KK</t>
  </si>
  <si>
    <t>52009810/11</t>
  </si>
  <si>
    <t>13107201/02</t>
  </si>
  <si>
    <t>13469201/2</t>
  </si>
  <si>
    <t>RPS 2X54/30/11</t>
  </si>
  <si>
    <t>B-VAN LIGHT DUTY FRONT</t>
  </si>
  <si>
    <t>14116101/02</t>
  </si>
  <si>
    <t>C HR 38/8.9/10</t>
  </si>
  <si>
    <t>T.S. 2-11-83</t>
  </si>
  <si>
    <t>T.S. 2-21-71</t>
  </si>
  <si>
    <t>Nisshinbo D6234</t>
  </si>
  <si>
    <t>29.8,29.8</t>
  </si>
  <si>
    <t>CII HR 41/11.9/11</t>
  </si>
  <si>
    <t>JETTA (PQ35)</t>
  </si>
  <si>
    <t>Ferodo 139-60 (A)</t>
  </si>
  <si>
    <t>37,37</t>
  </si>
  <si>
    <t>1K0 615 405/406 DP</t>
  </si>
  <si>
    <t>32333227/28</t>
  </si>
  <si>
    <t>BORA (PQ 35)</t>
  </si>
  <si>
    <t>NAC D6234</t>
  </si>
  <si>
    <t>1K0 615 405/406 FF</t>
  </si>
  <si>
    <t>AKEBONO NS265H</t>
  </si>
  <si>
    <t>CII HR 41/12/10.5</t>
  </si>
  <si>
    <t>CII HR 41/23/10.5</t>
  </si>
  <si>
    <t>52009804/05 -AE</t>
  </si>
  <si>
    <t>13711703/04</t>
  </si>
  <si>
    <t>OVERSEAS EXPORT</t>
  </si>
  <si>
    <t>P-131 
F-350 DRW PICK-UP</t>
  </si>
  <si>
    <t>GMT560 
DRW STRIP CHASSIS</t>
  </si>
  <si>
    <t>Handed Adaptor Castings, Midship lift stops</t>
  </si>
  <si>
    <t>RPS 2x54/28/12</t>
  </si>
  <si>
    <t>2003 Durango (DN) Front</t>
  </si>
  <si>
    <t>14711701/2</t>
  </si>
  <si>
    <t>52010416/7-AB</t>
  </si>
  <si>
    <t>RPS 2x60/39/14.1 (Ft)</t>
  </si>
  <si>
    <t>9,186 / 5,800</t>
  </si>
  <si>
    <t>14478701/02</t>
  </si>
  <si>
    <t>15098184/85</t>
  </si>
  <si>
    <t xml:space="preserve">System 5A </t>
  </si>
  <si>
    <t>RPS 2x60/39/14.1 (Rr)</t>
  </si>
  <si>
    <t>9,192 / 9,192</t>
  </si>
  <si>
    <t>14478301/02</t>
  </si>
  <si>
    <t>15098186/87</t>
  </si>
  <si>
    <t xml:space="preserve">RPS 54+54/28/11.5
</t>
  </si>
  <si>
    <t xml:space="preserve">15890107/08
</t>
  </si>
  <si>
    <t xml:space="preserve">14900907/08
</t>
  </si>
  <si>
    <t xml:space="preserve">(ND)/(DR)/(HB) </t>
  </si>
  <si>
    <t xml:space="preserve">F250/350 SRW (P356) </t>
  </si>
  <si>
    <t>F350 DRW (P473)</t>
  </si>
  <si>
    <t>F350 DRW  (P356)</t>
  </si>
  <si>
    <t>Same as P356  (only DIH change)</t>
  </si>
  <si>
    <t>Mt V / Oak</t>
  </si>
  <si>
    <t>Mt V / Santa Rosa</t>
  </si>
  <si>
    <t>13424601/02</t>
  </si>
  <si>
    <t>13424701/02</t>
  </si>
  <si>
    <t>F250 - 3027/5483
F350-  4571/6942</t>
  </si>
  <si>
    <t>Not Available, asked Dan Cox, said no VW's ever run</t>
  </si>
  <si>
    <t xml:space="preserve">   59.9, 59.9 (LD)             63.3, 63.3 (HD)</t>
  </si>
  <si>
    <t>3C34-1107-BA (FORD)</t>
  </si>
  <si>
    <t>52010090/91-AF</t>
  </si>
  <si>
    <t>Brazil-Varga</t>
  </si>
  <si>
    <t>170 X 10</t>
  </si>
  <si>
    <t>INNER RACE - 13277501 OUTER RACE - 02285001</t>
  </si>
  <si>
    <t>275 X 8</t>
  </si>
  <si>
    <t>4x4 PICK-UP/SUV
W/ABS</t>
  </si>
  <si>
    <t>NOT APPLICABLE</t>
  </si>
  <si>
    <t>139.7 X 6</t>
  </si>
  <si>
    <t>HUB ONLY</t>
  </si>
  <si>
    <t>Rear Gen 1</t>
  </si>
  <si>
    <t>CUSTOMER
ASSEMBLY</t>
  </si>
  <si>
    <t>FOUNDRY</t>
  </si>
  <si>
    <t>MATERIAL</t>
  </si>
  <si>
    <t>BASIC
STYLE</t>
  </si>
  <si>
    <t>CORROSION
PROTECTION</t>
  </si>
  <si>
    <t>SALT SPRAY
RESISTANCE
(MIN. HOURS/ % RED RUST)</t>
  </si>
  <si>
    <t>BRAKE
PLATE
O.D.
(MM)</t>
  </si>
  <si>
    <t>BRAKE
PLATE
I.D.
(MM)</t>
  </si>
  <si>
    <t>PLATE
THICK.
(MM)</t>
  </si>
  <si>
    <t>BOLT
CIRCLE
(MM)</t>
  </si>
  <si>
    <t>WOODSTOCK</t>
  </si>
  <si>
    <t>04879138AC</t>
  </si>
  <si>
    <t>MTW</t>
  </si>
  <si>
    <t>DAMPED GRAY IRON</t>
  </si>
  <si>
    <t>DACROMET 320</t>
  </si>
  <si>
    <t>400 HOURS
10% MAX. RUST</t>
  </si>
  <si>
    <t>5 X 100.0</t>
  </si>
  <si>
    <t>PL
NEON</t>
  </si>
  <si>
    <t>05273038AA</t>
  </si>
  <si>
    <t>NEELON</t>
  </si>
  <si>
    <t>16484501/02</t>
  </si>
  <si>
    <t>16484303/4</t>
  </si>
  <si>
    <t>400 HOURS
10% MAX RUST</t>
  </si>
  <si>
    <t>PT-44 TURBO
PT CRUISER - TURBO CHARGED</t>
  </si>
  <si>
    <t>HAYES
LEMMERZ-Mexico</t>
  </si>
  <si>
    <t>43282R</t>
  </si>
  <si>
    <t xml:space="preserve">BRAKE SURFACE          100 HOURS
10% MAX RUST     </t>
  </si>
  <si>
    <t>GROUND</t>
  </si>
  <si>
    <t>BLACK PAINT</t>
  </si>
  <si>
    <t>96 HOURS
10% MAX RUST</t>
  </si>
  <si>
    <t>RS
CARAVAN &amp; VOYAGER/15" WHEELS</t>
  </si>
  <si>
    <t xml:space="preserve"> 04721830AB</t>
  </si>
  <si>
    <t>5 X 114.3</t>
  </si>
  <si>
    <t>CNC TURN-
GROUND</t>
  </si>
  <si>
    <t xml:space="preserve">7C34-1102-AA </t>
  </si>
  <si>
    <t xml:space="preserve">7C34-1102-BA </t>
  </si>
  <si>
    <t>16999601/02</t>
  </si>
  <si>
    <t>8R33-2B118/118-CB</t>
  </si>
  <si>
    <t>Mustang Rear (S197)</t>
  </si>
  <si>
    <t>17222901/02</t>
  </si>
  <si>
    <t>8R33-2K327/328-AA</t>
  </si>
  <si>
    <t>CI 43/19/11</t>
  </si>
  <si>
    <t>17260401/02</t>
  </si>
  <si>
    <t>9R33-2B118/119-AA</t>
  </si>
  <si>
    <t>17260301/02</t>
  </si>
  <si>
    <t>9R33-2B118/119-BA</t>
  </si>
  <si>
    <t>F7LC-1125-AA</t>
  </si>
  <si>
    <t>DN101
TAURUS &amp; SABLE</t>
  </si>
  <si>
    <t>F7DC-1125-AA</t>
  </si>
  <si>
    <t>FN10
MARK VIII</t>
  </si>
  <si>
    <t>F8LC-1125-AA</t>
  </si>
  <si>
    <t>FN145
TOWNCAR</t>
  </si>
  <si>
    <t>KARTHIK</t>
  </si>
  <si>
    <t>0.34 (PV)</t>
  </si>
  <si>
    <t>2004 Freestar(V229)</t>
  </si>
  <si>
    <t>13752105/06</t>
  </si>
  <si>
    <t>3F23-2B120/1-AH</t>
  </si>
  <si>
    <t>RPS 2x51/30/14</t>
  </si>
  <si>
    <t>MSC PCX28.8</t>
  </si>
  <si>
    <t>PN102/UN93/UN173</t>
  </si>
  <si>
    <t>XL34-2B120/1-EA</t>
  </si>
  <si>
    <t>13544601/02</t>
  </si>
  <si>
    <t>52010086/87-AA</t>
  </si>
  <si>
    <t>RPS 51+51/30-14</t>
  </si>
  <si>
    <t>13619301/02</t>
  </si>
  <si>
    <t>Daimler</t>
  </si>
  <si>
    <t>17711201/02</t>
  </si>
  <si>
    <t>Ford Pass Car</t>
  </si>
  <si>
    <t xml:space="preserve">PT Cruiser (PT44 Turbo) </t>
  </si>
  <si>
    <t xml:space="preserve">PT Cruiser (PT44) </t>
  </si>
  <si>
    <t>52125175AA</t>
  </si>
  <si>
    <t>17711501/02</t>
  </si>
  <si>
    <t>FM 720R (LD)                 F.P. 2086 (HD)</t>
  </si>
  <si>
    <t>SM   M</t>
  </si>
  <si>
    <t>Zinc/Olive Drab</t>
  </si>
  <si>
    <t xml:space="preserve">  14.3 (LD)   15.2 (HD)</t>
  </si>
  <si>
    <t>AMG</t>
  </si>
  <si>
    <t>10696706/10822404 (LD) 12833101/102 (HD)</t>
  </si>
  <si>
    <t>6006899/8 (LD) 6002217/15 (HD)</t>
  </si>
  <si>
    <t>RPS 66/9-11/</t>
  </si>
  <si>
    <t>266 (LD)  304.8 (HD)</t>
  </si>
  <si>
    <t xml:space="preserve">  56.1, 56.1 (LD)   68.8, 68.8 (HD)</t>
  </si>
  <si>
    <t xml:space="preserve">   23.4 (LD)    24.3 (HD)</t>
  </si>
  <si>
    <t>Mustang SE (S197)</t>
  </si>
  <si>
    <t>Performance Friction PFC42</t>
  </si>
  <si>
    <t>3479.8 / 4368.8</t>
  </si>
  <si>
    <t>P-131
F-350 DRW PICK-UP 4X4 DRIVE W/O ABS</t>
  </si>
  <si>
    <t>3C34-1102-KC</t>
  </si>
  <si>
    <t>3581.4 / 4470.4</t>
  </si>
  <si>
    <t>GM</t>
  </si>
  <si>
    <t>GMT 250/257
 AZTEC AWD/RENDEZVOUS</t>
  </si>
  <si>
    <t>RASSINI</t>
  </si>
  <si>
    <t>ADY00163</t>
  </si>
  <si>
    <t>MAGNI COAT
B09H</t>
  </si>
  <si>
    <t>168 HOURS
10% MAX RUST</t>
  </si>
  <si>
    <t>5 X 115.0</t>
  </si>
  <si>
    <t>GMT 250/257
PONTIAC AZTEC FWD</t>
  </si>
  <si>
    <t>A-5754</t>
  </si>
  <si>
    <t>ADY00003</t>
  </si>
  <si>
    <t>GM
TRUCK</t>
  </si>
  <si>
    <t>P-30 TRUCK
(JF9) w/ ABS</t>
  </si>
  <si>
    <t>WONG</t>
  </si>
  <si>
    <t>168 HOURS
10% MAX. RUST</t>
  </si>
  <si>
    <t>5 X 161</t>
  </si>
  <si>
    <t>CMW</t>
  </si>
  <si>
    <t>3500 SIERRA DRW &amp; VAN
(C-30/G-30/JB7)</t>
  </si>
  <si>
    <t>Ford LD Truck</t>
  </si>
  <si>
    <t>Banjo Inlet Port</t>
  </si>
  <si>
    <t>Hook Style Inlet Port</t>
  </si>
  <si>
    <t>Phenolic w/ cap</t>
  </si>
  <si>
    <t>FORD LD TRUCK</t>
  </si>
  <si>
    <t>Honeywell D7828</t>
  </si>
  <si>
    <t>MSC 3.2</t>
  </si>
  <si>
    <t>Housing = Ecoat, Adaptor = Zinc Cobalt</t>
  </si>
  <si>
    <t>2004 CARAVAN (RS)</t>
  </si>
  <si>
    <t>14932901/02</t>
  </si>
  <si>
    <t>04877650/1-AA (uncoated), 04721652/3-AA (coated)</t>
  </si>
  <si>
    <t>2519 / 1522</t>
  </si>
  <si>
    <t>FM 2111 domestic, Honeywell J632-20 Euro</t>
  </si>
  <si>
    <t>RPN C20901,  RPN61.07.01</t>
  </si>
  <si>
    <t>Wozniak</t>
  </si>
  <si>
    <t>V229
FREESTAR</t>
  </si>
  <si>
    <t>5F23-1125-A1</t>
  </si>
  <si>
    <t xml:space="preserve">240 HRS.
10% MAX RUST </t>
  </si>
  <si>
    <t>5X114.3</t>
  </si>
  <si>
    <t>Vehicle Development DVP&amp;R</t>
  </si>
  <si>
    <t>ANDERSON</t>
  </si>
  <si>
    <t>52060137AB</t>
  </si>
  <si>
    <t>5 X 127</t>
  </si>
  <si>
    <t>52109938AB</t>
  </si>
  <si>
    <t>FORD TRUCK</t>
  </si>
  <si>
    <t>ECONOLINE
E-250/350 SRW VAN/WITH ABS</t>
  </si>
  <si>
    <t>FAYETTE</t>
  </si>
  <si>
    <t>F8UA-1102-AA</t>
  </si>
  <si>
    <t>UNICAST
VENTED</t>
  </si>
  <si>
    <t>96 HOURS
10% MAX. RUST</t>
  </si>
  <si>
    <t>8 X 165.1</t>
  </si>
  <si>
    <t>N.A.</t>
  </si>
  <si>
    <t>2754.0/
3074.0</t>
  </si>
  <si>
    <t>ECONOLINE
E-350/450 DRW VAN / WITH ABS</t>
  </si>
  <si>
    <t>F8UA-1102-CA</t>
  </si>
  <si>
    <t>Vehicle Development Presentation</t>
  </si>
  <si>
    <t>ECONOLINE E350/450 DRW / WITHOUT ABS</t>
  </si>
  <si>
    <t>F8UA-1102-DA</t>
  </si>
  <si>
    <t>9 X 165.1</t>
  </si>
  <si>
    <t>ECONOLINE E150</t>
  </si>
  <si>
    <t>4C24-1102-AA</t>
  </si>
  <si>
    <t>5 x 139.7</t>
  </si>
  <si>
    <t>A166 423 53/54 98KZ</t>
  </si>
  <si>
    <t>A166 423 55/56 98KZ</t>
  </si>
  <si>
    <t>SK13762903 / 04</t>
  </si>
  <si>
    <t>SDRC</t>
  </si>
  <si>
    <t xml:space="preserve">D5506 </t>
  </si>
  <si>
    <t>Ford</t>
  </si>
  <si>
    <t>Jul.- 03</t>
  </si>
  <si>
    <t>4R332K327/8-A1</t>
  </si>
  <si>
    <t>VFCC2427-9</t>
  </si>
  <si>
    <t>CI HR 43/22/10</t>
  </si>
  <si>
    <t>997 / 1446</t>
  </si>
  <si>
    <t>17"&amp;18"</t>
  </si>
  <si>
    <t>Galfer 3214 FF</t>
  </si>
  <si>
    <t>SM</t>
  </si>
  <si>
    <t>33.7, 33.7</t>
  </si>
  <si>
    <t>2001 VIPER rear</t>
  </si>
  <si>
    <t>C13712500</t>
  </si>
  <si>
    <t>05290190 / 1 AA</t>
  </si>
  <si>
    <t>13712701 / 2</t>
  </si>
  <si>
    <t>CATIA</t>
  </si>
  <si>
    <t>Hummer-2 (H2)</t>
  </si>
  <si>
    <t>yes</t>
  </si>
  <si>
    <t>E350 EIVD</t>
  </si>
  <si>
    <t>F-550(PHN131)</t>
  </si>
  <si>
    <t>YC35-2209-DA</t>
  </si>
  <si>
    <t>F-450 (PHN131)</t>
  </si>
  <si>
    <t>17.5K</t>
  </si>
  <si>
    <t>YC-2209-EA</t>
  </si>
  <si>
    <t>C135117</t>
  </si>
  <si>
    <t>F53(Stripped Chassis) - Adapter only</t>
  </si>
  <si>
    <t>19K</t>
  </si>
  <si>
    <t>1C35-2B292-AA</t>
  </si>
  <si>
    <t>cup</t>
  </si>
  <si>
    <t>CGI</t>
  </si>
  <si>
    <t>DS</t>
  </si>
  <si>
    <t>Kwierant</t>
  </si>
  <si>
    <t>ASFM</t>
  </si>
  <si>
    <t>H3500FE/H3510EE</t>
  </si>
  <si>
    <t>15883101/02</t>
  </si>
  <si>
    <t>Durez  w/ cap</t>
  </si>
  <si>
    <t>FM</t>
  </si>
  <si>
    <t>15883301/02</t>
  </si>
  <si>
    <t>XJ/TJ (Cherokee/Wrangler)</t>
  </si>
  <si>
    <t>52008664AC/65AC</t>
  </si>
  <si>
    <t>13659705/06</t>
  </si>
  <si>
    <t>incremental</t>
  </si>
  <si>
    <t>52008666AC/67AC</t>
  </si>
  <si>
    <t>13659707/08</t>
  </si>
  <si>
    <t>DM</t>
  </si>
  <si>
    <t>Abex</t>
  </si>
  <si>
    <t>1162 (EE)</t>
  </si>
  <si>
    <t>riveted</t>
  </si>
  <si>
    <t>4779133AA</t>
  </si>
  <si>
    <t>LH
CONCORDE, INTREPID &amp; LHS/16" WHEELS</t>
  </si>
  <si>
    <t>4779101 AA</t>
  </si>
  <si>
    <t>NS -- CARAVAN &amp; VOYAGER/        PROWLER (15" WHEELS)</t>
  </si>
  <si>
    <t>4721820 AE</t>
  </si>
  <si>
    <t>F055-98</t>
  </si>
  <si>
    <t>NS
CARAVAN &amp; VOYAGER/14" WHEELS</t>
  </si>
  <si>
    <t>4683259 AC</t>
  </si>
  <si>
    <t>PROWLER</t>
  </si>
  <si>
    <t>VIPER</t>
  </si>
  <si>
    <t>BPI</t>
  </si>
  <si>
    <t>6 X 114.3</t>
  </si>
  <si>
    <t>C021-99</t>
  </si>
  <si>
    <t>DN
DURANGO</t>
  </si>
  <si>
    <t>52010418 AA</t>
  </si>
  <si>
    <t>431.67
408.89</t>
  </si>
  <si>
    <t>C060-00
C053-00</t>
  </si>
  <si>
    <t>FORD
PASS CAR</t>
  </si>
  <si>
    <t>COBRA
MUSTANG COBRA</t>
  </si>
  <si>
    <t>DETROIT</t>
  </si>
  <si>
    <t>C170 (Focus)</t>
  </si>
  <si>
    <t>one shot</t>
  </si>
  <si>
    <t>0.6-0.8</t>
  </si>
  <si>
    <t>E-150</t>
  </si>
  <si>
    <t>2000+ (grit)</t>
  </si>
  <si>
    <t>22 (+)</t>
  </si>
  <si>
    <t>05 P131 F450</t>
  </si>
  <si>
    <t>5C34-2209-B</t>
  </si>
  <si>
    <t>GMT560</t>
  </si>
  <si>
    <t>5424@889 N input force</t>
  </si>
  <si>
    <t>Al</t>
  </si>
  <si>
    <t>Akeobono</t>
  </si>
  <si>
    <t>L610 FF</t>
  </si>
  <si>
    <t>PT44 (from B.I.)</t>
  </si>
  <si>
    <t>BI</t>
  </si>
  <si>
    <t>400 (est)</t>
  </si>
  <si>
    <t>52739 32/33 AA</t>
  </si>
  <si>
    <t>146678-01/02</t>
  </si>
  <si>
    <t>50 (est)</t>
  </si>
  <si>
    <t>Ford 
Pass Car</t>
  </si>
  <si>
    <t>VW 
Pass Car</t>
  </si>
  <si>
    <t>GM 
Pass Car</t>
  </si>
  <si>
    <t>Chrysler 
Truck</t>
  </si>
  <si>
    <t>Nissan 
Pass Car</t>
  </si>
  <si>
    <t>Ford 
Truck</t>
  </si>
  <si>
    <t>Ford 
LD Truck</t>
  </si>
  <si>
    <t>Front &amp; 
Rear</t>
  </si>
  <si>
    <t>AC34-2K327-CB RH
AC34-2K328-CB LH</t>
  </si>
  <si>
    <t>AC34-2K327-AB
AC34-2K328-AB</t>
  </si>
  <si>
    <t>BC34-2B120-AD RH
BC34-2B121-AD LH</t>
  </si>
  <si>
    <t>BC34-2B120-CE RH 
BC34-2B121-CE LH</t>
  </si>
  <si>
    <t>56052942/43-AC</t>
  </si>
  <si>
    <t>1C3D-2C220-AA</t>
  </si>
  <si>
    <t>w/ ABS</t>
  </si>
  <si>
    <t>CG height at GVW (mm)</t>
  </si>
  <si>
    <t>Wheelbase (mm)</t>
  </si>
  <si>
    <t>Tire Dynamic Rolling Radius (mm)</t>
  </si>
  <si>
    <t>Assumed Lining mu</t>
  </si>
  <si>
    <t>Vmax (kph)</t>
  </si>
  <si>
    <t>52739 36/37 AA</t>
  </si>
  <si>
    <t>146678-03/04</t>
  </si>
  <si>
    <t>Stanavich</t>
  </si>
  <si>
    <t>LN508</t>
  </si>
  <si>
    <t>Toyota</t>
  </si>
  <si>
    <t>Toyota IMV</t>
  </si>
  <si>
    <t>143030/40-01606/05</t>
  </si>
  <si>
    <t>14544001/02</t>
  </si>
  <si>
    <t>N2009 FF</t>
  </si>
  <si>
    <t>Double-Link</t>
  </si>
  <si>
    <t>INTREPID/CONCORD (LH) 15" &amp; 16"</t>
  </si>
  <si>
    <t>TBD</t>
  </si>
  <si>
    <t>HAYES
LEMMERZ</t>
  </si>
  <si>
    <t>42186R</t>
  </si>
  <si>
    <t>05273983AB</t>
  </si>
  <si>
    <t>COMPOSITE
UNFINNED</t>
  </si>
  <si>
    <t>0.064/30°</t>
  </si>
  <si>
    <t>&lt;1995</t>
  </si>
  <si>
    <t>52005350
43255</t>
  </si>
  <si>
    <t>0.03/30°</t>
  </si>
  <si>
    <t>52013438AF</t>
  </si>
  <si>
    <t>FULLCAST
UNFINNED</t>
  </si>
  <si>
    <t>0.040/60°</t>
  </si>
  <si>
    <t>CARAVAN/VOYAGER
(RS)</t>
  </si>
  <si>
    <t>14167902
14167906</t>
  </si>
  <si>
    <t>04877263AG
04877433AF</t>
  </si>
  <si>
    <t>Siam Nawaloha</t>
  </si>
  <si>
    <t>2010MY</t>
  </si>
  <si>
    <t>CII 66/28/11.2</t>
  </si>
  <si>
    <t>5590-5650</t>
  </si>
  <si>
    <t>2928-3150</t>
  </si>
  <si>
    <t>2662-2500</t>
  </si>
  <si>
    <t>PROTON</t>
  </si>
  <si>
    <t>[PROTON LIGHT TRUCK]
(M27)</t>
  </si>
  <si>
    <t>OUTSOURCED (TEP)</t>
  </si>
  <si>
    <t>PW592890</t>
  </si>
  <si>
    <t>4 X 100</t>
  </si>
  <si>
    <t>0.030/60°</t>
  </si>
  <si>
    <t>CIRRUS/STRATUS
(JA)</t>
  </si>
  <si>
    <t>COMPOSITE
FINNED</t>
  </si>
  <si>
    <t>FORD</t>
  </si>
  <si>
    <t>LIMOUSINE
(PN 150)</t>
  </si>
  <si>
    <t>F0VC-1126-B</t>
  </si>
  <si>
    <t>KH 21 S</t>
  </si>
  <si>
    <t>0.069/0.091</t>
  </si>
  <si>
    <t>0.023/0.030/30°</t>
  </si>
  <si>
    <t>F-150 PICK-UP
(PN96)</t>
  </si>
  <si>
    <t>YL34-1126-A</t>
  </si>
  <si>
    <t>ESCORT/TRACER
(CT-120)</t>
  </si>
  <si>
    <t>BTAA 26 251 Z04</t>
  </si>
  <si>
    <t>KH 21 W</t>
  </si>
  <si>
    <t>PROBE/MX6
(ST-44)</t>
  </si>
  <si>
    <t>GA2Y 26 251</t>
  </si>
  <si>
    <t>42722R</t>
  </si>
  <si>
    <t>WINDSTAR
(WIN126)</t>
  </si>
  <si>
    <t>YF22-1126-AB /BB</t>
  </si>
  <si>
    <t>FULLCAST
FINNED</t>
  </si>
  <si>
    <t>0.069/0.090</t>
  </si>
  <si>
    <t>0.10/0.14</t>
  </si>
  <si>
    <t>ND</t>
  </si>
  <si>
    <t>FULLCAST FINNED</t>
  </si>
  <si>
    <t>0.04/60°</t>
  </si>
  <si>
    <t>0.06/0.25</t>
  </si>
  <si>
    <t>Equiv. Piston size (mm)</t>
  </si>
  <si>
    <t>CALIPER TYPE AND SIZE</t>
  </si>
  <si>
    <t>FRICTION MATERIAL</t>
  </si>
  <si>
    <t>Manufacturing</t>
  </si>
  <si>
    <t>PART NOS.</t>
  </si>
  <si>
    <t>43100 93300-7</t>
  </si>
  <si>
    <t>352.0 x 22.0</t>
  </si>
  <si>
    <t>1x54 - RPS</t>
  </si>
  <si>
    <t>Driveline Sensor</t>
  </si>
  <si>
    <t>16236205
16236206</t>
  </si>
  <si>
    <t>16236101
16236102</t>
  </si>
  <si>
    <t>KA  /KK 
NITRO / LIBERTY</t>
  </si>
  <si>
    <t>Rubore RGMSI 79 10</t>
  </si>
  <si>
    <t>Rubore  RGMSI 79 01</t>
  </si>
  <si>
    <t>3705 / 1616</t>
  </si>
  <si>
    <t>3771 / 1605</t>
  </si>
  <si>
    <t>1278 / 1832</t>
  </si>
  <si>
    <t>1305 / 1758</t>
  </si>
  <si>
    <t>Dual Clip-on  Rubore
Inner: RPN50 24 01
Outer: REX50 00 11</t>
  </si>
  <si>
    <t>17330901/02</t>
  </si>
  <si>
    <t>8U94-2B120-EA
8U94-2B121-AA</t>
  </si>
  <si>
    <t>13030603/04</t>
  </si>
  <si>
    <t>8,235 / 11,524</t>
  </si>
  <si>
    <t>15506001/02</t>
  </si>
  <si>
    <t>10369305/6</t>
  </si>
  <si>
    <t>TMD TX4139</t>
  </si>
  <si>
    <t>Rubore 14002</t>
  </si>
  <si>
    <t>Caliper: Zinc TS2-21-71; Brkt:  Zinc TS2-21-71</t>
  </si>
  <si>
    <t>Bouzonville</t>
  </si>
  <si>
    <t xml:space="preserve">DIH design - optional equiptment </t>
  </si>
  <si>
    <t>Blue type = TRW plants</t>
  </si>
  <si>
    <t xml:space="preserve">Bold type </t>
  </si>
  <si>
    <t>= under development (awarded business)</t>
  </si>
  <si>
    <t>"Useable lining volume" assumes 1.5mm lining material remains above shoe plate, backing layer, or top of rivet, as applicable</t>
  </si>
  <si>
    <t>Red type = SEBI (Sumitomo)</t>
  </si>
  <si>
    <t xml:space="preserve">Normal type </t>
  </si>
  <si>
    <t>DEW98
LINCOLN LS</t>
  </si>
  <si>
    <t>XW43-2C026-AB</t>
  </si>
  <si>
    <t>F3SC-2C026-AB</t>
  </si>
  <si>
    <t>T-BIRD/MARK VIII (MN12/FN10 REAR)</t>
  </si>
  <si>
    <t>F58A-2C026-BA</t>
  </si>
  <si>
    <t>2.3 - 0.9</t>
  </si>
  <si>
    <t>EXPEDITION
(UN93)</t>
  </si>
  <si>
    <t>F75A-2C026-BE</t>
  </si>
  <si>
    <t>F-250 PICK-UP
(PN102)</t>
  </si>
  <si>
    <t>F75A-2C026-CE</t>
  </si>
  <si>
    <t>KH4394</t>
  </si>
  <si>
    <t>8 X 150</t>
  </si>
  <si>
    <t>P-131
F-350 DRW PICK-UP</t>
  </si>
  <si>
    <t>5C34-1113-FA</t>
  </si>
  <si>
    <t>8 X 142</t>
  </si>
  <si>
    <t>762 - 4x2
787.4 - 4x4</t>
  </si>
  <si>
    <t>3C24-1113-AA</t>
  </si>
  <si>
    <t>E/K
SEVILLE/ ELDORADO</t>
  </si>
  <si>
    <t>FL-12548103</t>
  </si>
  <si>
    <t>5 X 115.00</t>
  </si>
  <si>
    <t>G
AURORA/RIVIERA</t>
  </si>
  <si>
    <t>FL-12548102</t>
  </si>
  <si>
    <t>PN102
F-250 PICK-UP</t>
  </si>
  <si>
    <t>XL34-2C026-CA</t>
  </si>
  <si>
    <t>7 X 150</t>
  </si>
  <si>
    <t>PN96 SPECIAL
LIGHTNING</t>
  </si>
  <si>
    <t>YL14-2C026-A</t>
  </si>
  <si>
    <t>VPDI-0101-0 (RH)
VPDI-0100-0 (LH)</t>
  </si>
  <si>
    <t xml:space="preserve">VFDI 0006-3 (R)
VFDI 0006-2 (L)
</t>
  </si>
  <si>
    <t>10262998 (RH)
10262997 (LH)</t>
  </si>
  <si>
    <t>Ra = 0.8/2.5</t>
  </si>
  <si>
    <t>FL-13143305</t>
  </si>
  <si>
    <t>GD7Y 26 251</t>
  </si>
  <si>
    <t>SOLID
FULLCAST</t>
  </si>
  <si>
    <t>05290345AB (DANA-2003753)</t>
  </si>
  <si>
    <t>13473207/08</t>
  </si>
  <si>
    <t>59, 59</t>
  </si>
  <si>
    <t>1251 / 2281</t>
  </si>
  <si>
    <t>1372 / 2678</t>
  </si>
  <si>
    <t>3M TAPE</t>
  </si>
  <si>
    <t>Rubore RPN 704001</t>
  </si>
  <si>
    <t>MSC 23.0</t>
  </si>
  <si>
    <t>Rubore Widenox</t>
  </si>
  <si>
    <t>MSC 19.1</t>
  </si>
  <si>
    <t>16834601/02</t>
  </si>
  <si>
    <t>15843701/02</t>
  </si>
  <si>
    <t>KA/KK BUX</t>
  </si>
  <si>
    <t>Chrysler Pass Car</t>
  </si>
  <si>
    <t>FrasLe 5139</t>
  </si>
  <si>
    <t>Xinyi 5113H</t>
  </si>
  <si>
    <t>ITT KF5000 (green)</t>
  </si>
  <si>
    <t>RT BUX</t>
  </si>
  <si>
    <t>JC Domestic</t>
  </si>
  <si>
    <t>JC BUX</t>
  </si>
  <si>
    <t>RT Domestic</t>
  </si>
  <si>
    <t>FM4150/3 (lt blue)</t>
  </si>
  <si>
    <t>68035026AA 04877027AA</t>
  </si>
  <si>
    <t>C15832902/01</t>
  </si>
  <si>
    <t>047437797/96AD</t>
  </si>
  <si>
    <t>CII HE 43/12/11</t>
  </si>
  <si>
    <t>18606401 (LH)
18606402 (RH)</t>
  </si>
  <si>
    <t>Hsg - TS 2-21-71, Adapter - E-coat, both after machining</t>
  </si>
  <si>
    <t>14229903/04</t>
  </si>
  <si>
    <t>1.33 - 5.5</t>
  </si>
  <si>
    <t>RPS 2x66/39/14.1 (Ft)</t>
  </si>
  <si>
    <t>11,115 / 5,780</t>
  </si>
  <si>
    <t>29502 w/ cap</t>
  </si>
  <si>
    <t>Haldex 7A1</t>
  </si>
  <si>
    <t>E-coat before machining</t>
  </si>
  <si>
    <t>15505401/02</t>
  </si>
  <si>
    <t>10369301/04</t>
  </si>
  <si>
    <t>Zinc Plate:  TS2-21-71</t>
  </si>
  <si>
    <t>2012i</t>
  </si>
  <si>
    <t>17.3,17.3</t>
  </si>
  <si>
    <t>FRONT NON-DRIVEN SPINDLE</t>
  </si>
  <si>
    <t>P131  FRONT
F350 DRW</t>
  </si>
  <si>
    <t>P356  FRONT
F350 DRW</t>
  </si>
  <si>
    <t>P356  FRONT
EXCURSION, F250, F350 SRW</t>
  </si>
  <si>
    <t>10369302/03</t>
  </si>
  <si>
    <t>System 5B</t>
  </si>
  <si>
    <t>RPS 2x66/39/14.1 (Rr)</t>
  </si>
  <si>
    <t>11,123 / 11,123</t>
  </si>
  <si>
    <t>CARAVAN/VOYAGER (AS) 14" (Pre-1995)</t>
  </si>
  <si>
    <t>12839301/02/03/04</t>
  </si>
  <si>
    <t>4683640/1/2/3</t>
  </si>
  <si>
    <t>12205501/02</t>
  </si>
  <si>
    <t>12205401/02/03/04</t>
  </si>
  <si>
    <t>RPS 60/24/13in, 11out</t>
  </si>
  <si>
    <t>CARAVAN/VOYAGER (AS) 15" (Pre-1995)</t>
  </si>
  <si>
    <t>12839401/02/03/04</t>
  </si>
  <si>
    <t>4509744/5/6/7</t>
  </si>
  <si>
    <t>12391901/02</t>
  </si>
  <si>
    <t>12392001/02/03/04</t>
  </si>
  <si>
    <t>1 x 60</t>
  </si>
  <si>
    <t>ABEX 46Q3B    ASFM D7901</t>
  </si>
  <si>
    <t>SM  NAO</t>
  </si>
  <si>
    <t>38.2, 38.2</t>
  </si>
  <si>
    <t>44.5, 44.5</t>
  </si>
  <si>
    <t>TOPAZ</t>
  </si>
  <si>
    <t>400 HOURS
10% MAX. RUST for PT ONLY</t>
  </si>
  <si>
    <t>PT - 14916912                    PL / JR - 14916905</t>
  </si>
  <si>
    <t>PT - 05085651AB                  
PL/ JR - 05085650AA</t>
  </si>
  <si>
    <t xml:space="preserve">PT-44 TURBO
PT CRUISER TURBO </t>
  </si>
  <si>
    <t>05085652AB</t>
  </si>
  <si>
    <t xml:space="preserve">GRAY IRON
 MS-10179 GRADE C
</t>
  </si>
  <si>
    <t xml:space="preserve">RT 
MINIVAN </t>
  </si>
  <si>
    <t>RPS 2x60/38/14.6 (Rr)</t>
  </si>
  <si>
    <t>F-450/550 Rear (P131)</t>
  </si>
  <si>
    <t>TILLSONBURG</t>
  </si>
  <si>
    <t>Bonded</t>
  </si>
  <si>
    <t>1960 / 2000</t>
  </si>
  <si>
    <t>933 / 958</t>
  </si>
  <si>
    <t>180 / 233</t>
  </si>
  <si>
    <t>311 / 317</t>
  </si>
  <si>
    <t>81.1% / 82.4%</t>
  </si>
  <si>
    <t>301
331
328
302</t>
  </si>
  <si>
    <t>F118-03
F095-03
F096-03
F108-03</t>
  </si>
  <si>
    <t>DEW98 / M205 / X200/202 / X350
LINCOLN LS / T-BIRD / JAGUAR S-TYPE / XJ</t>
  </si>
  <si>
    <t>1R83-2C026-A</t>
  </si>
  <si>
    <t>HIGH CARBON IRON</t>
  </si>
  <si>
    <t>V229
WINDSTAR</t>
  </si>
  <si>
    <t>3F23-2C026-AG</t>
  </si>
  <si>
    <t>N.A</t>
  </si>
  <si>
    <t>E-SERIES
E-150 VAN</t>
  </si>
  <si>
    <t>4C24-2C026-A</t>
  </si>
  <si>
    <t>F030-00</t>
  </si>
  <si>
    <t>E-SERIES
E-250/350 SRW</t>
  </si>
  <si>
    <t>1C24-2C026-AA</t>
  </si>
  <si>
    <t>---</t>
  </si>
  <si>
    <t>8 X 145</t>
  </si>
  <si>
    <t>E-SERIES
E-450 DRW VAN</t>
  </si>
  <si>
    <t>240 HOURS
3% MAX RUST</t>
  </si>
  <si>
    <t>PN96 SPECIAL
F-150 LIGHTNING 4X2 DRIVE</t>
  </si>
  <si>
    <t>YL3V-1102-AB</t>
  </si>
  <si>
    <t>5 X 135</t>
  </si>
  <si>
    <t>UN93
EXPEDITION 4X2 DRIVE</t>
  </si>
  <si>
    <t>YL14-1102-AB</t>
  </si>
  <si>
    <t>UN93
EXPEDITION 4X4 DRIVE</t>
  </si>
  <si>
    <t>Durez 29502B w/ Cap</t>
  </si>
  <si>
    <t>Effective Radius (Piston Center) (mm)</t>
  </si>
  <si>
    <t>Attach-ment</t>
  </si>
  <si>
    <t>Caliper deflec-tion at 100 bar (mm)  FEA</t>
  </si>
  <si>
    <t>Shear</t>
  </si>
  <si>
    <t>Current Status for pad size (+big / - small)</t>
  </si>
  <si>
    <t>GRIFFIN</t>
  </si>
  <si>
    <t>6C34-2C026-AB</t>
  </si>
  <si>
    <t>6C34-2C026-BA</t>
  </si>
  <si>
    <t>Average Fluid Displacement (cc)   [0 - 100 bar] -  With pads</t>
  </si>
  <si>
    <t>2002 GMT 560</t>
  </si>
  <si>
    <t>15505601/02</t>
  </si>
  <si>
    <t>680 / 1345</t>
  </si>
  <si>
    <t>1140 / 2158</t>
  </si>
  <si>
    <t>Boss = 930 / 1889
Laguna = 843 / 1681</t>
  </si>
  <si>
    <t>1111 / 2147</t>
  </si>
  <si>
    <t>MSC 8.1</t>
  </si>
  <si>
    <t>MSC 40.0</t>
  </si>
  <si>
    <t>Flex (D471)</t>
  </si>
  <si>
    <t>Taurus (D258)</t>
  </si>
  <si>
    <t>18081801/02</t>
  </si>
  <si>
    <t>18081901/02</t>
  </si>
  <si>
    <t>D-472 Limo</t>
  </si>
  <si>
    <t>DE93-2C026-AA</t>
  </si>
  <si>
    <t>GRAY IRON      
     WSS-M1A176-B3</t>
  </si>
  <si>
    <t>JEEP CHEROKEE/WRANGLER
(XJ/YJ/TJ)</t>
  </si>
  <si>
    <t>APPLICATION</t>
  </si>
  <si>
    <t>MANUF.</t>
  </si>
  <si>
    <t>HUB DESIGN</t>
  </si>
  <si>
    <t>BASIC DIMENSIONS</t>
  </si>
  <si>
    <t>BEARING DESIGN</t>
  </si>
  <si>
    <t>ENGINEER</t>
  </si>
  <si>
    <t>PROD.
START</t>
  </si>
  <si>
    <t>STYLE</t>
  </si>
  <si>
    <t>CUSTOMER 
ASSEMBLY</t>
  </si>
  <si>
    <t>HUB
FINISHED</t>
  </si>
  <si>
    <t>HUB CASTING / FORGING</t>
  </si>
  <si>
    <t>F-450/550 Front (P131)</t>
  </si>
  <si>
    <t>13030401/02</t>
  </si>
  <si>
    <t>YC35-2B120/121-GA/BA/EB/AB</t>
  </si>
  <si>
    <t>Di Ponio</t>
  </si>
  <si>
    <t>15A to -18.5A at 18.5Nm / 12V / +20 C</t>
  </si>
  <si>
    <t>P131/U137 F-250/350 SRW PICK-UP &amp; EXCURSION 4X2 DRIVE WITH ABS</t>
  </si>
  <si>
    <t>3C34-1102-BA</t>
  </si>
  <si>
    <t xml:space="preserve">Epsilon Supercorner 16" </t>
  </si>
  <si>
    <t xml:space="preserve">Epsilon Supercorner 17" </t>
  </si>
  <si>
    <t>Ford Truck</t>
  </si>
  <si>
    <t>Ram Truck 1500 (DR) &amp; Dodge HB (Durango)</t>
  </si>
  <si>
    <t>15686003 (w/o ESP)</t>
  </si>
  <si>
    <t xml:space="preserve">52113468AE (ESP)
</t>
  </si>
  <si>
    <t>52009967AK (w/o ESP)</t>
  </si>
  <si>
    <t>98 (DR) (w/ &amp; w/o ESP)
59 (HB)</t>
  </si>
  <si>
    <t>98 (w/ &amp; w/o ESP)</t>
  </si>
  <si>
    <t>15686004 (ESP)</t>
  </si>
  <si>
    <t>OPP 4x57/35.5/9.8</t>
  </si>
  <si>
    <t>4603/1895</t>
  </si>
  <si>
    <t>TS2-11-87</t>
  </si>
  <si>
    <t>Zinc Plating:  TS2-21-04  Red PCoat:  TS2-24-106 Prior to Mach.</t>
  </si>
  <si>
    <t>Inner:  10.1</t>
  </si>
  <si>
    <t>Inner:  12.3</t>
  </si>
  <si>
    <t>Outer:  9.3</t>
  </si>
  <si>
    <t>Outer:  10.8</t>
  </si>
  <si>
    <t>Mt V / SR</t>
  </si>
  <si>
    <t>C150972 01/02</t>
  </si>
  <si>
    <t>05290482AA/483AA</t>
  </si>
  <si>
    <t>Inner:150979;     Outer:150977</t>
  </si>
  <si>
    <t>Inner:  150978;   Outer:  150976</t>
  </si>
  <si>
    <t>5.985 cc</t>
  </si>
  <si>
    <t>4.392 cc</t>
  </si>
  <si>
    <t>0.03156 cc/bar</t>
  </si>
  <si>
    <t>CII 2x60/38-15 SRW</t>
  </si>
  <si>
    <t>FM2160</t>
  </si>
  <si>
    <t>Housing-E-coat before, Adaptor-Zn after</t>
  </si>
  <si>
    <t>14429301/02</t>
  </si>
  <si>
    <t>5C34-2B120/121-A</t>
  </si>
  <si>
    <t>14429501/02</t>
  </si>
  <si>
    <t>Pinned Banjo Inlet Port</t>
  </si>
  <si>
    <t>WIN126
WINDSTAR</t>
  </si>
  <si>
    <t>1F22-1125-BA</t>
  </si>
  <si>
    <t>MTI</t>
  </si>
  <si>
    <t>Durez w/ cap</t>
  </si>
  <si>
    <t>Haldex PMI 7033-801</t>
  </si>
  <si>
    <t>None</t>
  </si>
  <si>
    <t xml:space="preserve">1999 E350, 2001 E250 REAR  (VN127) </t>
  </si>
  <si>
    <t>13270701/02</t>
  </si>
  <si>
    <t>4C24-2K327/8-C</t>
  </si>
  <si>
    <t>13270501/02</t>
  </si>
  <si>
    <t>13270601/02</t>
  </si>
  <si>
    <t>Rockwell</t>
  </si>
  <si>
    <t>RPS 2x45/30/14</t>
  </si>
  <si>
    <t>Honeywell H3</t>
  </si>
  <si>
    <t>Rubore RPNS13101</t>
  </si>
  <si>
    <t>Mroueh</t>
  </si>
  <si>
    <t>E-coat</t>
  </si>
  <si>
    <t>13546001/02</t>
  </si>
  <si>
    <t>52010084/85-AA</t>
  </si>
  <si>
    <t>RPS 2x45/30-14</t>
  </si>
  <si>
    <t>FM 2123</t>
  </si>
  <si>
    <t>Wolverine MS 18027</t>
  </si>
  <si>
    <t>13619201/02</t>
  </si>
  <si>
    <t>52010142/143-AA</t>
  </si>
  <si>
    <t>Franz</t>
  </si>
  <si>
    <t>RT 
MINIVAN 
&amp;
JC</t>
  </si>
  <si>
    <t>DS-d</t>
  </si>
  <si>
    <t>WOODSTOCK?</t>
  </si>
  <si>
    <t>01 Caliper w/ new adaptor, metric inlet/bleed</t>
  </si>
  <si>
    <t>Durez w/cap</t>
  </si>
  <si>
    <t>14764901/02</t>
  </si>
  <si>
    <t>NAO
/MET</t>
  </si>
  <si>
    <t>Pad Area at Plate</t>
  </si>
  <si>
    <t xml:space="preserve"> (cm^2)</t>
  </si>
  <si>
    <t>AV. of INR and OTR</t>
  </si>
  <si>
    <t>cc</t>
  </si>
  <si>
    <t>Useable pad volume</t>
  </si>
  <si>
    <t>Disc OD</t>
  </si>
  <si>
    <t xml:space="preserve">Design </t>
  </si>
  <si>
    <t xml:space="preserve"> Authority</t>
  </si>
  <si>
    <t>(in.)</t>
  </si>
  <si>
    <t xml:space="preserve">Wheel Sizes </t>
  </si>
  <si>
    <t>Material</t>
  </si>
  <si>
    <t xml:space="preserve">Piston </t>
  </si>
  <si>
    <t xml:space="preserve">FRICTION </t>
  </si>
  <si>
    <t>Supplier (Compound ID)</t>
  </si>
  <si>
    <t xml:space="preserve">Noise INSULATOR (pad shim) </t>
  </si>
  <si>
    <t>Insulator/ID</t>
  </si>
  <si>
    <t xml:space="preserve"> (N/mm/g)</t>
  </si>
  <si>
    <t>Housing EMR</t>
  </si>
  <si>
    <t>MSC - PCX 31.15,  Wolverine 18691</t>
  </si>
  <si>
    <t>NAO, SM</t>
  </si>
  <si>
    <t>IM, Riv</t>
  </si>
  <si>
    <t>53.2, 53.2</t>
  </si>
  <si>
    <t xml:space="preserve">GRAY IRON  </t>
  </si>
  <si>
    <t xml:space="preserve">GRAY IRON      </t>
  </si>
  <si>
    <t>P-30 TRUCK
(JB8) w/ ABS</t>
  </si>
  <si>
    <t>JAGUAR</t>
  </si>
  <si>
    <t>X-350
JAGUAR XJ</t>
  </si>
  <si>
    <t>2W93-1125-AB</t>
  </si>
  <si>
    <t>5 X 107.5</t>
  </si>
  <si>
    <t>04721933AB</t>
  </si>
  <si>
    <t>5 x 127</t>
  </si>
  <si>
    <t>WAUPACA (Plant 3)</t>
  </si>
  <si>
    <t>UNITED XN9266</t>
  </si>
  <si>
    <t>7 x 150</t>
  </si>
  <si>
    <t>17926704 (LH)
17926703 (RH)</t>
  </si>
  <si>
    <t>3C34-1102-EC</t>
  </si>
  <si>
    <t>PLANT</t>
  </si>
  <si>
    <t>BASIC ROTOR DESIGN AND SIZING INFORMATION</t>
  </si>
  <si>
    <t>ROTOR
CASTING</t>
  </si>
  <si>
    <t>PARKING
DRUM
DIAMETER
(MM)</t>
  </si>
  <si>
    <t>DISC
BRAKE
SURFACE
FINISH
METHOD</t>
  </si>
  <si>
    <t>BRAKE
PLATE
LATERAL
RUNOUT (MM)</t>
  </si>
  <si>
    <t>DRUM
BRAKE
SURFACE
FINISH
METHOD</t>
  </si>
  <si>
    <t>ND (Dakota)</t>
  </si>
  <si>
    <t>W-Series</t>
  </si>
  <si>
    <t>DRUM
BRAKE
SURFACE
MICROFINISH
(MICRONS)</t>
  </si>
  <si>
    <t>CII 2x60/38-15 DRW</t>
  </si>
  <si>
    <t>Wolverine MS18833</t>
  </si>
  <si>
    <t>5C34-2B120/121-C</t>
  </si>
  <si>
    <t>15451901/02</t>
  </si>
  <si>
    <t>29502 B     w/o cap</t>
  </si>
  <si>
    <t>no</t>
  </si>
  <si>
    <t>SR</t>
  </si>
  <si>
    <t>15769601/02</t>
  </si>
  <si>
    <t>15769401/02</t>
  </si>
  <si>
    <t xml:space="preserve">HE caliper </t>
  </si>
  <si>
    <t>na</t>
  </si>
  <si>
    <t>Rail slider  2x60/38/15.3</t>
  </si>
  <si>
    <t>~7183 (2000psi)</t>
  </si>
  <si>
    <t>Haldex PMI 3001</t>
  </si>
  <si>
    <t>Wolverine 18035</t>
  </si>
  <si>
    <t>Zinc + Dichromate before  machining</t>
  </si>
  <si>
    <t xml:space="preserve"> E250/350/450 (VN127) </t>
  </si>
  <si>
    <t xml:space="preserve">  F250/350 (P473)</t>
  </si>
  <si>
    <t>1996 E-450  REAR (VN127) was '88 F450</t>
  </si>
  <si>
    <t>12075403/04</t>
  </si>
  <si>
    <t>F4TD-2B120/1-A</t>
  </si>
  <si>
    <t>12068501/02</t>
  </si>
  <si>
    <t xml:space="preserve">rail slider </t>
  </si>
  <si>
    <t>RPS 2x60/38/14.6 (Ft)</t>
  </si>
  <si>
    <t>19.5"</t>
  </si>
  <si>
    <t>Haldex 7033-4A</t>
  </si>
  <si>
    <t>98.7, 98.7</t>
  </si>
  <si>
    <t>Some applications-None, other applications-E-coat after</t>
  </si>
  <si>
    <t>17668505/06</t>
  </si>
  <si>
    <t>…</t>
  </si>
  <si>
    <t>NAO, LM</t>
  </si>
  <si>
    <t>E-coat housing         Zinc Cobalt Adaptor</t>
  </si>
  <si>
    <t>Housing-E-coat before, Bracket -Zn after</t>
  </si>
  <si>
    <t>17460009/10</t>
  </si>
  <si>
    <t>CG13-2K327/8-DA</t>
  </si>
  <si>
    <t>17459309/10</t>
  </si>
  <si>
    <t>CG13-2K327/8-CB</t>
  </si>
  <si>
    <t>Wheel Cylinder - Offset:  Distance from Backplate mounting surface to Wheel Cylinder center.</t>
  </si>
  <si>
    <t>D186 / FN74
TAURUS/SABLE / CONTINENTAL</t>
  </si>
  <si>
    <t>VARGA</t>
  </si>
  <si>
    <t>13784701
(VFDI 0007-3)</t>
  </si>
  <si>
    <t>4F13-1125-AA</t>
  </si>
  <si>
    <t>5 X 107.95</t>
  </si>
  <si>
    <t>DEW98 / M205 / X200/202
LINCOLN LS / T-BIRD / JAGUAR S-TYPE</t>
  </si>
  <si>
    <t>XW43-1125-A</t>
  </si>
  <si>
    <t>BLACK PAINT
(ZIEBART ZPG 4005-C)</t>
  </si>
  <si>
    <t>240 HOURS
0.3% MAX RUST</t>
  </si>
  <si>
    <t>5 x 107.95</t>
  </si>
  <si>
    <t>CII 51+51/28/12</t>
  </si>
  <si>
    <t>Federal Mogul 139-23</t>
  </si>
  <si>
    <t>Federal Mogul 4502</t>
  </si>
  <si>
    <t>17711203/04</t>
  </si>
  <si>
    <t>17711301/02</t>
  </si>
  <si>
    <t>17711303/04</t>
  </si>
  <si>
    <t>17711401/02</t>
  </si>
  <si>
    <t>17711403/04</t>
  </si>
  <si>
    <t>19"</t>
  </si>
  <si>
    <t>CII HR 45/20/11</t>
  </si>
  <si>
    <t>TMD TX2024TB</t>
  </si>
  <si>
    <t>MSC PCX 28.10</t>
  </si>
  <si>
    <t>Zinc Cobalt/ Black</t>
  </si>
  <si>
    <t>2003 V229 Windstar rear</t>
  </si>
  <si>
    <t>13862103/04</t>
  </si>
  <si>
    <t>3F23-2K327 / 8 - AA</t>
  </si>
  <si>
    <t>SW164 (cougar)</t>
  </si>
  <si>
    <t>67019395/396</t>
  </si>
  <si>
    <t>J94A (626)</t>
  </si>
  <si>
    <t>GD7C26980</t>
  </si>
  <si>
    <t>136200-03/04</t>
  </si>
  <si>
    <t>D9067B-FF</t>
  </si>
  <si>
    <t>CT 120 (Escort)</t>
  </si>
  <si>
    <t>F7C6-2209/10-AM</t>
  </si>
  <si>
    <t>A34019516/17</t>
  </si>
  <si>
    <t>F7C6-2209/10-CB</t>
  </si>
  <si>
    <t>A34019518/19</t>
  </si>
  <si>
    <t>INTREPID/CONCORDE (LH)</t>
  </si>
  <si>
    <t>4779016/17</t>
  </si>
  <si>
    <t>13100101/02</t>
  </si>
  <si>
    <t>NAC D9097 FE &amp; 3X</t>
  </si>
  <si>
    <t>Dodge DN (Durango)</t>
  </si>
  <si>
    <t>52010420AD</t>
  </si>
  <si>
    <t>2000+</t>
  </si>
  <si>
    <t>20 (+)</t>
  </si>
  <si>
    <t>Dimension - Offset:  Distance from Brake mounting surface to edge of shoe rim</t>
  </si>
  <si>
    <t>.05
(Not Convex)</t>
  </si>
  <si>
    <t>TS2-11-087
(NODULAR IRON)</t>
  </si>
  <si>
    <t>17751603 RH
17751604 LH</t>
  </si>
  <si>
    <t>DG13-2K327/8-EE/CA</t>
  </si>
  <si>
    <t>AE81-2010-AE</t>
  </si>
  <si>
    <t>6732339 LH
6732340 RH</t>
  </si>
  <si>
    <t>16915301/02</t>
  </si>
  <si>
    <t>BR33-2B118/119-BD</t>
  </si>
  <si>
    <t>BR33-2B118/119-AE</t>
  </si>
  <si>
    <t>AR33-2B118/119-AB</t>
  </si>
  <si>
    <t>AR33-2B118/119-BC</t>
  </si>
  <si>
    <t>52122118AC/17AC</t>
  </si>
  <si>
    <t>Chrysler 
Pass Car</t>
  </si>
  <si>
    <t>Caliper: none; Brkt:  Zinc TS2-21-71</t>
  </si>
  <si>
    <t>14862801/02</t>
  </si>
  <si>
    <t>4R33-2B118/119 AE</t>
  </si>
  <si>
    <t>14862601/02</t>
  </si>
  <si>
    <t>2501 / 946</t>
  </si>
  <si>
    <t>17", 18" &amp;19"</t>
  </si>
  <si>
    <t>MSC23.1</t>
  </si>
  <si>
    <t>14991101/02</t>
  </si>
  <si>
    <t>4R33-2B118/119 BD</t>
  </si>
  <si>
    <t>RPS 2x45/30/11</t>
  </si>
  <si>
    <t>3928 /  2779</t>
  </si>
  <si>
    <t>52121782AA/83AC</t>
  </si>
  <si>
    <t>52121780AC/81AC</t>
  </si>
  <si>
    <t>16004503/04</t>
  </si>
  <si>
    <t>52013846AH / 47AH</t>
  </si>
  <si>
    <t>16004601
16004602</t>
  </si>
  <si>
    <t>AK N5379H FF</t>
  </si>
  <si>
    <t>1057 / 2540</t>
  </si>
  <si>
    <t>Honda</t>
  </si>
  <si>
    <t>BM (van)</t>
  </si>
  <si>
    <t>4310150X0230</t>
  </si>
  <si>
    <t>34019522/23</t>
  </si>
  <si>
    <t>Fen End</t>
  </si>
  <si>
    <t>Mintex</t>
  </si>
  <si>
    <t>DON8212</t>
  </si>
  <si>
    <t>CDW27 (Contour)</t>
  </si>
  <si>
    <t>A67019329/30</t>
  </si>
  <si>
    <t>Schmandt</t>
  </si>
  <si>
    <t>Kia</t>
  </si>
  <si>
    <t>KV2 (Minivan)</t>
  </si>
  <si>
    <t>Ferodo</t>
  </si>
  <si>
    <t>NU4FF</t>
  </si>
  <si>
    <t>Sportage (SUV)</t>
  </si>
  <si>
    <t>K011  26 980/90</t>
  </si>
  <si>
    <t>3520A</t>
  </si>
  <si>
    <t>JX (Sebring)</t>
  </si>
  <si>
    <t>4509672-3</t>
  </si>
  <si>
    <t>12865703-04</t>
  </si>
  <si>
    <t>H3530A-FF</t>
  </si>
  <si>
    <t>PT-44 (Cruiser)</t>
  </si>
  <si>
    <t>04860026/7AC</t>
  </si>
  <si>
    <t>13325603/04</t>
  </si>
  <si>
    <t>9" Adjuster</t>
  </si>
  <si>
    <t>Opel</t>
  </si>
  <si>
    <t>Saturn (Innovate)</t>
  </si>
  <si>
    <t>90445938/939</t>
  </si>
  <si>
    <t>32190733/734</t>
  </si>
  <si>
    <t>10" Adjuster</t>
  </si>
  <si>
    <t>Delco</t>
  </si>
  <si>
    <t>GM C1500</t>
  </si>
  <si>
    <t>no kit # available</t>
  </si>
  <si>
    <t>34665141/42</t>
  </si>
  <si>
    <t>BBA</t>
  </si>
  <si>
    <t>230 MAX</t>
  </si>
  <si>
    <t xml:space="preserve"> VARGA-Brazil</t>
  </si>
  <si>
    <t>DR/ HB
RAM 1500 PICK-UP &amp; DURANGO</t>
  </si>
  <si>
    <t>GMT-800/900 C/K
2500/3500 PICK-UPS &amp; SUV</t>
  </si>
  <si>
    <t>WARRENTON</t>
  </si>
  <si>
    <t>VCFD 0212-4/3-2</t>
  </si>
  <si>
    <t>1F12-2K327/8-AA Taurus 1F32-2K3427 / 8-AA Cont.</t>
  </si>
  <si>
    <t>VFCC 2332-9/3-7</t>
  </si>
  <si>
    <t>VPCC 2490-5/1-3</t>
  </si>
  <si>
    <t>Campiteli</t>
  </si>
  <si>
    <t>CI HR 43/20/11</t>
  </si>
  <si>
    <t>16"</t>
  </si>
  <si>
    <t>FM 4101 SFF (scorched)</t>
  </si>
  <si>
    <t>38.6, 38.6</t>
  </si>
  <si>
    <t>Zinc cobalt / black</t>
  </si>
  <si>
    <t>Ford, Jag</t>
  </si>
  <si>
    <t>CII HR 43/11/11</t>
  </si>
  <si>
    <t>Flex/MKS (D471/D385)</t>
  </si>
  <si>
    <t>Porter</t>
  </si>
  <si>
    <t>17" &amp; 18</t>
  </si>
  <si>
    <t>ITT KF6008EF</t>
  </si>
  <si>
    <t>RPN623901</t>
  </si>
  <si>
    <t>Zinc TS2-21-071</t>
  </si>
  <si>
    <t>16242701/02</t>
  </si>
  <si>
    <t>8A83-2K327/8-BD</t>
  </si>
  <si>
    <t>16243001/02</t>
  </si>
  <si>
    <t>16242901/02</t>
  </si>
  <si>
    <t>1410 / 3200</t>
  </si>
  <si>
    <t>16243003/04</t>
  </si>
  <si>
    <t>16242901/17426502</t>
  </si>
  <si>
    <t>Direct Metric Inlet</t>
  </si>
  <si>
    <t>Taurus SHO (D258)</t>
  </si>
  <si>
    <t>17427601/17426504</t>
  </si>
  <si>
    <t>Direct RH / Banjo LH</t>
  </si>
  <si>
    <t>1119 / 3275</t>
  </si>
  <si>
    <t>17668501/02</t>
  </si>
  <si>
    <t>Pinned Banjo Metric Inlet</t>
  </si>
  <si>
    <t>CII HR 45/11/11</t>
  </si>
  <si>
    <t>Lincoln MKT (D472)</t>
  </si>
  <si>
    <t>17025401/02</t>
  </si>
  <si>
    <t>AE93-2K327/8-AA</t>
  </si>
  <si>
    <t>Design - Brake Factor:  All DIH Brake Factors are calculated assuming a 0.35 lining mu</t>
  </si>
  <si>
    <t>PROGRAM INFORMATION</t>
  </si>
  <si>
    <t>PART NUMBERS</t>
  </si>
  <si>
    <t xml:space="preserve">           BASIC ROTOR DESIGN AND SIZING INFORMATION</t>
  </si>
  <si>
    <t>THERMAL DIMENSIONAL CHARACTERISTICS</t>
  </si>
  <si>
    <t>SIGNIFICANT CHARACTERISTICS AND TOLERANCES</t>
  </si>
  <si>
    <t>SIGNIFICANT VEHICLE DATA</t>
  </si>
  <si>
    <t>PREDICTION DATA</t>
  </si>
  <si>
    <t>DYNO DATA</t>
  </si>
  <si>
    <t>VEHICLE TEST RESULTS</t>
  </si>
  <si>
    <t>CUSTOMER</t>
  </si>
  <si>
    <t>50 mm</t>
  </si>
  <si>
    <t>19.8/20.5 target</t>
  </si>
  <si>
    <t>25 mm</t>
  </si>
  <si>
    <t>PT - WORWAG 
  PL / JR - BLACK PAINT</t>
  </si>
  <si>
    <t>1053/1520 (Reference Pressure Limited)</t>
  </si>
  <si>
    <t>1136/2034 (Reference Pressure Limited)</t>
  </si>
  <si>
    <t>1151/2372 (Reference Pressure Limited)</t>
  </si>
  <si>
    <t>FAMILY 3 
EPSILON 2, THETA 2, ZETA
CHEVY EQUINOX, GMC ACADIA,
CHEVY CAMARO-COUP &amp; CONVERTIBLE 
CADILLAC DTS, BUICK LACROSSE, 
SATURN AURA, CHEVY MALIBU</t>
  </si>
  <si>
    <t>FULLCAST
SOLID
NON - FNC
FULLY COATED</t>
  </si>
  <si>
    <t>FRONT DRIVEN
FIXED SPINDLE</t>
  </si>
  <si>
    <t>12049303/04</t>
  </si>
  <si>
    <t>RPS 54/20/11</t>
  </si>
  <si>
    <t>ABEX 46Q3, BX7806</t>
  </si>
  <si>
    <t>60.5, 52.6</t>
  </si>
  <si>
    <t>43.7, 51.8</t>
  </si>
  <si>
    <t>NEON (PL) 14"</t>
  </si>
  <si>
    <t>12660101/02</t>
  </si>
  <si>
    <t>4509550/1</t>
  </si>
  <si>
    <t>12576803/4</t>
  </si>
  <si>
    <t>Neathamer</t>
  </si>
  <si>
    <t>RPS 54/20/12</t>
  </si>
  <si>
    <t>ASFM 7913, BBA 2004TA</t>
  </si>
  <si>
    <t>43.76/40.62</t>
  </si>
  <si>
    <t>53.21/57.73</t>
  </si>
  <si>
    <t>0.36 (P-V)</t>
  </si>
  <si>
    <t>1998 NEON (PL) 14"</t>
  </si>
  <si>
    <t>13477203/4</t>
  </si>
  <si>
    <t>4509860AC/1AC</t>
  </si>
  <si>
    <t>13165002/03</t>
  </si>
  <si>
    <t>13137003/04</t>
  </si>
  <si>
    <t>1 x 54</t>
  </si>
  <si>
    <t>ASFM 7806</t>
  </si>
  <si>
    <t>37.8, 37.8</t>
  </si>
  <si>
    <t>35.2, 35.2</t>
  </si>
  <si>
    <t>NEON (PL) 13"</t>
  </si>
  <si>
    <t>12960701/02</t>
  </si>
  <si>
    <t>5273942/3</t>
  </si>
  <si>
    <t>12576801/02</t>
  </si>
  <si>
    <t>ABEX 46Q3, BX 7806</t>
  </si>
  <si>
    <t>61.5, 52.6</t>
  </si>
  <si>
    <t>55.8, 55.0</t>
  </si>
  <si>
    <t>Zinc w/ Bright Finish</t>
  </si>
  <si>
    <t>SPIRIT/SUNDANCE (AA)</t>
  </si>
  <si>
    <t>12592901/02</t>
  </si>
  <si>
    <t>TRW-Livonia DESIGNED REAR DRUM BRAKES  - CONFIDENTIAL</t>
  </si>
  <si>
    <t>4509506/7</t>
  </si>
  <si>
    <t>Pilon</t>
  </si>
  <si>
    <t>1560 / 1190</t>
  </si>
  <si>
    <t>20"</t>
  </si>
  <si>
    <t>TMD 2007BA</t>
  </si>
  <si>
    <t>Wolverine  MS-18027</t>
  </si>
  <si>
    <t>31.16, 29.95</t>
  </si>
  <si>
    <t>M. Kinney</t>
  </si>
  <si>
    <t>15.4 target</t>
  </si>
  <si>
    <t>S197
MUSTANG BASE / GT</t>
  </si>
  <si>
    <t>5R33-2C026-AC</t>
  </si>
  <si>
    <t>GRAY IRON      
     WSS-M1A176-B2</t>
  </si>
  <si>
    <t>PT-44 
PT CRUISER</t>
  </si>
  <si>
    <t xml:space="preserve">GRAY IRON 
MS-10179 GRADE C
</t>
  </si>
  <si>
    <t xml:space="preserve">
CHRYSLER TRUCK 
</t>
  </si>
  <si>
    <t>F53</t>
  </si>
  <si>
    <t>P-131 SOUTH AMERICA
F-250/350 SRW PICK-UP</t>
  </si>
  <si>
    <t>P-131  SOUTH AMERICA
F-450 DRW PICK-UP</t>
  </si>
  <si>
    <t xml:space="preserve">P131-SOUTH AMERICA
F-450 DRW PICK-UP 
</t>
  </si>
  <si>
    <t xml:space="preserve">P131 
F-250/350 4X4 SRW PICK-UP 
</t>
  </si>
  <si>
    <t>P131
F350 DRW</t>
  </si>
  <si>
    <t>58 MM</t>
  </si>
  <si>
    <t>REAR DRIVEN
FIXED SPINDLE</t>
  </si>
  <si>
    <t>SAE D 4512 DUCTILE IRON</t>
  </si>
  <si>
    <t>XC35-1109-BA</t>
  </si>
  <si>
    <t>INNER RACE - 023899
OUTER RACE - 072838</t>
  </si>
  <si>
    <t>ROLLER BEARINGS
LOOSE ASSEMBLY</t>
  </si>
  <si>
    <t>INNER - 96.8 MM
OUTER - 82.6 MM</t>
  </si>
  <si>
    <t>XC35-1109-CB</t>
  </si>
  <si>
    <t>INNER RACE - 120788
OUTER RACE - 132806</t>
  </si>
  <si>
    <t>205.0 x 8</t>
  </si>
  <si>
    <t>INNER - 112.6 MM
OUTER - 89.9 MM</t>
  </si>
  <si>
    <t>SAE D 4512   
DUCTILE IRON</t>
  </si>
  <si>
    <t>5C34-1109-C</t>
  </si>
  <si>
    <t>12923301-4,7,8 US 12923305/06 Euro</t>
  </si>
  <si>
    <t>4779022/21/48/49 4779102AA/103AA</t>
  </si>
  <si>
    <t xml:space="preserve">      English inlet/bleed         Rail Shim (US only)</t>
  </si>
  <si>
    <t>3124/2295</t>
  </si>
  <si>
    <t>297" (16")</t>
  </si>
  <si>
    <t>124.2(16")</t>
  </si>
  <si>
    <t>8.3?</t>
  </si>
  <si>
    <t>capped Durez 29502</t>
  </si>
  <si>
    <t>FM 4160-1F</t>
  </si>
  <si>
    <t>INTREPID Police Package(LH) 16"</t>
  </si>
  <si>
    <t>12923311/12</t>
  </si>
  <si>
    <t>04779296AA/97AA</t>
  </si>
  <si>
    <t xml:space="preserve">      English inlet/bleed        Floating W-Clip(US only)</t>
  </si>
  <si>
    <t>Wolv. MS-18035, grade1505-1-29 M2</t>
  </si>
  <si>
    <t>54.76, 56.12</t>
  </si>
  <si>
    <t>PROWLER FRONT</t>
  </si>
  <si>
    <t>13007601/02</t>
  </si>
  <si>
    <t>4786764/5</t>
  </si>
  <si>
    <t>12659209/10</t>
  </si>
  <si>
    <t>MTV</t>
  </si>
  <si>
    <t>14556801/02</t>
  </si>
  <si>
    <t>04721924/25/26/27-AF</t>
  </si>
  <si>
    <t>2847 / 2847</t>
  </si>
  <si>
    <t>Zinc Nickel Adaptor</t>
  </si>
  <si>
    <t>2001 CARAVAN (RS)</t>
  </si>
  <si>
    <t>13473421/22</t>
  </si>
  <si>
    <t>04721924/25 AA</t>
  </si>
  <si>
    <t>1000/yr (pcs)</t>
  </si>
  <si>
    <t>Comments</t>
  </si>
  <si>
    <t>Front Axle</t>
  </si>
  <si>
    <t>Rear Axle</t>
  </si>
  <si>
    <t>Total</t>
  </si>
  <si>
    <t>Pad loading targets (1g stop from 80% Vmax, GVW): &lt; 2100 W/cm^2 power loading, &lt; ~ 250 N/cm^2 shear</t>
  </si>
  <si>
    <t>179338 (RH)
179339 (LH)</t>
  </si>
  <si>
    <t>181588 (RH)
181589 (LH)</t>
  </si>
  <si>
    <t>CARAVAN/VOYAGER 15"  NS=U.S. GS=EURO</t>
  </si>
  <si>
    <t>RPS 2x54/30/11</t>
  </si>
  <si>
    <t>304 (4x2)   308 (4x4)</t>
  </si>
  <si>
    <t>FM 4109F</t>
  </si>
  <si>
    <t>2000 RAM 1500 (BR) FRONT</t>
  </si>
  <si>
    <t>13296101/02</t>
  </si>
  <si>
    <t>Hitachi H16C FF</t>
  </si>
  <si>
    <t xml:space="preserve">3371 / 1157 </t>
  </si>
  <si>
    <t>3257 / 1121</t>
  </si>
  <si>
    <t>34325170/171</t>
  </si>
  <si>
    <t>34325172/173</t>
  </si>
  <si>
    <t>SEI</t>
  </si>
  <si>
    <t>Production ends ~6/98</t>
  </si>
  <si>
    <t>BBA 2002T</t>
  </si>
  <si>
    <t>Zinc/Yellow Dichromate</t>
  </si>
  <si>
    <t>WIN88 EURO (Windstar)</t>
  </si>
  <si>
    <t>A34032530/531</t>
  </si>
  <si>
    <t>F78A-2B121/0-BA</t>
  </si>
  <si>
    <t>34325238/239</t>
  </si>
  <si>
    <t>1M51-2209/2210 AA</t>
  </si>
  <si>
    <t>67019461/462</t>
  </si>
  <si>
    <t>4C24-2209-AC</t>
  </si>
  <si>
    <t>5C34-2209-AD
5C34-2210-AD</t>
  </si>
  <si>
    <t>14981301 (RH)
14981401 (LH)</t>
  </si>
  <si>
    <t>COATING</t>
  </si>
  <si>
    <t>(mm) at 100 bar</t>
  </si>
  <si>
    <t>Prod.</t>
  </si>
  <si>
    <t>VOLUME</t>
  </si>
  <si>
    <t>CUSTOMER #</t>
  </si>
  <si>
    <t>Engineer</t>
  </si>
  <si>
    <t>RACHAKONDRA</t>
  </si>
  <si>
    <t>MAGNI B09H</t>
  </si>
  <si>
    <t>FULLCAST 
VENTED
GOOSE-NECK
NON-FNC
FULLY COATED</t>
  </si>
  <si>
    <t>FULLCAST
VENTED
CONVENTIONAL
NON-FNC
FULLY COATED</t>
  </si>
  <si>
    <t>FULLCAST
VENTED
GOOSE-NECK
NON-FNC
FULLY COATED</t>
  </si>
  <si>
    <t>BBA 2002TA</t>
  </si>
  <si>
    <t>Wolverine HB 1510 to TS2-16-26</t>
  </si>
  <si>
    <t>MARK VIII (FN10)</t>
  </si>
  <si>
    <t>A34032553/554</t>
  </si>
  <si>
    <t>F8LC-2B119/8-AA</t>
  </si>
  <si>
    <t>34325187/188</t>
  </si>
  <si>
    <t>34325076/077</t>
  </si>
  <si>
    <t>Production ends xx/98</t>
  </si>
  <si>
    <t xml:space="preserve">ASFM </t>
  </si>
  <si>
    <t>TAURUS SHO (DN101)</t>
  </si>
  <si>
    <t xml:space="preserve">GRAY IRON </t>
  </si>
  <si>
    <t>HONED</t>
  </si>
  <si>
    <t>3500 SIERRA SRW &amp; VAN
(C-30/G-30/JB7)</t>
  </si>
  <si>
    <t>Mustang GT Vehicle 18" (S197)</t>
  </si>
  <si>
    <t>16595201/02</t>
  </si>
  <si>
    <t>Peak</t>
  </si>
  <si>
    <t>17342401/02</t>
  </si>
  <si>
    <t>CI 43/19/10.5</t>
  </si>
  <si>
    <t>17342301/02</t>
  </si>
  <si>
    <t>BR33-2K327/328-BC</t>
  </si>
  <si>
    <t xml:space="preserve">Front </t>
  </si>
  <si>
    <t>17902501/02</t>
  </si>
  <si>
    <t>17901501/02</t>
  </si>
  <si>
    <t>Mustang S197 SVT</t>
  </si>
  <si>
    <t>17880901/02</t>
  </si>
  <si>
    <t>BR3V-2K327/328-BA</t>
  </si>
  <si>
    <t>17909301/02</t>
  </si>
  <si>
    <t>CR3V-2K327/328-CA</t>
  </si>
  <si>
    <t>CII HE 38/12/11</t>
  </si>
  <si>
    <t>Nisshinbo (N550 H FF)</t>
  </si>
  <si>
    <t>Rubore (RPNS1 47 41)</t>
  </si>
  <si>
    <t>Housing:TS2-17-002 Alu 
Bracket:TS2-11-083 Fe</t>
  </si>
  <si>
    <t>18263401 (LH)
18263402 (RH)</t>
  </si>
  <si>
    <t>32036688/89 s/o Chart 03232777</t>
  </si>
  <si>
    <t>32036534/35 s/o Chart 03232759</t>
  </si>
  <si>
    <t>32325607/08</t>
  </si>
  <si>
    <t>13950001/02</t>
  </si>
  <si>
    <t xml:space="preserve">
~40
</t>
  </si>
  <si>
    <t>2008i</t>
  </si>
  <si>
    <t>P131 (Excursion,F-250/350)</t>
  </si>
  <si>
    <t>Chrylser</t>
  </si>
  <si>
    <t>Attachment</t>
  </si>
  <si>
    <t>GRAY IRON      
     WSS-M1A176-B10</t>
  </si>
  <si>
    <t>CII HR 34/11/8.7</t>
  </si>
  <si>
    <t>FIAT</t>
  </si>
  <si>
    <t>2011i</t>
  </si>
  <si>
    <t>Koblenz</t>
  </si>
  <si>
    <t>Housing:TS2-17-02 Alu 
Bracket:TS2-11-83</t>
  </si>
  <si>
    <t>32325605/06</t>
  </si>
  <si>
    <t>MSC 23.1</t>
  </si>
  <si>
    <t>CII 54/22/9</t>
  </si>
  <si>
    <t>Hitachi HP63H</t>
  </si>
  <si>
    <t>Nichias Multilayer</t>
  </si>
  <si>
    <t>CI HR 43/19/10.5</t>
  </si>
  <si>
    <t>12173505/06 (LD) 12833301/02 (HD)</t>
  </si>
  <si>
    <t>6006901/0 (LD) 6002298/16 (HD)</t>
  </si>
  <si>
    <t>10.7mm vented, 9.2mm vented, 11.2mm solid rotors</t>
  </si>
  <si>
    <t>CII 48+48/34/12</t>
  </si>
  <si>
    <t>Cast/Finish Mass ratio</t>
  </si>
  <si>
    <t>Cast/Finished mass ratio</t>
  </si>
  <si>
    <t>C 060-00</t>
  </si>
  <si>
    <t>5L24-1102-BA</t>
  </si>
  <si>
    <t>RUST PREVENTATIVE</t>
  </si>
  <si>
    <t>P150
RANGER</t>
  </si>
  <si>
    <t>GERBER</t>
  </si>
  <si>
    <t>F81A-1102-LB</t>
  </si>
  <si>
    <t>BRAZIL-VARGA</t>
  </si>
  <si>
    <t>8 X 170</t>
  </si>
  <si>
    <t>486.34 (F350)
544.51 (F250)</t>
  </si>
  <si>
    <t>Zinc + Dichromate</t>
  </si>
  <si>
    <t>162 364 33
162 364 34
162 364 35
162 364 36</t>
  </si>
  <si>
    <t>22743013
22743014
22743015
22743016</t>
  </si>
  <si>
    <t>17775901
17775902
17775903
17775904</t>
  </si>
  <si>
    <t>13502190
13502194
13500048
13500047</t>
  </si>
  <si>
    <t>Manual Park Brake
&amp;
Electric Cable Puller</t>
  </si>
  <si>
    <t>Core assembly
Manual Park Brake
&amp;
Electric Cable Puller</t>
  </si>
  <si>
    <t>16241241
16241242
16241243
16241244</t>
  </si>
  <si>
    <t>22743017
22743018
20978664
20978665</t>
  </si>
  <si>
    <t>16240901
16240902</t>
  </si>
  <si>
    <t>16241108
16241107</t>
  </si>
  <si>
    <t>17775701
17775702
17775703
17775704</t>
  </si>
  <si>
    <t>13502195
13502192
13500049
13500050</t>
  </si>
  <si>
    <t>18105209
18105210
18105211
18105212</t>
  </si>
  <si>
    <t>13580998
13581000
13581004
13581002</t>
  </si>
  <si>
    <t>16236207
16236208</t>
  </si>
  <si>
    <t>18105405
18105406
18105407
18105408</t>
  </si>
  <si>
    <t>22781282
22781283
22781284
22781285</t>
  </si>
  <si>
    <t>18105309
18105310
18105311
18105312</t>
  </si>
  <si>
    <t>22752399
22752398
22752397
22752396</t>
  </si>
  <si>
    <t>16241007
16241008</t>
  </si>
  <si>
    <t xml:space="preserve">China: 
EU:
NA: 
Kor: </t>
  </si>
  <si>
    <t>18105501
18105502
18105503
18105504</t>
  </si>
  <si>
    <t>13579133
13579132
13579134
13579135</t>
  </si>
  <si>
    <t>OVALITY RATE
OF CHANGE</t>
  </si>
  <si>
    <t>RADIAL
RUNOUT</t>
  </si>
  <si>
    <t>CHRYSLER</t>
  </si>
  <si>
    <t>PT-CRUISER (PT-44)</t>
  </si>
  <si>
    <t>05273209AA</t>
  </si>
  <si>
    <t>FULLCAST UNFINNED</t>
  </si>
  <si>
    <t>5 X 100</t>
  </si>
  <si>
    <t>0.045/60</t>
  </si>
  <si>
    <t>NEON (PL)</t>
  </si>
  <si>
    <t>2000 MY = D186</t>
  </si>
  <si>
    <t>RPS 54/22/10.6</t>
  </si>
  <si>
    <t>1966 / 3959</t>
  </si>
  <si>
    <t>Honeywell D7615</t>
  </si>
  <si>
    <t>MSC 28.10</t>
  </si>
  <si>
    <t>Black E-Coat</t>
  </si>
  <si>
    <t>Mt V</t>
  </si>
  <si>
    <t>17518601/02</t>
  </si>
  <si>
    <t>9R33-2K327/328-AA</t>
  </si>
  <si>
    <t>17523101/02</t>
  </si>
  <si>
    <t>17523001/02</t>
  </si>
  <si>
    <t>17410401/02</t>
  </si>
  <si>
    <t>AR33-2K327/328-AA</t>
  </si>
  <si>
    <t>Mustang Track Package (S197 TPII)</t>
  </si>
  <si>
    <t>TMD 2013-TA (Euro)</t>
  </si>
  <si>
    <t>IM</t>
  </si>
  <si>
    <t>Santa Rosa</t>
  </si>
  <si>
    <t>13044005-06</t>
  </si>
  <si>
    <t>4779106AA/7AA</t>
  </si>
  <si>
    <t>12299103/4</t>
  </si>
  <si>
    <t>696 / 865</t>
  </si>
  <si>
    <t>TMD 2014 TA</t>
  </si>
  <si>
    <t>13749901/02</t>
  </si>
  <si>
    <t>05273144AA/5AA</t>
  </si>
  <si>
    <t>13558801/2</t>
  </si>
  <si>
    <t>RPS 36/9/11</t>
  </si>
  <si>
    <t>13557501/2</t>
  </si>
  <si>
    <t>4860032AA/3AA</t>
  </si>
  <si>
    <t>RS (North American Minivan)</t>
  </si>
  <si>
    <t>04721362/3AI</t>
  </si>
  <si>
    <t>gland</t>
  </si>
  <si>
    <t>LT</t>
  </si>
  <si>
    <t>Dong</t>
  </si>
  <si>
    <t>H3520A-FF</t>
  </si>
  <si>
    <t>PL (Neon)</t>
  </si>
  <si>
    <t>04509318-9</t>
  </si>
  <si>
    <t>13377501/02</t>
  </si>
  <si>
    <t>Shirley</t>
  </si>
  <si>
    <t>Connolly</t>
  </si>
  <si>
    <t>Federal Mogul</t>
  </si>
  <si>
    <t xml:space="preserve">Housing and Bracket Casting Material
</t>
  </si>
  <si>
    <t>FAMILY 3
ZETA
CAMARO COUPE
CAMARO CONVERTIBLE
CADILLAC DTS</t>
  </si>
  <si>
    <t>FAMILY 3
EPSILON 2
SATURN AURA
CHEVY MALIBU</t>
  </si>
  <si>
    <t>FAMILY 3
EPSILON 2
BUICK LACROSSE
SATURN AURA
CHEVY MALIBU</t>
  </si>
  <si>
    <t>957 / 1302</t>
  </si>
  <si>
    <t>TMD 2013 TA (Euro)       FM FM-10 (domestic)</t>
  </si>
  <si>
    <t>I.M</t>
  </si>
  <si>
    <t>2001 Cirrus/Stratus (JR) Rear</t>
  </si>
  <si>
    <t>Santa Rosa &amp; Jax</t>
  </si>
  <si>
    <t>13440101/2 Euro-13440103/4 dom.</t>
  </si>
  <si>
    <t>04779124AA/5AAeuro- 04879248AB/9ABdom</t>
  </si>
  <si>
    <t>CI HL 38/14/11</t>
  </si>
  <si>
    <t>15" &amp; 16"</t>
  </si>
  <si>
    <t>Steel</t>
  </si>
  <si>
    <t>Akebono NS 516H</t>
  </si>
  <si>
    <t>Wolverine MS18069</t>
  </si>
  <si>
    <t>30, 30</t>
  </si>
  <si>
    <t>Zinc / yellow</t>
  </si>
  <si>
    <t>14680701/2</t>
  </si>
  <si>
    <t>52010088AD/9AD</t>
  </si>
  <si>
    <t>13536201/02</t>
  </si>
  <si>
    <t>Marconcin</t>
  </si>
  <si>
    <t>1800/3500</t>
  </si>
  <si>
    <t>14713101/2</t>
  </si>
  <si>
    <t>52010422AB/3AB</t>
  </si>
  <si>
    <t>RPS 54/22/11</t>
  </si>
  <si>
    <t>1840 / 950</t>
  </si>
  <si>
    <t>Honeywell 7913 (US),        TMD 2004TA (Euro)</t>
  </si>
  <si>
    <t>MSC 31.12               MSC 31.8</t>
  </si>
  <si>
    <t xml:space="preserve">50.23/54.95 </t>
  </si>
  <si>
    <t>Zinc Di (U.S.), Surfinco (Euro)</t>
  </si>
  <si>
    <t>P473 SRW (F-250/350)</t>
  </si>
  <si>
    <t>17550401 (RH)
17550501 (LH)</t>
  </si>
  <si>
    <t>BC34-2209-CB
BC34-2210-CB</t>
  </si>
  <si>
    <t>16895205/06</t>
  </si>
  <si>
    <t>16644701(RH)
16644801(LH)</t>
  </si>
  <si>
    <t>5C24-2209-BC</t>
  </si>
  <si>
    <t>5C24-2209-BB</t>
  </si>
  <si>
    <t>6C24-2209-AA</t>
  </si>
  <si>
    <t>5.3
5.6</t>
  </si>
  <si>
    <t>5.5
5.9</t>
  </si>
  <si>
    <t>2000 NEON (PL) 14"</t>
  </si>
  <si>
    <t>14281501/2 (HW)  14281505/6 (TMD)</t>
  </si>
  <si>
    <t>05273988AA/9AA 4509830AE/1AE</t>
  </si>
  <si>
    <t>13682703/04</t>
  </si>
  <si>
    <t>Front</t>
  </si>
  <si>
    <t>RPS 54/22/10.7</t>
  </si>
  <si>
    <t>2951/ 4340</t>
  </si>
  <si>
    <t>Phenolic</t>
  </si>
  <si>
    <t>FM 1269-43</t>
  </si>
  <si>
    <t>Rubore RPNS 713901</t>
  </si>
  <si>
    <t>Y</t>
  </si>
  <si>
    <t>5965 / 2686</t>
  </si>
  <si>
    <t>Rubore RPNS1 39 01</t>
  </si>
  <si>
    <t>Hsg - S12193401 Before Mach
Brk - TS2-21-071 After Mach</t>
  </si>
  <si>
    <t>96 HOURS             10% MAX RUST</t>
  </si>
  <si>
    <t>5 X 139.7</t>
  </si>
  <si>
    <t>SRT-10 PICK-UP</t>
  </si>
  <si>
    <t>55366036AB</t>
  </si>
  <si>
    <t>GEOMET</t>
  </si>
  <si>
    <t>DBL-039</t>
  </si>
  <si>
    <t>KA/KK/JK</t>
  </si>
  <si>
    <t>17441103/04</t>
  </si>
  <si>
    <t>0.1
(Not Convex)</t>
  </si>
  <si>
    <t xml:space="preserve"> Connolly</t>
  </si>
  <si>
    <t>D9193-FF</t>
  </si>
  <si>
    <t>2068 / 2878</t>
  </si>
  <si>
    <t>2404 / 3343</t>
  </si>
  <si>
    <t>Current Status for pad size (+big / -small)</t>
  </si>
  <si>
    <t>18050601 RH
18050602 LH</t>
  </si>
  <si>
    <t>BR33-2B118/119-DA</t>
  </si>
  <si>
    <t>15541201/02</t>
  </si>
  <si>
    <t>15208103/04</t>
  </si>
  <si>
    <t>15208001/02</t>
  </si>
  <si>
    <t>15208105/06</t>
  </si>
  <si>
    <t>BR33-2K327/328-DB</t>
  </si>
  <si>
    <t>15921301/02</t>
  </si>
  <si>
    <t>15981001/02</t>
  </si>
  <si>
    <t>15981301/02</t>
  </si>
  <si>
    <t>18028401/02</t>
  </si>
  <si>
    <t>CII 54/23/11</t>
  </si>
  <si>
    <t>67033177/178</t>
  </si>
  <si>
    <t>17942103/04</t>
  </si>
  <si>
    <t>15853005/06</t>
  </si>
  <si>
    <t>52013506/07 AJ</t>
  </si>
  <si>
    <t>System 5B ,                support  p/n 14476901</t>
  </si>
  <si>
    <t>Transferred to Sumitomo</t>
  </si>
  <si>
    <t xml:space="preserve">Akebono NS171H </t>
  </si>
  <si>
    <t>TAURUS (DN101)</t>
  </si>
  <si>
    <t>A34032538/539</t>
  </si>
  <si>
    <t>F6DC-2B119/8-AA</t>
  </si>
  <si>
    <t>X</t>
  </si>
  <si>
    <t>0.28 w/ flat steel</t>
  </si>
  <si>
    <t>NA</t>
  </si>
  <si>
    <t>DC</t>
  </si>
  <si>
    <t>NEON (PL) rear</t>
  </si>
  <si>
    <t>Current</t>
  </si>
  <si>
    <t>Jax</t>
  </si>
  <si>
    <t>13268003/04</t>
  </si>
  <si>
    <t>4509796/7</t>
  </si>
  <si>
    <t>12049201/02</t>
  </si>
  <si>
    <t>12049305/06</t>
  </si>
  <si>
    <t>Buie</t>
  </si>
  <si>
    <t>Metric inlet/bleed</t>
  </si>
  <si>
    <t>Rear</t>
  </si>
  <si>
    <t>RPS 36/12/10.7</t>
  </si>
  <si>
    <t>FM FM-10 (US)</t>
  </si>
  <si>
    <t>Wolverine MS-18691</t>
  </si>
  <si>
    <t>Riveted</t>
  </si>
  <si>
    <t>Plain or Surfinco</t>
  </si>
  <si>
    <t>.36 w/flat steel</t>
  </si>
  <si>
    <t>INTREPID/CONCORDE (LH) REAR</t>
  </si>
  <si>
    <t>13044003-04</t>
  </si>
  <si>
    <t>04779014AB/15AB</t>
  </si>
  <si>
    <t>12324801/02</t>
  </si>
  <si>
    <t>12299103/04</t>
  </si>
  <si>
    <t>English inlet/bleed</t>
  </si>
  <si>
    <t>ROTOR APPLICATIONS
(PROGRAM/MODELS/SPECIFICS)</t>
  </si>
  <si>
    <t>MAGNI BO9H</t>
  </si>
  <si>
    <t>52122184AA</t>
  </si>
  <si>
    <t>ROUGH</t>
  </si>
  <si>
    <t>Not Applicable</t>
  </si>
  <si>
    <t>P-131 
250/350 SRW 4X2
EXCURSION, F-250 / 350 PICK-UP</t>
  </si>
  <si>
    <t>P-131
 250/350 SRW 4X4
EXCURSION, F-250 / 350 PICK-UP</t>
  </si>
  <si>
    <t>P-131 
350 DRW 4X4
F-350 DRW PICK-UP</t>
  </si>
  <si>
    <t>P-131 
450/550 DRW
F-450/550 PICKUP / STRIP CHASSIS</t>
  </si>
  <si>
    <t>JK
WRANGLER  (BUX)</t>
  </si>
  <si>
    <t>KA / KK
NITRO / LIBERTY  (BUX)</t>
  </si>
  <si>
    <t>P356          
F350 DRW 4X2</t>
  </si>
  <si>
    <t>2007 KA /
 2008 KK</t>
  </si>
  <si>
    <t>P-131 
250/350 SRW EXCURSION, 
F-250/350 SRW PICK-UP</t>
  </si>
  <si>
    <t>Out of Production</t>
  </si>
  <si>
    <t>1155-2</t>
  </si>
  <si>
    <t>4786812/3</t>
  </si>
  <si>
    <t>12944001/02</t>
  </si>
  <si>
    <t>Ram Truck 2500/3500 (BR)</t>
  </si>
  <si>
    <t>11K</t>
  </si>
  <si>
    <t>52009919AA</t>
  </si>
  <si>
    <t>LaFranier</t>
  </si>
  <si>
    <t>AN (Dakota)</t>
  </si>
  <si>
    <t>52010042/3</t>
  </si>
  <si>
    <t>UN105
EXPLORER/4X2 DRIVE</t>
  </si>
  <si>
    <t>XL24-1102-EA</t>
  </si>
  <si>
    <t>K-SPECIAL
CADILLAC LIMO</t>
  </si>
  <si>
    <t>FL-13137503</t>
  </si>
  <si>
    <t>MAGNI COAT</t>
  </si>
  <si>
    <t>6 X 120</t>
  </si>
  <si>
    <t>A354-T6 Al / D5506 Bracket</t>
  </si>
  <si>
    <t xml:space="preserve">Caliper: none;     Brkt:  NTZR ZnC </t>
  </si>
  <si>
    <t xml:space="preserve">SK140297 01/02 </t>
  </si>
  <si>
    <t>X140294 01</t>
  </si>
  <si>
    <t>X140295 01/02</t>
  </si>
  <si>
    <t>Stermer</t>
  </si>
  <si>
    <t>RPS 66+66/39/14.1 (ft/rr)</t>
  </si>
  <si>
    <t>369 (Ft) 390 (Rr)</t>
  </si>
  <si>
    <t>166 (fr) 151 (rr)</t>
  </si>
  <si>
    <t>107, 107</t>
  </si>
  <si>
    <t>131.9, 131.9</t>
  </si>
  <si>
    <t>Hsg - Zinconium 2000, Adapter - E-coat, both after machining</t>
  </si>
  <si>
    <t>2005 F550 front and rear</t>
  </si>
  <si>
    <t>Canceled</t>
  </si>
  <si>
    <t>DiPonio</t>
  </si>
  <si>
    <t>RPS 2x66/39/14.1 (Ft&amp;Rr)</t>
  </si>
  <si>
    <t>12845/7109.92</t>
  </si>
  <si>
    <t>Honeywell 7615</t>
  </si>
  <si>
    <t>Wolverine WXP-2547</t>
  </si>
  <si>
    <t>Metlock</t>
  </si>
  <si>
    <t>2005 DC45/5500 FRT &amp; REAR</t>
  </si>
  <si>
    <t>13942101/02</t>
  </si>
  <si>
    <t>04899288AA/89AA</t>
  </si>
  <si>
    <t>Morais</t>
  </si>
  <si>
    <t>Midship lift stops, Robust clips</t>
  </si>
  <si>
    <t>CII 43+43/30-12</t>
  </si>
  <si>
    <t>18"</t>
  </si>
  <si>
    <t>Vynkolit X7305</t>
  </si>
  <si>
    <t>354-T6 Al,   D5506</t>
  </si>
  <si>
    <t>Black anodize clpr, Zinc Cobalt brkt</t>
  </si>
  <si>
    <t>2004.5 LX V8 front</t>
  </si>
  <si>
    <t xml:space="preserve"> D5506</t>
  </si>
  <si>
    <t>E-coat Housing, Zinc Cobalt brkt</t>
  </si>
  <si>
    <t>CII 45+45/34-12?</t>
  </si>
  <si>
    <t>?</t>
  </si>
  <si>
    <t>Caliper: E-coat Before Bracket: Zinconium 2000 After</t>
  </si>
  <si>
    <t>not available</t>
  </si>
  <si>
    <t xml:space="preserve">24/7 project based on Alfa Romeo design </t>
  </si>
  <si>
    <t>X144096</t>
  </si>
  <si>
    <t>Wong</t>
  </si>
  <si>
    <t xml:space="preserve">project originally defined for 2005 UP254 </t>
  </si>
  <si>
    <t>CII 43/10/11</t>
  </si>
  <si>
    <t>1531 / 2104</t>
  </si>
  <si>
    <t>y</t>
  </si>
  <si>
    <t>Caliper: none, NTZR brkt</t>
  </si>
  <si>
    <t>2004 LX rear</t>
  </si>
  <si>
    <t>X13894701/02</t>
  </si>
  <si>
    <t>X13894401</t>
  </si>
  <si>
    <t>X13894501/02</t>
  </si>
  <si>
    <t>CII 51+51/30-11</t>
  </si>
  <si>
    <t>None - Caliper, Zinc Cobalt brkt</t>
  </si>
  <si>
    <t>13.14 est</t>
  </si>
  <si>
    <t>2004 GM Lambda (GMT960/965)</t>
  </si>
  <si>
    <t>SK14227601/02</t>
  </si>
  <si>
    <t>SK14227301</t>
  </si>
  <si>
    <t>SK14227401</t>
  </si>
  <si>
    <t>Schilling</t>
  </si>
  <si>
    <t>CII HR 48/12/12</t>
  </si>
  <si>
    <t>17"  19"</t>
  </si>
  <si>
    <t xml:space="preserve">e coat </t>
  </si>
  <si>
    <t>Lambda 2005</t>
  </si>
  <si>
    <t>15506401/02</t>
  </si>
  <si>
    <t>6C24-2K327/8-C</t>
  </si>
  <si>
    <t>Rubore RPNS 13901</t>
  </si>
  <si>
    <t>15506201/02</t>
  </si>
  <si>
    <t>6C24-2B120/1-C</t>
  </si>
  <si>
    <t>E coated before  machining</t>
  </si>
  <si>
    <t>15561201/02</t>
  </si>
  <si>
    <t>6C24-2K327/8-B</t>
  </si>
  <si>
    <t>WESCAST</t>
  </si>
  <si>
    <t>10 X 198.3</t>
  </si>
  <si>
    <t>GRITBLAST</t>
  </si>
  <si>
    <t>F-53
STRIP CHASSIS CAB TRUCK</t>
  </si>
  <si>
    <t>3C34-1113-AB</t>
  </si>
  <si>
    <t>456.54 (F350)
348.41 (F250)</t>
  </si>
  <si>
    <t>448 (F350)
426 (F250)</t>
  </si>
  <si>
    <t>F106-03
F006-02</t>
  </si>
  <si>
    <t>686.39 (F550)</t>
  </si>
  <si>
    <t>615 (F550)</t>
  </si>
  <si>
    <t>F81A-2CO26-CB</t>
  </si>
  <si>
    <t>XC35-1113-AB</t>
  </si>
  <si>
    <t xml:space="preserve"> </t>
  </si>
  <si>
    <t>P131/U137
F-250/350 SRW PICK-UP &amp; EXCURSION (ships to Visteon)</t>
  </si>
  <si>
    <t>YC35-2C026-BB</t>
  </si>
  <si>
    <t>WAUPACA ??</t>
  </si>
  <si>
    <t>VN127
ECONOLINE E-350 DRW</t>
  </si>
  <si>
    <t>P-30 TRUCK
(JF9)</t>
  </si>
  <si>
    <t>10 X 184.15</t>
  </si>
  <si>
    <t>04721677AA</t>
  </si>
  <si>
    <t>E150</t>
  </si>
  <si>
    <t>52060147AA</t>
  </si>
  <si>
    <t>HONED (ROUGH)</t>
  </si>
  <si>
    <t>Ra = 2.3 MIN</t>
  </si>
  <si>
    <t>52129250AA</t>
  </si>
  <si>
    <t>6 X 135</t>
  </si>
  <si>
    <t>POST PRODUCTION INFORMATION</t>
  </si>
  <si>
    <t>SN95 COBRA
MUSTANG COBRA</t>
  </si>
  <si>
    <t>VFDI0001-2</t>
  </si>
  <si>
    <t>F4ZC-2C026-AA</t>
  </si>
  <si>
    <t>VFDI0007-0</t>
  </si>
  <si>
    <t>SOLID</t>
  </si>
  <si>
    <t>FrasLe 4999  US              FM 46Q3T BUX</t>
  </si>
  <si>
    <t>P-131 SA F-250/350 SRW PICK-UP
4X2 DRIVE WITH ABS</t>
  </si>
  <si>
    <t>XC35-1102-EA</t>
  </si>
  <si>
    <t>F81A-1125-BA</t>
  </si>
  <si>
    <t>3C34-1102-CA</t>
  </si>
  <si>
    <t>3C34-1102-DC</t>
  </si>
  <si>
    <t>P-131
F-450 DRW PICK-UP &amp; STRIP CHASSIS (loose rotor)</t>
  </si>
  <si>
    <t>3581.4 / 5105.4</t>
  </si>
  <si>
    <t>3C34-1102-FC</t>
  </si>
  <si>
    <t>2002.5 E-550 Front (VN127)</t>
  </si>
  <si>
    <t>F81A-2B120/1</t>
  </si>
  <si>
    <t>vehicle cancelled by Ford Jan 2003</t>
  </si>
  <si>
    <t>2002.5 E-550 Rear (VN127)</t>
  </si>
  <si>
    <t>vehicle cancelled by Ford  Jan 2003</t>
  </si>
  <si>
    <t>RPS 34/9/10.7</t>
  </si>
  <si>
    <t>1295f/727r</t>
  </si>
  <si>
    <t>FERODO NT-8A</t>
  </si>
  <si>
    <t>Wolverine                 MS-18691</t>
  </si>
  <si>
    <t>27.6, 27.6</t>
  </si>
  <si>
    <t>Surfinco</t>
  </si>
  <si>
    <t>Sebring/Cirrus (JX/JA) rear</t>
  </si>
  <si>
    <t>12953403-04</t>
  </si>
  <si>
    <t>4509716AB/7AB</t>
  </si>
  <si>
    <t>12049301-04</t>
  </si>
  <si>
    <t>Kim</t>
  </si>
  <si>
    <t>English inlet/Bleed</t>
  </si>
  <si>
    <t>ASFM 7805</t>
  </si>
  <si>
    <t>Zinc + Dichromate/ silver</t>
  </si>
  <si>
    <t>NEON(PL), CIRRUS (JA) REAR</t>
  </si>
  <si>
    <t>Service</t>
  </si>
  <si>
    <t>12692501/02</t>
  </si>
  <si>
    <t>4509554/5</t>
  </si>
  <si>
    <t>12049301/02</t>
  </si>
  <si>
    <t>RPS 34/12/10.7</t>
  </si>
  <si>
    <t>FERODO NT-10 (a.k.a. 96-106)</t>
  </si>
  <si>
    <t>12645201/02</t>
  </si>
  <si>
    <t>4616592/3</t>
  </si>
  <si>
    <t>BBA 2006</t>
  </si>
  <si>
    <t>1998 NEON(PL)</t>
  </si>
  <si>
    <t>13268001/02</t>
  </si>
  <si>
    <t>4509868AA/9AA</t>
  </si>
  <si>
    <t>Effective mass ratio to be calculated using Housing Deflection from FEA</t>
  </si>
  <si>
    <t>ECONOLINE
E-150 VAN/WITH ABS</t>
  </si>
  <si>
    <t>CHAPMAN</t>
  </si>
  <si>
    <t>XC25-1102-A</t>
  </si>
  <si>
    <t>ECONOLINE
E-250/350 SRW VAN/W/O ABS</t>
  </si>
  <si>
    <t>F8UA-1102-BA</t>
  </si>
  <si>
    <t xml:space="preserve">8 X 165.10 </t>
  </si>
  <si>
    <t>3900.0/
4354.0</t>
  </si>
  <si>
    <t>1975.0/
2131.0</t>
  </si>
  <si>
    <t>154/
187</t>
  </si>
  <si>
    <t>348.0/
358.1</t>
  </si>
  <si>
    <t>795.0/
922.0</t>
  </si>
  <si>
    <t>ECONOLINE
E-350 DRW</t>
  </si>
  <si>
    <t>F8UA-1102-D</t>
  </si>
  <si>
    <t>8 X 165.10</t>
  </si>
  <si>
    <t>EXPEDITION 4X2
(UN93)</t>
  </si>
  <si>
    <t>F85A-1102-B</t>
  </si>
  <si>
    <t>EXPEDITION 4X4
(UN93)</t>
  </si>
  <si>
    <t>F-250 4X2 PICK-UP
(PN102)</t>
  </si>
  <si>
    <t>XL34-1102-C</t>
  </si>
  <si>
    <t>F85A-1102-A</t>
  </si>
  <si>
    <t>F85A-1102-C</t>
  </si>
  <si>
    <t>F-250 4X4 PICK-UP
(PN102)</t>
  </si>
  <si>
    <t>F75W-2B663-AC</t>
  </si>
  <si>
    <t>Jan '02</t>
  </si>
  <si>
    <t>VBI</t>
  </si>
  <si>
    <t>13622401/02</t>
  </si>
  <si>
    <t>5273066AA/067AA</t>
  </si>
  <si>
    <t>13622001/02</t>
  </si>
  <si>
    <t>17"
18"
20"
22"</t>
  </si>
  <si>
    <t>17656607/08</t>
  </si>
  <si>
    <t>17660003/4</t>
  </si>
  <si>
    <t>Ra=3.5-8.0</t>
  </si>
  <si>
    <t>17711503/04</t>
  </si>
  <si>
    <t>17711601/02</t>
  </si>
  <si>
    <t>17711603/04</t>
  </si>
  <si>
    <t>52010236/237-AA</t>
  </si>
  <si>
    <t>RPS 54+54/28/12</t>
  </si>
  <si>
    <t>HW D7615 until 8/02   FM2716 (aka 613) 8/02</t>
  </si>
  <si>
    <t>Wolverine WXP 2547</t>
  </si>
  <si>
    <t>15018501/2</t>
  </si>
  <si>
    <t>13711701/2</t>
  </si>
  <si>
    <t>Semi-symmetrical adaptor castings; midship lift stops</t>
  </si>
  <si>
    <t>13591601/2</t>
  </si>
  <si>
    <t>52010090/91-AA</t>
  </si>
  <si>
    <t>Lintner</t>
  </si>
  <si>
    <t>CII 54+54/34/12</t>
  </si>
  <si>
    <t>5960/8479</t>
  </si>
  <si>
    <t>17" &amp; 18"</t>
  </si>
  <si>
    <t>Cal: TS2-11-87 Brk: TS2-11-83</t>
  </si>
  <si>
    <t>14414101/02</t>
  </si>
  <si>
    <t>5C34-2K327/328-C</t>
  </si>
  <si>
    <t>14413801/02</t>
  </si>
  <si>
    <t>14413901/02</t>
  </si>
  <si>
    <t>PRS, F350 DRW heavy rear is listed - worse case</t>
  </si>
  <si>
    <t>CII 54+54/28/11.5</t>
  </si>
  <si>
    <t>FM 2234FE</t>
  </si>
  <si>
    <t>MSC 3.2 Double Sticky</t>
  </si>
  <si>
    <t>Caliper and Bracket: TS2-21-71 After</t>
  </si>
  <si>
    <t>14900903/04</t>
  </si>
  <si>
    <t>RPS 2X54/31.5/10.2</t>
  </si>
  <si>
    <t>4184 / 2795</t>
  </si>
  <si>
    <t>FM 2129 (4109)</t>
  </si>
  <si>
    <t>Rubore RPNS 14001</t>
  </si>
  <si>
    <t>14586401/02</t>
  </si>
  <si>
    <t>S-10 PICK-UP/BLAZER S
(S/T)</t>
  </si>
  <si>
    <t>FL-12960303</t>
  </si>
  <si>
    <t>5 X 120.65</t>
  </si>
  <si>
    <t>ISUZU</t>
  </si>
  <si>
    <t>PICK-UP/UTILITY (4 X 4)</t>
  </si>
  <si>
    <t>6 X 109.00</t>
  </si>
  <si>
    <t>PICK-UP/UTILITY (4 X 2/4 X 4)</t>
  </si>
  <si>
    <t>8 97096 395-Y</t>
  </si>
  <si>
    <t>6 X 109.0</t>
  </si>
  <si>
    <t>MAZDA</t>
  </si>
  <si>
    <t>CT120
ESCORT/TRACER</t>
  </si>
  <si>
    <t>F2C6-1032-AA</t>
  </si>
  <si>
    <t>4 X 100.0</t>
  </si>
  <si>
    <t>ESCORT/TRACER
(CT120)</t>
  </si>
  <si>
    <t>BW/7Y 33 251</t>
  </si>
  <si>
    <t>4 X 100.00</t>
  </si>
  <si>
    <t>J94A
626/MX6</t>
  </si>
  <si>
    <t>GA3Y 33 25X</t>
  </si>
  <si>
    <t>GD7Y 33 25X</t>
  </si>
  <si>
    <t>Y
CORVETTE</t>
  </si>
  <si>
    <t xml:space="preserve">BRAKE SURFACE          100 HOURS
10% MAX RUST     
</t>
  </si>
  <si>
    <t>52009965AC</t>
  </si>
  <si>
    <t>Ra = 2.3 MAX.</t>
  </si>
  <si>
    <t>349.3
281
299</t>
  </si>
  <si>
    <t>01.009
C001-05
C012-04</t>
  </si>
  <si>
    <t>FORD                    PASS CAR</t>
  </si>
  <si>
    <t>GEOMET/RUST PREVENTATIVE</t>
  </si>
  <si>
    <t>1530 / 1602</t>
  </si>
  <si>
    <t>F81A-1109-DA</t>
  </si>
  <si>
    <t>INNER RACE- 2389901         OUTER RACE-072838</t>
  </si>
  <si>
    <t>SAE J434 NODULAR IRON</t>
  </si>
  <si>
    <t>4C34-1109-AA</t>
  </si>
  <si>
    <t>YC25-1113-BA</t>
  </si>
  <si>
    <t>8 X 145.0</t>
  </si>
  <si>
    <t xml:space="preserve">IM </t>
  </si>
  <si>
    <t>FULLCAST
VENTED
CONVENTIONAL</t>
  </si>
  <si>
    <t>FULLCAST
SOLID
CONVENTIONAL</t>
  </si>
  <si>
    <t>FULLCAST
VENTED
GOOSE-NECK</t>
  </si>
  <si>
    <t>FULLCAST
VENTED
INVERTED</t>
  </si>
  <si>
    <t>FULLCAST VENTED
CONVENTIONAL</t>
  </si>
  <si>
    <t>UNICAST
VENTED
CONVENTIONAL</t>
  </si>
  <si>
    <t>UNICAST
VENTED
GOOSE-NECK</t>
  </si>
  <si>
    <t>170X8</t>
  </si>
  <si>
    <t>170X10</t>
  </si>
  <si>
    <t>DLB 093 FF</t>
  </si>
  <si>
    <t>FM
2234FE</t>
  </si>
  <si>
    <t>Oakwood</t>
  </si>
  <si>
    <t>5062 / 1707</t>
  </si>
  <si>
    <t>403 (DR)
350 (HB)</t>
  </si>
  <si>
    <t>3084 (DR)
3039 (HB)</t>
  </si>
  <si>
    <t>52013853AA/52AA</t>
  </si>
  <si>
    <t>RPS 54/22/16.7</t>
  </si>
  <si>
    <t>VPDI-0122-0 (R)
VPDI-0121-0 (L)</t>
  </si>
  <si>
    <t>VFDI 0006-5(R) VFDI 0006-4(L)</t>
  </si>
  <si>
    <t>10406648 (RH)
10406647 (LH)</t>
  </si>
  <si>
    <t>5 X 120.6</t>
  </si>
  <si>
    <t>PN 150
RANGER/4X2 DRIVE W/O ABS</t>
  </si>
  <si>
    <t>XL54-1102-EA</t>
  </si>
  <si>
    <t>1882.0-1996.0</t>
  </si>
  <si>
    <t>1035-1097</t>
  </si>
  <si>
    <t>3C34-1102-LA</t>
  </si>
  <si>
    <t>3855 / 4082</t>
  </si>
  <si>
    <t>P-131 SA F-250/350 SRW PICK-UP
4X2 DRIVE W/O ABS</t>
  </si>
  <si>
    <t>XC35-1102-FA</t>
  </si>
  <si>
    <t>18097605/06</t>
  </si>
  <si>
    <t>4326 / 7221</t>
  </si>
  <si>
    <t>17945705/06</t>
  </si>
  <si>
    <t>2001.5 DC Liberty (KJ)</t>
  </si>
  <si>
    <t>13513501/02</t>
  </si>
  <si>
    <t>52128252AA/53AA</t>
  </si>
  <si>
    <t>135419-01/02</t>
  </si>
  <si>
    <t>3719 / 964</t>
  </si>
  <si>
    <t>16" &amp; 17"</t>
  </si>
  <si>
    <t>29502B</t>
  </si>
  <si>
    <t>RPS 66/24/11</t>
  </si>
  <si>
    <t>GM PASS CAR</t>
  </si>
  <si>
    <t>GMW4-M-IR-C-G250-SP-R1-E</t>
  </si>
  <si>
    <t>GMW4M-IR-C-G205SP-R1</t>
  </si>
  <si>
    <t>GMW4M-IR-C-G135SP-R1</t>
  </si>
  <si>
    <t>SAGINAW</t>
  </si>
  <si>
    <t>GMW4M-IR-C-G225</t>
  </si>
  <si>
    <t xml:space="preserve">GMW4M-IR-C-G225 </t>
  </si>
  <si>
    <t>5 X 105</t>
  </si>
  <si>
    <t>5 X 115</t>
  </si>
  <si>
    <t>5 X 120</t>
  </si>
  <si>
    <t>2970 / 2115</t>
  </si>
  <si>
    <t>9.5A Min./16.8 A Max. at 16.3 kN MIN./7.2V/65°C MAX.</t>
  </si>
  <si>
    <t>12A Min./18 A Max. at 13.5 kN MIN./7.2V/65°C MAX.</t>
  </si>
  <si>
    <t>P-131
F-450 DRW PICK-UP &amp; STRIP CHASSIS</t>
  </si>
  <si>
    <t>F81A-2C026-AB</t>
  </si>
  <si>
    <t>10 X 163.26</t>
  </si>
  <si>
    <t>P-131
F-450 DRW PICK-UP 4X4 DRIVE</t>
  </si>
  <si>
    <t>YC35-1102-FC</t>
  </si>
  <si>
    <t>Ford #  976042-2</t>
  </si>
  <si>
    <t>P-131
F-450/550 DRW PICK-UP 4X2 DRIVE</t>
  </si>
  <si>
    <t>YC35-1102-EB</t>
  </si>
  <si>
    <t>CII 2x54/32/12 (Ft)</t>
  </si>
  <si>
    <t>5,951 / 2,691</t>
  </si>
  <si>
    <t>Hsg - TS2-21-071 Before Mach, Brk - TS2-21-071 After Mach</t>
  </si>
  <si>
    <t>C16321001/02</t>
  </si>
  <si>
    <t>5285599701/801</t>
  </si>
  <si>
    <t>14415101/02</t>
  </si>
  <si>
    <t>PRS, F350 SRW heavy rear is listed - worst case</t>
  </si>
  <si>
    <t>CII 51+51/30-12</t>
  </si>
  <si>
    <t>3536 / 1269</t>
  </si>
  <si>
    <t>Fiberite F-1</t>
  </si>
  <si>
    <t>FM 2136</t>
  </si>
  <si>
    <t>Wolverine MS-18035</t>
  </si>
  <si>
    <t>T6 Alum Cal D5506 Adaptor</t>
  </si>
  <si>
    <t>Zinc Cobalt - Brkt</t>
  </si>
  <si>
    <t>Housing:TS2-24-107 (Traffic Red - RAL3020)) 
Bracket:TS2-24-107 (Traffic Red - RAL3020)</t>
  </si>
  <si>
    <t>150260 00</t>
  </si>
  <si>
    <t>3.583/5.837</t>
  </si>
  <si>
    <t>TAPE:  TOPEX E035009#7343</t>
  </si>
  <si>
    <t>MSC23.0</t>
  </si>
  <si>
    <t>Cal:TS2-11-87 Brk:TS2-11-83</t>
  </si>
  <si>
    <t>Caliper: E-coat Before Bracket: TS2-21-71 After</t>
  </si>
  <si>
    <t>14415301/02</t>
  </si>
  <si>
    <t>DC/DH/D1</t>
  </si>
  <si>
    <t>0.05
(Not Convex)</t>
  </si>
  <si>
    <t>5C34-2K327/328-A</t>
  </si>
  <si>
    <t>14415001/02</t>
  </si>
  <si>
    <t>bracket
17717801</t>
  </si>
  <si>
    <t>1455 / 1603</t>
  </si>
  <si>
    <t>17751801-04</t>
  </si>
  <si>
    <t>15812617/18</t>
  </si>
  <si>
    <t>16834801/02</t>
  </si>
  <si>
    <t>1456 / 1603</t>
  </si>
  <si>
    <t>1457 / 1603</t>
  </si>
  <si>
    <t>1458 / 1603</t>
  </si>
  <si>
    <t>1525 (1.1G Forward)</t>
  </si>
  <si>
    <t>CII 45+45/34/14</t>
  </si>
  <si>
    <t>3487 / 5295</t>
  </si>
  <si>
    <t>FM2235</t>
  </si>
  <si>
    <t>CII 51+51/34/14</t>
  </si>
  <si>
    <t>ACTUATOR DESCRIPTION</t>
  </si>
  <si>
    <t>CI HR 43/19/11</t>
  </si>
  <si>
    <t>CII HR 43/12/11</t>
  </si>
  <si>
    <t>17410606
opt. 32337027</t>
  </si>
  <si>
    <t>C168376</t>
  </si>
  <si>
    <t>8C34-2209-BA</t>
  </si>
  <si>
    <t>F-450 (P356)</t>
  </si>
  <si>
    <t>DLB 039 FF</t>
  </si>
  <si>
    <t>DoubleLink</t>
  </si>
  <si>
    <t>C145894</t>
  </si>
  <si>
    <t>5C34-2209-BF</t>
  </si>
  <si>
    <t>F-450 (P131)</t>
  </si>
  <si>
    <t>3896372C91</t>
  </si>
  <si>
    <t>5 (est)</t>
  </si>
  <si>
    <t>Navistar</t>
  </si>
  <si>
    <t>DC34-2C220-AB
DC34-2C221-AB</t>
  </si>
  <si>
    <t>P473 DRW (F-350, F-450 Pick Up)</t>
  </si>
  <si>
    <t>DLB 040 FF</t>
  </si>
  <si>
    <t>DC34-2C220-CB
DC34-2C221-CB</t>
  </si>
  <si>
    <t>19.5K</t>
  </si>
  <si>
    <t>610 VSES</t>
  </si>
  <si>
    <t>1998
-2005</t>
  </si>
  <si>
    <t>9U2J-2B688-CA</t>
  </si>
  <si>
    <t>n/a</t>
  </si>
  <si>
    <t>18202803/04</t>
  </si>
  <si>
    <t>DR33-2K327/328-EA</t>
  </si>
  <si>
    <t>Mustang S197 SVT(Condor)</t>
  </si>
  <si>
    <t>15980901/02</t>
  </si>
  <si>
    <t>7R3V-2K327/328-AA</t>
  </si>
  <si>
    <t>Federal Mogul FM4088</t>
  </si>
  <si>
    <t>Nisshinbo N715H</t>
  </si>
  <si>
    <t>MSC 8.0</t>
  </si>
  <si>
    <t>EXCURSION, F250, F350 SRW</t>
  </si>
  <si>
    <t>5C34-1102-A</t>
  </si>
  <si>
    <t>SN95
MUSTANG</t>
  </si>
  <si>
    <t>F8ZC-1125-AB</t>
  </si>
  <si>
    <t>96 HOURS
3% MAX RUST</t>
  </si>
  <si>
    <t>FORD
TRUCK</t>
  </si>
  <si>
    <t>P-131 MEXICO
F-350 DRW PICK-UP 4X2 DRIVE W/O ABS</t>
  </si>
  <si>
    <t>F81A-1102-MC</t>
  </si>
  <si>
    <t>48 HOURS
NO RED RUST</t>
  </si>
  <si>
    <t>CAST WEIGHT (DRAWING, KG)</t>
  </si>
  <si>
    <t>FINISH WEIGHT (DRAWING, KG)</t>
  </si>
  <si>
    <t xml:space="preserve">ST. CATHERINES </t>
  </si>
  <si>
    <t>Andrews</t>
  </si>
  <si>
    <t>52124969AA/68AA</t>
  </si>
  <si>
    <t>Wolverine MS-18069</t>
  </si>
  <si>
    <t>ADSMO (Advics)</t>
  </si>
  <si>
    <t>TOPEX E04100900931</t>
  </si>
  <si>
    <t>32328609/10</t>
  </si>
  <si>
    <t>32338747/48</t>
  </si>
  <si>
    <t>INNER-104.7MM OUTER-82.6MM</t>
  </si>
  <si>
    <t>13502211/12</t>
  </si>
  <si>
    <t>16915405/06</t>
  </si>
  <si>
    <t>8 X 200</t>
  </si>
  <si>
    <t>CII HR 45/19/11</t>
  </si>
  <si>
    <t>Taurus SHO and Lincoln MKT/MKS</t>
  </si>
  <si>
    <t>F057-02</t>
  </si>
  <si>
    <t>5C34-1125-D</t>
  </si>
  <si>
    <t>5C34-1125-C</t>
  </si>
  <si>
    <t>10 X 170</t>
  </si>
  <si>
    <t>654.73 (F550)</t>
  </si>
  <si>
    <t>570 (F550)</t>
  </si>
  <si>
    <t>F141-03</t>
  </si>
  <si>
    <t>P131/U137 F-250/350 SRW PICK-UP &amp; EXCURSION 4X4 DRIVE WITH ABS</t>
  </si>
  <si>
    <t>3C34-1102-GC</t>
  </si>
  <si>
    <t>3855.6 / 4536</t>
  </si>
  <si>
    <t>Phenolic w/cap</t>
  </si>
  <si>
    <t>XJ/TJ/ZJ (Cher, Wrangler, Gr. Cher.)</t>
  </si>
  <si>
    <t>13129201/02                12569301/02</t>
  </si>
  <si>
    <t>52128226/27            52007744/5</t>
  </si>
  <si>
    <t>12074301/02</t>
  </si>
  <si>
    <t>RPS 66/26/</t>
  </si>
  <si>
    <t>System 5A , support  p/n 14476901</t>
  </si>
  <si>
    <t>14275603/04</t>
  </si>
  <si>
    <t>CHEROKEE/ WRANGLER (XJ/YJ)</t>
  </si>
  <si>
    <t>52008440
(DANA 45946)</t>
  </si>
  <si>
    <t>CAST IRON</t>
  </si>
  <si>
    <t>COMPOSITE
VENTED</t>
  </si>
  <si>
    <t>IC 531</t>
  </si>
  <si>
    <t>5 X 114.30</t>
  </si>
  <si>
    <t>JA
CIRRUS &amp; STRATUS/14" WHEELS</t>
  </si>
  <si>
    <t>04879227AA</t>
  </si>
  <si>
    <t>----</t>
  </si>
  <si>
    <t>JA
CIRRUS &amp; STRATUS/15" WHEELS</t>
  </si>
  <si>
    <t>04879228AA</t>
  </si>
  <si>
    <t>JX
SEBRING &amp; BREEZE/14" WHEELS</t>
  </si>
  <si>
    <t>04879229AA</t>
  </si>
  <si>
    <t>LH EUROPEAN
300M/16" WHEELS</t>
  </si>
  <si>
    <t>2010 DELTA 2 / 2011 GAMMA</t>
  </si>
  <si>
    <t>2009 AURA / 2012 MALIBU</t>
  </si>
  <si>
    <t>2009 EQUINOX, ACADIA, CAMARO, LACROSSE, AURA
2011 CADILLAC
2012 MALIBU</t>
  </si>
  <si>
    <t>2010 DELTA 2 /
2011 GAMMA</t>
  </si>
  <si>
    <t>2009 AURA, LACROSSE /
2012 MALIBU</t>
  </si>
  <si>
    <t>Post Prod</t>
  </si>
  <si>
    <t>NS317</t>
  </si>
  <si>
    <t>8C24-3B305/6-DG</t>
  </si>
  <si>
    <t xml:space="preserve">15786205/6 </t>
  </si>
  <si>
    <t xml:space="preserve">15786207/8 </t>
  </si>
  <si>
    <t>8C24-3B305/6-CG</t>
  </si>
  <si>
    <t>2x60 - C2</t>
  </si>
  <si>
    <t>Sterling Hts.</t>
  </si>
  <si>
    <t>16916205/6</t>
  </si>
  <si>
    <t>16916207/8</t>
  </si>
  <si>
    <t>9C24-3B305/6-DB</t>
  </si>
  <si>
    <t>9C24-3B305/6-CB</t>
  </si>
  <si>
    <t>Avon Lake, OH</t>
  </si>
  <si>
    <t>345 x 40</t>
  </si>
  <si>
    <t>United XN9266</t>
  </si>
  <si>
    <t>15786209/10</t>
  </si>
  <si>
    <t>15786211/12</t>
  </si>
  <si>
    <t>8C24-3B305/6-DH</t>
  </si>
  <si>
    <t>8C24-3B305/6-CH</t>
  </si>
  <si>
    <t xml:space="preserve">Pre- Prod </t>
  </si>
  <si>
    <t>E-Series</t>
  </si>
  <si>
    <t>SAE D 4010     
DUCTILE IRON</t>
  </si>
  <si>
    <t>INNER RACE - LM 501310
OUTER RACE - 15243</t>
  </si>
  <si>
    <t>184.0 x 5</t>
  </si>
  <si>
    <t>INNER - 73.5 MM
OUTER - 62.0 MM</t>
  </si>
  <si>
    <t>P300 TRUCK (JF9)
GMT 455 PICK-UP</t>
  </si>
  <si>
    <t>SAE D 4512     
DUCTILE IRON</t>
  </si>
  <si>
    <t>INNER RACE - 13027601
OUTER RACE - 13027401</t>
  </si>
  <si>
    <t>184.0 x 10</t>
  </si>
  <si>
    <t>12875312
12875311</t>
  </si>
  <si>
    <t>12780102 (RH) 12780101 (LH)</t>
  </si>
  <si>
    <t>F7ZC-2C374-AA
F7ZC-2C375-AA</t>
  </si>
  <si>
    <t>5 X 114.35</t>
  </si>
  <si>
    <t>DN101 SHO
TAURUS-SHO</t>
  </si>
  <si>
    <t>S197
MUSTANG BASE</t>
  </si>
  <si>
    <t>S197
 MUSTANG GT</t>
  </si>
  <si>
    <t>4R33-1125-BE</t>
  </si>
  <si>
    <t>CR 54/25/10.5
(Continuous Rail)</t>
  </si>
  <si>
    <t>"Integral" indicates shoe rails are integral to knuckle.  "Bolt-on" indicates bolt-on torque adaptor without outboard tie bar.  "Saddle" indicates bolt-on torque adaptor with outboard tie bar.</t>
  </si>
  <si>
    <t>Green type = Varga Limeira (Brazil)</t>
  </si>
  <si>
    <t>Bold Italics type</t>
  </si>
  <si>
    <t>= under development (not yet awarded)</t>
  </si>
  <si>
    <t>P.W.W.I. = Pad Wear Warning Indicator; M = mechanical PWWI (audible), E = electrical PWWI, N = none</t>
  </si>
  <si>
    <t>CII 48+48/30-12</t>
  </si>
  <si>
    <t>3486/1220</t>
  </si>
  <si>
    <t>Thin wall steel</t>
  </si>
  <si>
    <t>TS2-11-87; TS2-11-83</t>
  </si>
  <si>
    <t>Ecoat - Caliper, Zinc Cobalt brkt</t>
  </si>
  <si>
    <t>2007 GM Lambda (GMT960/965)</t>
  </si>
  <si>
    <t>CII 60/28/11</t>
  </si>
  <si>
    <t>2887 / 2011</t>
  </si>
  <si>
    <t>Vynkolit W5005</t>
  </si>
  <si>
    <t>FM2111 for mules</t>
  </si>
  <si>
    <t>Wolverine MS18691</t>
  </si>
  <si>
    <t>354T6 Al, D5506</t>
  </si>
  <si>
    <t>Clear Anodize Clpr, ZnCo bracket</t>
  </si>
  <si>
    <t>2004.5 LXV6 Front</t>
  </si>
  <si>
    <t>X13693101-06</t>
  </si>
  <si>
    <t>X13892801</t>
  </si>
  <si>
    <t>X13892901/02</t>
  </si>
  <si>
    <t>CII 64/28/12</t>
  </si>
  <si>
    <t>2875f/2209r</t>
  </si>
  <si>
    <t>CHRYS</t>
  </si>
  <si>
    <t>2002 PT 74 Front</t>
  </si>
  <si>
    <t>1/02</t>
  </si>
  <si>
    <t>Mexico</t>
  </si>
  <si>
    <t>13618901/02</t>
  </si>
  <si>
    <t>05273060/1-AA</t>
  </si>
  <si>
    <t>13618601/02</t>
  </si>
  <si>
    <t>13618701/02</t>
  </si>
  <si>
    <t>CI HR 43/12/11</t>
  </si>
  <si>
    <t>39.5, 39.5</t>
  </si>
  <si>
    <t>2002 PT74 Rear</t>
  </si>
  <si>
    <t>05085650AA</t>
  </si>
  <si>
    <t>GRIT BLAST</t>
  </si>
  <si>
    <t>Ra = 5 - 10</t>
  </si>
  <si>
    <t>Max R.O. 0.13</t>
  </si>
  <si>
    <t xml:space="preserve">CII 60+60/38/11.5 </t>
  </si>
  <si>
    <t xml:space="preserve">CII 60+60/38/14.5 </t>
  </si>
  <si>
    <t>14429521 RH
14429522 LH</t>
  </si>
  <si>
    <t>15451921 RH
15451922 LH</t>
  </si>
  <si>
    <t>130746 07</t>
  </si>
  <si>
    <t>F81A-1102-BC</t>
  </si>
  <si>
    <t>PN150
RANGER/4X2 DRIVE W/O ABS</t>
  </si>
  <si>
    <t>YL54-1102-DA</t>
  </si>
  <si>
    <t>GRAY IRON            ESA-M1A176-B</t>
  </si>
  <si>
    <t>UNCOATED</t>
  </si>
  <si>
    <t>PN150
RANGER/4X2 DRIVE WITH ABS</t>
  </si>
  <si>
    <t>YL54-1102-CA</t>
  </si>
  <si>
    <t>281.0 x 12.0</t>
  </si>
  <si>
    <t>1x41 - C2 int p/b</t>
  </si>
  <si>
    <t>GMT 960/965</t>
  </si>
  <si>
    <t>Lambda</t>
  </si>
  <si>
    <t>X13995000</t>
  </si>
  <si>
    <t>17"/18"</t>
  </si>
  <si>
    <t>314 x 30</t>
  </si>
  <si>
    <t>2x51 collette</t>
  </si>
  <si>
    <t>No</t>
  </si>
  <si>
    <t>X14238700</t>
  </si>
  <si>
    <t>337 x 12</t>
  </si>
  <si>
    <t>1x48 C  int p/b</t>
  </si>
  <si>
    <t>WIN 126</t>
  </si>
  <si>
    <t>Windstar</t>
  </si>
  <si>
    <t>Woodstock</t>
  </si>
  <si>
    <t>Oakville</t>
  </si>
  <si>
    <t>PDGS</t>
  </si>
  <si>
    <t>13856100-B</t>
  </si>
  <si>
    <t>1F22-2C416/7-CCDC</t>
  </si>
  <si>
    <t>D. Malott</t>
  </si>
  <si>
    <t>15"/16"</t>
  </si>
  <si>
    <t>282.0 x 26.0</t>
  </si>
  <si>
    <t>2x48 - C2</t>
  </si>
  <si>
    <t>D4512</t>
  </si>
  <si>
    <t>Painted</t>
  </si>
  <si>
    <t>ABEX</t>
  </si>
  <si>
    <t>Discrete</t>
  </si>
  <si>
    <t>V229</t>
  </si>
  <si>
    <t>X13882201/02</t>
  </si>
  <si>
    <t>3F23-2C416/7-AA</t>
  </si>
  <si>
    <t>294.0 x 30.0</t>
  </si>
  <si>
    <t>2x51 - C2</t>
  </si>
  <si>
    <t>VN127</t>
  </si>
  <si>
    <t>was 2003</t>
  </si>
  <si>
    <t>Mt. Vernon</t>
  </si>
  <si>
    <t>Lorain, OH</t>
  </si>
  <si>
    <t>2C24-3B305/6-A</t>
  </si>
  <si>
    <t>308.0 x 31.5</t>
  </si>
  <si>
    <t>2x54 - RPS</t>
  </si>
  <si>
    <t>SRT</t>
  </si>
  <si>
    <t>FM1269-43</t>
  </si>
  <si>
    <t>knuckle mt.</t>
  </si>
  <si>
    <t>Mustang Rear (S197)
V6 / GT (Silver w/ Nisshinbo)</t>
  </si>
  <si>
    <t>Mustang S197 SVT
(Black w/ FM)</t>
  </si>
  <si>
    <t>Feature Car
(Black w/ PFC)</t>
  </si>
  <si>
    <t>18071703/04</t>
  </si>
  <si>
    <t>18071701/02</t>
  </si>
  <si>
    <t>CR3V-2K327/328-BE</t>
  </si>
  <si>
    <t>JA/JX
CIRRUS, STRATUS, SEBRING &amp; BREEZE</t>
  </si>
  <si>
    <t>BLACK PAINT/DACROMET</t>
  </si>
  <si>
    <t>5 X 100.00</t>
  </si>
  <si>
    <t>Ra = 3.2 MAX.</t>
  </si>
  <si>
    <t>04764934 AA</t>
  </si>
  <si>
    <t>4779111 AA</t>
  </si>
  <si>
    <t>ALUMINUM MMC</t>
  </si>
  <si>
    <t>B-VAN
FULL-SIZE VAN</t>
  </si>
  <si>
    <t>52010362AA</t>
  </si>
  <si>
    <t>Ra = 2..3 MAX.</t>
  </si>
  <si>
    <t>52010415AA</t>
  </si>
  <si>
    <t>347.22
345</t>
  </si>
  <si>
    <t>PROWLER REAR</t>
  </si>
  <si>
    <t>13007001/02</t>
  </si>
  <si>
    <t>4786766/7</t>
  </si>
  <si>
    <t>13137005/6</t>
  </si>
  <si>
    <t>RPS 60/24/</t>
  </si>
  <si>
    <t>ABEX 46Q3</t>
  </si>
  <si>
    <t>INTREPID/CONCORDE (LH) 15"</t>
  </si>
  <si>
    <t>4601676/7</t>
  </si>
  <si>
    <t>RPS 60/24/13in,11out</t>
  </si>
  <si>
    <t>55.8, 48.0</t>
  </si>
  <si>
    <t>46.6, 47.55</t>
  </si>
  <si>
    <t>10622701/02</t>
  </si>
  <si>
    <t>RPS 60/26/12in,10out</t>
  </si>
  <si>
    <t>2983 / 2759</t>
  </si>
  <si>
    <t>282 (15")    297 (16")</t>
  </si>
  <si>
    <t>115.4 (15")     124.2 (16")</t>
  </si>
  <si>
    <t>FM 4102F  (US)               FM 4068F (EURO)</t>
  </si>
  <si>
    <t>NAO NAO</t>
  </si>
  <si>
    <t>CII 48/12/10</t>
  </si>
  <si>
    <t>CII 66/28/10.5</t>
  </si>
  <si>
    <t>47.5, 50.06</t>
  </si>
  <si>
    <t>A34032557/558</t>
  </si>
  <si>
    <t>F80C-2B119/8-BA</t>
  </si>
  <si>
    <t>34325185/186</t>
  </si>
  <si>
    <t>Production ends 2000</t>
  </si>
  <si>
    <t>CII 48+48/26/12</t>
  </si>
  <si>
    <t>3207 / 1101</t>
  </si>
  <si>
    <t>FM 6091 EE (US)           TMD 2012TA (Euro)</t>
  </si>
  <si>
    <t>MSC PCX28.10 MSC PCX28.10</t>
  </si>
  <si>
    <t>Zinc + Cobalt</t>
  </si>
  <si>
    <t>WIN126 (NAO)        WIN126 (EAO)</t>
  </si>
  <si>
    <t>SEBI</t>
  </si>
  <si>
    <t>34032555/6 34032573/4</t>
  </si>
  <si>
    <t>F-450 PICK-UP 
(P131)</t>
  </si>
  <si>
    <t>3C24-1109-AA</t>
  </si>
  <si>
    <t>225.0 x 8</t>
  </si>
  <si>
    <t>INNER - 117.4 MM
OUTER - 104.8 MM</t>
  </si>
  <si>
    <t>F-350 DRW 4X4 PICK-UP
(P131)</t>
  </si>
  <si>
    <t>3C34-2B663-CC</t>
  </si>
  <si>
    <t>F-350 DRW PICK-UP
(P131)</t>
  </si>
  <si>
    <t>3C34-1109-DA</t>
  </si>
  <si>
    <t>INNER - 96.8 MM
OUTER - 82.5 MM</t>
  </si>
  <si>
    <t>F-450 4X2 PICK-UP 
(P131)</t>
  </si>
  <si>
    <t>3C34-2B663-DB</t>
  </si>
  <si>
    <t>BEARING PACK ASM.
130756 01</t>
  </si>
  <si>
    <t>F-450 4X4 PICK-UP 
(P131)</t>
  </si>
  <si>
    <t>BASIC DESIGN AND SIZING INFORMATION</t>
  </si>
  <si>
    <t>DRUM
FINISH</t>
  </si>
  <si>
    <t>DRUM CASTING</t>
  </si>
  <si>
    <t>BASE
MATERIAL</t>
  </si>
  <si>
    <t>DRUM
INNER
DIAMETER
(MM)</t>
  </si>
  <si>
    <t>PLATE
OFFSET
(MM)</t>
  </si>
  <si>
    <t>Zinc Plating after Machining</t>
  </si>
  <si>
    <t>14587101/02</t>
  </si>
  <si>
    <t>4C24-2K327(8)-AB</t>
  </si>
  <si>
    <t>14586901/02</t>
  </si>
  <si>
    <t>English inlet/bleed, PRS</t>
  </si>
  <si>
    <t>CI+ 57/23/13.5</t>
  </si>
  <si>
    <t>2373 / 848</t>
  </si>
  <si>
    <t>15"</t>
  </si>
  <si>
    <t>Rogers 4029- F1</t>
  </si>
  <si>
    <t>TMD 2004TA</t>
  </si>
  <si>
    <t>LM</t>
  </si>
  <si>
    <t xml:space="preserve">Zinc TriChromate / Silver </t>
  </si>
  <si>
    <t>ADSMO</t>
  </si>
  <si>
    <t>13446601/02</t>
  </si>
  <si>
    <t>4860006AA/7AA</t>
  </si>
  <si>
    <t>13446801/02</t>
  </si>
  <si>
    <t>CI+ 57/28/13.5</t>
  </si>
  <si>
    <t>2480 / 909</t>
  </si>
  <si>
    <t>13749601/02</t>
  </si>
  <si>
    <t>05273142AA/43AA</t>
  </si>
  <si>
    <t>13748901/02</t>
  </si>
  <si>
    <t>CI 38+45/30/11</t>
  </si>
  <si>
    <t>2610 / 872</t>
  </si>
  <si>
    <t>Jurid 233-GG</t>
  </si>
  <si>
    <t>Rubore RPN713902</t>
  </si>
  <si>
    <t>Metal Matrix</t>
  </si>
  <si>
    <t>A354 T6, D5506</t>
  </si>
  <si>
    <t>Black Anodize Caliper; Zinc Cobalt Adaptor</t>
  </si>
  <si>
    <t>Jag</t>
  </si>
  <si>
    <t>2003 Jaguar X350 front, 2002 X202</t>
  </si>
  <si>
    <t>14809301/02</t>
  </si>
  <si>
    <t>4R83-2B118/119-BA</t>
  </si>
  <si>
    <t>14735501/02</t>
  </si>
  <si>
    <t>14809501/02</t>
  </si>
  <si>
    <t>Chmielewski</t>
  </si>
  <si>
    <t>2413 / 860</t>
  </si>
  <si>
    <t>MSC PCX 31.8</t>
  </si>
  <si>
    <t>FORD &amp; Jag</t>
  </si>
  <si>
    <t>2000 Ford LS6,LS8 and Jaguar X200 (DEW98), M205</t>
  </si>
  <si>
    <t>34032563/4</t>
  </si>
  <si>
    <t>Wolverine 
MS-18069</t>
  </si>
  <si>
    <t>Smith</t>
  </si>
  <si>
    <t xml:space="preserve">CII 51+51/38/12 </t>
  </si>
  <si>
    <t>ND/DR/HB</t>
  </si>
  <si>
    <t>336/312</t>
  </si>
  <si>
    <t>FM 2255</t>
  </si>
  <si>
    <t>1.255/1.79</t>
  </si>
  <si>
    <t>VCDI 0088-0</t>
  </si>
  <si>
    <t>XW13-1125-AA</t>
  </si>
  <si>
    <t>ESA-M1A176-B</t>
  </si>
  <si>
    <t>AQUAMOVE</t>
  </si>
  <si>
    <t>FN74
CONTINENTAL</t>
  </si>
  <si>
    <t>F80C-1125-AB</t>
  </si>
  <si>
    <t>TAURUS-SHO
(DN101)</t>
  </si>
  <si>
    <t>41000 1HL0B / 
41010 1HL0B-D1</t>
  </si>
  <si>
    <t>A166 423 33/34 98KZ</t>
  </si>
  <si>
    <t>A166 423 35/36 98KZ</t>
  </si>
  <si>
    <t>A166 423 37/38 98KZ</t>
  </si>
  <si>
    <t>A166 423 09/10 98KZ</t>
  </si>
  <si>
    <t>A166 423 41/42 98KZ</t>
  </si>
  <si>
    <t>A166 423 43/44 98KZ</t>
  </si>
  <si>
    <t>A166 423 45/46 98KZ</t>
  </si>
  <si>
    <t>A166 423 47/48 98KZ</t>
  </si>
  <si>
    <t>17369001/02</t>
  </si>
  <si>
    <t>AR33-2B118/119-DA</t>
  </si>
  <si>
    <t>17672501/02</t>
  </si>
  <si>
    <t>AR33-2K327/328-DA</t>
  </si>
  <si>
    <t>17926602 (LH)
17926601 (RH)</t>
  </si>
  <si>
    <t>17926702 (LH)
17926701 (RH)</t>
  </si>
  <si>
    <t>2013i</t>
  </si>
  <si>
    <t>ITT (GA 4601)</t>
  </si>
  <si>
    <t>Met</t>
  </si>
  <si>
    <t>C16642501/02</t>
  </si>
  <si>
    <t>04766421/20AA</t>
  </si>
  <si>
    <t>172 C</t>
  </si>
  <si>
    <t>102 C</t>
  </si>
  <si>
    <t>119 C</t>
  </si>
  <si>
    <t>116 C</t>
  </si>
  <si>
    <t>94 C</t>
  </si>
  <si>
    <t>116 C dom 105 C BUX</t>
  </si>
  <si>
    <t>149 C</t>
  </si>
  <si>
    <t>120 C</t>
  </si>
  <si>
    <t>107 C</t>
  </si>
  <si>
    <t>C16808101/02</t>
  </si>
  <si>
    <t>68053446AA/447AA</t>
  </si>
  <si>
    <t>~36.5</t>
  </si>
  <si>
    <t>DS - Adaptorless DIH</t>
  </si>
  <si>
    <t>CHRYSLER TRUCK</t>
  </si>
  <si>
    <t>WORWAG; WG102-922</t>
  </si>
  <si>
    <t>fill in</t>
  </si>
  <si>
    <t>KIA</t>
  </si>
  <si>
    <t>CARNIVAL (KV2)</t>
  </si>
  <si>
    <t>13279003/04</t>
  </si>
  <si>
    <t>OK 55233980/990</t>
  </si>
  <si>
    <t>CI 66/26/12</t>
  </si>
  <si>
    <t>Abex 6091</t>
  </si>
  <si>
    <t>Rubore RON 500402</t>
  </si>
  <si>
    <t>Zinc / Black Finish</t>
  </si>
  <si>
    <t>WIN88 NAAO (Windstar)</t>
  </si>
  <si>
    <t>LSBI</t>
  </si>
  <si>
    <t>A34032567/568</t>
  </si>
  <si>
    <t>F88A-2B121/0-AA</t>
  </si>
  <si>
    <t>AKEBONO NS307H</t>
  </si>
  <si>
    <t>2234 / 764</t>
  </si>
  <si>
    <t>XF22-2B120/1-BE XF22-2B120/1-EB</t>
  </si>
  <si>
    <t>34325295/6</t>
  </si>
  <si>
    <t>34325293/4</t>
  </si>
  <si>
    <t>RPS 54/24/11</t>
  </si>
  <si>
    <t>2126f,1407r</t>
  </si>
  <si>
    <t>Honeywell 7806</t>
  </si>
  <si>
    <t>Wolverine  MS-18035</t>
  </si>
  <si>
    <t>61.4, 42.7</t>
  </si>
  <si>
    <t>48.3, 54.5</t>
  </si>
  <si>
    <t>SPORTAGE (NB-7)</t>
  </si>
  <si>
    <t>12547601/02</t>
  </si>
  <si>
    <t>K0113980/90</t>
  </si>
  <si>
    <t>12547301/02</t>
  </si>
  <si>
    <t>Phen w/ cap</t>
  </si>
  <si>
    <t>ABEX 1222-1A</t>
  </si>
  <si>
    <t>.5 est</t>
  </si>
  <si>
    <t xml:space="preserve"> ('95-'97)  F-250/350 </t>
  </si>
  <si>
    <t>13424503/04</t>
  </si>
  <si>
    <t>F7TA-2B120/1-A</t>
  </si>
  <si>
    <t>RS 2x60/38/</t>
  </si>
  <si>
    <t>PMI 3001</t>
  </si>
  <si>
    <t>105.8, 105.8</t>
  </si>
  <si>
    <t>143.9, 143.9</t>
  </si>
  <si>
    <t>F-450 FRONT/REAR</t>
  </si>
  <si>
    <t>12075401/02</t>
  </si>
  <si>
    <t>E8TA-2B120/1-AB</t>
  </si>
  <si>
    <t>2983f/2759r</t>
  </si>
  <si>
    <t>FM 46Q3 (US)</t>
  </si>
  <si>
    <t>Wolverine               MS-18691</t>
  </si>
  <si>
    <t>CARAVAN/VOYAGER 14"  NS=U.S. GS=EURO</t>
  </si>
  <si>
    <t>13045903/04/01/02</t>
  </si>
  <si>
    <t>4877542/3/4/5</t>
  </si>
  <si>
    <t>12658201/02</t>
  </si>
  <si>
    <t>12659201/02/03/04</t>
  </si>
  <si>
    <t>FULLCAST
DIH VENTED
NON - FNC
FULLY COATED</t>
  </si>
  <si>
    <t>FULLCAST
VENTED
GOOSE-NECK
NON - FNC
FULLY COATED</t>
  </si>
  <si>
    <t>240 HOURS
10% MAX. RUST</t>
  </si>
  <si>
    <t>WINDSTAR
(WIN88)</t>
  </si>
  <si>
    <t>F58A-1125-CA</t>
  </si>
  <si>
    <t>AEROSTAR</t>
  </si>
  <si>
    <t>12534203 (R)  12534204 (L)</t>
  </si>
  <si>
    <t>12534103
12534104</t>
  </si>
  <si>
    <t>12534003 12534004</t>
  </si>
  <si>
    <t>F39A-1102-K F39A-1103-K</t>
  </si>
  <si>
    <t>24 HOURS
0% RED RUST</t>
  </si>
  <si>
    <t>PN102
F-250 PICK-UP 4X2 DRIVE</t>
  </si>
  <si>
    <t>XL34-1102-B</t>
  </si>
  <si>
    <t>PN102
F-250 PICK-UP 4X4 DRIVE</t>
  </si>
  <si>
    <t>1L34-2B663-AA</t>
  </si>
  <si>
    <t xml:space="preserve">FAMILY 2 - 15" 
DELTA 2 OPTRA
GAMMA SUV </t>
  </si>
  <si>
    <t>Housing:AiSi7mg / N17 
Bracket:TS2-11-83</t>
  </si>
  <si>
    <t>DRUM
BRAKE
WIDTH
(MM)</t>
  </si>
  <si>
    <t>CASTING
WEIGHT
(KG)</t>
  </si>
  <si>
    <t>TOTAL
OVALITY</t>
  </si>
  <si>
    <t>BEARINGS</t>
  </si>
  <si>
    <t>HUB OUTER
DIAMETER</t>
  </si>
  <si>
    <t>FLANGE
THICKNESS</t>
  </si>
  <si>
    <t>BOLT
CIRCLE</t>
  </si>
  <si>
    <t>CAST WEIGHT (MEASURED, KG)</t>
  </si>
  <si>
    <t>FINISH WEIGHT (MEASURED, KG)</t>
  </si>
  <si>
    <t>SUPPLIER</t>
  </si>
  <si>
    <t>SIZE</t>
  </si>
  <si>
    <t>FRONT DRIVEN
ROTATING SPINDLE</t>
  </si>
  <si>
    <t>SAE 1040M
FORGED STEEL</t>
  </si>
  <si>
    <t>3C34-2B663-BC</t>
  </si>
  <si>
    <t>WALKER FORGE</t>
  </si>
  <si>
    <t>BEARING PACK ASM.
13075601</t>
  </si>
  <si>
    <t>170.0 x 8</t>
  </si>
  <si>
    <t xml:space="preserve">ROLLER BEARINGS
GEN II BEARING PACK </t>
  </si>
  <si>
    <t>TIMKEN</t>
  </si>
  <si>
    <t>GRAY IRON           WSS-M1A176-B2</t>
  </si>
  <si>
    <t>4.1 ?</t>
  </si>
  <si>
    <t>8.0?</t>
  </si>
  <si>
    <t>WORWAG  WG102-923</t>
  </si>
  <si>
    <t>4R33-1125-AD</t>
  </si>
  <si>
    <t>BLACK PAINT MAGNI B11</t>
  </si>
  <si>
    <t>04779599AA</t>
  </si>
  <si>
    <t>DRAWING CASTING
WEIGHT        ( KG)</t>
  </si>
  <si>
    <t>MEASURED  CASTING
WEIGHT        ( KG)</t>
  </si>
  <si>
    <t>DRAWING FINISHED
WEIGHT
(KG)</t>
  </si>
  <si>
    <t xml:space="preserve">2668 / 957 </t>
  </si>
  <si>
    <t>2510 / 873</t>
  </si>
  <si>
    <t>3926 / 1516</t>
  </si>
  <si>
    <t>1450 / 2920</t>
  </si>
  <si>
    <t>391.2 JK
375 KA</t>
  </si>
  <si>
    <t>INNER RACE - 022850
OUTER RACE - 132775</t>
  </si>
  <si>
    <t>225 X 10</t>
  </si>
  <si>
    <t>INNER - 117.4 MM OUTER - 104.7 MM</t>
  </si>
  <si>
    <t>E-SERIES 
E-350 / E-450 DRW VAN</t>
  </si>
  <si>
    <t>YC25-1109-BA</t>
  </si>
  <si>
    <t>MERITOR</t>
  </si>
  <si>
    <t>INNER RACE - 382A
OUTER RACE - LM104911</t>
  </si>
  <si>
    <t>165.1 x 8</t>
  </si>
  <si>
    <t>EXPEDITION 4x4
(UN93)</t>
  </si>
  <si>
    <t>SAE 1040
FORGED STEEL</t>
  </si>
  <si>
    <t>XL14-2B663-AA</t>
  </si>
  <si>
    <t>BEARING PACK ASM.
12870301</t>
  </si>
  <si>
    <t>135.0 x 5</t>
  </si>
  <si>
    <t>55 MM</t>
  </si>
  <si>
    <t>F-250 LIGHT DUTY 4x4 PICK-UP
(PN102)</t>
  </si>
  <si>
    <t>XL34-2B663-CF</t>
  </si>
  <si>
    <t>150.0 x 7</t>
  </si>
  <si>
    <t>2500 4X2 PICK-UP/SUV
(C-TRUCK)</t>
  </si>
  <si>
    <t>FRONT NON-DRIVEN
ROTATING SPINDLE</t>
  </si>
  <si>
    <t>15875601/701</t>
  </si>
  <si>
    <t>15225750-2</t>
  </si>
  <si>
    <t>JERNBURG</t>
  </si>
  <si>
    <t>BEARING PACK ASM.</t>
  </si>
  <si>
    <t>165.0 x 8</t>
  </si>
  <si>
    <t>2500 4X4 PICK-UP/SUV
(K-TRUCK)</t>
  </si>
  <si>
    <t>3500 4X2 PICK-UP/SUV
(C-TRUCK)</t>
  </si>
  <si>
    <t>KOYO</t>
  </si>
  <si>
    <t>3500 4X4 PICK-UP/SUV
(K-TRUCK)</t>
  </si>
  <si>
    <t>FRONT NON-DRIVEN
FIXED SPINDLE</t>
  </si>
  <si>
    <t>OAK</t>
  </si>
  <si>
    <t>68040177AA</t>
  </si>
  <si>
    <t xml:space="preserve">PL / PT / JR                                                 PT CRUISER                                                  ( PL / JR - SERVICE)      </t>
  </si>
  <si>
    <t>same as 08 HB but different bracket</t>
  </si>
  <si>
    <t>4393 /1441</t>
  </si>
  <si>
    <t xml:space="preserve">Ram 1500 (DR LD) </t>
  </si>
  <si>
    <t>2004 S197 rear</t>
  </si>
  <si>
    <t>6/03</t>
  </si>
  <si>
    <t>X14019101/02</t>
  </si>
  <si>
    <t>4R33-2C408//9-AA</t>
  </si>
  <si>
    <t>X14014301</t>
  </si>
  <si>
    <t>X14014401/02</t>
  </si>
  <si>
    <t>CII HR 41/12/12</t>
  </si>
  <si>
    <t>1038f/ 1659 r</t>
  </si>
  <si>
    <t>16"-17"-18-19"</t>
  </si>
  <si>
    <t>FM AB801-S</t>
  </si>
  <si>
    <t xml:space="preserve">I.M. </t>
  </si>
  <si>
    <t>Caliper: none       Adaptor: NTZR</t>
  </si>
  <si>
    <t>x</t>
  </si>
  <si>
    <t>2.6 (2.2)</t>
  </si>
  <si>
    <t>2004 GMX390/391 (Epsilon wide)</t>
  </si>
  <si>
    <t>14022201 / 02</t>
  </si>
  <si>
    <t>T.B.D.</t>
  </si>
  <si>
    <t>14022401 / 02</t>
  </si>
  <si>
    <t>Keller</t>
  </si>
  <si>
    <t>M10x1.5 mtg, M10x1.5 inlet, M10x1 bleed port.</t>
  </si>
  <si>
    <t>16",17",18"&amp;19"</t>
  </si>
  <si>
    <t xml:space="preserve">Vyncolit </t>
  </si>
  <si>
    <t>Housing:None 
Bracket:TS2-21-071</t>
  </si>
  <si>
    <t>SELP M9259 (Sumitomo/Ferodo JV)</t>
  </si>
  <si>
    <t>CONTINENTAL (FN74)</t>
  </si>
  <si>
    <t>A34032569/570</t>
  </si>
  <si>
    <t>XF32-2B119/8-CA</t>
  </si>
  <si>
    <t>Customer</t>
  </si>
  <si>
    <t>Project</t>
  </si>
  <si>
    <t>Status</t>
  </si>
  <si>
    <t>Vehicle</t>
  </si>
  <si>
    <t>Module</t>
  </si>
  <si>
    <t>Model Year</t>
  </si>
  <si>
    <t>Production Volume [vehicles/year]</t>
  </si>
  <si>
    <t>GVW [kg]</t>
  </si>
  <si>
    <t xml:space="preserve"> TRW Manufacturing Plant</t>
  </si>
  <si>
    <t>Customer Plant</t>
  </si>
  <si>
    <t>CAD Format</t>
  </si>
  <si>
    <t>TRW Assy. P/N</t>
  </si>
  <si>
    <t>Customer P/N</t>
  </si>
  <si>
    <t>Module Engineer</t>
  </si>
  <si>
    <t>Assy. Mass [kg]</t>
  </si>
  <si>
    <t>Wheel Size [in]</t>
  </si>
  <si>
    <t>O.D. Rotor Size [mm]</t>
  </si>
  <si>
    <t>Rotor Coating</t>
  </si>
  <si>
    <t>Caliper Size - Type</t>
  </si>
  <si>
    <t>Hub&amp;Bearing Type</t>
  </si>
  <si>
    <t>Knuckle Material</t>
  </si>
  <si>
    <t>Knuckle Coating</t>
  </si>
  <si>
    <t>Lining Material</t>
  </si>
  <si>
    <t>Dust Shield</t>
  </si>
  <si>
    <t>ABS Sensor</t>
  </si>
  <si>
    <t>GMT 250 / GMT 257</t>
  </si>
  <si>
    <t>current prod.</t>
  </si>
  <si>
    <t>Aztec</t>
  </si>
  <si>
    <t>Front Gen2</t>
  </si>
  <si>
    <t>Santa Rosa, MX</t>
  </si>
  <si>
    <t>54mm - RPS</t>
  </si>
  <si>
    <t>ABA2007BA</t>
  </si>
  <si>
    <t>Nissan</t>
  </si>
  <si>
    <t>ZW/WZW</t>
  </si>
  <si>
    <t>Full Size Truck/SUV</t>
  </si>
  <si>
    <t>Kingsway</t>
  </si>
  <si>
    <t>Smyrna, TN</t>
  </si>
  <si>
    <t>IDEAS</t>
  </si>
  <si>
    <t xml:space="preserve">40100 93300-7 </t>
  </si>
  <si>
    <t>335.0 x 28.0</t>
  </si>
  <si>
    <t>Gen 2.5</t>
  </si>
  <si>
    <t>Smyna, TN</t>
  </si>
  <si>
    <t>P-131 
F-450/550 DRW PICK-UP / 
STRIP CHASSIS</t>
  </si>
  <si>
    <t>NOT APPLICABLE   (THICKNESS REQUIREMENT SPECIFIED)</t>
  </si>
  <si>
    <t>NOT APPLICABLE
(FORD APG)</t>
  </si>
  <si>
    <t>GRAY IRON     
      WSS-M1A176-B2</t>
  </si>
  <si>
    <t>RPS 36/12/11</t>
  </si>
  <si>
    <t>INNER - 112.7 MM
OUTER - 90.0 MM</t>
  </si>
  <si>
    <t>SAE 4512 NODULAR IRON</t>
  </si>
  <si>
    <t>E350 EIVD SRW</t>
  </si>
  <si>
    <t>NODULAR IRON</t>
  </si>
  <si>
    <t>6C24-1109-CA</t>
  </si>
  <si>
    <t>200 X 8</t>
  </si>
  <si>
    <t>05 HB  DURANGO</t>
  </si>
  <si>
    <t>5C34-1102-CH</t>
  </si>
  <si>
    <t>170 X 8</t>
  </si>
  <si>
    <t>5C34-1102-DK</t>
  </si>
  <si>
    <t>5C34-1113-AC</t>
  </si>
  <si>
    <t>12372701/02</t>
  </si>
  <si>
    <t>F23C-2118/9-B81</t>
  </si>
  <si>
    <t>10622601/02</t>
  </si>
  <si>
    <t>Ramos, MX</t>
  </si>
  <si>
    <t>UG</t>
  </si>
  <si>
    <t>13537101/02</t>
  </si>
  <si>
    <t>10445213/14</t>
  </si>
  <si>
    <t>B09H</t>
  </si>
  <si>
    <t>64mm-collette</t>
  </si>
  <si>
    <t xml:space="preserve">Gen 3 ball </t>
  </si>
  <si>
    <t>A356-T6</t>
  </si>
  <si>
    <t>Yes</t>
  </si>
  <si>
    <t>Integral to H&amp;B</t>
  </si>
  <si>
    <t>GMT 200</t>
  </si>
  <si>
    <t>13743901/02</t>
  </si>
  <si>
    <t>10445215/16</t>
  </si>
  <si>
    <t>PWI</t>
  </si>
  <si>
    <t>Caliper deflection   LAB (Ribbed Steel Block)</t>
  </si>
  <si>
    <t>Wt.(lbs)</t>
  </si>
  <si>
    <t>CALIPER &amp; Component weight(s)</t>
  </si>
  <si>
    <t xml:space="preserve"> (mm)</t>
  </si>
  <si>
    <t>Piston diam/disc/pad (nominal)</t>
  </si>
  <si>
    <t>Assembly Part numbers</t>
  </si>
  <si>
    <t xml:space="preserve"> TRW ASSEMBLY #</t>
  </si>
  <si>
    <t>Casting</t>
  </si>
  <si>
    <t>Machined</t>
  </si>
  <si>
    <t xml:space="preserve">CALIPER
</t>
  </si>
  <si>
    <t xml:space="preserve">BRACKET
</t>
  </si>
  <si>
    <t>MACHINED</t>
  </si>
  <si>
    <t xml:space="preserve">ACTUATOR
</t>
  </si>
  <si>
    <t>Assembly</t>
  </si>
  <si>
    <t>ACTUATOR
 DESCRIPTION</t>
  </si>
  <si>
    <t>Wt.(lbs.)</t>
  </si>
  <si>
    <t>Vehicle Weight at GVW</t>
  </si>
  <si>
    <t>Wheelbase &amp; Tire Dynamic Rolling Radius</t>
  </si>
  <si>
    <t xml:space="preserve"> at 1g decel from DATASHEET (value &gt; 1.0)</t>
  </si>
  <si>
    <t>Actual % braking</t>
  </si>
  <si>
    <t xml:space="preserve"> at 0.5 g decel from DATASHEET (value &gt; 1.0)</t>
  </si>
  <si>
    <t>(kph)</t>
  </si>
  <si>
    <t xml:space="preserve"> (W/cm^2)</t>
  </si>
  <si>
    <t xml:space="preserve"> (N/cm^2)</t>
  </si>
  <si>
    <t xml:space="preserve">TS6-11-101 required pad shear strength </t>
  </si>
  <si>
    <t>(N/cm^2)</t>
  </si>
  <si>
    <t xml:space="preserve"> (Slug-ft^2)</t>
  </si>
  <si>
    <t>Dyno Inertia Load</t>
  </si>
  <si>
    <t>Rotor Width</t>
  </si>
  <si>
    <t>Slug-ft^2/ (Rotor ODXwidth mm^2)</t>
  </si>
  <si>
    <t>Rating</t>
  </si>
  <si>
    <t xml:space="preserve"> Max. Fluid Temp (F)</t>
  </si>
  <si>
    <t>Phenolic Piston Death Valley</t>
  </si>
  <si>
    <t>Steel Piston Death Valley</t>
  </si>
  <si>
    <t xml:space="preserve"> 1600 W/cm2</t>
  </si>
  <si>
    <t xml:space="preserve">Pad Size required for </t>
  </si>
  <si>
    <t xml:space="preserve"> 250 N/cm2</t>
  </si>
  <si>
    <t>Pad Size governing</t>
  </si>
  <si>
    <t>Limit Power or Shear</t>
  </si>
  <si>
    <t>[0 - 100 bar] - With Pads (cc)</t>
  </si>
  <si>
    <t xml:space="preserve"> [0 - 50 bar] - With Pads (cc)</t>
  </si>
  <si>
    <t xml:space="preserve"> [50 - 100 bar] - With Pads (cc)</t>
  </si>
  <si>
    <t>Last Name</t>
  </si>
  <si>
    <t xml:space="preserve"> forward / reverse       (Nm)</t>
  </si>
  <si>
    <t xml:space="preserve">Maximum Design Torque  - Dyno Capacity Loads </t>
  </si>
  <si>
    <t>Younglove</t>
  </si>
  <si>
    <t>52010142/143-AB</t>
  </si>
  <si>
    <t>Weight reduced version of 13619201/02</t>
  </si>
  <si>
    <t>CII 64/30/13.5</t>
  </si>
  <si>
    <t>275 (15") 300 (16")</t>
  </si>
  <si>
    <t>112 (15") 124.5 (16")</t>
  </si>
  <si>
    <t>Durez B w/o cap</t>
  </si>
  <si>
    <t>FM 1222-1A</t>
  </si>
  <si>
    <t>560 (F350)
492 (F250)</t>
  </si>
  <si>
    <t>F106-03 (F350)
F006-02 (F250)</t>
  </si>
  <si>
    <t>MALOTT</t>
  </si>
  <si>
    <t>5C34-1125-A</t>
  </si>
  <si>
    <t>549*</t>
  </si>
  <si>
    <t>P-131 350 DRW 4X2
F-350 DRW PICK-UP</t>
  </si>
  <si>
    <t>5C34-1102-B</t>
  </si>
  <si>
    <t>3844 / 1722</t>
  </si>
  <si>
    <t>Felkowski</t>
  </si>
  <si>
    <t>2W43-2B118/119-AB</t>
  </si>
  <si>
    <t>2002 X202</t>
  </si>
  <si>
    <t>14809201/02</t>
  </si>
  <si>
    <t>4R83-2B118/119-AA</t>
  </si>
  <si>
    <t>CII 51/20/12</t>
  </si>
  <si>
    <t>thin wall steel</t>
  </si>
  <si>
    <t>TS2-11-83</t>
  </si>
  <si>
    <t>TS-2-24-16 ecoat black 720 hrs.</t>
  </si>
  <si>
    <t xml:space="preserve">GMT900 </t>
  </si>
  <si>
    <t>Fraser</t>
  </si>
  <si>
    <t>CII54/20/12</t>
  </si>
  <si>
    <t>2145/4409</t>
  </si>
  <si>
    <t>GM Truck</t>
  </si>
  <si>
    <t>Chrysler  Pass Car</t>
  </si>
  <si>
    <t>Chrysler Truck</t>
  </si>
  <si>
    <t xml:space="preserve">HUMMER </t>
  </si>
  <si>
    <t xml:space="preserve">
PROGRAM
MODEL
(SPECIFICS)</t>
  </si>
  <si>
    <t xml:space="preserve">Mustang (S197) </t>
  </si>
  <si>
    <t xml:space="preserve">Ram 1500 (DR) </t>
  </si>
  <si>
    <t xml:space="preserve">Durango (DN) / Ram Van (AB) </t>
  </si>
  <si>
    <t xml:space="preserve">Durango (HB) </t>
  </si>
  <si>
    <t xml:space="preserve"> E150 </t>
  </si>
  <si>
    <t>PT Cruiser (PT44)</t>
  </si>
  <si>
    <t xml:space="preserve">Epsilon II  </t>
  </si>
  <si>
    <t>Mustang Base Vehicle (S197)</t>
  </si>
  <si>
    <t>Mustang GT Vehicle (S197)</t>
  </si>
  <si>
    <t xml:space="preserve">E250.350 (VN127) </t>
  </si>
  <si>
    <t xml:space="preserve">Ram 2500 (BR HD) </t>
  </si>
  <si>
    <t xml:space="preserve">Ram 2500 (DR HD) </t>
  </si>
  <si>
    <t xml:space="preserve">Ram 3500 (BR HD) </t>
  </si>
  <si>
    <t xml:space="preserve"> Ram 3500 (DR HD)</t>
  </si>
  <si>
    <t>Durango (HB)</t>
  </si>
  <si>
    <t xml:space="preserve">B-VAN HD </t>
  </si>
  <si>
    <t xml:space="preserve">RAM 2/3500 (BR HD) </t>
  </si>
  <si>
    <t xml:space="preserve">DR HD </t>
  </si>
  <si>
    <t>F250/350 SRW</t>
  </si>
  <si>
    <t xml:space="preserve"> F350 DRW</t>
  </si>
  <si>
    <t xml:space="preserve">E-450  (VN127) </t>
  </si>
  <si>
    <t>GMT 560</t>
  </si>
  <si>
    <t xml:space="preserve">DM, S0 </t>
  </si>
  <si>
    <t>Antar</t>
  </si>
  <si>
    <t>Griffin</t>
  </si>
  <si>
    <t>Rachakonda</t>
  </si>
  <si>
    <t>Delgado</t>
  </si>
  <si>
    <t>MEASURED FINISHED
WEIGHT
(KG)</t>
  </si>
  <si>
    <t>200 X 10</t>
  </si>
  <si>
    <t>INNER - 104.7 MM OUTER - 96.75 MM</t>
  </si>
  <si>
    <t>13622101/02</t>
  </si>
  <si>
    <t>Jenkinson</t>
  </si>
  <si>
    <t>M10 x 1</t>
  </si>
  <si>
    <t>RPS 2x60/35.5/13</t>
  </si>
  <si>
    <t>PMI 7033-4C</t>
  </si>
  <si>
    <t>78.5,78.5</t>
  </si>
  <si>
    <t>87.9,87.9</t>
  </si>
  <si>
    <t xml:space="preserve">E-450 Rear </t>
  </si>
  <si>
    <t>2c24-2b121-b0</t>
  </si>
  <si>
    <t>Word</t>
  </si>
  <si>
    <t>Line #6 in Jax</t>
  </si>
  <si>
    <t>RPS 2x54/31.5/10</t>
  </si>
  <si>
    <t>4008 / 1219</t>
  </si>
  <si>
    <t>Rubore 14001</t>
  </si>
  <si>
    <t>71.44, 71.44</t>
  </si>
  <si>
    <t>61.41, 61.41</t>
  </si>
  <si>
    <t>E-150 FRONT</t>
  </si>
  <si>
    <t>13647701/02</t>
  </si>
  <si>
    <t>2C24-2B120/121-A1</t>
  </si>
  <si>
    <t>13719601/02</t>
  </si>
  <si>
    <t>Traub</t>
  </si>
  <si>
    <t>Postponed to 2006</t>
  </si>
  <si>
    <t>RPS 51/22/12</t>
  </si>
  <si>
    <t>Durez?</t>
  </si>
  <si>
    <t>IMI</t>
  </si>
  <si>
    <t>2002 E-150 rear</t>
  </si>
  <si>
    <t>S.R.</t>
  </si>
  <si>
    <t>13646701/02</t>
  </si>
  <si>
    <t>2C24-2K327/328-A0</t>
  </si>
  <si>
    <t>13646601/02</t>
  </si>
  <si>
    <t>RPS 45+45/30-14</t>
  </si>
  <si>
    <t>Surfinco 1F 29351</t>
  </si>
  <si>
    <t>2004 DH-74 REAR</t>
  </si>
  <si>
    <t>X13619201/02</t>
  </si>
  <si>
    <t>01 Caliper w/ new adaptor</t>
  </si>
  <si>
    <t>CII 45/12-12</t>
  </si>
  <si>
    <t>tbd (phenolic)</t>
  </si>
  <si>
    <t>Caliper: none, Zinc Cobalt brkt</t>
  </si>
  <si>
    <t>PAINTING GREY 
GME05002</t>
  </si>
  <si>
    <t>72 HRS
CORROSION OF COATING ALLOWED BUT NO CORROSION OF BASE MATERIAL</t>
  </si>
  <si>
    <t>Not Available</t>
  </si>
  <si>
    <t xml:space="preserve">10.3
</t>
  </si>
  <si>
    <t>J8</t>
  </si>
  <si>
    <t>16282901/02</t>
  </si>
  <si>
    <t>P473
F250,F350 SRW 4x2</t>
  </si>
  <si>
    <t>MY2013</t>
  </si>
  <si>
    <t>P473
F350 DRW 4x2</t>
  </si>
  <si>
    <t>DC34-1102-AB</t>
  </si>
  <si>
    <t>P473
F250,F350 SRW 4x4
F350 DRW 4x4</t>
  </si>
  <si>
    <t>DC34-1125-AA</t>
  </si>
  <si>
    <t>8 x 170</t>
  </si>
  <si>
    <t>8 x 200</t>
  </si>
  <si>
    <t>P473
F250,F350 SRW</t>
  </si>
  <si>
    <t>DC34-2C026-AA</t>
  </si>
  <si>
    <t>P473
F350 DRW</t>
  </si>
  <si>
    <t>8 x 156</t>
  </si>
  <si>
    <t>DC34-2C026-CA</t>
  </si>
  <si>
    <t>Ra 3 Max</t>
  </si>
  <si>
    <t>DRUM
BRAKE
SURFACE
OVALITY
(MM)</t>
  </si>
  <si>
    <t>CENTER OF 
GRAVITY
HEIGHT
(MM)</t>
  </si>
  <si>
    <t>REAR
LOADING
@ 0.5 G
DECEL
(%)</t>
  </si>
  <si>
    <t>MAX. PRINCIPAL
TENSILE STRESS
FROM PEAK
BRAKE TORQUE
(MPA)</t>
  </si>
  <si>
    <t>5C34-2C026-B</t>
  </si>
  <si>
    <t>8 X 156</t>
  </si>
  <si>
    <t>Ra = 1.0 - 5.0</t>
  </si>
  <si>
    <t>PL/JR COMMON ROTOR
NEON / CIRRUS, STRATUS, SEBRING &amp; BREEZE</t>
  </si>
  <si>
    <t>FAMILY 2 - 16" 
DELTA 2 OPTRA, COBALT, E-FLEX</t>
  </si>
  <si>
    <t>FAMILY 3 
ZETA
CAMARO COUPE 
COMARO CONVERTIBLE
CADILLAC DTS</t>
  </si>
  <si>
    <t>FAMILY 3 
EPSILON 2
SATURN AURA, CHEVY MALIBU</t>
  </si>
  <si>
    <t>FAMILY 2 -15" 
DELTA 2 - CHEVY COBALT, PONTIAC VIBE, OPTRA
GAMMA - T300</t>
  </si>
  <si>
    <t>FAMILY 2 - 16" 
DELTA 2 - CHEVY COBALT, OPTRA, E-FLEX</t>
  </si>
  <si>
    <t xml:space="preserve">FAMILY 2 - 16" 
GAMMA - SUV ONLY
</t>
  </si>
  <si>
    <t>165 x 8</t>
  </si>
  <si>
    <t>52122237A</t>
  </si>
  <si>
    <t>3486 / 5295</t>
  </si>
  <si>
    <t xml:space="preserve">Housing and Brakcet -Zinc plate  after Machining </t>
  </si>
  <si>
    <t>Ram 3500 DRW DC/DH/D1)</t>
  </si>
  <si>
    <t>Ram 2500/3500 SRW (DC/DH/D1)</t>
  </si>
  <si>
    <t>18074303/04</t>
  </si>
  <si>
    <t>Beggs</t>
  </si>
  <si>
    <t>Ram Truck 1500 (DR)</t>
  </si>
  <si>
    <t>E-250 / 350</t>
  </si>
  <si>
    <t>2500 SERIES (GMT800/610 sys-3)</t>
  </si>
  <si>
    <t>3500 SERIES (GMT800/610 sys-4)</t>
  </si>
  <si>
    <t>P131 RH Drive (Austrailia)</t>
  </si>
  <si>
    <t xml:space="preserve">Epsilon Supercorner 16" 
Core assembly </t>
  </si>
  <si>
    <t xml:space="preserve">Epsilon Supercorner 17" 
core assembly </t>
  </si>
  <si>
    <t>LVLB
Jablonec
Santa Rosa</t>
  </si>
  <si>
    <t>CII HR 38/12/11</t>
  </si>
  <si>
    <t>Chrysler BEV</t>
  </si>
  <si>
    <t>68110699AB (LH-Chrysler) 
53106138(LH-Fiat)
68110698AB (RH-Chrysler)
53106137(RH-Fiat)</t>
  </si>
  <si>
    <t>15890111 RH
15890112 LH</t>
  </si>
  <si>
    <t>68138262 AA RH
68138263 AA LH</t>
  </si>
  <si>
    <t>14900911/12</t>
  </si>
  <si>
    <t>14900907/08</t>
  </si>
  <si>
    <t xml:space="preserve">
146.7</t>
  </si>
  <si>
    <t xml:space="preserve">5062 / 1707 </t>
  </si>
  <si>
    <t>DP</t>
  </si>
  <si>
    <t>DIH Adaptor Casting weight (lbs)</t>
  </si>
  <si>
    <t>FRONT / REAR</t>
  </si>
  <si>
    <t>REAR</t>
  </si>
  <si>
    <t>FRONT</t>
  </si>
  <si>
    <t>Low Met</t>
  </si>
  <si>
    <t>18214301/02</t>
  </si>
  <si>
    <t>18207401, 18207402</t>
  </si>
  <si>
    <t>Increased BIC</t>
  </si>
  <si>
    <t>18207101, 18207102</t>
  </si>
  <si>
    <t>Cleanliness Spec?</t>
  </si>
  <si>
    <t>On Customer drawing: "caliper free from metal chips and foreign matter according supplier cleanliness specification".  On SC/CC list:  S-142314.</t>
  </si>
  <si>
    <t>On machining dwg "burrs and loose particles…not permissible.  See cleanliness spec 142314"</t>
  </si>
  <si>
    <t>Hitachi SB1758 (450 MPa tens, 10% elong)</t>
  </si>
  <si>
    <t>TS2-11-087</t>
  </si>
  <si>
    <t>Clip on base shim + clip on cover shim</t>
  </si>
  <si>
    <t>Navistar (Terrastar)</t>
  </si>
  <si>
    <t>Navistar Truck</t>
  </si>
  <si>
    <t>Front/Rear</t>
  </si>
  <si>
    <t>Haldex HX-73
(7033-4A)</t>
  </si>
  <si>
    <t>RPNS 1 40 01</t>
  </si>
  <si>
    <t>Cal: TS2-11-87
Brk: TS2-11-83</t>
  </si>
  <si>
    <t>18202201/02</t>
  </si>
  <si>
    <t>3896370c91
3896371c91</t>
  </si>
  <si>
    <t>14289905/06</t>
  </si>
  <si>
    <t>RPS Style - Banjo Inlet Port</t>
  </si>
  <si>
    <t>NAVISTAR TRUCK</t>
  </si>
  <si>
    <t>Terrastar</t>
  </si>
  <si>
    <t>3896352C91</t>
  </si>
  <si>
    <t>10 x 163.26</t>
  </si>
  <si>
    <t>3896353C91</t>
  </si>
  <si>
    <t>18027105/6</t>
  </si>
  <si>
    <t>04683992/93 AG REVB</t>
  </si>
  <si>
    <t xml:space="preserve">17465703/04 </t>
  </si>
  <si>
    <t>2007 JK
(2007 KA)
(2008 KK)</t>
  </si>
  <si>
    <t>15868303/04</t>
  </si>
  <si>
    <t>05168011/10AB</t>
  </si>
  <si>
    <t>15868401/02</t>
  </si>
  <si>
    <t>16747601/02</t>
  </si>
  <si>
    <t>17413211/12</t>
  </si>
  <si>
    <t>68054800/801AF</t>
  </si>
  <si>
    <t>68039012/13AA</t>
  </si>
  <si>
    <t>16834701/02</t>
  </si>
  <si>
    <t>16834301/02</t>
  </si>
  <si>
    <t>17330701/02</t>
  </si>
  <si>
    <t>Front
Rear</t>
  </si>
  <si>
    <t>369
390</t>
  </si>
  <si>
    <t>Kitted to Ford
Kit PN 18120101</t>
  </si>
  <si>
    <t>18119901/02</t>
  </si>
  <si>
    <t>BC34-2K327-DA
BC34-2K328-DA</t>
  </si>
  <si>
    <t>18695901/02</t>
  </si>
  <si>
    <t>68111548AA/49AA</t>
  </si>
  <si>
    <t>Clip-on, MS-18030-2010</t>
  </si>
  <si>
    <t>52122182AB</t>
  </si>
  <si>
    <t>DD/D2</t>
  </si>
  <si>
    <t>68188899AA</t>
  </si>
  <si>
    <t>68174125AA</t>
  </si>
  <si>
    <t>68148682AA</t>
  </si>
  <si>
    <t>15831009/10</t>
  </si>
  <si>
    <t>52010088/89AL</t>
  </si>
  <si>
    <t>6X 135</t>
  </si>
  <si>
    <t>P552L
2015 F150 LD EPB</t>
  </si>
  <si>
    <t>2002 / ?</t>
  </si>
  <si>
    <t>SEAL SQUEEZE %</t>
  </si>
  <si>
    <t>SEAL TYPE</t>
  </si>
  <si>
    <t>PIN SPAN</t>
  </si>
  <si>
    <t>9C34-2B120-BA
9C34-2B121-BA
6011126C94
6011127C94</t>
  </si>
  <si>
    <t>Ford 
Truck/Blue Diamond</t>
  </si>
  <si>
    <t>Oak</t>
  </si>
  <si>
    <t>Ram 2500/3500 DD / DJ / D2</t>
  </si>
  <si>
    <t>F-450 (P356)/Blue Diamond</t>
  </si>
  <si>
    <t>Ford/ 
Blue Diamond</t>
  </si>
  <si>
    <t>8C34-2209-BC
6011131C95</t>
  </si>
  <si>
    <t>04779823AB</t>
  </si>
  <si>
    <t>ROTOR</t>
  </si>
  <si>
    <t>Vehicle Description</t>
  </si>
  <si>
    <t>P473 F250/350 SRW 4x4</t>
  </si>
  <si>
    <t>P473 F350 DRW 4x4</t>
  </si>
  <si>
    <t>P473 F450/550 DRW 4x2</t>
  </si>
  <si>
    <t>P473 F450/550 DRW 4x4</t>
  </si>
  <si>
    <t>P473 F450 DRW 4x4 "Lite"</t>
  </si>
  <si>
    <t>Extender</t>
  </si>
  <si>
    <t>DATE UPDATED</t>
  </si>
  <si>
    <t>52121778AB</t>
  </si>
  <si>
    <t>WHEEL
STUD</t>
  </si>
  <si>
    <t>52014047AA</t>
  </si>
  <si>
    <t>68148681AB</t>
  </si>
  <si>
    <t>Tone Ring</t>
  </si>
  <si>
    <t>Dodge Ram 4500/5500 DP</t>
  </si>
  <si>
    <t>Dodge Ram 2500/3500 DD/DJ/D2</t>
  </si>
  <si>
    <t>68086662AB</t>
  </si>
  <si>
    <t>05154281AB</t>
  </si>
  <si>
    <t>C17897702</t>
  </si>
  <si>
    <t>C15908601</t>
  </si>
  <si>
    <t>52013848AB</t>
  </si>
  <si>
    <t>05154280AA</t>
  </si>
  <si>
    <t>Stud</t>
  </si>
  <si>
    <t>Hub Assy</t>
  </si>
  <si>
    <t>68188900AA</t>
  </si>
  <si>
    <t>68142026AB</t>
  </si>
  <si>
    <t>Tone ring w/adapter</t>
  </si>
  <si>
    <t>INNER RACE:  B-34924
 OUTER RACE: B-72838</t>
  </si>
  <si>
    <t>INNER RACE:  B-34924 
OUTER RACE: B-72838</t>
  </si>
  <si>
    <t>INNER RACE - 13277501 
OUTER RACE - 02285002</t>
  </si>
  <si>
    <t>INNER RACE - 02389901
 OUTER RACE - 072838</t>
  </si>
  <si>
    <t>INNER RACE - 072838 
OUTER RACE - 13277501</t>
  </si>
  <si>
    <t>INNER RACE - 072838 
OUTER RACE - 02389901</t>
  </si>
  <si>
    <t>INNER RACE - 13277501 
OUTER RACE - B-23899</t>
  </si>
  <si>
    <t>DP
4500/5500 DODGE RAM</t>
  </si>
  <si>
    <t>Dodge Ram DD 4x2 DRW</t>
  </si>
  <si>
    <t>Dodge Ram DD 4x4 DRW</t>
  </si>
  <si>
    <t>C16278501</t>
  </si>
  <si>
    <t>52122187AB</t>
  </si>
  <si>
    <t>C16497702</t>
  </si>
  <si>
    <t>52121816AC</t>
  </si>
  <si>
    <t>C18052801</t>
  </si>
  <si>
    <t>04779698AA</t>
  </si>
  <si>
    <t>C18052901</t>
  </si>
  <si>
    <t>04779699AB</t>
  </si>
  <si>
    <t>68185440AB</t>
  </si>
  <si>
    <t>C18804002</t>
  </si>
  <si>
    <t>Dodge Ram 2500/3500 DD/DJ/D2
Tone Ring Assy</t>
  </si>
  <si>
    <t>Dodge Ram 4500/5500 DM</t>
  </si>
  <si>
    <t>52013855AC</t>
  </si>
  <si>
    <t>Dodge Ram DD/DJ 4x4 SRW</t>
  </si>
  <si>
    <t>C18052701</t>
  </si>
  <si>
    <t>04779697AB</t>
  </si>
  <si>
    <t>Dodge Ram DD 4x4 SRW</t>
  </si>
  <si>
    <t>68185441AB</t>
  </si>
  <si>
    <t>C18803902</t>
  </si>
  <si>
    <t>52121778AC</t>
  </si>
  <si>
    <t>C16378801</t>
  </si>
  <si>
    <t>52013857AC</t>
  </si>
  <si>
    <t>C17268901</t>
  </si>
  <si>
    <t>52013857AD</t>
  </si>
  <si>
    <t>C18088501</t>
  </si>
  <si>
    <t>68086663AA</t>
  </si>
  <si>
    <t>F53- Non ABS</t>
  </si>
  <si>
    <t>C16122702</t>
  </si>
  <si>
    <t>F53- ABS</t>
  </si>
  <si>
    <t>C16073602</t>
  </si>
  <si>
    <t>F53- 22.5" wheel</t>
  </si>
  <si>
    <t xml:space="preserve">P473 F350 DRW  </t>
  </si>
  <si>
    <t xml:space="preserve">P473 F450 DRW  </t>
  </si>
  <si>
    <t>E350</t>
  </si>
  <si>
    <t>E450</t>
  </si>
  <si>
    <t>C16278502</t>
  </si>
  <si>
    <t>52122187AC</t>
  </si>
  <si>
    <t>C18004402</t>
  </si>
  <si>
    <t>C15738301</t>
  </si>
  <si>
    <t>C18203801</t>
  </si>
  <si>
    <t>C15869404</t>
  </si>
  <si>
    <t>C15869504</t>
  </si>
  <si>
    <t>C18002801</t>
  </si>
  <si>
    <t>C18002901</t>
  </si>
  <si>
    <t>C18480001</t>
  </si>
  <si>
    <t>C18480101</t>
  </si>
  <si>
    <t>C18003901</t>
  </si>
  <si>
    <t>VPDI 0076 - 4
13674800</t>
  </si>
  <si>
    <t>VCDI 0067 - 4
13674900</t>
  </si>
  <si>
    <t>8C24-2C026-CE</t>
  </si>
  <si>
    <t>8C24-2C026-AC</t>
  </si>
  <si>
    <t>8C24-2C026-BB</t>
  </si>
  <si>
    <t>Fayette</t>
  </si>
  <si>
    <t>Rotor+Tone Ring</t>
  </si>
  <si>
    <t>F6US-2C026-AA</t>
  </si>
  <si>
    <t>P-30 Truck</t>
  </si>
  <si>
    <t>1C24-1113-AA</t>
  </si>
  <si>
    <t>E-SERIES
E-350 DRW VAN</t>
  </si>
  <si>
    <t>1C24-2C026-BA</t>
  </si>
  <si>
    <t>F81A-2C026-EA</t>
  </si>
  <si>
    <t>6U94-2C026-AB</t>
  </si>
  <si>
    <t>JK
WRANGLER (DOMESTIC)</t>
  </si>
  <si>
    <t>KA / KK
NITRO / LIBERTY (DOMESTIC)</t>
  </si>
  <si>
    <t>P356   F250/350 SRW 4X2</t>
  </si>
  <si>
    <t>8C24-1102-CD</t>
  </si>
  <si>
    <t>INNER RACE - 09869901
OUTER RACE - 03149501</t>
  </si>
  <si>
    <t>INNER RACE - 04110101
OUTER RACE - 03884901</t>
  </si>
  <si>
    <t>INNER RACE - 04527801
OUTER RACE - 18319001</t>
  </si>
  <si>
    <t>DC34-1102-BB</t>
  </si>
  <si>
    <t>4L54-1102-BA</t>
  </si>
  <si>
    <t>Dodge Ram DJ 4x4 DRW</t>
  </si>
  <si>
    <t>C16497301</t>
  </si>
  <si>
    <t>52122183AB</t>
  </si>
  <si>
    <t>52013842AA</t>
  </si>
  <si>
    <t>05273141AB</t>
  </si>
  <si>
    <t>897105106Y</t>
  </si>
  <si>
    <t>Isuzu</t>
  </si>
  <si>
    <t>8 97046 080-Y</t>
  </si>
  <si>
    <t>XL34-1125-BA</t>
  </si>
  <si>
    <t>YL14-1125-AA</t>
  </si>
  <si>
    <t>F75W-2B663-BC</t>
  </si>
  <si>
    <t>F85A-1125-BA</t>
  </si>
  <si>
    <t>F85A-1125-AA</t>
  </si>
  <si>
    <t>YC35-1125-BB</t>
  </si>
  <si>
    <t>YC35-1102-DD</t>
  </si>
  <si>
    <t>YC35-1102-KC</t>
  </si>
  <si>
    <t xml:space="preserve">P-131
F-350 DRW PICK-UP 4X4 DRIVE </t>
  </si>
  <si>
    <t>W/ABS</t>
  </si>
  <si>
    <t>YC35-1102-GD</t>
  </si>
  <si>
    <t>YC35-1102-HC</t>
  </si>
  <si>
    <t xml:space="preserve">P-131
F-350/F250 SRW PICK-UP 4X4 DRIVE </t>
  </si>
  <si>
    <t>P-131 SA
F-450 DRW PICK-UP 4X2 DRIVE</t>
  </si>
  <si>
    <t>P-131
F-350 DRW PICK-UP 4X4 DRIVE</t>
  </si>
  <si>
    <t>P-131
F-250/ F-350 PICK-UP 4X4 DRIVE</t>
  </si>
  <si>
    <t>YC35-1125-AB</t>
  </si>
  <si>
    <t>P-131
F-450 DRW PICK-UP 4X2 DRIVE</t>
  </si>
  <si>
    <t>DS/DR/ HB
RAM 1500 PICK-UP / DURANGO</t>
  </si>
  <si>
    <t>Malott</t>
  </si>
  <si>
    <t>8C24-1102-AC</t>
  </si>
  <si>
    <t>C16073502</t>
  </si>
  <si>
    <t>C18709302</t>
  </si>
  <si>
    <t>C18720001</t>
  </si>
  <si>
    <t>C18088202</t>
  </si>
  <si>
    <t>C18702801</t>
  </si>
  <si>
    <t>C14594203</t>
  </si>
  <si>
    <t>C13027902</t>
  </si>
  <si>
    <t>C13142901</t>
  </si>
  <si>
    <t>C15919801</t>
  </si>
  <si>
    <t>C18052601</t>
  </si>
  <si>
    <t>C15912301</t>
  </si>
  <si>
    <t>C15912302</t>
  </si>
  <si>
    <t>C13177801</t>
  </si>
  <si>
    <t>C14659701</t>
  </si>
  <si>
    <t>C12997904</t>
  </si>
  <si>
    <t>C14839901</t>
  </si>
  <si>
    <t>C14839801</t>
  </si>
  <si>
    <t>C13999101</t>
  </si>
  <si>
    <t>C13269802</t>
  </si>
  <si>
    <t>C14659604</t>
  </si>
  <si>
    <t>C14659601</t>
  </si>
  <si>
    <t>C13590507</t>
  </si>
  <si>
    <t>C13590504</t>
  </si>
  <si>
    <t>C13591104</t>
  </si>
  <si>
    <t>C13591101</t>
  </si>
  <si>
    <t>C12886201</t>
  </si>
  <si>
    <t>C13591301</t>
  </si>
  <si>
    <t>C13591201</t>
  </si>
  <si>
    <t>C14659401</t>
  </si>
  <si>
    <t>C14659301</t>
  </si>
  <si>
    <t>C12886401</t>
  </si>
  <si>
    <t>C13512701</t>
  </si>
  <si>
    <t>C12996401</t>
  </si>
  <si>
    <t>8C24-1109-BB</t>
  </si>
  <si>
    <t xml:space="preserve">VN127/E-350 </t>
  </si>
  <si>
    <t>INNER RACE - 17736601
OUTER RACE - 17736801</t>
  </si>
  <si>
    <t>INNER - 96.8MM
OUTER - 82.6 MM</t>
  </si>
  <si>
    <t>INNER - 104.7MM
OUTER - 82.6 MM</t>
  </si>
  <si>
    <t>12654 / 16096</t>
  </si>
  <si>
    <t>FM 2255EE</t>
  </si>
  <si>
    <t>Conti Textured</t>
  </si>
  <si>
    <t>Federal Mogul 
FM 2279EE</t>
  </si>
  <si>
    <t>BI Smooth</t>
  </si>
  <si>
    <t>Wolverine MS18030-2010</t>
  </si>
  <si>
    <t>FORD
TRUCK/
Blue Diamond</t>
  </si>
  <si>
    <t>FORD TRUCK/
Blue Diamond</t>
  </si>
  <si>
    <t>5C34-2C026-CB</t>
  </si>
  <si>
    <t>CUSTOMER
PART NUMBER</t>
  </si>
  <si>
    <t>5C34-1109-DA</t>
  </si>
  <si>
    <t>CUSTOMER 
PART NUMBER</t>
  </si>
  <si>
    <r>
      <t>Max Assembled LRO
(w/o wheel)
[</t>
    </r>
    <r>
      <rPr>
        <b/>
        <sz val="8"/>
        <rFont val="Symbol"/>
        <family val="1"/>
        <charset val="2"/>
      </rPr>
      <t>m</t>
    </r>
    <r>
      <rPr>
        <b/>
        <sz val="8"/>
        <rFont val="Times New Roman"/>
        <family val="1"/>
      </rPr>
      <t>m]</t>
    </r>
  </si>
  <si>
    <r>
      <t xml:space="preserve">Target 65 </t>
    </r>
    <r>
      <rPr>
        <sz val="8"/>
        <rFont val="Symbol"/>
        <family val="1"/>
        <charset val="2"/>
      </rPr>
      <t>m</t>
    </r>
    <r>
      <rPr>
        <sz val="8"/>
        <rFont val="Times New Roman"/>
        <family val="1"/>
      </rPr>
      <t>m</t>
    </r>
  </si>
  <si>
    <t>GMT900HD</t>
  </si>
  <si>
    <t>Silverado/Sierra 4x2 SRW (5C)</t>
  </si>
  <si>
    <t>2010i</t>
  </si>
  <si>
    <t>Saginaw</t>
  </si>
  <si>
    <t>Flint, Ft. Wayne</t>
  </si>
  <si>
    <t>18538401/2</t>
  </si>
  <si>
    <t>22880829/8</t>
  </si>
  <si>
    <t>M.Kinney</t>
  </si>
  <si>
    <r>
      <t xml:space="preserve">&lt; 50 </t>
    </r>
    <r>
      <rPr>
        <sz val="8"/>
        <rFont val="Symbol"/>
        <family val="1"/>
        <charset val="2"/>
      </rPr>
      <t>m</t>
    </r>
    <r>
      <rPr>
        <sz val="8"/>
        <rFont val="Times New Roman"/>
        <family val="1"/>
      </rPr>
      <t>m</t>
    </r>
  </si>
  <si>
    <t>355x40</t>
  </si>
  <si>
    <t>GM273M</t>
  </si>
  <si>
    <t>2x60 - RPS</t>
  </si>
  <si>
    <t>Gen 3 Taper</t>
  </si>
  <si>
    <t>E-Coat</t>
  </si>
  <si>
    <t>NS265H</t>
  </si>
  <si>
    <t>Silverado/Sierra 4x4 SRW (5K)</t>
  </si>
  <si>
    <t>18538501/2</t>
  </si>
  <si>
    <t>22880831/0</t>
  </si>
  <si>
    <t>Silverado/Sierra 5C 4x2 DRW (6C)</t>
  </si>
  <si>
    <t>Flint, Ft. Wayne, Silao</t>
  </si>
  <si>
    <t>18538601/2</t>
  </si>
  <si>
    <t>22880833/2</t>
  </si>
  <si>
    <t>Silverado/Sierra 5C 4x4 DRW (6K)</t>
  </si>
  <si>
    <t>18538701/2</t>
  </si>
  <si>
    <t>22880835/4</t>
  </si>
  <si>
    <t>K2XX</t>
  </si>
  <si>
    <t>Pre-Prod</t>
  </si>
  <si>
    <t>18560801/2</t>
  </si>
  <si>
    <t>22752928/9</t>
  </si>
  <si>
    <t>18560901/2</t>
  </si>
  <si>
    <t>22752930/1</t>
  </si>
  <si>
    <t>Flint, Ft. Wayne, Silao, Tillsonburg</t>
  </si>
  <si>
    <t>18561001/2</t>
  </si>
  <si>
    <t>22752932/3</t>
  </si>
  <si>
    <t>Flint, Ft. Wayne, Tillsonburg</t>
  </si>
  <si>
    <t>18561101/2</t>
  </si>
  <si>
    <t>22752934/5</t>
  </si>
  <si>
    <t>GMT610HD</t>
  </si>
  <si>
    <t>Express/Savana 4x2 SRW (3AC)</t>
  </si>
  <si>
    <t>Wentzville</t>
  </si>
  <si>
    <t>T17221901/2</t>
  </si>
  <si>
    <t>25926888/9</t>
  </si>
  <si>
    <t>325x38x12</t>
  </si>
  <si>
    <t>2x57 - RPS</t>
  </si>
  <si>
    <t>Gen 2.5 Taper</t>
  </si>
  <si>
    <t>Express/Savana 4x2 SRW (3BC)</t>
  </si>
  <si>
    <t>T17222001/2</t>
  </si>
  <si>
    <t>25926886/7</t>
  </si>
  <si>
    <t>325x38x14</t>
  </si>
  <si>
    <t>Express/Savana 4x2 DRW (4C)</t>
  </si>
  <si>
    <t>17644702/1</t>
  </si>
  <si>
    <t>20852634/5</t>
  </si>
  <si>
    <t>GMX211</t>
  </si>
  <si>
    <t>Impala 16"</t>
  </si>
  <si>
    <t>Oshawa</t>
  </si>
  <si>
    <t>17738301/2</t>
  </si>
  <si>
    <t>20864507/6</t>
  </si>
  <si>
    <t>16"/17"/18"</t>
  </si>
  <si>
    <t>303x30</t>
  </si>
  <si>
    <t>FNC &amp; C40</t>
  </si>
  <si>
    <t>2x45</t>
  </si>
  <si>
    <t>Gen 2.5 Ball</t>
  </si>
  <si>
    <t>NS308H</t>
  </si>
  <si>
    <t>YES</t>
  </si>
  <si>
    <t>17920501/2</t>
  </si>
  <si>
    <t>20879453/2</t>
  </si>
  <si>
    <t>270x14</t>
  </si>
  <si>
    <t>FNC &amp; C41</t>
  </si>
  <si>
    <t>1x38 IPB Akebono</t>
  </si>
  <si>
    <t>NS171</t>
  </si>
  <si>
    <t>Impala Police 17"</t>
  </si>
  <si>
    <t>18806801/2</t>
  </si>
  <si>
    <t>22990750/1</t>
  </si>
  <si>
    <t>323x30</t>
  </si>
  <si>
    <t>D4010</t>
  </si>
  <si>
    <t>HP1000</t>
  </si>
  <si>
    <t>No
LBJ Heat Shield</t>
  </si>
  <si>
    <t>17463701/2</t>
  </si>
  <si>
    <t>25956822/1</t>
  </si>
  <si>
    <t>Delta2</t>
  </si>
  <si>
    <t>Cruze/Sonic 15"</t>
  </si>
  <si>
    <t>Lordstown/Orion</t>
  </si>
  <si>
    <t>18823601/2</t>
  </si>
  <si>
    <t>22992261/2</t>
  </si>
  <si>
    <r>
      <t xml:space="preserve">&lt; 40 </t>
    </r>
    <r>
      <rPr>
        <sz val="8"/>
        <rFont val="Symbol"/>
        <family val="1"/>
        <charset val="2"/>
      </rPr>
      <t>m</t>
    </r>
    <r>
      <rPr>
        <sz val="8"/>
        <rFont val="Times New Roman"/>
        <family val="1"/>
      </rPr>
      <t>m</t>
    </r>
  </si>
  <si>
    <t>15"-18"</t>
  </si>
  <si>
    <t>276x26</t>
  </si>
  <si>
    <t>B09 Detail C</t>
  </si>
  <si>
    <t>1x60 Conti</t>
  </si>
  <si>
    <t>Gen3 Ball</t>
  </si>
  <si>
    <t>NS308H FF</t>
  </si>
  <si>
    <t>Cruze/Verano 16"</t>
  </si>
  <si>
    <t>18930101/2</t>
  </si>
  <si>
    <t>23144574/5</t>
  </si>
  <si>
    <t>300x26</t>
  </si>
  <si>
    <t>Volt 16" E-Flex</t>
  </si>
  <si>
    <t>D-Ham</t>
  </si>
  <si>
    <t>18930201/2</t>
  </si>
  <si>
    <t>23143872/3</t>
  </si>
  <si>
    <t>321x30</t>
  </si>
  <si>
    <t>FNC &amp; C40 Detail D</t>
  </si>
  <si>
    <t>Zeta2</t>
  </si>
  <si>
    <t>Camaro V6 Auto</t>
  </si>
  <si>
    <t>17497301/2</t>
  </si>
  <si>
    <t>92233627/8</t>
  </si>
  <si>
    <t>18"/20"</t>
  </si>
  <si>
    <t>GM273M TypeC</t>
  </si>
  <si>
    <t>1x60 Fe Mando</t>
  </si>
  <si>
    <t>Gen 3 Ball</t>
  </si>
  <si>
    <t>BM112</t>
  </si>
  <si>
    <t>17514501/2</t>
  </si>
  <si>
    <t>92234829/30</t>
  </si>
  <si>
    <t>315x23</t>
  </si>
  <si>
    <t>1x45 Al Mando</t>
  </si>
  <si>
    <t>Camaro V6 Manual</t>
  </si>
  <si>
    <t>17514601/2</t>
  </si>
  <si>
    <t>92234831/2</t>
  </si>
  <si>
    <t>Camaro SS</t>
  </si>
  <si>
    <t>18677101/2</t>
  </si>
  <si>
    <t>22907092/3</t>
  </si>
  <si>
    <r>
      <t xml:space="preserve">&lt; 60 </t>
    </r>
    <r>
      <rPr>
        <sz val="8"/>
        <rFont val="Symbol"/>
        <family val="1"/>
        <charset val="2"/>
      </rPr>
      <t>m</t>
    </r>
    <r>
      <rPr>
        <sz val="8"/>
        <rFont val="Times New Roman"/>
        <family val="1"/>
      </rPr>
      <t>m</t>
    </r>
  </si>
  <si>
    <t>345x30</t>
  </si>
  <si>
    <t>4x42 Al Brembo</t>
  </si>
  <si>
    <t>17835601/2</t>
  </si>
  <si>
    <t>92245927/6</t>
  </si>
  <si>
    <t>365x28</t>
  </si>
  <si>
    <t>4 piston (28/32) Brembo</t>
  </si>
  <si>
    <t>Camaro SS Track</t>
  </si>
  <si>
    <t>18677301/2</t>
  </si>
  <si>
    <t>22942232/3</t>
  </si>
  <si>
    <t>18339701/2</t>
  </si>
  <si>
    <t>22812911/10</t>
  </si>
  <si>
    <t>Camaro ZL1 (HP)</t>
  </si>
  <si>
    <t>17979603/4</t>
  </si>
  <si>
    <t>20944525/6</t>
  </si>
  <si>
    <r>
      <t xml:space="preserve">&lt; 80 </t>
    </r>
    <r>
      <rPr>
        <sz val="8"/>
        <rFont val="Symbol"/>
        <family val="1"/>
        <charset val="2"/>
      </rPr>
      <t>m</t>
    </r>
    <r>
      <rPr>
        <sz val="8"/>
        <rFont val="Times New Roman"/>
        <family val="1"/>
      </rPr>
      <t>m</t>
    </r>
  </si>
  <si>
    <t>370x34</t>
  </si>
  <si>
    <t>6 Piston (30/34/38) Brembo</t>
  </si>
  <si>
    <t>17980701/2</t>
  </si>
  <si>
    <t>20944515/4</t>
  </si>
  <si>
    <t>Camaro Z28 (HP2)</t>
  </si>
  <si>
    <t>18767001/2</t>
  </si>
  <si>
    <t>22907446/7</t>
  </si>
  <si>
    <t>394x219x36</t>
  </si>
  <si>
    <t>NA-CarbonCeramic</t>
  </si>
  <si>
    <t>Textar T4300</t>
  </si>
  <si>
    <t>18767301/2</t>
  </si>
  <si>
    <t>22907448/9</t>
  </si>
  <si>
    <t>390x263x32</t>
  </si>
  <si>
    <t>Holden HSV P710 HP</t>
  </si>
  <si>
    <t>18529203/4</t>
  </si>
  <si>
    <t>92268943/4</t>
  </si>
  <si>
    <t>Alpha</t>
  </si>
  <si>
    <t>ATS 16" RWD</t>
  </si>
  <si>
    <t>LGR (Lansing Grand River)</t>
  </si>
  <si>
    <t>18808201/2</t>
  </si>
  <si>
    <t>23105445/6</t>
  </si>
  <si>
    <t>GMW16284 &amp; FNC</t>
  </si>
  <si>
    <t>1x60 Fe Conti</t>
  </si>
  <si>
    <t>N308H</t>
  </si>
  <si>
    <t>ATS 17" RWD</t>
  </si>
  <si>
    <t>18819801/2</t>
  </si>
  <si>
    <t>23104848/9</t>
  </si>
  <si>
    <t>N550H</t>
  </si>
  <si>
    <t>ATS 17" AWD</t>
  </si>
  <si>
    <t>18819901/2</t>
  </si>
  <si>
    <t>23104846/7</t>
  </si>
  <si>
    <t>ATS 17" RWD HP</t>
  </si>
  <si>
    <t>18804601/2</t>
  </si>
  <si>
    <t>22989254/5</t>
  </si>
  <si>
    <t>ATS 17" AWD HP</t>
  </si>
  <si>
    <t>18686001/2</t>
  </si>
  <si>
    <t>22928402/3</t>
  </si>
  <si>
    <t>ATS 17"</t>
  </si>
  <si>
    <t>18926701/2</t>
  </si>
  <si>
    <t>23147298/9</t>
  </si>
  <si>
    <t>315x23x7</t>
  </si>
  <si>
    <t>1x43 Fe Mando</t>
  </si>
  <si>
    <t>ATS 17" HP</t>
  </si>
  <si>
    <t>18926801/2</t>
  </si>
  <si>
    <t>23147300/1</t>
  </si>
  <si>
    <t>Epsilon2</t>
  </si>
  <si>
    <t>17" Regal Hybrid</t>
  </si>
  <si>
    <t>18804301/2</t>
  </si>
  <si>
    <t>22964583/4</t>
  </si>
  <si>
    <t>FNC + C40 Detail D</t>
  </si>
  <si>
    <t>ITT Galfer 4029</t>
  </si>
  <si>
    <t>17" LaCrosse (Mexico)</t>
  </si>
  <si>
    <t>Fairfax</t>
  </si>
  <si>
    <t>18804201/2</t>
  </si>
  <si>
    <t>22964581/2</t>
  </si>
  <si>
    <t>17" LaCrosse/Malibu (McPherson)</t>
  </si>
  <si>
    <t>2010/2013</t>
  </si>
  <si>
    <t>Fairfax&amp;D-Ham</t>
  </si>
  <si>
    <t>17890901/2</t>
  </si>
  <si>
    <t>20917139/40</t>
  </si>
  <si>
    <t>NS308</t>
  </si>
  <si>
    <t>17" LaCrosse (HyPer)</t>
  </si>
  <si>
    <t>18352301/2</t>
  </si>
  <si>
    <t>22812746/7</t>
  </si>
  <si>
    <t>16" LaCrosse Hybrid/Malibu</t>
  </si>
  <si>
    <t>17484301/2</t>
  </si>
  <si>
    <t>20917137/8</t>
  </si>
  <si>
    <t>296x30</t>
  </si>
  <si>
    <t>18" XTS</t>
  </si>
  <si>
    <t>18599601/2</t>
  </si>
  <si>
    <t>22890095/6</t>
  </si>
  <si>
    <t>4x42 Brembo</t>
  </si>
  <si>
    <t>18" XTS Platinum</t>
  </si>
  <si>
    <t>18599501/2</t>
  </si>
  <si>
    <t>22872924/5</t>
  </si>
  <si>
    <t>16" Regsl GS/Regal Hybrid</t>
  </si>
  <si>
    <t>18474001/2</t>
  </si>
  <si>
    <t>22859837/8</t>
  </si>
  <si>
    <t>17" Regsl GS/Impala</t>
  </si>
  <si>
    <t>2011/2014</t>
  </si>
  <si>
    <t>Oshawa&amp;D-Ham</t>
  </si>
  <si>
    <t>18474101/2</t>
  </si>
  <si>
    <t>22859839/40</t>
  </si>
  <si>
    <t>18" Regal GS</t>
  </si>
  <si>
    <t>18850501/2</t>
  </si>
  <si>
    <t>23106565/6</t>
  </si>
  <si>
    <t>18683201/2</t>
  </si>
  <si>
    <t>22917413/4</t>
  </si>
  <si>
    <t>17" Regal</t>
  </si>
  <si>
    <t>18624101/2</t>
  </si>
  <si>
    <t>22871193/4</t>
  </si>
  <si>
    <t>17" 4-Link Al Malibu</t>
  </si>
  <si>
    <t>18156801/2</t>
  </si>
  <si>
    <t>22752421/2</t>
  </si>
  <si>
    <t>1x41 C2 EPB</t>
  </si>
  <si>
    <t>17" 4-Link Fe LaCrosse</t>
  </si>
  <si>
    <t>18274001/2</t>
  </si>
  <si>
    <t>22778301/2</t>
  </si>
  <si>
    <t>17" H-Arm LaCrosse</t>
  </si>
  <si>
    <t>18274101/2</t>
  </si>
  <si>
    <t>22778303/4</t>
  </si>
  <si>
    <t>16" 4-Link Al LaCrosse Hybrid/Malibu</t>
  </si>
  <si>
    <t>18575801/2</t>
  </si>
  <si>
    <t>22781291/2</t>
  </si>
  <si>
    <t>292x12</t>
  </si>
  <si>
    <t>17" 4-Link Fe LaCrosse (Mexico)</t>
  </si>
  <si>
    <t>18571901/2</t>
  </si>
  <si>
    <t>22875709/10</t>
  </si>
  <si>
    <t>17" H-Arm Al XTS</t>
  </si>
  <si>
    <t>18640601/2</t>
  </si>
  <si>
    <t>22915522/3</t>
  </si>
  <si>
    <t>17" H-Arm LaCrosse (Mexico)</t>
  </si>
  <si>
    <t>18572001/2</t>
  </si>
  <si>
    <t>22875711/2</t>
  </si>
  <si>
    <t>17" 4-Link Al Regal GS</t>
  </si>
  <si>
    <t>18896701/2</t>
  </si>
  <si>
    <t>23133809/8</t>
  </si>
  <si>
    <t>16" 4-Link Al Regal GS/Regal Hybrid</t>
  </si>
  <si>
    <t>18474801/2</t>
  </si>
  <si>
    <t>22860554/5</t>
  </si>
  <si>
    <t>17" 4-Link Al Regal GS/Impala</t>
  </si>
  <si>
    <t>18474901/2</t>
  </si>
  <si>
    <t>22860556/7</t>
  </si>
  <si>
    <t>18640501/2</t>
  </si>
  <si>
    <t>22915524/5</t>
  </si>
  <si>
    <t>18697801/2</t>
  </si>
  <si>
    <t>22910223/4</t>
  </si>
  <si>
    <t>1x41 C2 MPB</t>
  </si>
  <si>
    <t>16" 4-Link Al Malibu</t>
  </si>
  <si>
    <t>18697901/2</t>
  </si>
  <si>
    <t>22910221/2</t>
  </si>
  <si>
    <t>17" H-Arm Fe Regal GS (FNC)</t>
  </si>
  <si>
    <t>18572601/2</t>
  </si>
  <si>
    <t>22809635/6</t>
  </si>
  <si>
    <t>17" H-Arm Fe Regal GS (nonFNC)</t>
  </si>
  <si>
    <t>18896801/2</t>
  </si>
  <si>
    <t>23133811/0</t>
  </si>
  <si>
    <t>GMT166/168
Theta-Epsilon</t>
  </si>
  <si>
    <t>Cadillac SRX</t>
  </si>
  <si>
    <t>Front Knuckle</t>
  </si>
  <si>
    <t>Ramos Arizpe</t>
  </si>
  <si>
    <t>16889905/06</t>
  </si>
  <si>
    <t>22861294/95</t>
  </si>
  <si>
    <t>Rear Knuckle Assy</t>
  </si>
  <si>
    <t>17519103/04</t>
  </si>
  <si>
    <t>22752734/35</t>
  </si>
  <si>
    <t>Family2 / E-Flex</t>
  </si>
  <si>
    <t>Chevy Volt</t>
  </si>
  <si>
    <t>16" Rear Rotor</t>
  </si>
  <si>
    <t>Family2 / Delta2</t>
  </si>
  <si>
    <t>Cadillac ELR</t>
  </si>
  <si>
    <t>17" Front Rotor</t>
  </si>
  <si>
    <t>Family2 / Gamma</t>
  </si>
  <si>
    <t>Chevy Trax</t>
  </si>
  <si>
    <t>16" Front Rotor</t>
  </si>
  <si>
    <t>San Luis Potosi</t>
  </si>
  <si>
    <t>B09 Detail B</t>
  </si>
  <si>
    <t>15" Rear Rotor</t>
  </si>
  <si>
    <t>268x12</t>
  </si>
  <si>
    <t>Family2 / Gamma / Delta2</t>
  </si>
  <si>
    <t>Chevy Cruze / Sonic RS / Trax</t>
  </si>
  <si>
    <t>San Luis Potosi/Lake Orion/Lordstown</t>
  </si>
  <si>
    <t>Chevy Sonic / Sonic RS</t>
  </si>
  <si>
    <t>15" Front Rotor</t>
  </si>
  <si>
    <t>Lake Orion</t>
  </si>
  <si>
    <t>Buick Verano / Chevy Cruze Diesel</t>
  </si>
  <si>
    <t>Lake Orion / Lordstown</t>
  </si>
  <si>
    <t>C40 Detail C</t>
  </si>
  <si>
    <r>
      <t>Max Assembled LRO (w/o wheel) [</t>
    </r>
    <r>
      <rPr>
        <b/>
        <sz val="8"/>
        <rFont val="Symbol"/>
        <family val="1"/>
        <charset val="2"/>
      </rPr>
      <t>m</t>
    </r>
    <r>
      <rPr>
        <b/>
        <sz val="8"/>
        <rFont val="Times New Roman"/>
        <family val="1"/>
      </rPr>
      <t>m]</t>
    </r>
  </si>
  <si>
    <t>GMX521/511</t>
  </si>
  <si>
    <t>Camaro Synergy</t>
  </si>
  <si>
    <t>18677201/02</t>
  </si>
  <si>
    <t>22907094/95</t>
  </si>
  <si>
    <t>18273001/02</t>
  </si>
  <si>
    <t>22797188//89</t>
  </si>
  <si>
    <t>GMX222/272</t>
  </si>
  <si>
    <t>Buick Lucerne/Cadillac DTS</t>
  </si>
  <si>
    <t>16" Front</t>
  </si>
  <si>
    <t>T18088569/70</t>
  </si>
  <si>
    <t>15285273/74</t>
  </si>
  <si>
    <t>17" Front</t>
  </si>
  <si>
    <t>T18095128/29</t>
  </si>
  <si>
    <t>25803422/21</t>
  </si>
  <si>
    <t>GMT360</t>
  </si>
  <si>
    <t>Chevy Trailblazer/Buick Envoy/Isuzu Ascender/Saab 9-7</t>
  </si>
  <si>
    <t>T17256401/02</t>
  </si>
  <si>
    <t>25844080/81</t>
  </si>
  <si>
    <t>T17256501/02</t>
  </si>
  <si>
    <t>25844083/82</t>
  </si>
  <si>
    <t>17" SS Front</t>
  </si>
  <si>
    <t>T17256601/02</t>
  </si>
  <si>
    <t>25847495/94</t>
  </si>
  <si>
    <t>GMX001 Delta1</t>
  </si>
  <si>
    <t>Cobalt (base nonABS)</t>
  </si>
  <si>
    <t>Level 0 Front</t>
  </si>
  <si>
    <t>T17286301/02</t>
  </si>
  <si>
    <t>25971372/71</t>
  </si>
  <si>
    <t>Cobalt (base ABS)</t>
  </si>
  <si>
    <t>Level 1 Front</t>
  </si>
  <si>
    <t>T17285101/02</t>
  </si>
  <si>
    <t>25971368/67</t>
  </si>
  <si>
    <t>Cobalt (level 2 ABS)</t>
  </si>
  <si>
    <t>Level 2 Front</t>
  </si>
  <si>
    <t>T17285201/02</t>
  </si>
  <si>
    <t>25971370/69</t>
  </si>
  <si>
    <t>GMT001 Delta1</t>
  </si>
  <si>
    <t>HHR</t>
  </si>
  <si>
    <t>HHR ABS Front</t>
  </si>
  <si>
    <t>17799401/02</t>
  </si>
  <si>
    <t>20890434/35</t>
  </si>
  <si>
    <t>GMX381/384/386 Epsilon1</t>
  </si>
  <si>
    <t>G6/Aura/Malibu</t>
  </si>
  <si>
    <t>Domestic 16" Front</t>
  </si>
  <si>
    <t>18178301/02</t>
  </si>
  <si>
    <t>22759630/31</t>
  </si>
  <si>
    <t>Export 16" Front</t>
  </si>
  <si>
    <t>18178401/02</t>
  </si>
  <si>
    <t>22757009/10</t>
  </si>
  <si>
    <t>17885401/02</t>
  </si>
  <si>
    <t>20907862/63</t>
  </si>
  <si>
    <t>17886201/02</t>
  </si>
  <si>
    <t>20952544/45</t>
  </si>
  <si>
    <t>GMT330/325</t>
  </si>
  <si>
    <t>Chevy S-10 4x4 (Brazil)</t>
  </si>
  <si>
    <t>T18091062/63</t>
  </si>
  <si>
    <t>93343516/15</t>
  </si>
  <si>
    <t>GMT355</t>
  </si>
  <si>
    <t>Colorado/Canyon</t>
  </si>
  <si>
    <t>Front Knuckle Z85</t>
  </si>
  <si>
    <t>17530701/02</t>
  </si>
  <si>
    <t>19208801/00</t>
  </si>
  <si>
    <t>Front Knuckle Z71</t>
  </si>
  <si>
    <t>17530901/02</t>
  </si>
  <si>
    <t>19208805/04</t>
  </si>
  <si>
    <t>Front Knuckle ZQ8</t>
  </si>
  <si>
    <t>17530801/02</t>
  </si>
  <si>
    <t>19208803/02</t>
  </si>
  <si>
    <t>GMT265</t>
  </si>
  <si>
    <t>T18063940/41</t>
  </si>
  <si>
    <t>25998393/94</t>
  </si>
  <si>
    <t>Leading</t>
  </si>
  <si>
    <t>Trailing</t>
  </si>
  <si>
    <t>Clearances (mm)</t>
  </si>
  <si>
    <t xml:space="preserve">Leading </t>
  </si>
  <si>
    <t>Guide Rod Arrangement</t>
  </si>
  <si>
    <t>Plain</t>
  </si>
  <si>
    <t>Bushed</t>
  </si>
  <si>
    <t>COMMENTS</t>
  </si>
  <si>
    <t>RPS</t>
  </si>
  <si>
    <t>12mm Rods, Biased spans</t>
  </si>
  <si>
    <t>14mm Guide rods</t>
  </si>
  <si>
    <t>12mm Guide  Rods, Biased spans</t>
  </si>
  <si>
    <t>12mm Guide Rods, Biased spans</t>
  </si>
  <si>
    <t>10mm Guide Rods</t>
  </si>
  <si>
    <t>12mm Guide  Rods</t>
  </si>
  <si>
    <t>10 mm Guide Rods</t>
  </si>
  <si>
    <t xml:space="preserve">10mm Compact Head Guide Rods
</t>
  </si>
  <si>
    <t xml:space="preserve">10mm Guide Rods
</t>
  </si>
  <si>
    <t>8.5 mm Guide Rods
Stepped Plain Pin</t>
  </si>
  <si>
    <t>Plain, stepped</t>
  </si>
  <si>
    <t>10mm Guide Rods
Based on Hitachi Design</t>
  </si>
  <si>
    <t>8.0mm Guide Rods
Hitachi Design</t>
  </si>
  <si>
    <t>1,303 / 1,312                 (Reference Pressure Limited)</t>
  </si>
  <si>
    <t xml:space="preserve">Housing: TS2-11-083  Fe                          Bracket: TS2-11-083 Fe </t>
  </si>
  <si>
    <t>Housing &amp; Bracket: -  ZnNi                      TS2-21-111(2 or 2A)</t>
  </si>
  <si>
    <t>1848601/02</t>
  </si>
  <si>
    <t>18486501/02</t>
  </si>
  <si>
    <t>32354781/82</t>
  </si>
  <si>
    <t xml:space="preserve">16.5 KN </t>
  </si>
  <si>
    <t>Hankook Textured</t>
  </si>
  <si>
    <t>1,300 / 1,302             (Reference Pressure Limited)</t>
  </si>
  <si>
    <t>18027109 RH
18027110 LH</t>
  </si>
  <si>
    <t>04721858AI RH
04721857AI LH</t>
  </si>
  <si>
    <t>17441103 RH
17441104 LH</t>
  </si>
  <si>
    <t>8.5mm Hex Head Guide Rods</t>
  </si>
  <si>
    <t>Other</t>
  </si>
  <si>
    <t>17991403 RH
17991404 LH</t>
  </si>
  <si>
    <t>10mm Compact Head Guide Rods</t>
  </si>
  <si>
    <t>17991415 RH
17991416 LH</t>
  </si>
  <si>
    <t>15841401
15841402</t>
  </si>
  <si>
    <t>52060154AB
52060155AB</t>
  </si>
  <si>
    <t>15841201
15841202</t>
  </si>
  <si>
    <t>Conti Smooth</t>
  </si>
  <si>
    <t>17340611 RH
17340612 LH</t>
  </si>
  <si>
    <t>68053022AF 
68053023AF</t>
  </si>
  <si>
    <t>15843701 RH
15843702 LH</t>
  </si>
  <si>
    <t>JK Domestic
(KA/KK in service)</t>
  </si>
  <si>
    <t>15868305 LH
15868306 RH</t>
  </si>
  <si>
    <t>05168009AD
05168008AD</t>
  </si>
  <si>
    <t>17216603 RH
17216604 LH</t>
  </si>
  <si>
    <t>68045826AB RH
68045827AB LH</t>
  </si>
  <si>
    <t>16834602
16834601</t>
  </si>
  <si>
    <t>10mm Hex Head Guide Rods</t>
  </si>
  <si>
    <t>Akebono NS379H</t>
  </si>
  <si>
    <t>17986911 RH
17986912 LH</t>
  </si>
  <si>
    <t>PC HR 38/10/11</t>
  </si>
  <si>
    <t>2014i</t>
  </si>
  <si>
    <t>10mm guide rods, original PC clearances</t>
  </si>
  <si>
    <t>ZiNi to TS2-21-111-2a housing and bracket</t>
  </si>
  <si>
    <t>32041108/09 s/o Chart 03232854</t>
  </si>
  <si>
    <t>1JO 615 405/406 FB</t>
  </si>
  <si>
    <t xml:space="preserve"> Textar 4402-1</t>
  </si>
  <si>
    <t xml:space="preserve">32053670
32053671 </t>
  </si>
  <si>
    <t>5QO 615 405 AC
5QO 615 406 AR</t>
  </si>
  <si>
    <t>32342784/785</t>
  </si>
  <si>
    <t>32342786/787</t>
  </si>
  <si>
    <t>C HR 38/10/10</t>
  </si>
  <si>
    <t>32053699
32053700</t>
  </si>
  <si>
    <t>5CO 615 405 C
5CO 615 406 C</t>
  </si>
  <si>
    <t>32329451/452</t>
  </si>
  <si>
    <t>32329449/450</t>
  </si>
  <si>
    <t>18214303/04</t>
  </si>
  <si>
    <t>18976401/02</t>
  </si>
  <si>
    <t>18976301/02</t>
  </si>
  <si>
    <t>1,310 / 1,447             (Reference Pressure Limited)</t>
  </si>
  <si>
    <t>N594BH</t>
  </si>
  <si>
    <t>FER 139-23</t>
  </si>
  <si>
    <t>Inner: MS18035-1510
Outer: SUS301 Stainless</t>
  </si>
  <si>
    <t>Clip-on</t>
  </si>
  <si>
    <t>4-Link:
18856317, 18856318
5-Link:
18856321, 18856322</t>
  </si>
  <si>
    <t>4-Link:
22933776, 22933777
5-Link:
23430846, 23430847</t>
  </si>
  <si>
    <t>4-LINK FRONT MOUNT SUSPENSION
5-LINK REAR MOUNT SUSPENSION</t>
  </si>
  <si>
    <t>4-Link:
18856319, 18856320
5-Link:
18856323, 18856324</t>
  </si>
  <si>
    <t>4-Link:
22933778, 22933779
5-Link:
23430848, 23430849</t>
  </si>
  <si>
    <t>18486601/02</t>
  </si>
  <si>
    <t>19199301/02</t>
  </si>
  <si>
    <t>TS1-21-129 (7°wall, 0.75 x 37°)</t>
  </si>
  <si>
    <t>TS1-21-129 (7°wall, 1.0 x 45°)</t>
  </si>
  <si>
    <t>TS1-21-131 (7°wall, 0.75 x 37°)</t>
  </si>
  <si>
    <t>SEAL GROOVE</t>
  </si>
  <si>
    <t xml:space="preserve">Bracket IB Pin Bore Opening
FEA
</t>
  </si>
  <si>
    <t xml:space="preserve">(mm) at 1 g </t>
  </si>
  <si>
    <t xml:space="preserve">
2014(UF)</t>
  </si>
  <si>
    <t xml:space="preserve">2013 (KL) 
</t>
  </si>
  <si>
    <t xml:space="preserve"> 18" (for NAO Lining material only)</t>
  </si>
  <si>
    <t xml:space="preserve">17" (all calipers) </t>
  </si>
  <si>
    <t xml:space="preserve">2013 (KL) </t>
  </si>
  <si>
    <t>Housing: Hard Anodize         TS2-25-102
Bracket:  TS2-21-111          (Class 2 or 2A)</t>
  </si>
  <si>
    <t>0.48 (BC2)</t>
  </si>
  <si>
    <t>0.06(BC2)</t>
  </si>
  <si>
    <t>18606303 (LH)
18606304 (RH)</t>
  </si>
  <si>
    <t>18263307 (LH)
18263308 (RH)</t>
  </si>
  <si>
    <t>1116/1605 (Reference Pressure Limited)</t>
  </si>
  <si>
    <t>2357(value from Nov 2012)</t>
  </si>
  <si>
    <t>5014(value from Nov 2012)</t>
  </si>
  <si>
    <t>2657(value from Nov 2012)</t>
  </si>
  <si>
    <t>0.38(value from Nov 2012)</t>
  </si>
  <si>
    <t>645(value from Nov 2012)</t>
  </si>
  <si>
    <t>2704(value from Nov 2012)</t>
  </si>
  <si>
    <t>340(value from Nov 2012)</t>
  </si>
  <si>
    <t>25.69% based on specific torque ( Nov 2012)</t>
  </si>
  <si>
    <t>27.55(value from Nov 2012)</t>
  </si>
  <si>
    <t>+</t>
  </si>
  <si>
    <t>17927204 (LH)
17927203 (RH)</t>
  </si>
  <si>
    <t>17953004 (LH)
17953003 (RH)</t>
  </si>
  <si>
    <t>Housing:TS2-24-107 (Bright finish Jet Black - RAL9005)) 
Bracket:TS2-24-107 (Bright finish Jet Black- RAL9005)</t>
  </si>
  <si>
    <t>5512(value from Nov 2012)</t>
  </si>
  <si>
    <t>2866(value from Nov 2012)</t>
  </si>
  <si>
    <t>690(value from Nov 2012)</t>
  </si>
  <si>
    <t>655(value from Nov 2012)</t>
  </si>
  <si>
    <t>353(value from Nov 2012)</t>
  </si>
  <si>
    <t>360(value from Nov 2012)</t>
  </si>
  <si>
    <t>31.34% based on specific torque ( Nov 2012)</t>
  </si>
  <si>
    <t>28.86% based on specific torque ( Nov 2012)</t>
  </si>
  <si>
    <t>180(value from Nov 2012)</t>
  </si>
  <si>
    <t>31.22(value from Nov 2012)</t>
  </si>
  <si>
    <t>36.97(value from Nov 2012)</t>
  </si>
  <si>
    <t>0.45(value from Nov 2012)</t>
  </si>
  <si>
    <t>2014</t>
  </si>
  <si>
    <t>4941(value from July 2013)</t>
  </si>
  <si>
    <t>2520(value from July 2013)</t>
  </si>
  <si>
    <t>2421(value from July 2013)</t>
  </si>
  <si>
    <t>550(value from July 2013)</t>
  </si>
  <si>
    <t>2744(value from July 2013)</t>
  </si>
  <si>
    <t>315(value from July 2013)</t>
  </si>
  <si>
    <t>0.38(value from July 2013)</t>
  </si>
  <si>
    <t>180(value from July 2013)</t>
  </si>
  <si>
    <t>26.08% based on specific torque ( July 2013)</t>
  </si>
  <si>
    <t>26.42(value from July 2013)</t>
  </si>
  <si>
    <t>05154245AB (LH)
53130895(LH-Fiat)
05154244AB (RH)
53130894(RH-Fiat)</t>
  </si>
  <si>
    <t>05154261AB (LH)
53130897(LH-Fiat)
05154260AB (RH)
53130898(RH-Fiat)</t>
  </si>
  <si>
    <t>17926608 (LH)
17926607 (RH)</t>
  </si>
  <si>
    <t>17926604 (LH)
17926603 (RH)</t>
  </si>
  <si>
    <t>17926708 (LH)
17926707 (RH)</t>
  </si>
  <si>
    <t>19008802 (LH)
19008801 (RH)</t>
  </si>
  <si>
    <t>68230635AA (LH-Chrysler) 
TBD(LH-Fiat)
68230634AA (RH-Chrysler)
TBD(RH-Fiat)</t>
  </si>
  <si>
    <t>TS1-21-116 (4°wall, 0.75x 37°)</t>
  </si>
  <si>
    <t>18375406 (LH)
18375405 (RH)</t>
  </si>
  <si>
    <t>32346661 (RH)
32346662 (LH)</t>
  </si>
  <si>
    <t>32326912 (RH)
32326913 (LH)</t>
  </si>
  <si>
    <t>0.32 (value from Aug 2011)</t>
  </si>
  <si>
    <t>0.35 (value from Sep 2011)</t>
  </si>
  <si>
    <t>26.37 (value from Aug 2011)</t>
  </si>
  <si>
    <t>27.79 (value from Sep 2011)</t>
  </si>
  <si>
    <t>144 (value from Sep 2011)</t>
  </si>
  <si>
    <t>182 (value from Aug 2011)</t>
  </si>
  <si>
    <t>Santa Rosa/Brazil</t>
  </si>
  <si>
    <t>18021601/02 (grey)
18021603/04 (red)</t>
  </si>
  <si>
    <t>A166 423 25/26 98kZ (grey)
A166 423 30/31 98kZ (red)</t>
  </si>
  <si>
    <t>17957501 (grey)
17957502 (red)</t>
  </si>
  <si>
    <t>17720004 (grey)
17720006 (red)</t>
  </si>
  <si>
    <t>CI HR 43/19/10.55</t>
  </si>
  <si>
    <t>Mustang S197 SVT &amp; Feature Car
(Black w/ PFC)</t>
  </si>
  <si>
    <t>Carbon Metallic</t>
  </si>
  <si>
    <t>Zinc cobalt (black)
TS2-21-072</t>
  </si>
  <si>
    <t>18260809/10</t>
  </si>
  <si>
    <t>DR3V-2K327/328-AE</t>
  </si>
  <si>
    <t>0.34 (LH)
0.11 (RH)</t>
  </si>
  <si>
    <t>0.11 (LH)
0.34 (RH)</t>
  </si>
  <si>
    <t>8.415 mm guide rods
Hutchinson Smooth Seal</t>
  </si>
  <si>
    <t>7°wall, 0.42x 15°
see print</t>
  </si>
  <si>
    <t>Mustang Track Package (S197)
(Silver w/ PFC)</t>
  </si>
  <si>
    <t>18080109/10</t>
  </si>
  <si>
    <t>DR33-2K327/328-DD</t>
  </si>
  <si>
    <t>MSC 40.0M</t>
  </si>
  <si>
    <t>Organic</t>
  </si>
  <si>
    <t>18071911/12</t>
  </si>
  <si>
    <t>DR33-2K327/328-BD</t>
  </si>
  <si>
    <t>4,819 (SVT)
4,420 (Boss)
4101 (Laguna)</t>
  </si>
  <si>
    <t>SVT = 1175 / 2150
Boss = 930 / 1889
Laguna = 843 / 1681</t>
  </si>
  <si>
    <r>
      <t xml:space="preserve">350 </t>
    </r>
    <r>
      <rPr>
        <sz val="8"/>
        <rFont val="Calibri"/>
        <family val="2"/>
      </rPr>
      <t>(SVT)</t>
    </r>
    <r>
      <rPr>
        <sz val="10"/>
        <rFont val="Calibri"/>
        <family val="2"/>
      </rPr>
      <t xml:space="preserve">
300</t>
    </r>
    <r>
      <rPr>
        <sz val="8"/>
        <rFont val="Calibri"/>
        <family val="2"/>
      </rPr>
      <t xml:space="preserve"> (Boss / Laguna)</t>
    </r>
  </si>
  <si>
    <t>19" (Boss / Laguna)</t>
  </si>
  <si>
    <t>348 (SVT)
318 (Boss/Laguna)</t>
  </si>
  <si>
    <t>Mustang Rear (S197)
Auto Brembo Package
(Black w/ Nisshinbo)</t>
  </si>
  <si>
    <t>18270511/12</t>
  </si>
  <si>
    <t>DR33-2K327/328-CG</t>
  </si>
  <si>
    <t>IPB Park Brake
Direct Metric Inlet</t>
  </si>
  <si>
    <t>906/1916</t>
  </si>
  <si>
    <t>1032/1971</t>
  </si>
  <si>
    <t>Galfer 6004</t>
  </si>
  <si>
    <t>KB2612</t>
  </si>
  <si>
    <t>Garrington</t>
  </si>
  <si>
    <t>CII HR 43/11/10.73</t>
  </si>
  <si>
    <t xml:space="preserve"> 1119 / 1728</t>
  </si>
  <si>
    <t>ITT GA8135(4)</t>
  </si>
  <si>
    <t>RPNC23901</t>
  </si>
  <si>
    <t>18332013
18332014</t>
  </si>
  <si>
    <t>CT43-2K327-AF
CT43-2K328-AF</t>
  </si>
  <si>
    <t>7°wall, 1.0 x 45°
see print</t>
  </si>
  <si>
    <t>Zinc/Ni TS2-21-111-2
plus black paint per TS2-24-107</t>
  </si>
  <si>
    <t>18669511
18669512</t>
  </si>
  <si>
    <t>DT43-2K327-BE
DT43-2K328-BE</t>
  </si>
  <si>
    <t>CII HR 45/11/10.88</t>
  </si>
  <si>
    <t>Big Brake
(Base)</t>
  </si>
  <si>
    <t>Big Brake
(Police)</t>
  </si>
  <si>
    <t>Big Brake
(SHO PP)</t>
  </si>
  <si>
    <t>Small Brake</t>
  </si>
  <si>
    <t>1525 / 1603</t>
  </si>
  <si>
    <t>ITT KF6008</t>
  </si>
  <si>
    <t>PFC 42</t>
  </si>
  <si>
    <t>Wolverine 18069-2005-1-24</t>
  </si>
  <si>
    <t>18882003
18882004</t>
  </si>
  <si>
    <t>18882005
18882006</t>
  </si>
  <si>
    <t>18882007
18882008</t>
  </si>
  <si>
    <t>18899403
18899404</t>
  </si>
  <si>
    <t>EG13-2K327-EB
EG13-2K328-EB</t>
  </si>
  <si>
    <t>EG13-2K327-BA
EG13-2K328-BA</t>
  </si>
  <si>
    <t>EG13-2K327-DA
EG13-2K328-DA</t>
  </si>
  <si>
    <t>EB53-2K327-JA
EB53-2K328-JA</t>
  </si>
  <si>
    <t>17751501/02</t>
  </si>
  <si>
    <t>17751603/04</t>
  </si>
  <si>
    <t>8.415 mm guide rods
Hutchinson Brasil Smooth Seal</t>
  </si>
  <si>
    <r>
      <t xml:space="preserve">9.615 mm </t>
    </r>
    <r>
      <rPr>
        <sz val="9"/>
        <rFont val="Calibri"/>
        <family val="2"/>
      </rPr>
      <t>(bushed - lead)</t>
    </r>
    <r>
      <rPr>
        <sz val="10"/>
        <rFont val="Calibri"/>
        <family val="2"/>
      </rPr>
      <t xml:space="preserve">
9.915 mm (plain - trail)
</t>
    </r>
    <r>
      <rPr>
        <sz val="9"/>
        <rFont val="Calibri"/>
        <family val="2"/>
      </rPr>
      <t>Brakes India Smooth Seal</t>
    </r>
  </si>
  <si>
    <t>Unique DRB Flat bottom Refereence p/n 16236200</t>
  </si>
  <si>
    <t>TS1-21-116 (4°wall, 1x 45°)</t>
  </si>
  <si>
    <t>Mustang Track Package (S197)</t>
  </si>
  <si>
    <t>Mustang V6 17" (S197)</t>
  </si>
  <si>
    <t>Akebono NS404</t>
  </si>
  <si>
    <t>Rubore RPNL2 48 01</t>
  </si>
  <si>
    <t>18441101
18441102</t>
  </si>
  <si>
    <t>18441201
18441202</t>
  </si>
  <si>
    <t>18392901
18392902</t>
  </si>
  <si>
    <t>CR33-2B118-DA
CR33-2B119-DA</t>
  </si>
  <si>
    <t>CR33-2B118-BA
CR33-2B119-BA</t>
  </si>
  <si>
    <t>CR33-2B118-AA
CR33-2B119-AA</t>
  </si>
  <si>
    <t>Rubore RPN 50 28 01</t>
  </si>
  <si>
    <t>NRS + IM</t>
  </si>
  <si>
    <t>0.75 x 37º</t>
  </si>
  <si>
    <t>17936221 RH
17936222 LH</t>
  </si>
  <si>
    <t>DC34-2010-AH RH
DC34-2011-AH LH</t>
  </si>
  <si>
    <t>17936223 RH
17936224 LH</t>
  </si>
  <si>
    <t>TS1-21-113 (0.75x37°)</t>
  </si>
  <si>
    <t>M10x1 inlet/bleed</t>
  </si>
  <si>
    <t>Non Standard; 1.634 from "E" dia x 27°</t>
  </si>
  <si>
    <t>Hsg:  AL AS7G06 T6
Bkt:  TS2-11-083</t>
  </si>
  <si>
    <t>9.955 mm  Guide Rods
LJF/Hutchinson Smooth</t>
  </si>
  <si>
    <t>Type 43 per TS1-21-113
(7°wall, 0.75x 37°)</t>
  </si>
  <si>
    <t>33.2 (SVT)
25.1 (Boss)
23.4 (Laguna)</t>
  </si>
  <si>
    <r>
      <t>0.0050 (SVT)
0.0038 (Boss)
0.0035</t>
    </r>
    <r>
      <rPr>
        <sz val="7"/>
        <rFont val="Calibri"/>
        <family val="2"/>
      </rPr>
      <t>(Laguna)</t>
    </r>
  </si>
  <si>
    <t>Housing:AiSi7mg / N17 
Bracket:TS2-11-84</t>
  </si>
  <si>
    <t>Housing:None 
Bracket:TS2-21-072</t>
  </si>
  <si>
    <t>MSC 40.0 (LM)
MSC 39.2 (NAO)</t>
  </si>
  <si>
    <t>FER139-23FE
Nisshinbo N550H</t>
  </si>
  <si>
    <t>MSC 14.3 (LM)
MSC 39.2 (NAO)</t>
  </si>
  <si>
    <t xml:space="preserve">Epsilon II Rear 16" </t>
  </si>
  <si>
    <t xml:space="preserve">Epsilon II Rear 17" </t>
  </si>
  <si>
    <t xml:space="preserve">China: 
EU:
NA: </t>
  </si>
  <si>
    <t>Zhangjiagang
Jablonec
Santa Rosa</t>
  </si>
  <si>
    <t>4-Link:
19198905, 19198906
5-Link:
19198901, 19198902</t>
  </si>
  <si>
    <t>4-Link:
23241461, 23241460
5-Link:
23430473, 23430472</t>
  </si>
  <si>
    <t>4-Link:
19198907, 19198908
5-Link:
19198903, 19198904</t>
  </si>
  <si>
    <t>4-Link:
23241459, 23241458
5-Link:
23241457, 23241456</t>
  </si>
  <si>
    <t>19199201/02</t>
  </si>
  <si>
    <t>FM2287A</t>
  </si>
  <si>
    <t xml:space="preserve">Housing and Bracket -Zinc plate  after Machining </t>
  </si>
  <si>
    <t>March, 2016</t>
  </si>
  <si>
    <t>19301401/02</t>
  </si>
  <si>
    <t>19301601/02</t>
  </si>
  <si>
    <t>19301701/02</t>
  </si>
  <si>
    <t>19301901/02</t>
  </si>
  <si>
    <t>18097411/12</t>
  </si>
  <si>
    <t>17945511/12</t>
  </si>
  <si>
    <t>DC34-2D242/243-AG</t>
  </si>
  <si>
    <t>HC3C-2D242/243-AA</t>
  </si>
  <si>
    <t>DC34-20242/243-CG</t>
  </si>
  <si>
    <t>HC3C-2D242/243-CA</t>
  </si>
  <si>
    <t>8C24-2B120/121-CF</t>
  </si>
  <si>
    <t>IB = 96.8 cm3
OB = 103.4 cm3</t>
  </si>
  <si>
    <t>19302001/02</t>
  </si>
  <si>
    <t>DC34-2010-CF RH
DC34-2011-CF LH</t>
  </si>
  <si>
    <t>HC3C-2010/2011-AA</t>
  </si>
  <si>
    <t>19302301/02</t>
  </si>
  <si>
    <t>HC3C-2010/2011-CA</t>
  </si>
  <si>
    <t>17936421 RH
17936422 LH</t>
  </si>
  <si>
    <t>CII 64+64/39/14</t>
  </si>
  <si>
    <t>F450/550 (P558)</t>
  </si>
  <si>
    <t>19",20"</t>
  </si>
  <si>
    <t>10021 / 15461</t>
  </si>
  <si>
    <t>18889601/02</t>
  </si>
  <si>
    <t>18885001/02</t>
  </si>
  <si>
    <t>HC3C-2D242/243-DA</t>
  </si>
  <si>
    <t>11584 / 4065</t>
  </si>
  <si>
    <t>HC3C-2010/2011-BA</t>
  </si>
  <si>
    <t>18882301/02</t>
  </si>
  <si>
    <t>18885201/02</t>
  </si>
  <si>
    <t>14 mm Guide Rods</t>
  </si>
  <si>
    <t>Four (4) mounting bolts design per caliper</t>
  </si>
  <si>
    <t>P558
450/550 DRW</t>
  </si>
  <si>
    <t>MAGNI C40 as an assy</t>
  </si>
  <si>
    <t>NOT APPLICABLE
(FORD Trustmark)</t>
  </si>
  <si>
    <t>HC3C-1102-EA</t>
  </si>
  <si>
    <t>10 x 170</t>
  </si>
  <si>
    <t>HC3C-2A315-CA</t>
  </si>
  <si>
    <t>19205101/02</t>
  </si>
  <si>
    <t>HC3C-2C220-BA
HC3C-2C220-BA</t>
  </si>
  <si>
    <t>P558 SRW (F-250/350)</t>
  </si>
  <si>
    <t>P558 DRW (F-350)</t>
  </si>
  <si>
    <t>MY2017</t>
  </si>
  <si>
    <t>HC3C-2C220-CA
HC3C-2C221-CA</t>
  </si>
  <si>
    <t>19016302 (RH)
19016602 (LH)</t>
  </si>
  <si>
    <t>HC3C-2C220-AA
HC3C-2C221-AA</t>
  </si>
  <si>
    <t>19016902 (RH)
19016602 (LH)</t>
  </si>
  <si>
    <t>Housing: Soft Anodized
(TS2-23-024)
 Bracket: ZnNi
(TS2-21-111(2 or 2A))</t>
  </si>
  <si>
    <t>Housing: AlSi7Mg
(TS2-17-002)                      
Bracket: TS2-11-083</t>
  </si>
  <si>
    <t xml:space="preserve">EU:
Brazil: </t>
  </si>
  <si>
    <t>Jablonec
Limeira</t>
  </si>
  <si>
    <t xml:space="preserve">China: 
NA: </t>
  </si>
  <si>
    <t>Wuhan
Santa Rosa</t>
  </si>
  <si>
    <t>13475880, 13475881</t>
  </si>
  <si>
    <t>13475878, 13475879</t>
  </si>
  <si>
    <t>18214201/02
(Plain)
19158401/02
(Painted)</t>
  </si>
  <si>
    <t>18212803/04
(Plain)
19158301/02
(Painted)</t>
  </si>
  <si>
    <t>18214501
(Plain)
19158101
(alternative)</t>
  </si>
  <si>
    <t>63LS</t>
  </si>
  <si>
    <t>CII HE 44/14/12</t>
  </si>
  <si>
    <t>CII HE 44/22/12</t>
  </si>
  <si>
    <t>CR HE 54/22/11
(Continuous Rail)</t>
  </si>
  <si>
    <t>CII HE 36/10/10</t>
  </si>
  <si>
    <t>CII HE 38/10/10</t>
  </si>
  <si>
    <t>CII HE 36/12/10</t>
  </si>
  <si>
    <t>CII HE 38/12/10</t>
  </si>
  <si>
    <t>CII HE 38/23/10</t>
  </si>
  <si>
    <t>Nomenclature:</t>
  </si>
  <si>
    <t>Mechanical IPB</t>
  </si>
  <si>
    <t>Brake Type</t>
  </si>
  <si>
    <t>EPB (MoC)</t>
  </si>
  <si>
    <t>Caliper for DIH</t>
  </si>
  <si>
    <t>Hydraulic Brake</t>
  </si>
  <si>
    <t>HR = Handbrake Ramp (a.k.a. Ball In Ramp, IPB = Integrated Park Brake);  HE = Handbrake Electric (a.k.a. EPB); EPB = Electric Park Brake; MoC = Motor-on-Caliper</t>
  </si>
  <si>
    <t>CII = Colette II, CI = Colette I, CR = Continuous Rail (i.e. Colette slide mechanism with continuos rail over the disc pad reaction), RPS = Reverse Pin Slider</t>
  </si>
  <si>
    <t>OP 4 x 51 /30/12</t>
  </si>
  <si>
    <t>Sauerberg</t>
  </si>
  <si>
    <t>Chrysler Jeep</t>
  </si>
  <si>
    <t>LS2</t>
  </si>
  <si>
    <t>LS3</t>
  </si>
  <si>
    <t>DRB34.5 (sim LS1) (W=34.5,X=2.04 Y=2.25, Z=0.06)</t>
  </si>
  <si>
    <t>JA3 (sim LS3)</t>
  </si>
  <si>
    <t>Pad Abutment Clip</t>
  </si>
  <si>
    <t>Colette II Bridge</t>
  </si>
  <si>
    <t>J-clip?</t>
  </si>
  <si>
    <t>LLAC</t>
  </si>
  <si>
    <t>Pad Retraction</t>
  </si>
  <si>
    <t>Coatings</t>
  </si>
  <si>
    <t>Emralon</t>
  </si>
  <si>
    <t>Big Brake</t>
  </si>
  <si>
    <t>C-clip</t>
  </si>
  <si>
    <t>Hitachi Bridge</t>
  </si>
  <si>
    <t>Rail</t>
  </si>
  <si>
    <t>sLAC</t>
  </si>
  <si>
    <t>GM Pass Car</t>
  </si>
  <si>
    <t>Serial Production</t>
  </si>
  <si>
    <t>In Development</t>
  </si>
  <si>
    <t>DS (Ram 2500/3500)</t>
  </si>
  <si>
    <t>DS (Ram 1500)</t>
  </si>
  <si>
    <t>DT (Ram 1500)</t>
  </si>
  <si>
    <t>Jeep Renegade (KL)</t>
  </si>
  <si>
    <t>Chrysler 200 (UF)</t>
  </si>
  <si>
    <t>Platform (Nameplates)</t>
  </si>
  <si>
    <t>F312 (Fiat 500)</t>
  </si>
  <si>
    <t>D2xx (Cruze, Astra, Volt, Verano etc)</t>
  </si>
  <si>
    <t>PQ35 (Golf, Jetta, etc)</t>
  </si>
  <si>
    <t>PQ34 (Beetle)</t>
  </si>
  <si>
    <t>NMS, MQB (Passat, Golf A7)</t>
  </si>
  <si>
    <t>E2XX (Malibu, Insignia, etc.)</t>
  </si>
  <si>
    <t>U38x (Edge)
Base (Silver)</t>
  </si>
  <si>
    <t>U38x (Edge)
BLACK</t>
  </si>
  <si>
    <t>M Class (BR166 17in)</t>
  </si>
  <si>
    <t>M Class (BR166 18in)</t>
  </si>
  <si>
    <t>M Class (BR166 18in Sport)</t>
  </si>
  <si>
    <t>M Class (BR166 19in)</t>
  </si>
  <si>
    <t>M Class (BR166 19in AMG)</t>
  </si>
  <si>
    <t>Jeep Wrangler (JL) Light Duty</t>
  </si>
  <si>
    <t>RT (Caravan)</t>
  </si>
  <si>
    <t>JC (Journey)</t>
  </si>
  <si>
    <t>Jeep Wrangler (JK)
(KA/KK in service)</t>
  </si>
  <si>
    <t>Jeep Wrangler (JL) Heavy Duty</t>
  </si>
  <si>
    <t>B299 (Fiesta)</t>
  </si>
  <si>
    <t>V Platform (Versa)</t>
  </si>
  <si>
    <t>P552L (F-150 LD)</t>
  </si>
  <si>
    <t>F552H (F-150 HD)</t>
  </si>
  <si>
    <t>Jeep Wrangler (JK) BUX</t>
  </si>
  <si>
    <t>DD/DJ/D2 (Ram 2500/3500) SRW</t>
  </si>
  <si>
    <t>P473 (F-350 DRW)</t>
  </si>
  <si>
    <t>P473 (F-250/350 SRW)</t>
  </si>
  <si>
    <t>P558 (F-250/350 SRW)</t>
  </si>
  <si>
    <t>DD/DJ/D2 (Ram 2500/3500 DRW)</t>
  </si>
  <si>
    <t>P558 (F-350 DRW)</t>
  </si>
  <si>
    <t>T1xx LD (Silverado)</t>
  </si>
  <si>
    <t xml:space="preserve"> U22x (Expedition / Navigator)</t>
  </si>
  <si>
    <t>P131 (F-450/550)</t>
  </si>
  <si>
    <t>P131 (F-450/550) (with stone shield)</t>
  </si>
  <si>
    <t>VN127 (E-150/250/350/450 SRW &amp; DRW)</t>
  </si>
  <si>
    <t>DD/DJ/D2 (Ram 2500/3500 SRW &amp; DRW)</t>
  </si>
  <si>
    <t>P473 (F-250/350 4x4)</t>
  </si>
  <si>
    <t>P558 (F-250/350 4x4)</t>
  </si>
  <si>
    <t>P473 (F-250/350 4x2)</t>
  </si>
  <si>
    <t>P558 (F-250/350 4x2)</t>
  </si>
  <si>
    <t>P558 (F-450/550)</t>
  </si>
  <si>
    <t>DP (Ram 4500/5500)</t>
  </si>
  <si>
    <t>Front EPB (MoC)</t>
  </si>
  <si>
    <t>9BXX</t>
  </si>
  <si>
    <t>Quote Phase</t>
  </si>
  <si>
    <t>Ward</t>
  </si>
  <si>
    <t>CII HE 41/12/11</t>
  </si>
  <si>
    <t>CII HE 45/26/11</t>
  </si>
  <si>
    <t>T1xx HD (Silverado 2500/3500)</t>
  </si>
  <si>
    <t>Wt.(kg)</t>
  </si>
  <si>
    <t>Caliper volume per year (2 per vehicle)</t>
  </si>
  <si>
    <t>Vehicle volume per year</t>
  </si>
  <si>
    <t>sLAC volume per year (4 per caliper)</t>
  </si>
  <si>
    <t>No Coating on pad side,
Rubber backed + PTFE coating on bracket side (0.05mm)</t>
  </si>
  <si>
    <t>Colette II Bridge C-Clip</t>
  </si>
  <si>
    <t>PFTF (pad side), Bare on bracket side</t>
  </si>
  <si>
    <t>A001M476 (LH)
A001M477 (RH)</t>
  </si>
  <si>
    <t>39021737 (LH)
39021738 (RH)</t>
  </si>
  <si>
    <t>A001M484 (LH)
A001M487 (RH)</t>
  </si>
  <si>
    <t>39009735 (LH)
39009736 (RH)</t>
  </si>
  <si>
    <t>Plain
13498176 (LH)
13498177 (RH)
Painted
13475108 (LH)
13475109 (RH)</t>
  </si>
  <si>
    <t xml:space="preserve">Plain
18207003 (LH)
18207004 (RH)
Painted
A001P102 (LH)
A001P103 (RH)
</t>
  </si>
  <si>
    <t xml:space="preserve">Plain
18207303 (LH)
18207304 (RH)
Painted
A001P104 (LH)
A001P105 (RH)
</t>
  </si>
  <si>
    <t>Plain
39016118 (LH)
39016119 (RH)
Painted
13595110 (LH)
13595111 (RH)</t>
  </si>
  <si>
    <t>CII 54/22/11</t>
  </si>
  <si>
    <t>CII 48+48/34/13</t>
  </si>
  <si>
    <t>CII 60+60/40/13</t>
  </si>
  <si>
    <t>CII 57+57/34/40</t>
  </si>
  <si>
    <t>2066 / 945</t>
  </si>
  <si>
    <t>LS1</t>
  </si>
  <si>
    <t>GA91310</t>
  </si>
  <si>
    <t>Housing: D5506
Bracket: D5506</t>
  </si>
  <si>
    <t>Housing: Zinc(TS2-21-71)
Bracket: Zinc(TS2-21-71)</t>
  </si>
  <si>
    <t>0.04 (BC1)
0.48 (BC2)</t>
  </si>
  <si>
    <t>China: 
EU:</t>
  </si>
  <si>
    <t>ZJG
Jablonec</t>
  </si>
  <si>
    <t>A002P603 (LH)
A002P602 (RH)</t>
  </si>
  <si>
    <t>A002K549 (LH)
A002K535 (RH)</t>
  </si>
  <si>
    <t>A002R639 (LH)
A002R638 (RH)</t>
  </si>
  <si>
    <t>A002R484</t>
  </si>
  <si>
    <t>Used as Global Small Car 14" Brake</t>
  </si>
  <si>
    <t>GA5507</t>
  </si>
  <si>
    <t>A002K539 (LH)
A002K536 (RH)</t>
  </si>
  <si>
    <t>39036461 (LH)
39036462 (RH)</t>
  </si>
  <si>
    <t>39071832 (LH)
39071833 (RH)</t>
  </si>
  <si>
    <t>Colette II
C-Clip</t>
  </si>
  <si>
    <t>Phenolic Capped</t>
  </si>
  <si>
    <t>12mm L-Pins</t>
  </si>
  <si>
    <t>Housing &amp; Bracket: ZnNi
TS2-21-111(2 or 2A)</t>
  </si>
  <si>
    <t>NA:</t>
  </si>
  <si>
    <t>Nissan Pass Car</t>
  </si>
  <si>
    <t>CMFB NA (Santa Rosa)</t>
  </si>
  <si>
    <t>CMFB Brazil ( Limeira)</t>
  </si>
  <si>
    <t>V Platform Brazil (Limeira)</t>
  </si>
  <si>
    <t>CII 43/11/10</t>
  </si>
  <si>
    <t>Honda
Pass Car</t>
  </si>
  <si>
    <t>MDX NA ( Santa Rosa)</t>
  </si>
  <si>
    <t>Odyssey NA ( Santa Rosa)</t>
  </si>
  <si>
    <t>CII 57+57/30/14</t>
  </si>
  <si>
    <t>12mm Heavy Bushed (may move to L-Pin)</t>
  </si>
  <si>
    <t>S-19315200; Type 2A, LS3</t>
  </si>
  <si>
    <t>Federal Mogul
FER9213</t>
  </si>
  <si>
    <t>Clip-On,Wolverine
Base: MS-18934 Grade 1510 
Cover: MS-18000 Grade 20</t>
  </si>
  <si>
    <t>Housing and Bracket:
Zi-Ni Plate: TS2-21-111; 2a after machining</t>
  </si>
  <si>
    <t>Housing: TS2-11-087
Bracket: TS2-11-083</t>
  </si>
  <si>
    <t>Jan 30,2018</t>
  </si>
  <si>
    <t>A002U701 LH
A002U697 RH</t>
  </si>
  <si>
    <t>68237061AA LH
68237060AA RH</t>
  </si>
  <si>
    <t>A002U688</t>
  </si>
  <si>
    <t>A002U692</t>
  </si>
  <si>
    <t>A002U693</t>
  </si>
  <si>
    <t>Launch Mode</t>
  </si>
  <si>
    <t>8C24-1113-A</t>
  </si>
  <si>
    <t>BU94-1113-B</t>
  </si>
  <si>
    <t>BU94-1113-A</t>
  </si>
  <si>
    <t>DC34-1113-A</t>
  </si>
  <si>
    <t>6C34-1113-B
6011130C91</t>
  </si>
  <si>
    <t>8C24-1113-B</t>
  </si>
  <si>
    <t>DC34-1102-C</t>
  </si>
  <si>
    <t>DC34-1102-D</t>
  </si>
  <si>
    <t>DC34-1102-E</t>
  </si>
  <si>
    <t>DC34-1102-F</t>
  </si>
  <si>
    <t>DC34-1102-G</t>
  </si>
  <si>
    <t>FCA</t>
  </si>
  <si>
    <t>18515743 (LH)
18515744 (RH)</t>
  </si>
  <si>
    <t>04779877AE (LH)
04779876AE (RH)</t>
  </si>
  <si>
    <t>A002V068 (LH)
A002V069 (RH)</t>
  </si>
  <si>
    <t>68158629AF (LH)
68158628AF(RH)</t>
  </si>
  <si>
    <t>ZnNi TS2-21-111 (2 or 2A)</t>
  </si>
  <si>
    <t>18345617 (LH)
18345618 (RH)</t>
  </si>
  <si>
    <t>04779879AD
04779878AD</t>
  </si>
  <si>
    <t>18345619 (LH)
18345620 (RH)</t>
  </si>
  <si>
    <t>68155885AD
68155884AD</t>
  </si>
  <si>
    <t>CII HE 38/12/11.14</t>
  </si>
  <si>
    <t>2016i</t>
  </si>
  <si>
    <t>FCA MP/M4/M6
(552/553/554)
NAFTA/AP/India</t>
  </si>
  <si>
    <t>898/2237</t>
  </si>
  <si>
    <t>~LS2
W=40°, X=1.36, Y=2.24, Z=0.32</t>
  </si>
  <si>
    <t>Nisshinbo N609H</t>
  </si>
  <si>
    <t>0.696 (BC2)</t>
  </si>
  <si>
    <t>NA: TBD
AP: TBD
India: TBD</t>
  </si>
  <si>
    <t>NA: Santa Rosa
AP: TBD
India: TBD</t>
  </si>
  <si>
    <t>19316005 LH
19316006 RH</t>
  </si>
  <si>
    <t>68267353AB LH FCA
53363315 LH Fiat
68267352AB RH FCA
53363314 RH Fiat</t>
  </si>
  <si>
    <t>32355610 LH
32355611 RH</t>
  </si>
  <si>
    <t>32360572 LH
32360573 RH</t>
  </si>
  <si>
    <t>FCA M1
(551)
Brazil BUX</t>
  </si>
  <si>
    <t>TMD T 4402-2</t>
  </si>
  <si>
    <t>Meneta MG63S3</t>
  </si>
  <si>
    <t>19442701 LH
19442702 RH</t>
  </si>
  <si>
    <t>68288449AA LH FCA
53377100 LH Fiat
68288448AA RH FCA
53377099 RH Fiat</t>
  </si>
  <si>
    <t>tBD</t>
  </si>
  <si>
    <t>CII 45/12/12</t>
  </si>
  <si>
    <t>1405/2963
(6/11/15 load sheet)</t>
  </si>
  <si>
    <t>0.161 (BC2)</t>
  </si>
  <si>
    <t>A002B429 LH
A002B430 RH</t>
  </si>
  <si>
    <t>68273463AA LH
68273462AA RH</t>
  </si>
  <si>
    <t>A002B328</t>
  </si>
  <si>
    <t>A002B329 LH
A002B334 RH</t>
  </si>
  <si>
    <t>A002B336</t>
  </si>
  <si>
    <t>1x45°</t>
  </si>
  <si>
    <t xml:space="preserve">Zn TS2-21-071 </t>
  </si>
  <si>
    <t>A005A424 RH
A005A428 LH</t>
  </si>
  <si>
    <t>04779710AH  RH
04779711AH  LH</t>
  </si>
  <si>
    <t>18088911 RH
18088912 LH</t>
  </si>
  <si>
    <t>04779804AG RH
04779805AG LH</t>
  </si>
  <si>
    <t>CII 48/14/12</t>
  </si>
  <si>
    <t>1564/3359
(6/11/15 load sheet)</t>
  </si>
  <si>
    <t>0.165 (BC2)</t>
  </si>
  <si>
    <t>A002B426 LH
A002B427 RH</t>
  </si>
  <si>
    <t>68249589AA LH
68249588AA RH</t>
  </si>
  <si>
    <t>A002B409</t>
  </si>
  <si>
    <t>A002B410 LH
A002B411 RH</t>
  </si>
  <si>
    <t>A002B416</t>
  </si>
  <si>
    <t>CII 48+48/24/12</t>
  </si>
  <si>
    <t>3494/1432
(6/11/15 load sheet)</t>
  </si>
  <si>
    <t>ITT GA9111</t>
  </si>
  <si>
    <t>0.316 (BC2)</t>
  </si>
  <si>
    <t>A002B832 LH
A002B831 RH</t>
  </si>
  <si>
    <t>68273501AA LH
68273500AA RH</t>
  </si>
  <si>
    <t>A002B839</t>
  </si>
  <si>
    <t>A002B836 LH
A002B835 RH</t>
  </si>
  <si>
    <t>A002B842</t>
  </si>
  <si>
    <t>3973/1591
(6/11/15 load sheet)</t>
  </si>
  <si>
    <t>0.312 (BC2)</t>
  </si>
  <si>
    <t>A002F709 LH
A002F708 RH</t>
  </si>
  <si>
    <t>68250055AA LH
68250054AA RH</t>
  </si>
  <si>
    <t>JC (Journey)
Domestic</t>
  </si>
  <si>
    <t>18083617 RH
18083618 LH</t>
  </si>
  <si>
    <t>04779802AH RH
04779803AH LH</t>
  </si>
  <si>
    <t>JC (Journey)
BUX</t>
  </si>
  <si>
    <t>18083619 RH
18083620 LH</t>
  </si>
  <si>
    <t>68257148AC RH
68257149AC LH</t>
  </si>
  <si>
    <t>RT (Caravan)
Domestic</t>
  </si>
  <si>
    <t>0.30 (BC2)</t>
  </si>
  <si>
    <t>17987121 RH
17987122 LH</t>
  </si>
  <si>
    <t>04779708AI RH
04779709AI LH</t>
  </si>
  <si>
    <t>RT (Caravan)
BUX</t>
  </si>
  <si>
    <t>17987123 RH
17987124 LH</t>
  </si>
  <si>
    <t>68257150AC RH
68257151AC LH</t>
  </si>
  <si>
    <t>RU (Pacifica)</t>
  </si>
  <si>
    <t>3902 / 1769</t>
  </si>
  <si>
    <t>0.309 (BC2)</t>
  </si>
  <si>
    <t>A002F599 LH
A002F600 RH</t>
  </si>
  <si>
    <t>68223519AC LH
68223518AC RH</t>
  </si>
  <si>
    <t>0.5x27°</t>
  </si>
  <si>
    <t>Housing TS2-11-087
Bracket TS2-11-083</t>
  </si>
  <si>
    <t>Akebono NS265H</t>
  </si>
  <si>
    <t>15831013/14</t>
  </si>
  <si>
    <t>52010088/89AM</t>
  </si>
  <si>
    <t>5373 / 2446</t>
  </si>
  <si>
    <t>Past Model</t>
  </si>
  <si>
    <t>P552 (F-150)</t>
  </si>
  <si>
    <t>CL34-2C220-AG
CL34-2C221-AG</t>
  </si>
  <si>
    <t xml:space="preserve"> A004Y379 (RH)
A004Y381 (LH)</t>
  </si>
  <si>
    <t>A002W470</t>
  </si>
  <si>
    <t>FL34-2A315-AE</t>
  </si>
  <si>
    <t xml:space="preserve">L467 LESS THAN 1% RED RUST IN 6 WKS </t>
  </si>
  <si>
    <t>CL14-2CO26-AA</t>
  </si>
  <si>
    <t>Ra = 3.5 - 8.0</t>
  </si>
  <si>
    <t xml:space="preserve"> P552
 F150 LD - Non EPB</t>
  </si>
  <si>
    <t xml:space="preserve"> A002W469</t>
  </si>
  <si>
    <t>FL34-2C026-BB</t>
  </si>
  <si>
    <t xml:space="preserve"> P552 / U22X / U55x</t>
  </si>
  <si>
    <t>A002W468</t>
  </si>
  <si>
    <t xml:space="preserve">FL34-1125-A </t>
  </si>
  <si>
    <t>P702 (F-150)
BIC</t>
  </si>
  <si>
    <t>FM9213</t>
  </si>
  <si>
    <t>Hsg - TS2-21-071 After Mach
Brk - TS2-21-071 After Mach</t>
  </si>
  <si>
    <t>A002F164 RH
A002A104 LH</t>
  </si>
  <si>
    <t xml:space="preserve"> A001N239</t>
  </si>
  <si>
    <t>A001N473 RH
A001N472 LH</t>
  </si>
  <si>
    <t>A001N467</t>
  </si>
  <si>
    <t>2491 / ?</t>
  </si>
  <si>
    <t>TS1-21-129</t>
  </si>
  <si>
    <t>N727H</t>
  </si>
  <si>
    <t>IB: Rubore REXL1 30 11
IB Clip on: Rubore RPN50 12 11
OB: Rubore RPNL1 7901</t>
  </si>
  <si>
    <t>Hsg: Zinc TS2-21-071
Brk: Zinc TS2-21-071</t>
  </si>
  <si>
    <t>A001M718 RH
A001M719 LH</t>
  </si>
  <si>
    <t>FL34-2K327-A RH
FL34-2K328-A LH</t>
  </si>
  <si>
    <t xml:space="preserve"> 19146403 RH
  19146404 LH</t>
  </si>
  <si>
    <t xml:space="preserve">TS2-24-052 PTFE </t>
  </si>
  <si>
    <t>FER9213 FH</t>
  </si>
  <si>
    <t>Inner 80.3
Outer 78.4</t>
  </si>
  <si>
    <t>A002F347 RH
A002F348 LH</t>
  </si>
  <si>
    <t>FL34-2B120-A RH
FL34-2B121-A LH</t>
  </si>
  <si>
    <t>A002F349 RH
A002F350 LH</t>
  </si>
  <si>
    <t>ITT 
(GA 8135(7))</t>
  </si>
  <si>
    <r>
      <t xml:space="preserve">OB/IB:
Bonded: MSC 51.8RD HDG
</t>
    </r>
    <r>
      <rPr>
        <sz val="10"/>
        <rFont val="Calibri"/>
        <family val="2"/>
      </rPr>
      <t>Clip on: MSC 40.ONA SS</t>
    </r>
  </si>
  <si>
    <t>18333213 RH
18333214 LH</t>
  </si>
  <si>
    <t>FL34-2D250-A RH
FL34-2D251-A LH</t>
  </si>
  <si>
    <t>18334203 RH
18334204 LH</t>
  </si>
  <si>
    <t>18334105 RH
18334106 LH</t>
  </si>
  <si>
    <t xml:space="preserve">A4-205 C10 </t>
  </si>
  <si>
    <t>CR HE 54/24/10.5
(Continuous Rail)</t>
  </si>
  <si>
    <t>A001K022 RH
A001K021 LH</t>
  </si>
  <si>
    <t>JL34-2D250-AB RH
JL34-2D251-AB LH</t>
  </si>
  <si>
    <t>2293 / ?</t>
  </si>
  <si>
    <t>A002J018 LH
A002J020 RH</t>
  </si>
  <si>
    <t>JL34-2D250-B RH
JL34-2D251-B LH</t>
  </si>
  <si>
    <t xml:space="preserve"> A002J023 RH
A002J024 LH</t>
  </si>
  <si>
    <t>A002J015 RH
A002J014 LH</t>
  </si>
  <si>
    <t xml:space="preserve"> A002J016</t>
  </si>
  <si>
    <t>A5-520 C10</t>
  </si>
  <si>
    <t>U55x (F-150)</t>
  </si>
  <si>
    <t>5965 ? / 2686 ?</t>
  </si>
  <si>
    <t>A001N839 RH
A001N838 LH</t>
  </si>
  <si>
    <t>JL14-2B120-AA RH
JL14-2B121-AA LH</t>
  </si>
  <si>
    <t>A001N837 RH
A001N836 LH</t>
  </si>
  <si>
    <t>3/8" inlet/bleed</t>
  </si>
  <si>
    <t>2187 / ?</t>
  </si>
  <si>
    <t xml:space="preserve"> A002J117 LH
 A002J125 RH</t>
  </si>
  <si>
    <t>JL14-2D250-AC RH
JL14-2D251-AC LH</t>
  </si>
  <si>
    <t xml:space="preserve"> A005K130 RH
A005K133 LH</t>
  </si>
  <si>
    <t>A002J119 RH
A002J124 LH</t>
  </si>
  <si>
    <t>A002J116 RH 
A002J118 LH</t>
  </si>
  <si>
    <t>5895 / ?</t>
  </si>
  <si>
    <t>A002F351 RH
A002F352 LH</t>
  </si>
  <si>
    <t>FL14-2B120-A RH
FL14-2B121-A LH</t>
  </si>
  <si>
    <t>A002F354 RH
 A002F353 LH</t>
  </si>
  <si>
    <t>10mm L-Pin
Compact Head</t>
  </si>
  <si>
    <t>10mm Bushed Guide  Rods</t>
  </si>
  <si>
    <t xml:space="preserve">10mm Compact Head Bushed Guide Rods
</t>
  </si>
  <si>
    <t>17"
Designed for 17" till 22"</t>
  </si>
  <si>
    <t>FAYETTE
WOODSTOCK - U22X only</t>
  </si>
  <si>
    <t>TS2-19-058 (Phenolic w/ cap)</t>
  </si>
  <si>
    <t>TS1-21-131</t>
  </si>
  <si>
    <t>Zinc Plate:  TS2-21-071</t>
  </si>
  <si>
    <t>18667903/04</t>
  </si>
  <si>
    <t>68111570/71AB</t>
  </si>
  <si>
    <t>16484303/04</t>
  </si>
  <si>
    <t>18668003/04</t>
  </si>
  <si>
    <t>68111566/67AB</t>
  </si>
  <si>
    <t>12mm Compact Head Guide Rods</t>
  </si>
  <si>
    <t>18892803/04</t>
  </si>
  <si>
    <t>68212018/019AB</t>
  </si>
  <si>
    <t>18892603/04</t>
  </si>
  <si>
    <t>14mm Compact Head Guide rods</t>
  </si>
  <si>
    <t>Wolverine MS 18937 3305-1 with DPTFE</t>
  </si>
  <si>
    <t>18695905/06</t>
  </si>
  <si>
    <t>68111548/49AC</t>
  </si>
  <si>
    <t>16004703/04</t>
  </si>
  <si>
    <t>CII 60/26/12</t>
  </si>
  <si>
    <t>9BUX (ZJG )</t>
  </si>
  <si>
    <t>2941 / 1163</t>
  </si>
  <si>
    <t>ZJG</t>
  </si>
  <si>
    <t>A002W909
A002W906</t>
  </si>
  <si>
    <t>42479309 LH w/ ePWS
42392210 LH
42392211 RH</t>
  </si>
  <si>
    <t>A002W893
A002W923</t>
  </si>
  <si>
    <t>A002W911
A002W913</t>
  </si>
  <si>
    <t>A002W891</t>
  </si>
  <si>
    <t>A002W932</t>
  </si>
  <si>
    <t>16.5 kN</t>
  </si>
  <si>
    <t>Non-Standard Spindle Assy (longer)</t>
  </si>
  <si>
    <t>CII 57/26/13</t>
  </si>
  <si>
    <t>9BUX (Jablonec)</t>
  </si>
  <si>
    <t>2969 / 1171</t>
  </si>
  <si>
    <t>Jablonec</t>
  </si>
  <si>
    <t>A002W908
A002W907</t>
  </si>
  <si>
    <t>42392212
42392213</t>
  </si>
  <si>
    <t>A002W926
A002W924</t>
  </si>
  <si>
    <t>A002W925
A002W927</t>
  </si>
  <si>
    <t>CD6 (Edge, Explorer, MPU, MKZ)</t>
  </si>
  <si>
    <t>1651 / 3568</t>
  </si>
  <si>
    <t>128/136</t>
  </si>
  <si>
    <t>17 / 18</t>
  </si>
  <si>
    <t>10 mm compact head L-pin
Brakes India Textured Seal</t>
  </si>
  <si>
    <t xml:space="preserve">ZnNi   </t>
  </si>
  <si>
    <t>0.092
(BC1)</t>
  </si>
  <si>
    <t>A002J902 (LH)
A002J908 (RH)</t>
  </si>
  <si>
    <t>L1MC-2D251-CA (LH)
L1MC-2D250-CA (RH)</t>
  </si>
  <si>
    <t>A002J916 (LH)
A002J917 (RH)</t>
  </si>
  <si>
    <t>A005L512 (LH)
A005L511 (RH)</t>
  </si>
  <si>
    <t>A005L518</t>
  </si>
  <si>
    <t>A005C478</t>
  </si>
  <si>
    <t>Gen 6</t>
  </si>
  <si>
    <t>CD6 (MKZ, Continental)
Extended Bracket version</t>
  </si>
  <si>
    <t xml:space="preserve">1621 / 3568 </t>
  </si>
  <si>
    <t>0.087
(BC1)</t>
  </si>
  <si>
    <t>A002U382 (LH)
A002U383 (RH)</t>
  </si>
  <si>
    <t>CD6 (MPU)</t>
  </si>
  <si>
    <t>1996 / 4124</t>
  </si>
  <si>
    <t>0.024
(BC1)</t>
  </si>
  <si>
    <t>A002V872 (LH)
A002V873 (RH)</t>
  </si>
  <si>
    <t>L1MC-2D251-AA (LH)
L1MC-2D250-AA (RH)</t>
  </si>
  <si>
    <t>A002J933 (LH)
A002J934 (RH)</t>
  </si>
  <si>
    <t>A005L998 (LH)
A005L997 (RH)</t>
  </si>
  <si>
    <t>A005M002</t>
  </si>
  <si>
    <t>CD6 (Explorer) 
Police Package</t>
  </si>
  <si>
    <t>Performance</t>
  </si>
  <si>
    <t>A002J926 (LH)
A002J927 (RH)</t>
  </si>
  <si>
    <t>L1MC-2D251-BA (LH)
L1MC-2D250-BA (RH)</t>
  </si>
  <si>
    <t>Past model</t>
  </si>
  <si>
    <t>Brakes India Smooth Seal</t>
  </si>
  <si>
    <t>A002E268
A002E269</t>
  </si>
  <si>
    <t>FG13-2K327-EB
FG13-2K328-EB</t>
  </si>
  <si>
    <t>17751607/08</t>
  </si>
  <si>
    <t>19442903
19442904</t>
  </si>
  <si>
    <t>FG13-2K327-BA
FG13-2K328-BA</t>
  </si>
  <si>
    <t>19442905
19442906</t>
  </si>
  <si>
    <t>FG13-2K327-DA
FG13-2K328-DA</t>
  </si>
  <si>
    <t>19242503
19242904</t>
  </si>
  <si>
    <t>FB53-2K327-CB
FB53-2K328-CB</t>
  </si>
  <si>
    <t>CR 57/xx/yy</t>
  </si>
  <si>
    <t>P7N NA (MDX, Pilot, Ridgeline, Odyssey)</t>
  </si>
  <si>
    <t>None (Colette I)</t>
  </si>
  <si>
    <t>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</si>
</sst>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0.0_)"/>
    <numFmt numFmtId="168" formatCode="0.00_)"/>
    <numFmt numFmtId="169" formatCode="d/mmm/yy"/>
    <numFmt numFmtId="170" formatCode="#,##0.0"/>
    <numFmt numFmtId="171" formatCode="[$-409]mmmm\ d\,\ yyyy;@"/>
    <numFmt numFmtId="172" formatCode="0.0%"/>
  </numFmts>
  <fonts count="40" x14ac:knownFonts="1">
    <font>
      <sz val="10"/>
      <name val="Arial"/>
    </font>
    <font>
      <sz val="10"/>
      <name val="Arial"/>
      <family val="2"/>
    </font>
    <font>
      <u/>
      <sz val="12"/>
      <color indexed="12"/>
      <name val="Arial"/>
      <family val="2"/>
    </font>
    <font>
      <sz val="12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0"/>
      <color indexed="8"/>
      <name val="MS Sans Serif"/>
      <family val="2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8"/>
      <name val="Arial"/>
      <family val="2"/>
    </font>
    <font>
      <sz val="8"/>
      <color indexed="10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name val="Calibri"/>
      <family val="2"/>
    </font>
    <font>
      <sz val="12"/>
      <name val="Arial"/>
      <family val="2"/>
    </font>
    <font>
      <b/>
      <sz val="8"/>
      <name val="Symbol"/>
      <family val="1"/>
      <charset val="2"/>
    </font>
    <font>
      <sz val="8"/>
      <name val="Symbol"/>
      <family val="1"/>
      <charset val="2"/>
    </font>
    <font>
      <b/>
      <sz val="12"/>
      <name val="Calibri"/>
      <family val="2"/>
    </font>
    <font>
      <sz val="8"/>
      <name val="Calibri"/>
      <family val="2"/>
    </font>
    <font>
      <sz val="9"/>
      <name val="Calibri"/>
      <family val="2"/>
    </font>
    <font>
      <sz val="7"/>
      <name val="Calibri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5">
    <xf numFmtId="0" fontId="0" fillId="0" borderId="0"/>
    <xf numFmtId="0" fontId="31" fillId="5" borderId="0" applyNumberFormat="0" applyBorder="0" applyAlignment="0" applyProtection="0"/>
    <xf numFmtId="43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32" fillId="6" borderId="0" applyNumberFormat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3" fillId="7" borderId="0" applyNumberFormat="0" applyBorder="0" applyAlignment="0" applyProtection="0"/>
    <xf numFmtId="0" fontId="7" fillId="0" borderId="0"/>
    <xf numFmtId="0" fontId="3" fillId="0" borderId="0"/>
    <xf numFmtId="0" fontId="24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6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3" fillId="0" borderId="0"/>
  </cellStyleXfs>
  <cellXfs count="1099">
    <xf numFmtId="0" fontId="0" fillId="0" borderId="0" xfId="0"/>
    <xf numFmtId="0" fontId="5" fillId="0" borderId="1" xfId="15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1" xfId="15" applyNumberFormat="1" applyFont="1" applyFill="1" applyBorder="1" applyAlignment="1" applyProtection="1">
      <alignment horizontal="center" vertical="center" wrapText="1"/>
    </xf>
    <xf numFmtId="0" fontId="5" fillId="0" borderId="1" xfId="15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15" quotePrefix="1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15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0" fontId="5" fillId="0" borderId="1" xfId="2" applyNumberFormat="1" applyFont="1" applyFill="1" applyBorder="1" applyAlignment="1">
      <alignment horizontal="center" vertical="center" wrapText="1"/>
    </xf>
    <xf numFmtId="0" fontId="5" fillId="0" borderId="0" xfId="15" applyNumberFormat="1" applyFont="1" applyFill="1" applyBorder="1" applyAlignment="1" applyProtection="1">
      <alignment horizontal="center" vertical="center" wrapText="1"/>
    </xf>
    <xf numFmtId="0" fontId="5" fillId="0" borderId="0" xfId="15" applyNumberFormat="1" applyFont="1" applyFill="1" applyAlignment="1">
      <alignment horizontal="center" vertical="center" wrapText="1"/>
    </xf>
    <xf numFmtId="0" fontId="5" fillId="0" borderId="1" xfId="19" applyNumberFormat="1" applyFont="1" applyFill="1" applyBorder="1" applyAlignment="1">
      <alignment horizontal="center" vertical="center" wrapText="1"/>
    </xf>
    <xf numFmtId="43" fontId="5" fillId="0" borderId="1" xfId="2" applyFont="1" applyFill="1" applyBorder="1" applyAlignment="1">
      <alignment horizontal="center" vertical="center" wrapText="1"/>
    </xf>
    <xf numFmtId="0" fontId="4" fillId="0" borderId="0" xfId="15" applyNumberFormat="1" applyFont="1" applyFill="1" applyAlignment="1">
      <alignment horizontal="center" vertical="center" wrapText="1"/>
    </xf>
    <xf numFmtId="0" fontId="4" fillId="0" borderId="0" xfId="15" applyNumberFormat="1" applyFont="1" applyFill="1" applyBorder="1" applyAlignment="1">
      <alignment vertical="center" wrapText="1"/>
    </xf>
    <xf numFmtId="0" fontId="5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19" applyNumberFormat="1" applyFont="1" applyFill="1" applyBorder="1" applyAlignment="1">
      <alignment horizontal="center" vertical="center" wrapText="1" shrinkToFit="1"/>
    </xf>
    <xf numFmtId="0" fontId="5" fillId="0" borderId="1" xfId="17" applyFont="1" applyFill="1" applyBorder="1" applyAlignment="1">
      <alignment horizontal="center" vertical="center"/>
    </xf>
    <xf numFmtId="0" fontId="5" fillId="0" borderId="1" xfId="17" applyFont="1" applyFill="1" applyBorder="1" applyAlignment="1">
      <alignment horizontal="center" vertical="center" wrapText="1"/>
    </xf>
    <xf numFmtId="164" fontId="5" fillId="0" borderId="1" xfId="17" applyNumberFormat="1" applyFont="1" applyFill="1" applyBorder="1" applyAlignment="1">
      <alignment horizontal="center" vertical="center"/>
    </xf>
    <xf numFmtId="0" fontId="5" fillId="0" borderId="0" xfId="15" applyNumberFormat="1" applyFont="1" applyFill="1" applyBorder="1" applyAlignment="1">
      <alignment vertical="center"/>
    </xf>
    <xf numFmtId="0" fontId="5" fillId="0" borderId="2" xfId="15" applyNumberFormat="1" applyFont="1" applyFill="1" applyBorder="1" applyAlignment="1" applyProtection="1">
      <alignment horizontal="left" vertical="center"/>
    </xf>
    <xf numFmtId="0" fontId="5" fillId="0" borderId="0" xfId="17" applyFont="1" applyFill="1" applyAlignment="1">
      <alignment horizontal="center" vertical="center"/>
    </xf>
    <xf numFmtId="3" fontId="5" fillId="0" borderId="1" xfId="17" applyNumberFormat="1" applyFont="1" applyFill="1" applyBorder="1" applyAlignment="1">
      <alignment horizontal="center" vertical="center"/>
    </xf>
    <xf numFmtId="12" fontId="5" fillId="0" borderId="1" xfId="17" applyNumberFormat="1" applyFont="1" applyFill="1" applyBorder="1" applyAlignment="1">
      <alignment horizontal="center" vertical="center"/>
    </xf>
    <xf numFmtId="3" fontId="5" fillId="0" borderId="1" xfId="17" applyNumberFormat="1" applyFont="1" applyFill="1" applyBorder="1" applyAlignment="1">
      <alignment horizontal="center" vertical="center" wrapText="1"/>
    </xf>
    <xf numFmtId="49" fontId="5" fillId="0" borderId="1" xfId="17" applyNumberFormat="1" applyFont="1" applyFill="1" applyBorder="1" applyAlignment="1">
      <alignment horizontal="center" vertical="center" wrapText="1"/>
    </xf>
    <xf numFmtId="12" fontId="5" fillId="0" borderId="1" xfId="17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/>
      <protection locked="0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0" fontId="11" fillId="0" borderId="4" xfId="0" applyFont="1" applyFill="1" applyBorder="1" applyAlignment="1" applyProtection="1">
      <alignment horizontal="center" vertical="center" wrapText="1" shrinkToFit="1"/>
      <protection locked="0"/>
    </xf>
    <xf numFmtId="164" fontId="7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  <protection locked="0"/>
    </xf>
    <xf numFmtId="1" fontId="7" fillId="0" borderId="4" xfId="0" applyNumberFormat="1" applyFont="1" applyFill="1" applyBorder="1" applyAlignment="1" applyProtection="1">
      <alignment horizontal="center" vertical="center"/>
      <protection locked="0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 applyProtection="1">
      <alignment horizontal="center" vertical="center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164" fontId="7" fillId="0" borderId="9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>
      <alignment horizontal="center" vertical="center"/>
    </xf>
    <xf numFmtId="0" fontId="7" fillId="0" borderId="5" xfId="0" quotePrefix="1" applyFont="1" applyFill="1" applyBorder="1" applyAlignment="1" applyProtection="1">
      <alignment horizontal="center" vertical="center"/>
      <protection locked="0"/>
    </xf>
    <xf numFmtId="0" fontId="7" fillId="0" borderId="1" xfId="0" quotePrefix="1" applyFont="1" applyFill="1" applyBorder="1" applyAlignment="1" applyProtection="1">
      <alignment horizontal="center" vertical="center"/>
      <protection locked="0"/>
    </xf>
    <xf numFmtId="0" fontId="7" fillId="0" borderId="4" xfId="0" quotePrefix="1" applyFont="1" applyFill="1" applyBorder="1" applyAlignment="1" applyProtection="1">
      <alignment horizontal="center" vertical="center"/>
      <protection locked="0"/>
    </xf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1" fontId="7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left" vertical="center" wrapText="1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1" xfId="0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Fill="1" applyBorder="1" applyAlignment="1" applyProtection="1">
      <alignment horizontal="center" vertical="center" wrapText="1"/>
      <protection locked="0"/>
    </xf>
    <xf numFmtId="0" fontId="7" fillId="0" borderId="12" xfId="0" applyFont="1" applyFill="1" applyBorder="1" applyAlignment="1" applyProtection="1">
      <alignment horizontal="center" vertical="center"/>
      <protection locked="0"/>
    </xf>
    <xf numFmtId="0" fontId="7" fillId="0" borderId="13" xfId="0" applyFont="1" applyFill="1" applyBorder="1" applyAlignment="1" applyProtection="1">
      <alignment horizontal="center" vertical="center"/>
      <protection locked="0"/>
    </xf>
    <xf numFmtId="0" fontId="7" fillId="0" borderId="14" xfId="0" applyFont="1" applyFill="1" applyBorder="1" applyAlignment="1" applyProtection="1">
      <alignment horizontal="center" vertical="center"/>
      <protection locked="0"/>
    </xf>
    <xf numFmtId="164" fontId="7" fillId="0" borderId="1" xfId="0" quotePrefix="1" applyNumberFormat="1" applyFont="1" applyFill="1" applyBorder="1" applyAlignment="1" applyProtection="1">
      <alignment horizontal="center" vertical="center"/>
      <protection locked="0"/>
    </xf>
    <xf numFmtId="164" fontId="7" fillId="0" borderId="4" xfId="0" quotePrefix="1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>
      <alignment horizontal="center" vertical="center"/>
    </xf>
    <xf numFmtId="0" fontId="7" fillId="0" borderId="9" xfId="0" quotePrefix="1" applyFont="1" applyFill="1" applyBorder="1" applyAlignment="1" applyProtection="1">
      <alignment horizontal="center" vertical="center"/>
      <protection locked="0"/>
    </xf>
    <xf numFmtId="0" fontId="7" fillId="0" borderId="11" xfId="0" quotePrefix="1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164" fontId="7" fillId="0" borderId="5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64" fontId="7" fillId="0" borderId="9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7" xfId="0" applyFont="1" applyFill="1" applyBorder="1" applyAlignment="1" applyProtection="1">
      <alignment horizontal="center" vertical="center"/>
      <protection locked="0"/>
    </xf>
    <xf numFmtId="0" fontId="7" fillId="0" borderId="18" xfId="0" applyFont="1" applyFill="1" applyBorder="1" applyAlignment="1" applyProtection="1">
      <alignment horizontal="center" vertical="center"/>
      <protection locked="0"/>
    </xf>
    <xf numFmtId="164" fontId="7" fillId="0" borderId="5" xfId="0" quotePrefix="1" applyNumberFormat="1" applyFont="1" applyFill="1" applyBorder="1" applyAlignment="1" applyProtection="1">
      <alignment horizontal="center" vertical="center"/>
      <protection locked="0"/>
    </xf>
    <xf numFmtId="0" fontId="7" fillId="0" borderId="13" xfId="0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Alignment="1">
      <alignment vertical="center"/>
    </xf>
    <xf numFmtId="0" fontId="7" fillId="0" borderId="19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7" fillId="0" borderId="21" xfId="0" applyFont="1" applyFill="1" applyBorder="1" applyAlignment="1">
      <alignment horizontal="center" vertical="center"/>
    </xf>
    <xf numFmtId="164" fontId="7" fillId="0" borderId="5" xfId="0" applyNumberFormat="1" applyFont="1" applyFill="1" applyBorder="1" applyAlignment="1" applyProtection="1">
      <alignment horizontal="center" vertical="center"/>
      <protection locked="0"/>
    </xf>
    <xf numFmtId="164" fontId="12" fillId="0" borderId="1" xfId="0" applyNumberFormat="1" applyFont="1" applyFill="1" applyBorder="1" applyAlignment="1" applyProtection="1">
      <alignment horizontal="center" vertical="center"/>
      <protection locked="0"/>
    </xf>
    <xf numFmtId="164" fontId="7" fillId="0" borderId="11" xfId="0" applyNumberFormat="1" applyFont="1" applyFill="1" applyBorder="1" applyAlignment="1" applyProtection="1">
      <alignment horizontal="center" vertical="center"/>
      <protection locked="0"/>
    </xf>
    <xf numFmtId="2" fontId="7" fillId="0" borderId="9" xfId="0" applyNumberFormat="1" applyFont="1" applyFill="1" applyBorder="1" applyAlignment="1" applyProtection="1">
      <alignment horizontal="center" vertical="center"/>
      <protection locked="0"/>
    </xf>
    <xf numFmtId="0" fontId="7" fillId="0" borderId="14" xfId="0" applyFont="1" applyFill="1" applyBorder="1" applyAlignment="1" applyProtection="1">
      <alignment horizontal="center" vertical="center" wrapText="1"/>
      <protection locked="0"/>
    </xf>
    <xf numFmtId="164" fontId="7" fillId="0" borderId="11" xfId="0" quotePrefix="1" applyNumberFormat="1" applyFont="1" applyFill="1" applyBorder="1" applyAlignment="1" applyProtection="1">
      <alignment horizontal="center" vertical="center"/>
      <protection locked="0"/>
    </xf>
    <xf numFmtId="164" fontId="7" fillId="0" borderId="9" xfId="0" quotePrefix="1" applyNumberFormat="1" applyFont="1" applyFill="1" applyBorder="1" applyAlignment="1" applyProtection="1">
      <alignment horizontal="center" vertical="center"/>
      <protection locked="0"/>
    </xf>
    <xf numFmtId="164" fontId="7" fillId="0" borderId="10" xfId="0" quotePrefix="1" applyNumberFormat="1" applyFont="1" applyFill="1" applyBorder="1" applyAlignment="1" applyProtection="1">
      <alignment horizontal="center" vertical="center"/>
      <protection locked="0"/>
    </xf>
    <xf numFmtId="0" fontId="7" fillId="0" borderId="22" xfId="0" applyFont="1" applyFill="1" applyBorder="1" applyAlignment="1" applyProtection="1">
      <alignment horizontal="center" vertical="center"/>
      <protection locked="0"/>
    </xf>
    <xf numFmtId="0" fontId="7" fillId="0" borderId="5" xfId="0" quotePrefix="1" applyNumberFormat="1" applyFont="1" applyFill="1" applyBorder="1" applyAlignment="1" applyProtection="1">
      <alignment horizontal="center" vertical="center"/>
      <protection locked="0"/>
    </xf>
    <xf numFmtId="1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1" fontId="7" fillId="0" borderId="5" xfId="0" quotePrefix="1" applyNumberFormat="1" applyFont="1" applyFill="1" applyBorder="1" applyAlignment="1" applyProtection="1">
      <alignment horizontal="center" vertical="center"/>
      <protection locked="0"/>
    </xf>
    <xf numFmtId="164" fontId="7" fillId="0" borderId="9" xfId="0" applyNumberFormat="1" applyFont="1" applyFill="1" applyBorder="1" applyAlignment="1" applyProtection="1">
      <alignment horizontal="center" vertical="center" wrapText="1"/>
      <protection locked="0"/>
    </xf>
    <xf numFmtId="17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7" fillId="0" borderId="4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7" fillId="0" borderId="24" xfId="0" applyFont="1" applyFill="1" applyBorder="1" applyAlignment="1" applyProtection="1">
      <alignment horizontal="center" vertical="center"/>
      <protection locked="0"/>
    </xf>
    <xf numFmtId="0" fontId="7" fillId="0" borderId="21" xfId="0" applyFont="1" applyFill="1" applyBorder="1" applyAlignment="1" applyProtection="1">
      <alignment horizontal="center" vertical="center"/>
      <protection locked="0"/>
    </xf>
    <xf numFmtId="0" fontId="7" fillId="0" borderId="25" xfId="0" applyFont="1" applyFill="1" applyBorder="1" applyAlignment="1" applyProtection="1">
      <alignment horizontal="center" vertical="center"/>
      <protection locked="0"/>
    </xf>
    <xf numFmtId="0" fontId="7" fillId="0" borderId="26" xfId="0" applyFont="1" applyFill="1" applyBorder="1" applyAlignment="1" applyProtection="1">
      <alignment horizontal="center" vertical="center"/>
      <protection locked="0"/>
    </xf>
    <xf numFmtId="164" fontId="7" fillId="0" borderId="23" xfId="0" quotePrefix="1" applyNumberFormat="1" applyFont="1" applyFill="1" applyBorder="1" applyAlignment="1" applyProtection="1">
      <alignment horizontal="center" vertical="center"/>
      <protection locked="0"/>
    </xf>
    <xf numFmtId="164" fontId="7" fillId="0" borderId="24" xfId="0" quotePrefix="1" applyNumberFormat="1" applyFont="1" applyFill="1" applyBorder="1" applyAlignment="1" applyProtection="1">
      <alignment horizontal="center" vertical="center"/>
      <protection locked="0"/>
    </xf>
    <xf numFmtId="164" fontId="7" fillId="0" borderId="21" xfId="0" quotePrefix="1" applyNumberFormat="1" applyFont="1" applyFill="1" applyBorder="1" applyAlignment="1" applyProtection="1">
      <alignment horizontal="center" vertical="center"/>
      <protection locked="0"/>
    </xf>
    <xf numFmtId="164" fontId="7" fillId="0" borderId="24" xfId="0" applyNumberFormat="1" applyFont="1" applyFill="1" applyBorder="1" applyAlignment="1" applyProtection="1">
      <alignment horizontal="center" vertical="center"/>
      <protection locked="0"/>
    </xf>
    <xf numFmtId="1" fontId="7" fillId="0" borderId="23" xfId="0" applyNumberFormat="1" applyFont="1" applyFill="1" applyBorder="1" applyAlignment="1" applyProtection="1">
      <alignment horizontal="center" vertical="center"/>
      <protection locked="0"/>
    </xf>
    <xf numFmtId="0" fontId="7" fillId="0" borderId="24" xfId="0" applyFont="1" applyFill="1" applyBorder="1" applyAlignment="1">
      <alignment horizontal="center" vertical="center"/>
    </xf>
    <xf numFmtId="17" fontId="7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Continuous" vertical="center"/>
    </xf>
    <xf numFmtId="0" fontId="7" fillId="0" borderId="27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Continuous" vertical="center"/>
    </xf>
    <xf numFmtId="0" fontId="10" fillId="0" borderId="29" xfId="0" applyFont="1" applyFill="1" applyBorder="1" applyAlignment="1">
      <alignment horizontal="centerContinuous" vertical="center"/>
    </xf>
    <xf numFmtId="0" fontId="10" fillId="0" borderId="30" xfId="0" applyFont="1" applyFill="1" applyBorder="1" applyAlignment="1">
      <alignment horizontal="centerContinuous" vertical="center"/>
    </xf>
    <xf numFmtId="0" fontId="10" fillId="0" borderId="31" xfId="0" applyFont="1" applyFill="1" applyBorder="1" applyAlignment="1">
      <alignment horizontal="centerContinuous" vertical="center"/>
    </xf>
    <xf numFmtId="0" fontId="10" fillId="0" borderId="32" xfId="0" applyFont="1" applyFill="1" applyBorder="1" applyAlignment="1">
      <alignment horizontal="centerContinuous" vertical="center"/>
    </xf>
    <xf numFmtId="0" fontId="10" fillId="0" borderId="33" xfId="0" applyFont="1" applyFill="1" applyBorder="1" applyAlignment="1">
      <alignment horizontal="centerContinuous" vertical="center"/>
    </xf>
    <xf numFmtId="0" fontId="10" fillId="0" borderId="34" xfId="0" applyFont="1" applyFill="1" applyBorder="1" applyAlignment="1">
      <alignment horizontal="centerContinuous" vertical="center"/>
    </xf>
    <xf numFmtId="0" fontId="10" fillId="0" borderId="33" xfId="0" applyFont="1" applyFill="1" applyBorder="1" applyAlignment="1">
      <alignment horizontal="centerContinuous" vertical="center" wrapText="1"/>
    </xf>
    <xf numFmtId="0" fontId="10" fillId="0" borderId="34" xfId="0" applyFont="1" applyFill="1" applyBorder="1" applyAlignment="1">
      <alignment horizontal="centerContinuous" vertical="center" wrapText="1"/>
    </xf>
    <xf numFmtId="0" fontId="10" fillId="0" borderId="32" xfId="0" applyFont="1" applyFill="1" applyBorder="1" applyAlignment="1">
      <alignment horizontal="centerContinuous" vertical="center" wrapText="1"/>
    </xf>
    <xf numFmtId="0" fontId="11" fillId="0" borderId="5" xfId="0" applyFont="1" applyFill="1" applyBorder="1" applyAlignment="1" applyProtection="1">
      <alignment horizontal="center" vertical="center"/>
      <protection locked="0"/>
    </xf>
    <xf numFmtId="0" fontId="11" fillId="0" borderId="18" xfId="0" applyFont="1" applyFill="1" applyBorder="1" applyAlignment="1" applyProtection="1">
      <alignment horizontal="center" vertical="center"/>
      <protection locked="0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0" fontId="11" fillId="0" borderId="4" xfId="0" applyFont="1" applyFill="1" applyBorder="1" applyAlignment="1" applyProtection="1">
      <alignment horizontal="center" vertical="center" wrapText="1"/>
      <protection locked="0"/>
    </xf>
    <xf numFmtId="0" fontId="11" fillId="0" borderId="4" xfId="0" applyFont="1" applyFill="1" applyBorder="1" applyAlignment="1" applyProtection="1">
      <alignment horizontal="center" vertical="center"/>
      <protection locked="0"/>
    </xf>
    <xf numFmtId="17" fontId="11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5" xfId="0" applyFont="1" applyFill="1" applyBorder="1" applyAlignment="1" applyProtection="1">
      <alignment horizontal="center" vertical="center" wrapText="1"/>
      <protection locked="0"/>
    </xf>
    <xf numFmtId="0" fontId="11" fillId="0" borderId="7" xfId="0" applyFont="1" applyFill="1" applyBorder="1" applyAlignment="1" applyProtection="1">
      <alignment horizontal="center" vertical="center" wrapText="1"/>
      <protection locked="0"/>
    </xf>
    <xf numFmtId="0" fontId="11" fillId="0" borderId="8" xfId="0" applyFont="1" applyFill="1" applyBorder="1" applyAlignment="1" applyProtection="1">
      <alignment horizontal="center" vertical="center" wrapText="1"/>
      <protection locked="0"/>
    </xf>
    <xf numFmtId="0" fontId="11" fillId="0" borderId="4" xfId="0" applyFont="1" applyFill="1" applyBorder="1" applyAlignment="1">
      <alignment horizontal="center" vertical="center" wrapText="1"/>
    </xf>
    <xf numFmtId="0" fontId="11" fillId="0" borderId="35" xfId="0" applyFont="1" applyFill="1" applyBorder="1" applyAlignment="1" applyProtection="1">
      <alignment horizontal="center" vertical="center"/>
      <protection locked="0"/>
    </xf>
    <xf numFmtId="0" fontId="11" fillId="0" borderId="36" xfId="0" applyFont="1" applyFill="1" applyBorder="1" applyAlignment="1" applyProtection="1">
      <alignment horizontal="center" vertical="center"/>
      <protection locked="0"/>
    </xf>
    <xf numFmtId="0" fontId="11" fillId="0" borderId="37" xfId="0" applyFont="1" applyFill="1" applyBorder="1" applyAlignment="1" applyProtection="1">
      <alignment horizontal="center" vertical="center"/>
      <protection locked="0"/>
    </xf>
    <xf numFmtId="0" fontId="11" fillId="0" borderId="38" xfId="0" applyFont="1" applyFill="1" applyBorder="1" applyAlignment="1" applyProtection="1">
      <alignment horizontal="center" vertical="center"/>
      <protection locked="0"/>
    </xf>
    <xf numFmtId="0" fontId="11" fillId="0" borderId="39" xfId="0" applyFont="1" applyFill="1" applyBorder="1" applyAlignment="1" applyProtection="1">
      <alignment horizontal="center" vertical="center"/>
      <protection locked="0"/>
    </xf>
    <xf numFmtId="17" fontId="11" fillId="0" borderId="35" xfId="0" applyNumberFormat="1" applyFont="1" applyFill="1" applyBorder="1" applyAlignment="1" applyProtection="1">
      <alignment horizontal="center" vertical="center"/>
      <protection locked="0"/>
    </xf>
    <xf numFmtId="0" fontId="11" fillId="0" borderId="40" xfId="0" applyFont="1" applyFill="1" applyBorder="1" applyAlignment="1" applyProtection="1">
      <alignment horizontal="center" vertical="center"/>
      <protection locked="0"/>
    </xf>
    <xf numFmtId="0" fontId="11" fillId="0" borderId="41" xfId="0" applyFont="1" applyFill="1" applyBorder="1" applyAlignment="1" applyProtection="1">
      <alignment horizontal="center" vertical="center"/>
      <protection locked="0"/>
    </xf>
    <xf numFmtId="0" fontId="10" fillId="0" borderId="5" xfId="0" applyFont="1" applyFill="1" applyBorder="1" applyAlignment="1" applyProtection="1">
      <alignment horizontal="left" vertical="center"/>
      <protection locked="0"/>
    </xf>
    <xf numFmtId="2" fontId="7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42" xfId="0" applyFont="1" applyFill="1" applyBorder="1" applyAlignment="1" applyProtection="1">
      <alignment horizontal="center" vertical="center"/>
      <protection locked="0"/>
    </xf>
    <xf numFmtId="1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>
      <alignment vertical="center"/>
    </xf>
    <xf numFmtId="164" fontId="7" fillId="0" borderId="0" xfId="0" applyNumberFormat="1" applyFont="1" applyFill="1" applyBorder="1" applyAlignment="1" applyProtection="1">
      <alignment horizontal="center" vertical="center"/>
      <protection locked="0"/>
    </xf>
    <xf numFmtId="17" fontId="7" fillId="0" borderId="0" xfId="0" applyNumberFormat="1" applyFont="1" applyFill="1" applyBorder="1" applyAlignment="1" applyProtection="1">
      <alignment horizontal="center" vertical="center"/>
      <protection locked="0"/>
    </xf>
    <xf numFmtId="164" fontId="7" fillId="0" borderId="7" xfId="0" applyNumberFormat="1" applyFont="1" applyFill="1" applyBorder="1" applyAlignment="1" applyProtection="1">
      <alignment horizontal="center" vertical="center"/>
      <protection locked="0"/>
    </xf>
    <xf numFmtId="164" fontId="7" fillId="0" borderId="12" xfId="0" applyNumberFormat="1" applyFont="1" applyFill="1" applyBorder="1" applyAlignment="1" applyProtection="1">
      <alignment horizontal="center" vertical="center"/>
      <protection locked="0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7" xfId="0" applyNumberFormat="1" applyFont="1" applyFill="1" applyBorder="1" applyAlignment="1">
      <alignment horizontal="center" vertical="center"/>
    </xf>
    <xf numFmtId="164" fontId="7" fillId="0" borderId="43" xfId="0" applyNumberFormat="1" applyFont="1" applyFill="1" applyBorder="1" applyAlignment="1">
      <alignment horizontal="center" vertical="center"/>
    </xf>
    <xf numFmtId="164" fontId="7" fillId="0" borderId="0" xfId="0" quotePrefix="1" applyNumberFormat="1" applyFont="1" applyFill="1" applyBorder="1" applyAlignment="1" applyProtection="1">
      <alignment horizontal="center" vertical="center"/>
      <protection locked="0"/>
    </xf>
    <xf numFmtId="1" fontId="7" fillId="0" borderId="0" xfId="0" applyNumberFormat="1" applyFont="1" applyFill="1" applyBorder="1" applyAlignment="1" applyProtection="1">
      <alignment horizontal="center" vertical="center"/>
      <protection locked="0"/>
    </xf>
    <xf numFmtId="164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7" fillId="0" borderId="10" xfId="0" applyNumberFormat="1" applyFont="1" applyFill="1" applyBorder="1" applyAlignment="1" applyProtection="1">
      <alignment horizontal="center" vertical="center"/>
      <protection locked="0"/>
    </xf>
    <xf numFmtId="164" fontId="7" fillId="0" borderId="11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 wrapText="1"/>
    </xf>
    <xf numFmtId="164" fontId="7" fillId="0" borderId="4" xfId="0" applyNumberFormat="1" applyFont="1" applyFill="1" applyBorder="1" applyAlignment="1" applyProtection="1">
      <alignment horizontal="center" vertical="center"/>
      <protection locked="0"/>
    </xf>
    <xf numFmtId="0" fontId="7" fillId="0" borderId="4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64" fontId="7" fillId="0" borderId="7" xfId="0" applyNumberFormat="1" applyFont="1" applyFill="1" applyBorder="1" applyAlignment="1">
      <alignment horizontal="center" vertical="center" wrapText="1"/>
    </xf>
    <xf numFmtId="0" fontId="14" fillId="0" borderId="1" xfId="17" applyFont="1" applyFill="1" applyBorder="1" applyAlignment="1">
      <alignment horizontal="center" vertical="center"/>
    </xf>
    <xf numFmtId="0" fontId="14" fillId="0" borderId="1" xfId="17" applyFont="1" applyFill="1" applyBorder="1" applyAlignment="1">
      <alignment horizontal="center" vertical="center" wrapText="1"/>
    </xf>
    <xf numFmtId="0" fontId="14" fillId="0" borderId="1" xfId="17" applyFont="1" applyFill="1" applyBorder="1" applyAlignment="1" applyProtection="1">
      <alignment horizontal="center" vertical="center"/>
      <protection locked="0"/>
    </xf>
    <xf numFmtId="0" fontId="14" fillId="0" borderId="1" xfId="17" applyFont="1" applyFill="1" applyBorder="1" applyAlignment="1" applyProtection="1">
      <alignment horizontal="center" vertical="center" wrapText="1"/>
      <protection locked="0"/>
    </xf>
    <xf numFmtId="3" fontId="14" fillId="0" borderId="1" xfId="17" applyNumberFormat="1" applyFont="1" applyFill="1" applyBorder="1" applyAlignment="1">
      <alignment horizontal="center" vertical="center" wrapText="1"/>
    </xf>
    <xf numFmtId="164" fontId="14" fillId="0" borderId="1" xfId="17" applyNumberFormat="1" applyFont="1" applyFill="1" applyBorder="1" applyAlignment="1">
      <alignment horizontal="center" vertical="center" wrapText="1"/>
    </xf>
    <xf numFmtId="1" fontId="14" fillId="0" borderId="1" xfId="17" applyNumberFormat="1" applyFont="1" applyFill="1" applyBorder="1" applyAlignment="1">
      <alignment horizontal="center" vertical="center" wrapText="1"/>
    </xf>
    <xf numFmtId="166" fontId="14" fillId="0" borderId="1" xfId="17" applyNumberFormat="1" applyFont="1" applyFill="1" applyBorder="1" applyAlignment="1">
      <alignment horizontal="center" vertical="center" wrapText="1"/>
    </xf>
    <xf numFmtId="2" fontId="14" fillId="0" borderId="1" xfId="17" applyNumberFormat="1" applyFont="1" applyFill="1" applyBorder="1" applyAlignment="1" applyProtection="1">
      <alignment horizontal="center" vertical="center" wrapText="1"/>
      <protection locked="0"/>
    </xf>
    <xf numFmtId="164" fontId="14" fillId="0" borderId="1" xfId="17" applyNumberFormat="1" applyFont="1" applyFill="1" applyBorder="1" applyAlignment="1" applyProtection="1">
      <alignment horizontal="center" vertical="center" wrapText="1"/>
    </xf>
    <xf numFmtId="14" fontId="14" fillId="0" borderId="1" xfId="17" applyNumberFormat="1" applyFont="1" applyFill="1" applyBorder="1" applyAlignment="1">
      <alignment horizontal="center" vertical="center"/>
    </xf>
    <xf numFmtId="3" fontId="14" fillId="0" borderId="1" xfId="17" applyNumberFormat="1" applyFont="1" applyFill="1" applyBorder="1" applyAlignment="1">
      <alignment horizontal="center" vertical="center"/>
    </xf>
    <xf numFmtId="164" fontId="14" fillId="0" borderId="1" xfId="17" applyNumberFormat="1" applyFont="1" applyFill="1" applyBorder="1" applyAlignment="1">
      <alignment horizontal="center" vertical="center"/>
    </xf>
    <xf numFmtId="0" fontId="14" fillId="0" borderId="1" xfId="17" applyFont="1" applyFill="1" applyBorder="1" applyAlignment="1" applyProtection="1">
      <alignment horizontal="center" vertical="center"/>
    </xf>
    <xf numFmtId="37" fontId="14" fillId="0" borderId="1" xfId="17" applyNumberFormat="1" applyFont="1" applyFill="1" applyBorder="1" applyAlignment="1" applyProtection="1">
      <alignment horizontal="center" vertical="center" wrapText="1"/>
      <protection locked="0"/>
    </xf>
    <xf numFmtId="1" fontId="14" fillId="0" borderId="1" xfId="17" applyNumberFormat="1" applyFont="1" applyFill="1" applyBorder="1" applyAlignment="1" applyProtection="1">
      <alignment horizontal="center" vertical="center" wrapText="1"/>
    </xf>
    <xf numFmtId="10" fontId="14" fillId="0" borderId="1" xfId="17" applyNumberFormat="1" applyFont="1" applyFill="1" applyBorder="1" applyAlignment="1">
      <alignment horizontal="center" vertical="center"/>
    </xf>
    <xf numFmtId="2" fontId="14" fillId="0" borderId="1" xfId="17" applyNumberFormat="1" applyFont="1" applyFill="1" applyBorder="1" applyAlignment="1">
      <alignment horizontal="center" vertical="center"/>
    </xf>
    <xf numFmtId="166" fontId="14" fillId="0" borderId="1" xfId="17" applyNumberFormat="1" applyFont="1" applyFill="1" applyBorder="1" applyAlignment="1">
      <alignment horizontal="center" vertical="center"/>
    </xf>
    <xf numFmtId="3" fontId="14" fillId="0" borderId="1" xfId="17" applyNumberFormat="1" applyFont="1" applyFill="1" applyBorder="1" applyAlignment="1" applyProtection="1">
      <alignment horizontal="center" vertical="center" wrapText="1"/>
      <protection locked="0"/>
    </xf>
    <xf numFmtId="168" fontId="14" fillId="0" borderId="1" xfId="17" applyNumberFormat="1" applyFont="1" applyFill="1" applyBorder="1" applyAlignment="1" applyProtection="1">
      <alignment horizontal="center" vertical="center"/>
      <protection locked="0"/>
    </xf>
    <xf numFmtId="1" fontId="14" fillId="0" borderId="1" xfId="17" applyNumberFormat="1" applyFont="1" applyFill="1" applyBorder="1" applyAlignment="1">
      <alignment horizontal="center" vertical="center"/>
    </xf>
    <xf numFmtId="166" fontId="14" fillId="0" borderId="0" xfId="17" applyNumberFormat="1" applyFont="1" applyFill="1" applyBorder="1" applyAlignment="1">
      <alignment horizontal="center" vertical="center" wrapText="1"/>
    </xf>
    <xf numFmtId="0" fontId="14" fillId="0" borderId="0" xfId="17" applyFont="1" applyFill="1" applyBorder="1" applyAlignment="1" applyProtection="1">
      <alignment horizontal="center" vertical="center"/>
      <protection locked="0"/>
    </xf>
    <xf numFmtId="0" fontId="14" fillId="0" borderId="0" xfId="17" applyFont="1" applyFill="1" applyBorder="1" applyAlignment="1" applyProtection="1">
      <alignment horizontal="center" vertical="center" wrapText="1"/>
      <protection locked="0"/>
    </xf>
    <xf numFmtId="0" fontId="14" fillId="0" borderId="0" xfId="17" applyFont="1" applyFill="1" applyBorder="1" applyAlignment="1">
      <alignment horizontal="center" vertical="center" wrapText="1"/>
    </xf>
    <xf numFmtId="164" fontId="14" fillId="0" borderId="0" xfId="17" applyNumberFormat="1" applyFont="1" applyFill="1" applyBorder="1" applyAlignment="1" applyProtection="1">
      <alignment horizontal="center" vertical="center"/>
      <protection locked="0"/>
    </xf>
    <xf numFmtId="164" fontId="14" fillId="0" borderId="0" xfId="17" applyNumberFormat="1" applyFont="1" applyFill="1" applyBorder="1" applyAlignment="1" applyProtection="1">
      <alignment horizontal="center" vertical="center" wrapText="1"/>
    </xf>
    <xf numFmtId="164" fontId="14" fillId="0" borderId="0" xfId="17" applyNumberFormat="1" applyFont="1" applyFill="1" applyBorder="1" applyAlignment="1" applyProtection="1">
      <alignment horizontal="center" vertical="center"/>
    </xf>
    <xf numFmtId="164" fontId="14" fillId="0" borderId="0" xfId="17" applyNumberFormat="1" applyFont="1" applyFill="1" applyBorder="1" applyAlignment="1">
      <alignment horizontal="center" vertical="center" wrapText="1"/>
    </xf>
    <xf numFmtId="164" fontId="14" fillId="0" borderId="0" xfId="17" applyNumberFormat="1" applyFont="1" applyFill="1" applyBorder="1" applyAlignment="1">
      <alignment horizontal="center" vertical="center"/>
    </xf>
    <xf numFmtId="3" fontId="14" fillId="0" borderId="0" xfId="17" applyNumberFormat="1" applyFont="1" applyFill="1" applyBorder="1" applyAlignment="1">
      <alignment horizontal="center" vertical="center"/>
    </xf>
    <xf numFmtId="14" fontId="14" fillId="0" borderId="0" xfId="17" applyNumberFormat="1" applyFont="1" applyFill="1" applyBorder="1" applyAlignment="1">
      <alignment horizontal="center" vertical="center"/>
    </xf>
    <xf numFmtId="0" fontId="14" fillId="0" borderId="0" xfId="17" applyFont="1" applyFill="1" applyBorder="1" applyAlignment="1">
      <alignment horizontal="center" vertical="center"/>
    </xf>
    <xf numFmtId="2" fontId="14" fillId="0" borderId="0" xfId="17" applyNumberFormat="1" applyFont="1" applyFill="1" applyBorder="1" applyAlignment="1">
      <alignment horizontal="center" vertical="center"/>
    </xf>
    <xf numFmtId="1" fontId="14" fillId="0" borderId="0" xfId="17" applyNumberFormat="1" applyFont="1" applyFill="1" applyBorder="1" applyAlignment="1" applyProtection="1">
      <alignment horizontal="center" vertical="center" wrapText="1"/>
    </xf>
    <xf numFmtId="3" fontId="14" fillId="0" borderId="0" xfId="17" applyNumberFormat="1" applyFont="1" applyFill="1" applyBorder="1" applyAlignment="1">
      <alignment horizontal="center" vertical="center" wrapText="1"/>
    </xf>
    <xf numFmtId="0" fontId="15" fillId="0" borderId="1" xfId="15" applyNumberFormat="1" applyFont="1" applyFill="1" applyBorder="1" applyAlignment="1" applyProtection="1">
      <alignment horizontal="center" vertical="center" wrapText="1"/>
    </xf>
    <xf numFmtId="0" fontId="15" fillId="0" borderId="1" xfId="15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0" xfId="15" applyFont="1" applyFill="1" applyBorder="1" applyAlignment="1">
      <alignment horizontal="center" vertical="center" wrapText="1"/>
    </xf>
    <xf numFmtId="0" fontId="15" fillId="0" borderId="1" xfId="15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Alignment="1">
      <alignment horizontal="center" vertical="center" wrapText="1"/>
    </xf>
    <xf numFmtId="0" fontId="15" fillId="0" borderId="1" xfId="15" applyFont="1" applyFill="1" applyBorder="1" applyAlignment="1">
      <alignment horizontal="center" vertical="center" wrapText="1"/>
    </xf>
    <xf numFmtId="164" fontId="15" fillId="0" borderId="1" xfId="15" applyNumberFormat="1" applyFont="1" applyFill="1" applyBorder="1" applyAlignment="1">
      <alignment horizontal="center" vertical="center" wrapText="1"/>
    </xf>
    <xf numFmtId="2" fontId="15" fillId="0" borderId="1" xfId="15" applyNumberFormat="1" applyFont="1" applyFill="1" applyBorder="1" applyAlignment="1">
      <alignment horizontal="center" vertical="center" wrapText="1"/>
    </xf>
    <xf numFmtId="0" fontId="16" fillId="0" borderId="1" xfId="0" applyNumberFormat="1" applyFont="1" applyFill="1" applyBorder="1" applyAlignment="1">
      <alignment horizontal="center" vertical="center" wrapText="1"/>
    </xf>
    <xf numFmtId="0" fontId="15" fillId="0" borderId="1" xfId="0" applyNumberFormat="1" applyFont="1" applyFill="1" applyBorder="1" applyAlignment="1" applyProtection="1">
      <alignment horizontal="center" vertical="center" wrapText="1"/>
    </xf>
    <xf numFmtId="165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9" fontId="15" fillId="0" borderId="1" xfId="20" applyFont="1" applyFill="1" applyBorder="1" applyAlignment="1">
      <alignment horizontal="center" vertical="center" wrapText="1"/>
    </xf>
    <xf numFmtId="0" fontId="15" fillId="0" borderId="0" xfId="15" applyFont="1" applyFill="1" applyAlignment="1">
      <alignment horizontal="center" vertical="center" wrapText="1"/>
    </xf>
    <xf numFmtId="0" fontId="15" fillId="0" borderId="1" xfId="15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0" xfId="0" applyFont="1" applyFill="1"/>
    <xf numFmtId="0" fontId="15" fillId="0" borderId="1" xfId="16" applyNumberFormat="1" applyFont="1" applyFill="1" applyBorder="1" applyAlignment="1" applyProtection="1">
      <alignment horizontal="center" vertical="center" wrapText="1"/>
      <protection locked="0"/>
    </xf>
    <xf numFmtId="9" fontId="15" fillId="0" borderId="1" xfId="0" applyNumberFormat="1" applyFont="1" applyFill="1" applyBorder="1" applyAlignment="1">
      <alignment horizontal="center" vertical="center" wrapText="1"/>
    </xf>
    <xf numFmtId="0" fontId="15" fillId="0" borderId="0" xfId="15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15" applyNumberFormat="1" applyFont="1" applyFill="1" applyBorder="1" applyAlignment="1" applyProtection="1">
      <alignment horizontal="center" vertical="center" wrapText="1"/>
    </xf>
    <xf numFmtId="0" fontId="15" fillId="0" borderId="0" xfId="15" applyNumberFormat="1" applyFont="1" applyFill="1" applyBorder="1" applyAlignment="1">
      <alignment horizontal="center" vertical="center" wrapText="1"/>
    </xf>
    <xf numFmtId="0" fontId="15" fillId="0" borderId="0" xfId="15" applyFont="1" applyFill="1" applyBorder="1" applyAlignment="1" applyProtection="1">
      <alignment horizontal="center" vertical="center" wrapText="1"/>
      <protection locked="0"/>
    </xf>
    <xf numFmtId="0" fontId="17" fillId="0" borderId="0" xfId="15" applyNumberFormat="1" applyFont="1" applyFill="1" applyBorder="1" applyAlignment="1">
      <alignment horizontal="left" vertical="center"/>
    </xf>
    <xf numFmtId="0" fontId="15" fillId="0" borderId="0" xfId="15" applyNumberFormat="1" applyFont="1" applyFill="1" applyBorder="1" applyAlignment="1" applyProtection="1">
      <alignment horizontal="left" vertical="center"/>
      <protection locked="0"/>
    </xf>
    <xf numFmtId="0" fontId="15" fillId="0" borderId="0" xfId="15" applyFont="1" applyFill="1" applyBorder="1" applyAlignment="1" applyProtection="1">
      <alignment horizontal="center" vertical="center" wrapText="1"/>
    </xf>
    <xf numFmtId="0" fontId="15" fillId="0" borderId="1" xfId="15" quotePrefix="1" applyNumberFormat="1" applyFont="1" applyFill="1" applyBorder="1" applyAlignment="1" applyProtection="1">
      <alignment horizontal="center" vertical="center" wrapText="1"/>
      <protection locked="0"/>
    </xf>
    <xf numFmtId="1" fontId="15" fillId="0" borderId="1" xfId="15" applyNumberFormat="1" applyFont="1" applyFill="1" applyBorder="1" applyAlignment="1">
      <alignment horizontal="center" vertical="center" wrapText="1"/>
    </xf>
    <xf numFmtId="0" fontId="15" fillId="0" borderId="1" xfId="2" applyNumberFormat="1" applyFont="1" applyFill="1" applyBorder="1" applyAlignment="1">
      <alignment horizontal="center" vertical="center" wrapText="1"/>
    </xf>
    <xf numFmtId="0" fontId="15" fillId="0" borderId="1" xfId="15" quotePrefix="1" applyNumberFormat="1" applyFont="1" applyFill="1" applyBorder="1" applyAlignment="1">
      <alignment horizontal="center" vertical="center" wrapText="1"/>
    </xf>
    <xf numFmtId="0" fontId="15" fillId="0" borderId="1" xfId="16" applyNumberFormat="1" applyFont="1" applyFill="1" applyBorder="1" applyAlignment="1" applyProtection="1">
      <alignment horizontal="center" vertical="center" wrapText="1"/>
    </xf>
    <xf numFmtId="0" fontId="15" fillId="0" borderId="1" xfId="16" applyNumberFormat="1" applyFont="1" applyFill="1" applyBorder="1" applyAlignment="1">
      <alignment horizontal="center" vertical="center" wrapText="1"/>
    </xf>
    <xf numFmtId="164" fontId="15" fillId="0" borderId="0" xfId="15" applyNumberFormat="1" applyFont="1" applyFill="1" applyBorder="1" applyAlignment="1">
      <alignment horizontal="center" vertical="center" wrapText="1"/>
    </xf>
    <xf numFmtId="2" fontId="15" fillId="0" borderId="0" xfId="15" applyNumberFormat="1" applyFont="1" applyFill="1" applyBorder="1" applyAlignment="1">
      <alignment horizontal="center" vertical="center" wrapText="1"/>
    </xf>
    <xf numFmtId="165" fontId="15" fillId="0" borderId="0" xfId="15" applyNumberFormat="1" applyFont="1" applyFill="1" applyBorder="1" applyAlignment="1">
      <alignment horizontal="center" vertical="center" wrapText="1"/>
    </xf>
    <xf numFmtId="1" fontId="15" fillId="0" borderId="0" xfId="15" applyNumberFormat="1" applyFont="1" applyFill="1" applyBorder="1" applyAlignment="1">
      <alignment horizontal="center" vertical="center" wrapText="1"/>
    </xf>
    <xf numFmtId="9" fontId="15" fillId="0" borderId="0" xfId="15" applyNumberFormat="1" applyFont="1" applyFill="1" applyBorder="1" applyAlignment="1">
      <alignment horizontal="center" vertical="center" wrapText="1"/>
    </xf>
    <xf numFmtId="166" fontId="15" fillId="0" borderId="0" xfId="15" applyNumberFormat="1" applyFont="1" applyFill="1" applyBorder="1" applyAlignment="1">
      <alignment horizontal="center" vertical="center" wrapText="1"/>
    </xf>
    <xf numFmtId="2" fontId="7" fillId="0" borderId="0" xfId="0" applyNumberFormat="1" applyFont="1" applyFill="1" applyAlignment="1">
      <alignment horizontal="center"/>
    </xf>
    <xf numFmtId="0" fontId="18" fillId="0" borderId="0" xfId="15" applyNumberFormat="1" applyFont="1" applyFill="1" applyBorder="1" applyAlignment="1">
      <alignment horizontal="left" vertical="center"/>
    </xf>
    <xf numFmtId="2" fontId="7" fillId="0" borderId="0" xfId="0" applyNumberFormat="1" applyFont="1" applyFill="1"/>
    <xf numFmtId="171" fontId="14" fillId="0" borderId="1" xfId="17" applyNumberFormat="1" applyFont="1" applyFill="1" applyBorder="1" applyAlignment="1" applyProtection="1">
      <alignment horizontal="center" vertical="center" wrapText="1"/>
      <protection locked="0"/>
    </xf>
    <xf numFmtId="171" fontId="14" fillId="0" borderId="1" xfId="17" applyNumberFormat="1" applyFont="1" applyFill="1" applyBorder="1" applyAlignment="1" applyProtection="1">
      <alignment horizontal="center" vertical="center"/>
      <protection locked="0"/>
    </xf>
    <xf numFmtId="171" fontId="14" fillId="0" borderId="1" xfId="17" quotePrefix="1" applyNumberFormat="1" applyFont="1" applyFill="1" applyBorder="1" applyAlignment="1" applyProtection="1">
      <alignment horizontal="center" vertical="center"/>
      <protection locked="0"/>
    </xf>
    <xf numFmtId="171" fontId="14" fillId="0" borderId="0" xfId="17" applyNumberFormat="1" applyFont="1" applyFill="1" applyBorder="1" applyAlignment="1" applyProtection="1">
      <alignment horizontal="center" vertical="center"/>
      <protection locked="0"/>
    </xf>
    <xf numFmtId="0" fontId="14" fillId="0" borderId="18" xfId="17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NumberFormat="1" applyFont="1" applyFill="1" applyBorder="1" applyAlignment="1">
      <alignment horizontal="center" vertical="center" wrapText="1"/>
    </xf>
    <xf numFmtId="0" fontId="15" fillId="0" borderId="0" xfId="16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</xf>
    <xf numFmtId="165" fontId="15" fillId="0" borderId="0" xfId="0" applyNumberFormat="1" applyFont="1" applyFill="1" applyBorder="1" applyAlignment="1" applyProtection="1">
      <alignment horizontal="center" vertical="center" wrapText="1"/>
      <protection locked="0"/>
    </xf>
    <xf numFmtId="14" fontId="14" fillId="0" borderId="8" xfId="17" applyNumberFormat="1" applyFont="1" applyFill="1" applyBorder="1" applyAlignment="1">
      <alignment horizontal="center" vertical="center"/>
    </xf>
    <xf numFmtId="14" fontId="14" fillId="0" borderId="8" xfId="17" applyNumberFormat="1" applyFont="1" applyFill="1" applyBorder="1" applyAlignment="1">
      <alignment horizontal="center" vertical="center" wrapText="1"/>
    </xf>
    <xf numFmtId="0" fontId="14" fillId="0" borderId="18" xfId="17" applyFont="1" applyFill="1" applyBorder="1" applyAlignment="1">
      <alignment horizontal="center" vertical="center"/>
    </xf>
    <xf numFmtId="0" fontId="14" fillId="0" borderId="24" xfId="17" applyFont="1" applyFill="1" applyBorder="1" applyAlignment="1" applyProtection="1">
      <alignment horizontal="center" vertical="center" wrapText="1"/>
      <protection locked="0"/>
    </xf>
    <xf numFmtId="12" fontId="14" fillId="0" borderId="1" xfId="17" applyNumberFormat="1" applyFont="1" applyFill="1" applyBorder="1" applyAlignment="1" applyProtection="1">
      <alignment horizontal="center" vertical="center"/>
      <protection locked="0"/>
    </xf>
    <xf numFmtId="170" fontId="14" fillId="0" borderId="1" xfId="17" applyNumberFormat="1" applyFont="1" applyFill="1" applyBorder="1" applyAlignment="1">
      <alignment horizontal="center" vertical="center" wrapText="1"/>
    </xf>
    <xf numFmtId="0" fontId="14" fillId="0" borderId="1" xfId="11" applyFont="1" applyFill="1" applyBorder="1" applyAlignment="1" applyProtection="1">
      <alignment horizontal="center" vertical="center" wrapText="1"/>
      <protection locked="0"/>
    </xf>
    <xf numFmtId="0" fontId="14" fillId="0" borderId="4" xfId="17" applyFont="1" applyFill="1" applyBorder="1" applyAlignment="1">
      <alignment horizontal="center" vertical="center" wrapText="1"/>
    </xf>
    <xf numFmtId="166" fontId="14" fillId="0" borderId="4" xfId="17" applyNumberFormat="1" applyFont="1" applyFill="1" applyBorder="1" applyAlignment="1">
      <alignment horizontal="center" vertical="center"/>
    </xf>
    <xf numFmtId="0" fontId="14" fillId="0" borderId="4" xfId="17" applyFont="1" applyFill="1" applyBorder="1" applyAlignment="1">
      <alignment horizontal="center" vertical="center"/>
    </xf>
    <xf numFmtId="0" fontId="14" fillId="0" borderId="5" xfId="17" applyFont="1" applyFill="1" applyBorder="1" applyAlignment="1">
      <alignment horizontal="center" vertical="center"/>
    </xf>
    <xf numFmtId="1" fontId="14" fillId="0" borderId="5" xfId="17" applyNumberFormat="1" applyFont="1" applyFill="1" applyBorder="1" applyAlignment="1">
      <alignment horizontal="center" vertical="center"/>
    </xf>
    <xf numFmtId="164" fontId="14" fillId="0" borderId="5" xfId="17" applyNumberFormat="1" applyFont="1" applyFill="1" applyBorder="1" applyAlignment="1">
      <alignment horizontal="center" vertical="center"/>
    </xf>
    <xf numFmtId="164" fontId="14" fillId="0" borderId="5" xfId="9" applyNumberFormat="1" applyFont="1" applyFill="1" applyBorder="1" applyAlignment="1">
      <alignment horizontal="center" vertical="center"/>
    </xf>
    <xf numFmtId="10" fontId="14" fillId="0" borderId="0" xfId="17" applyNumberFormat="1" applyFont="1" applyFill="1" applyBorder="1" applyAlignment="1">
      <alignment horizontal="center" vertical="center"/>
    </xf>
    <xf numFmtId="171" fontId="14" fillId="0" borderId="0" xfId="17" applyNumberFormat="1" applyFont="1" applyFill="1" applyBorder="1" applyAlignment="1">
      <alignment horizontal="center" vertical="center"/>
    </xf>
    <xf numFmtId="0" fontId="14" fillId="0" borderId="0" xfId="17" quotePrefix="1" applyFont="1" applyFill="1" applyBorder="1" applyAlignment="1">
      <alignment horizontal="center" vertical="center"/>
    </xf>
    <xf numFmtId="1" fontId="14" fillId="0" borderId="0" xfId="17" applyNumberFormat="1" applyFont="1" applyFill="1" applyBorder="1" applyAlignment="1">
      <alignment horizontal="center" vertical="center"/>
    </xf>
    <xf numFmtId="166" fontId="14" fillId="0" borderId="0" xfId="17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7" fillId="0" borderId="1" xfId="18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0" xfId="18" applyFont="1" applyFill="1" applyBorder="1" applyAlignment="1">
      <alignment horizontal="center" vertical="center"/>
    </xf>
    <xf numFmtId="0" fontId="7" fillId="0" borderId="0" xfId="0" quotePrefix="1" applyFont="1" applyFill="1" applyBorder="1" applyAlignment="1" applyProtection="1">
      <alignment horizontal="center" vertical="center"/>
      <protection locked="0"/>
    </xf>
    <xf numFmtId="2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7" fillId="0" borderId="14" xfId="0" applyNumberFormat="1" applyFont="1" applyFill="1" applyBorder="1" applyAlignment="1" applyProtection="1">
      <alignment horizontal="center" vertical="center" wrapText="1"/>
      <protection locked="0"/>
    </xf>
    <xf numFmtId="17" fontId="7" fillId="0" borderId="5" xfId="3" applyNumberFormat="1" applyFont="1" applyFill="1" applyBorder="1" applyAlignment="1" applyProtection="1">
      <alignment horizontal="center" vertical="center"/>
      <protection locked="0"/>
    </xf>
    <xf numFmtId="0" fontId="3" fillId="0" borderId="45" xfId="0" applyFont="1" applyFill="1" applyBorder="1" applyAlignment="1">
      <alignment horizontal="centerContinuous" vertical="center"/>
    </xf>
    <xf numFmtId="0" fontId="21" fillId="0" borderId="1" xfId="0" applyFont="1" applyFill="1" applyBorder="1" applyAlignment="1" applyProtection="1">
      <alignment horizontal="center" vertical="center"/>
      <protection locked="0"/>
    </xf>
    <xf numFmtId="1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 applyProtection="1">
      <alignment horizontal="center" vertical="center"/>
      <protection locked="0"/>
    </xf>
    <xf numFmtId="0" fontId="10" fillId="0" borderId="3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1" fontId="7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17" applyFont="1" applyFill="1" applyBorder="1" applyAlignment="1">
      <alignment horizontal="left" vertical="center"/>
    </xf>
    <xf numFmtId="0" fontId="14" fillId="2" borderId="0" xfId="17" applyFont="1" applyFill="1" applyBorder="1" applyAlignment="1">
      <alignment horizontal="center" vertical="center"/>
    </xf>
    <xf numFmtId="0" fontId="14" fillId="3" borderId="0" xfId="17" applyFont="1" applyFill="1" applyBorder="1" applyAlignment="1">
      <alignment horizontal="center" vertical="center"/>
    </xf>
    <xf numFmtId="0" fontId="14" fillId="0" borderId="24" xfId="17" applyFont="1" applyFill="1" applyBorder="1" applyAlignment="1">
      <alignment horizontal="center" vertical="center"/>
    </xf>
    <xf numFmtId="0" fontId="5" fillId="0" borderId="0" xfId="15" applyNumberFormat="1" applyFont="1" applyFill="1" applyBorder="1" applyAlignment="1" applyProtection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14" fillId="0" borderId="46" xfId="17" applyFont="1" applyFill="1" applyBorder="1" applyAlignment="1">
      <alignment horizontal="center" vertical="center" wrapText="1"/>
    </xf>
    <xf numFmtId="0" fontId="14" fillId="9" borderId="1" xfId="17" applyFont="1" applyFill="1" applyBorder="1" applyAlignment="1" applyProtection="1">
      <alignment horizontal="center" vertical="center" wrapText="1"/>
      <protection locked="0"/>
    </xf>
    <xf numFmtId="14" fontId="14" fillId="9" borderId="1" xfId="17" applyNumberFormat="1" applyFont="1" applyFill="1" applyBorder="1" applyAlignment="1">
      <alignment horizontal="center" vertical="center" wrapText="1"/>
    </xf>
    <xf numFmtId="164" fontId="14" fillId="9" borderId="1" xfId="17" applyNumberFormat="1" applyFont="1" applyFill="1" applyBorder="1" applyAlignment="1">
      <alignment horizontal="center" vertical="center" wrapText="1"/>
    </xf>
    <xf numFmtId="0" fontId="14" fillId="9" borderId="1" xfId="17" applyFont="1" applyFill="1" applyBorder="1" applyAlignment="1">
      <alignment horizontal="center" vertical="center" wrapText="1"/>
    </xf>
    <xf numFmtId="3" fontId="14" fillId="9" borderId="1" xfId="17" applyNumberFormat="1" applyFont="1" applyFill="1" applyBorder="1" applyAlignment="1">
      <alignment horizontal="center" vertical="center" wrapText="1"/>
    </xf>
    <xf numFmtId="166" fontId="14" fillId="9" borderId="1" xfId="17" applyNumberFormat="1" applyFont="1" applyFill="1" applyBorder="1" applyAlignment="1">
      <alignment horizontal="center" vertical="center" wrapText="1"/>
    </xf>
    <xf numFmtId="0" fontId="14" fillId="9" borderId="4" xfId="17" applyFont="1" applyFill="1" applyBorder="1" applyAlignment="1">
      <alignment horizontal="center" vertical="center" wrapText="1"/>
    </xf>
    <xf numFmtId="0" fontId="14" fillId="9" borderId="0" xfId="17" applyFont="1" applyFill="1" applyBorder="1" applyAlignment="1">
      <alignment horizontal="center" vertical="center"/>
    </xf>
    <xf numFmtId="0" fontId="14" fillId="9" borderId="1" xfId="17" applyFont="1" applyFill="1" applyBorder="1" applyAlignment="1" applyProtection="1">
      <alignment horizontal="center" vertical="center"/>
      <protection locked="0"/>
    </xf>
    <xf numFmtId="0" fontId="14" fillId="9" borderId="1" xfId="17" applyFont="1" applyFill="1" applyBorder="1" applyAlignment="1">
      <alignment horizontal="center" vertical="center"/>
    </xf>
    <xf numFmtId="171" fontId="14" fillId="9" borderId="1" xfId="17" applyNumberFormat="1" applyFont="1" applyFill="1" applyBorder="1" applyAlignment="1" applyProtection="1">
      <alignment horizontal="center" vertical="center"/>
      <protection locked="0"/>
    </xf>
    <xf numFmtId="3" fontId="14" fillId="9" borderId="1" xfId="17" applyNumberFormat="1" applyFont="1" applyFill="1" applyBorder="1" applyAlignment="1">
      <alignment horizontal="center" vertical="center"/>
    </xf>
    <xf numFmtId="164" fontId="14" fillId="9" borderId="1" xfId="17" applyNumberFormat="1" applyFont="1" applyFill="1" applyBorder="1" applyAlignment="1">
      <alignment horizontal="center" vertical="center"/>
    </xf>
    <xf numFmtId="10" fontId="14" fillId="9" borderId="1" xfId="17" applyNumberFormat="1" applyFont="1" applyFill="1" applyBorder="1" applyAlignment="1">
      <alignment horizontal="center" vertical="center"/>
    </xf>
    <xf numFmtId="2" fontId="14" fillId="9" borderId="1" xfId="17" applyNumberFormat="1" applyFont="1" applyFill="1" applyBorder="1" applyAlignment="1" applyProtection="1">
      <alignment horizontal="center" vertical="center" wrapText="1"/>
      <protection locked="0"/>
    </xf>
    <xf numFmtId="171" fontId="14" fillId="9" borderId="1" xfId="17" quotePrefix="1" applyNumberFormat="1" applyFont="1" applyFill="1" applyBorder="1" applyAlignment="1" applyProtection="1">
      <alignment horizontal="center" vertical="center"/>
      <protection locked="0"/>
    </xf>
    <xf numFmtId="3" fontId="14" fillId="9" borderId="1" xfId="17" applyNumberFormat="1" applyFont="1" applyFill="1" applyBorder="1" applyAlignment="1" applyProtection="1">
      <alignment horizontal="center" vertical="center" wrapText="1"/>
      <protection locked="0"/>
    </xf>
    <xf numFmtId="1" fontId="14" fillId="9" borderId="1" xfId="17" applyNumberFormat="1" applyFont="1" applyFill="1" applyBorder="1" applyAlignment="1" applyProtection="1">
      <alignment horizontal="center" vertical="center" wrapText="1"/>
    </xf>
    <xf numFmtId="2" fontId="14" fillId="9" borderId="1" xfId="17" applyNumberFormat="1" applyFont="1" applyFill="1" applyBorder="1" applyAlignment="1">
      <alignment horizontal="center" vertical="center"/>
    </xf>
    <xf numFmtId="0" fontId="14" fillId="9" borderId="1" xfId="17" applyFont="1" applyFill="1" applyBorder="1" applyAlignment="1" applyProtection="1">
      <alignment horizontal="center" vertical="center"/>
    </xf>
    <xf numFmtId="37" fontId="14" fillId="9" borderId="1" xfId="17" applyNumberFormat="1" applyFont="1" applyFill="1" applyBorder="1" applyAlignment="1" applyProtection="1">
      <alignment horizontal="center" vertical="center" wrapText="1"/>
      <protection locked="0"/>
    </xf>
    <xf numFmtId="1" fontId="14" fillId="9" borderId="1" xfId="17" applyNumberFormat="1" applyFont="1" applyFill="1" applyBorder="1" applyAlignment="1">
      <alignment horizontal="center" vertical="center" wrapText="1"/>
    </xf>
    <xf numFmtId="0" fontId="14" fillId="9" borderId="4" xfId="17" applyFont="1" applyFill="1" applyBorder="1" applyAlignment="1">
      <alignment horizontal="center" vertical="center"/>
    </xf>
    <xf numFmtId="0" fontId="13" fillId="0" borderId="1" xfId="15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23" xfId="17" applyFont="1" applyFill="1" applyBorder="1" applyAlignment="1">
      <alignment horizontal="center" vertical="center"/>
    </xf>
    <xf numFmtId="0" fontId="14" fillId="0" borderId="24" xfId="17" applyFont="1" applyFill="1" applyBorder="1" applyAlignment="1" applyProtection="1">
      <alignment horizontal="center" vertical="center"/>
      <protection locked="0"/>
    </xf>
    <xf numFmtId="0" fontId="14" fillId="0" borderId="24" xfId="17" applyFont="1" applyFill="1" applyBorder="1" applyAlignment="1">
      <alignment horizontal="center" vertical="center" wrapText="1"/>
    </xf>
    <xf numFmtId="2" fontId="14" fillId="0" borderId="24" xfId="17" applyNumberFormat="1" applyFont="1" applyFill="1" applyBorder="1" applyAlignment="1" applyProtection="1">
      <alignment horizontal="center" vertical="center" wrapText="1"/>
      <protection locked="0"/>
    </xf>
    <xf numFmtId="164" fontId="14" fillId="0" borderId="24" xfId="17" applyNumberFormat="1" applyFont="1" applyFill="1" applyBorder="1" applyAlignment="1" applyProtection="1">
      <alignment horizontal="center" vertical="center" wrapText="1"/>
      <protection locked="0"/>
    </xf>
    <xf numFmtId="164" fontId="14" fillId="0" borderId="24" xfId="17" applyNumberFormat="1" applyFont="1" applyFill="1" applyBorder="1" applyAlignment="1" applyProtection="1">
      <alignment horizontal="center" vertical="center"/>
      <protection locked="0"/>
    </xf>
    <xf numFmtId="3" fontId="14" fillId="0" borderId="24" xfId="17" applyNumberFormat="1" applyFont="1" applyFill="1" applyBorder="1" applyAlignment="1">
      <alignment horizontal="center" vertical="center"/>
    </xf>
    <xf numFmtId="164" fontId="14" fillId="0" borderId="24" xfId="17" applyNumberFormat="1" applyFont="1" applyFill="1" applyBorder="1" applyAlignment="1">
      <alignment horizontal="center" vertical="center"/>
    </xf>
    <xf numFmtId="14" fontId="14" fillId="9" borderId="8" xfId="17" applyNumberFormat="1" applyFont="1" applyFill="1" applyBorder="1" applyAlignment="1">
      <alignment horizontal="center" vertical="center" wrapText="1"/>
    </xf>
    <xf numFmtId="14" fontId="14" fillId="0" borderId="8" xfId="9" applyNumberFormat="1" applyFont="1" applyFill="1" applyBorder="1" applyAlignment="1">
      <alignment horizontal="center" vertical="center" wrapText="1"/>
    </xf>
    <xf numFmtId="0" fontId="14" fillId="9" borderId="18" xfId="17" applyFont="1" applyFill="1" applyBorder="1" applyAlignment="1">
      <alignment horizontal="center" vertical="center" wrapText="1"/>
    </xf>
    <xf numFmtId="0" fontId="14" fillId="9" borderId="18" xfId="17" applyFont="1" applyFill="1" applyBorder="1" applyAlignment="1">
      <alignment horizontal="center" vertical="center"/>
    </xf>
    <xf numFmtId="0" fontId="14" fillId="0" borderId="18" xfId="9" applyFont="1" applyFill="1" applyBorder="1" applyAlignment="1">
      <alignment horizontal="center" vertical="center"/>
    </xf>
    <xf numFmtId="0" fontId="13" fillId="0" borderId="1" xfId="15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2" applyNumberFormat="1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5" fillId="0" borderId="9" xfId="15" applyNumberFormat="1" applyFont="1" applyFill="1" applyBorder="1" applyAlignment="1" applyProtection="1">
      <alignment horizontal="center" vertical="center" wrapText="1"/>
    </xf>
    <xf numFmtId="0" fontId="5" fillId="0" borderId="24" xfId="15" applyNumberFormat="1" applyFont="1" applyFill="1" applyBorder="1" applyAlignment="1" applyProtection="1">
      <alignment horizontal="center" vertical="center" wrapText="1"/>
      <protection locked="0"/>
    </xf>
    <xf numFmtId="0" fontId="5" fillId="0" borderId="20" xfId="15" applyNumberFormat="1" applyFont="1" applyFill="1" applyBorder="1" applyAlignment="1" applyProtection="1">
      <alignment horizontal="center" vertical="center" wrapText="1"/>
      <protection locked="0"/>
    </xf>
    <xf numFmtId="0" fontId="5" fillId="0" borderId="24" xfId="0" applyNumberFormat="1" applyFont="1" applyFill="1" applyBorder="1" applyAlignment="1" applyProtection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0" fontId="5" fillId="0" borderId="47" xfId="15" applyNumberFormat="1" applyFont="1" applyFill="1" applyBorder="1" applyAlignment="1" applyProtection="1">
      <alignment horizontal="center" vertical="center" wrapText="1"/>
      <protection locked="0"/>
    </xf>
    <xf numFmtId="0" fontId="5" fillId="0" borderId="47" xfId="15" applyNumberFormat="1" applyFont="1" applyFill="1" applyBorder="1" applyAlignment="1" applyProtection="1">
      <alignment horizontal="center" vertical="center" wrapText="1"/>
    </xf>
    <xf numFmtId="0" fontId="0" fillId="9" borderId="20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7" fillId="0" borderId="1" xfId="12" applyBorder="1" applyAlignment="1">
      <alignment horizontal="center" vertical="center"/>
    </xf>
    <xf numFmtId="0" fontId="7" fillId="0" borderId="18" xfId="12" applyFill="1" applyBorder="1" applyAlignment="1">
      <alignment horizontal="center" vertical="center"/>
    </xf>
    <xf numFmtId="0" fontId="7" fillId="0" borderId="1" xfId="12" applyFill="1" applyBorder="1" applyAlignment="1">
      <alignment horizontal="center" vertical="center"/>
    </xf>
    <xf numFmtId="0" fontId="7" fillId="0" borderId="25" xfId="12" applyBorder="1" applyAlignment="1">
      <alignment horizontal="center" vertical="center"/>
    </xf>
    <xf numFmtId="14" fontId="5" fillId="0" borderId="0" xfId="15" applyNumberFormat="1" applyFont="1" applyFill="1" applyBorder="1" applyAlignment="1" applyProtection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7" fillId="0" borderId="8" xfId="12" applyBorder="1" applyAlignment="1">
      <alignment horizontal="center" vertical="center"/>
    </xf>
    <xf numFmtId="0" fontId="5" fillId="0" borderId="13" xfId="15" applyNumberFormat="1" applyFont="1" applyFill="1" applyBorder="1" applyAlignment="1" applyProtection="1">
      <alignment horizontal="center" vertical="center" wrapText="1"/>
    </xf>
    <xf numFmtId="0" fontId="5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8" xfId="12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20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7" fillId="0" borderId="31" xfId="12" applyFill="1" applyBorder="1" applyAlignment="1">
      <alignment horizontal="center" vertical="center"/>
    </xf>
    <xf numFmtId="14" fontId="5" fillId="0" borderId="0" xfId="15" applyNumberFormat="1" applyFont="1" applyFill="1" applyBorder="1" applyAlignment="1">
      <alignment horizontal="center" vertical="center" wrapText="1"/>
    </xf>
    <xf numFmtId="0" fontId="15" fillId="8" borderId="1" xfId="15" applyNumberFormat="1" applyFont="1" applyFill="1" applyBorder="1" applyAlignment="1" applyProtection="1">
      <alignment horizontal="center" vertical="center" wrapText="1"/>
      <protection locked="0"/>
    </xf>
    <xf numFmtId="0" fontId="7" fillId="0" borderId="18" xfId="0" applyFont="1" applyBorder="1" applyAlignment="1">
      <alignment horizontal="center" vertical="center"/>
    </xf>
    <xf numFmtId="0" fontId="13" fillId="0" borderId="1" xfId="0" applyNumberFormat="1" applyFont="1" applyFill="1" applyBorder="1" applyAlignment="1" applyProtection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3" fillId="0" borderId="47" xfId="17" applyFont="1" applyFill="1" applyBorder="1" applyAlignment="1">
      <alignment horizontal="center" vertical="center"/>
    </xf>
    <xf numFmtId="0" fontId="23" fillId="0" borderId="47" xfId="17" applyFont="1" applyFill="1" applyBorder="1" applyAlignment="1">
      <alignment horizontal="center" vertical="center" wrapText="1"/>
    </xf>
    <xf numFmtId="0" fontId="23" fillId="0" borderId="47" xfId="17" applyFont="1" applyFill="1" applyBorder="1" applyAlignment="1" applyProtection="1">
      <alignment horizontal="center" vertical="center" wrapText="1"/>
      <protection locked="0"/>
    </xf>
    <xf numFmtId="164" fontId="23" fillId="0" borderId="47" xfId="17" applyNumberFormat="1" applyFont="1" applyFill="1" applyBorder="1" applyAlignment="1">
      <alignment horizontal="center" vertical="center" wrapText="1"/>
    </xf>
    <xf numFmtId="171" fontId="23" fillId="0" borderId="47" xfId="17" applyNumberFormat="1" applyFont="1" applyFill="1" applyBorder="1" applyAlignment="1">
      <alignment horizontal="center" vertical="center"/>
    </xf>
    <xf numFmtId="3" fontId="23" fillId="0" borderId="47" xfId="17" applyNumberFormat="1" applyFont="1" applyFill="1" applyBorder="1" applyAlignment="1">
      <alignment horizontal="center" vertical="center" wrapText="1"/>
    </xf>
    <xf numFmtId="166" fontId="23" fillId="0" borderId="47" xfId="17" applyNumberFormat="1" applyFont="1" applyFill="1" applyBorder="1" applyAlignment="1">
      <alignment horizontal="center" vertical="center" wrapText="1"/>
    </xf>
    <xf numFmtId="0" fontId="23" fillId="0" borderId="47" xfId="17" applyFont="1" applyFill="1" applyBorder="1" applyAlignment="1" applyProtection="1">
      <alignment horizontal="center" vertical="center"/>
      <protection locked="0"/>
    </xf>
    <xf numFmtId="164" fontId="23" fillId="0" borderId="47" xfId="17" applyNumberFormat="1" applyFont="1" applyFill="1" applyBorder="1" applyAlignment="1" applyProtection="1">
      <alignment horizontal="center" vertical="center" wrapText="1"/>
      <protection locked="0"/>
    </xf>
    <xf numFmtId="171" fontId="23" fillId="0" borderId="47" xfId="17" applyNumberFormat="1" applyFont="1" applyFill="1" applyBorder="1" applyAlignment="1" applyProtection="1">
      <alignment horizontal="center" vertical="center" wrapText="1"/>
      <protection locked="0"/>
    </xf>
    <xf numFmtId="3" fontId="23" fillId="0" borderId="47" xfId="17" applyNumberFormat="1" applyFont="1" applyFill="1" applyBorder="1" applyAlignment="1">
      <alignment horizontal="center" vertical="center"/>
    </xf>
    <xf numFmtId="0" fontId="23" fillId="0" borderId="47" xfId="15" applyNumberFormat="1" applyFont="1" applyFill="1" applyBorder="1" applyAlignment="1" applyProtection="1">
      <alignment horizontal="center" vertical="center" wrapText="1"/>
      <protection locked="0"/>
    </xf>
    <xf numFmtId="0" fontId="23" fillId="0" borderId="47" xfId="17" applyFont="1" applyFill="1" applyBorder="1" applyAlignment="1" applyProtection="1">
      <alignment horizontal="center" vertical="center" textRotation="90"/>
      <protection locked="0"/>
    </xf>
    <xf numFmtId="0" fontId="23" fillId="0" borderId="47" xfId="17" applyFont="1" applyFill="1" applyBorder="1" applyAlignment="1" applyProtection="1">
      <alignment horizontal="center" vertical="center" textRotation="90" wrapText="1"/>
      <protection locked="0"/>
    </xf>
    <xf numFmtId="1" fontId="23" fillId="0" borderId="47" xfId="17" applyNumberFormat="1" applyFont="1" applyFill="1" applyBorder="1" applyAlignment="1">
      <alignment horizontal="center" vertical="center" wrapText="1"/>
    </xf>
    <xf numFmtId="0" fontId="5" fillId="0" borderId="47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1" xfId="15" applyNumberFormat="1" applyFont="1" applyFill="1" applyBorder="1" applyAlignment="1" applyProtection="1">
      <alignment horizontal="center" vertical="center" wrapText="1"/>
      <protection locked="0"/>
    </xf>
    <xf numFmtId="0" fontId="18" fillId="0" borderId="1" xfId="15" applyNumberFormat="1" applyFont="1" applyFill="1" applyBorder="1" applyAlignment="1" applyProtection="1">
      <alignment horizontal="center" vertical="center" wrapText="1"/>
    </xf>
    <xf numFmtId="0" fontId="18" fillId="0" borderId="1" xfId="15" applyNumberFormat="1" applyFont="1" applyFill="1" applyBorder="1" applyAlignment="1">
      <alignment horizontal="center" vertical="center" wrapText="1"/>
    </xf>
    <xf numFmtId="0" fontId="18" fillId="0" borderId="0" xfId="15" applyFont="1" applyFill="1" applyBorder="1" applyAlignment="1">
      <alignment horizontal="center" vertical="center" wrapText="1"/>
    </xf>
    <xf numFmtId="0" fontId="14" fillId="0" borderId="2" xfId="17" applyFont="1" applyFill="1" applyBorder="1" applyAlignment="1" applyProtection="1">
      <alignment horizontal="center" vertical="center" wrapText="1"/>
      <protection locked="0"/>
    </xf>
    <xf numFmtId="0" fontId="0" fillId="9" borderId="20" xfId="0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13" fillId="0" borderId="1" xfId="15" applyNumberFormat="1" applyFont="1" applyFill="1" applyBorder="1" applyAlignment="1">
      <alignment horizontal="center" vertical="center" wrapText="1"/>
    </xf>
    <xf numFmtId="0" fontId="13" fillId="0" borderId="2" xfId="15" applyNumberFormat="1" applyFont="1" applyFill="1" applyBorder="1" applyAlignment="1">
      <alignment horizontal="center" vertical="center" wrapText="1"/>
    </xf>
    <xf numFmtId="164" fontId="13" fillId="0" borderId="1" xfId="15" applyNumberFormat="1" applyFont="1" applyFill="1" applyBorder="1" applyAlignment="1">
      <alignment horizontal="center" vertical="center" wrapText="1"/>
    </xf>
    <xf numFmtId="0" fontId="13" fillId="0" borderId="1" xfId="15" applyFont="1" applyFill="1" applyBorder="1" applyAlignment="1">
      <alignment horizontal="center" vertical="center" wrapText="1"/>
    </xf>
    <xf numFmtId="0" fontId="13" fillId="0" borderId="1" xfId="16" applyNumberFormat="1" applyFont="1" applyFill="1" applyBorder="1" applyAlignment="1" applyProtection="1">
      <alignment horizontal="center" vertical="center" wrapText="1"/>
      <protection locked="0"/>
    </xf>
    <xf numFmtId="2" fontId="13" fillId="0" borderId="1" xfId="15" applyNumberFormat="1" applyFont="1" applyFill="1" applyBorder="1" applyAlignment="1">
      <alignment horizontal="center" vertical="center" wrapText="1"/>
    </xf>
    <xf numFmtId="9" fontId="13" fillId="0" borderId="1" xfId="20" applyFont="1" applyFill="1" applyBorder="1" applyAlignment="1">
      <alignment horizontal="center" vertical="center" wrapText="1"/>
    </xf>
    <xf numFmtId="165" fontId="13" fillId="0" borderId="1" xfId="15" applyNumberFormat="1" applyFont="1" applyFill="1" applyBorder="1" applyAlignment="1" applyProtection="1">
      <alignment horizontal="center" vertical="center" wrapText="1"/>
    </xf>
    <xf numFmtId="3" fontId="13" fillId="0" borderId="1" xfId="0" applyNumberFormat="1" applyFont="1" applyFill="1" applyBorder="1" applyAlignment="1">
      <alignment horizontal="center" vertical="center" wrapText="1"/>
    </xf>
    <xf numFmtId="165" fontId="13" fillId="0" borderId="1" xfId="0" applyNumberFormat="1" applyFont="1" applyFill="1" applyBorder="1" applyAlignment="1" applyProtection="1">
      <alignment horizontal="center" vertical="center" wrapText="1"/>
    </xf>
    <xf numFmtId="0" fontId="13" fillId="0" borderId="1" xfId="16" applyNumberFormat="1" applyFont="1" applyFill="1" applyBorder="1" applyAlignment="1" applyProtection="1">
      <alignment horizontal="center" vertical="center" wrapText="1"/>
    </xf>
    <xf numFmtId="165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0" xfId="15" applyNumberFormat="1" applyFont="1" applyFill="1" applyBorder="1" applyAlignment="1" applyProtection="1">
      <alignment horizontal="center" vertical="center" wrapText="1"/>
    </xf>
    <xf numFmtId="0" fontId="13" fillId="0" borderId="0" xfId="15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0" fontId="13" fillId="0" borderId="0" xfId="15" applyNumberFormat="1" applyFont="1" applyFill="1" applyBorder="1" applyAlignment="1">
      <alignment horizontal="center" vertical="center" wrapText="1"/>
    </xf>
    <xf numFmtId="0" fontId="13" fillId="0" borderId="0" xfId="16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15" applyNumberFormat="1" applyFont="1" applyFill="1" applyAlignment="1">
      <alignment horizontal="center" vertical="center" wrapText="1"/>
    </xf>
    <xf numFmtId="0" fontId="13" fillId="0" borderId="1" xfId="16" applyNumberFormat="1" applyFont="1" applyFill="1" applyBorder="1" applyAlignment="1">
      <alignment horizontal="center" vertical="center" wrapText="1"/>
    </xf>
    <xf numFmtId="0" fontId="13" fillId="0" borderId="1" xfId="15" quotePrefix="1" applyNumberFormat="1" applyFont="1" applyFill="1" applyBorder="1" applyAlignment="1" applyProtection="1">
      <alignment horizontal="center" vertical="center" wrapText="1"/>
    </xf>
    <xf numFmtId="0" fontId="13" fillId="0" borderId="1" xfId="15" quotePrefix="1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15" quotePrefix="1" applyNumberFormat="1" applyFont="1" applyFill="1" applyBorder="1" applyAlignment="1">
      <alignment horizontal="center" vertical="center" wrapText="1"/>
    </xf>
    <xf numFmtId="0" fontId="4" fillId="0" borderId="1" xfId="17" applyFont="1" applyFill="1" applyBorder="1" applyAlignment="1">
      <alignment horizontal="center" vertical="center" wrapText="1"/>
    </xf>
    <xf numFmtId="3" fontId="4" fillId="0" borderId="1" xfId="17" applyNumberFormat="1" applyFont="1" applyFill="1" applyBorder="1" applyAlignment="1">
      <alignment horizontal="center" vertical="center" wrapText="1"/>
    </xf>
    <xf numFmtId="0" fontId="4" fillId="0" borderId="0" xfId="17" applyFont="1" applyFill="1" applyAlignment="1">
      <alignment horizontal="center" vertical="center" wrapText="1"/>
    </xf>
    <xf numFmtId="0" fontId="5" fillId="0" borderId="9" xfId="17" applyFont="1" applyFill="1" applyBorder="1" applyAlignment="1">
      <alignment horizontal="center" vertical="center"/>
    </xf>
    <xf numFmtId="0" fontId="5" fillId="0" borderId="9" xfId="17" applyFont="1" applyFill="1" applyBorder="1" applyAlignment="1">
      <alignment horizontal="center" vertical="center" wrapText="1"/>
    </xf>
    <xf numFmtId="3" fontId="5" fillId="0" borderId="9" xfId="17" applyNumberFormat="1" applyFont="1" applyFill="1" applyBorder="1" applyAlignment="1">
      <alignment horizontal="center" vertical="center"/>
    </xf>
    <xf numFmtId="0" fontId="5" fillId="0" borderId="31" xfId="17" applyFont="1" applyFill="1" applyBorder="1" applyAlignment="1">
      <alignment horizontal="center" vertical="center"/>
    </xf>
    <xf numFmtId="0" fontId="5" fillId="0" borderId="31" xfId="17" applyFont="1" applyFill="1" applyBorder="1" applyAlignment="1">
      <alignment horizontal="center" vertical="center" wrapText="1"/>
    </xf>
    <xf numFmtId="3" fontId="5" fillId="0" borderId="31" xfId="17" applyNumberFormat="1" applyFont="1" applyFill="1" applyBorder="1" applyAlignment="1">
      <alignment horizontal="center" vertical="center"/>
    </xf>
    <xf numFmtId="0" fontId="34" fillId="0" borderId="31" xfId="0" applyFont="1" applyBorder="1" applyAlignment="1">
      <alignment horizontal="center"/>
    </xf>
    <xf numFmtId="0" fontId="34" fillId="0" borderId="3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 vertical="center"/>
    </xf>
    <xf numFmtId="0" fontId="5" fillId="0" borderId="38" xfId="17" applyFont="1" applyFill="1" applyBorder="1" applyAlignment="1">
      <alignment horizontal="center" vertical="center"/>
    </xf>
    <xf numFmtId="0" fontId="5" fillId="0" borderId="38" xfId="17" applyFont="1" applyFill="1" applyBorder="1" applyAlignment="1">
      <alignment horizontal="center" vertical="center" wrapText="1"/>
    </xf>
    <xf numFmtId="3" fontId="5" fillId="0" borderId="38" xfId="17" applyNumberFormat="1" applyFont="1" applyFill="1" applyBorder="1" applyAlignment="1">
      <alignment horizontal="center" vertical="center"/>
    </xf>
    <xf numFmtId="0" fontId="34" fillId="0" borderId="38" xfId="0" applyFont="1" applyBorder="1" applyAlignment="1">
      <alignment horizontal="center"/>
    </xf>
    <xf numFmtId="0" fontId="34" fillId="0" borderId="38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24" xfId="17" applyFont="1" applyFill="1" applyBorder="1" applyAlignment="1">
      <alignment horizontal="center" vertical="center"/>
    </xf>
    <xf numFmtId="0" fontId="5" fillId="0" borderId="24" xfId="17" applyFont="1" applyFill="1" applyBorder="1" applyAlignment="1">
      <alignment horizontal="center" vertical="center" wrapText="1"/>
    </xf>
    <xf numFmtId="3" fontId="5" fillId="0" borderId="24" xfId="17" applyNumberFormat="1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5" fillId="0" borderId="2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3" fontId="5" fillId="0" borderId="38" xfId="0" applyNumberFormat="1" applyFont="1" applyBorder="1" applyAlignment="1">
      <alignment horizontal="center" vertical="center"/>
    </xf>
    <xf numFmtId="1" fontId="5" fillId="4" borderId="24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3" fontId="5" fillId="0" borderId="31" xfId="0" applyNumberFormat="1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0" borderId="2" xfId="17" applyFont="1" applyFill="1" applyBorder="1" applyAlignment="1">
      <alignment horizontal="center" vertical="center"/>
    </xf>
    <xf numFmtId="3" fontId="5" fillId="0" borderId="38" xfId="0" applyNumberFormat="1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31" xfId="0" applyFont="1" applyFill="1" applyBorder="1" applyAlignment="1" applyProtection="1">
      <alignment horizontal="center"/>
      <protection locked="0"/>
    </xf>
    <xf numFmtId="0" fontId="5" fillId="0" borderId="0" xfId="0" applyFont="1" applyFill="1"/>
    <xf numFmtId="0" fontId="5" fillId="0" borderId="1" xfId="0" applyFont="1" applyFill="1" applyBorder="1" applyAlignment="1" applyProtection="1">
      <alignment horizontal="center" wrapText="1"/>
      <protection locked="0"/>
    </xf>
    <xf numFmtId="0" fontId="5" fillId="0" borderId="38" xfId="0" applyFont="1" applyFill="1" applyBorder="1" applyAlignment="1" applyProtection="1">
      <alignment horizontal="center" wrapText="1"/>
      <protection locked="0"/>
    </xf>
    <xf numFmtId="0" fontId="5" fillId="0" borderId="24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/>
    </xf>
    <xf numFmtId="0" fontId="5" fillId="0" borderId="31" xfId="17" applyFont="1" applyFill="1" applyBorder="1" applyAlignment="1">
      <alignment vertical="center"/>
    </xf>
    <xf numFmtId="0" fontId="5" fillId="0" borderId="1" xfId="17" applyFont="1" applyFill="1" applyBorder="1" applyAlignment="1">
      <alignment vertical="center"/>
    </xf>
    <xf numFmtId="0" fontId="5" fillId="0" borderId="38" xfId="17" applyFont="1" applyFill="1" applyBorder="1" applyAlignment="1">
      <alignment vertical="center"/>
    </xf>
    <xf numFmtId="3" fontId="5" fillId="0" borderId="0" xfId="17" applyNumberFormat="1" applyFont="1" applyFill="1" applyAlignment="1">
      <alignment horizontal="center" vertical="center"/>
    </xf>
    <xf numFmtId="0" fontId="35" fillId="0" borderId="0" xfId="0" applyFont="1" applyBorder="1" applyAlignment="1">
      <alignment horizontal="left" indent="1"/>
    </xf>
    <xf numFmtId="0" fontId="36" fillId="0" borderId="0" xfId="0" applyFont="1" applyBorder="1" applyAlignment="1">
      <alignment horizontal="center"/>
    </xf>
    <xf numFmtId="0" fontId="4" fillId="0" borderId="0" xfId="17" applyFont="1" applyFill="1" applyAlignment="1">
      <alignment horizontal="center" vertical="center"/>
    </xf>
    <xf numFmtId="0" fontId="4" fillId="0" borderId="0" xfId="15" applyNumberFormat="1" applyFont="1" applyFill="1" applyBorder="1" applyAlignment="1">
      <alignment horizontal="center" vertical="center"/>
    </xf>
    <xf numFmtId="3" fontId="4" fillId="0" borderId="0" xfId="17" applyNumberFormat="1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3" fontId="4" fillId="0" borderId="0" xfId="0" applyNumberFormat="1" applyFont="1"/>
    <xf numFmtId="0" fontId="4" fillId="0" borderId="1" xfId="17" applyFont="1" applyFill="1" applyBorder="1" applyAlignment="1">
      <alignment horizontal="center" vertical="center"/>
    </xf>
    <xf numFmtId="0" fontId="14" fillId="0" borderId="1" xfId="17" applyFont="1" applyFill="1" applyBorder="1" applyAlignment="1" applyProtection="1">
      <alignment horizontal="left" vertical="center" wrapText="1"/>
      <protection locked="0"/>
    </xf>
    <xf numFmtId="171" fontId="14" fillId="0" borderId="1" xfId="9" applyNumberFormat="1" applyFont="1" applyFill="1" applyBorder="1" applyAlignment="1" applyProtection="1">
      <alignment horizontal="center" vertical="center"/>
      <protection locked="0"/>
    </xf>
    <xf numFmtId="10" fontId="14" fillId="0" borderId="1" xfId="17" applyNumberFormat="1" applyFont="1" applyFill="1" applyBorder="1" applyAlignment="1" applyProtection="1">
      <alignment horizontal="center" vertical="center" wrapText="1"/>
      <protection locked="0"/>
    </xf>
    <xf numFmtId="0" fontId="37" fillId="0" borderId="1" xfId="9" applyFont="1" applyFill="1" applyBorder="1" applyAlignment="1">
      <alignment horizontal="center" vertical="center" wrapText="1"/>
    </xf>
    <xf numFmtId="0" fontId="14" fillId="0" borderId="1" xfId="17" applyNumberFormat="1" applyFont="1" applyFill="1" applyBorder="1" applyAlignment="1">
      <alignment horizontal="center" vertical="center"/>
    </xf>
    <xf numFmtId="9" fontId="14" fillId="0" borderId="1" xfId="17" applyNumberFormat="1" applyFont="1" applyFill="1" applyBorder="1" applyAlignment="1" applyProtection="1">
      <alignment horizontal="center" vertical="center" wrapText="1"/>
      <protection locked="0"/>
    </xf>
    <xf numFmtId="10" fontId="14" fillId="9" borderId="1" xfId="17" applyNumberFormat="1" applyFont="1" applyFill="1" applyBorder="1" applyAlignment="1" applyProtection="1">
      <alignment horizontal="center" vertical="center" wrapText="1"/>
      <protection locked="0"/>
    </xf>
    <xf numFmtId="0" fontId="14" fillId="8" borderId="1" xfId="17" applyFont="1" applyFill="1" applyBorder="1" applyAlignment="1" applyProtection="1">
      <alignment horizontal="center" vertical="center"/>
      <protection locked="0"/>
    </xf>
    <xf numFmtId="0" fontId="14" fillId="8" borderId="18" xfId="17" applyFont="1" applyFill="1" applyBorder="1" applyAlignment="1">
      <alignment horizontal="center" vertical="center"/>
    </xf>
    <xf numFmtId="164" fontId="14" fillId="8" borderId="1" xfId="17" applyNumberFormat="1" applyFont="1" applyFill="1" applyBorder="1" applyAlignment="1" applyProtection="1">
      <alignment horizontal="center" vertical="center" wrapText="1"/>
      <protection locked="0"/>
    </xf>
    <xf numFmtId="171" fontId="14" fillId="8" borderId="1" xfId="17" applyNumberFormat="1" applyFont="1" applyFill="1" applyBorder="1" applyAlignment="1" applyProtection="1">
      <alignment horizontal="center" vertical="center"/>
      <protection locked="0"/>
    </xf>
    <xf numFmtId="0" fontId="14" fillId="8" borderId="1" xfId="17" applyFont="1" applyFill="1" applyBorder="1" applyAlignment="1">
      <alignment horizontal="center" vertical="center"/>
    </xf>
    <xf numFmtId="0" fontId="14" fillId="8" borderId="1" xfId="17" applyFont="1" applyFill="1" applyBorder="1" applyAlignment="1">
      <alignment horizontal="center" vertical="center" wrapText="1"/>
    </xf>
    <xf numFmtId="14" fontId="14" fillId="8" borderId="1" xfId="17" applyNumberFormat="1" applyFont="1" applyFill="1" applyBorder="1" applyAlignment="1">
      <alignment horizontal="center" vertical="center"/>
    </xf>
    <xf numFmtId="3" fontId="14" fillId="8" borderId="1" xfId="17" applyNumberFormat="1" applyFont="1" applyFill="1" applyBorder="1" applyAlignment="1">
      <alignment horizontal="center" vertical="center"/>
    </xf>
    <xf numFmtId="164" fontId="14" fillId="8" borderId="1" xfId="17" applyNumberFormat="1" applyFont="1" applyFill="1" applyBorder="1" applyAlignment="1">
      <alignment horizontal="center" vertical="center"/>
    </xf>
    <xf numFmtId="166" fontId="14" fillId="8" borderId="1" xfId="17" applyNumberFormat="1" applyFont="1" applyFill="1" applyBorder="1" applyAlignment="1">
      <alignment horizontal="center" vertical="center" wrapText="1"/>
    </xf>
    <xf numFmtId="164" fontId="14" fillId="8" borderId="1" xfId="17" applyNumberFormat="1" applyFont="1" applyFill="1" applyBorder="1" applyAlignment="1">
      <alignment horizontal="center" vertical="center" wrapText="1"/>
    </xf>
    <xf numFmtId="10" fontId="14" fillId="8" borderId="1" xfId="17" applyNumberFormat="1" applyFont="1" applyFill="1" applyBorder="1" applyAlignment="1">
      <alignment horizontal="center" vertical="center"/>
    </xf>
    <xf numFmtId="0" fontId="14" fillId="8" borderId="4" xfId="17" applyFont="1" applyFill="1" applyBorder="1" applyAlignment="1">
      <alignment horizontal="center" vertical="center"/>
    </xf>
    <xf numFmtId="0" fontId="14" fillId="8" borderId="0" xfId="17" applyFont="1" applyFill="1" applyBorder="1" applyAlignment="1">
      <alignment horizontal="center" vertical="center"/>
    </xf>
    <xf numFmtId="3" fontId="14" fillId="8" borderId="1" xfId="17" applyNumberFormat="1" applyFont="1" applyFill="1" applyBorder="1" applyAlignment="1">
      <alignment horizontal="center" vertical="center" wrapText="1"/>
    </xf>
    <xf numFmtId="1" fontId="14" fillId="8" borderId="1" xfId="17" applyNumberFormat="1" applyFont="1" applyFill="1" applyBorder="1" applyAlignment="1" applyProtection="1">
      <alignment horizontal="center" vertical="center" wrapText="1"/>
    </xf>
    <xf numFmtId="0" fontId="1" fillId="0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4" fillId="0" borderId="1" xfId="17" applyFont="1" applyFill="1" applyBorder="1" applyAlignment="1">
      <alignment horizontal="left" vertical="center" wrapText="1"/>
    </xf>
    <xf numFmtId="10" fontId="14" fillId="0" borderId="1" xfId="20" applyNumberFormat="1" applyFont="1" applyFill="1" applyBorder="1" applyAlignment="1">
      <alignment horizontal="center" vertical="center" wrapText="1"/>
    </xf>
    <xf numFmtId="10" fontId="14" fillId="0" borderId="1" xfId="20" applyNumberFormat="1" applyFont="1" applyFill="1" applyBorder="1" applyAlignment="1">
      <alignment horizontal="center" vertical="center"/>
    </xf>
    <xf numFmtId="164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/>
    <xf numFmtId="0" fontId="15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14" fillId="8" borderId="8" xfId="17" applyNumberFormat="1" applyFont="1" applyFill="1" applyBorder="1" applyAlignment="1">
      <alignment horizontal="center" vertical="center" wrapText="1"/>
    </xf>
    <xf numFmtId="164" fontId="14" fillId="8" borderId="5" xfId="17" applyNumberFormat="1" applyFont="1" applyFill="1" applyBorder="1" applyAlignment="1">
      <alignment horizontal="center" vertical="center"/>
    </xf>
    <xf numFmtId="171" fontId="14" fillId="8" borderId="1" xfId="17" quotePrefix="1" applyNumberFormat="1" applyFont="1" applyFill="1" applyBorder="1" applyAlignment="1" applyProtection="1">
      <alignment horizontal="center" vertical="center"/>
      <protection locked="0"/>
    </xf>
    <xf numFmtId="0" fontId="14" fillId="8" borderId="4" xfId="17" applyFont="1" applyFill="1" applyBorder="1" applyAlignment="1">
      <alignment horizontal="center" vertical="center" wrapText="1"/>
    </xf>
    <xf numFmtId="0" fontId="23" fillId="8" borderId="47" xfId="17" applyFont="1" applyFill="1" applyBorder="1" applyAlignment="1" applyProtection="1">
      <alignment horizontal="center" vertical="center" wrapText="1"/>
      <protection locked="0"/>
    </xf>
    <xf numFmtId="0" fontId="23" fillId="0" borderId="47" xfId="17" applyFont="1" applyFill="1" applyBorder="1" applyAlignment="1" applyProtection="1">
      <alignment horizontal="left" vertical="center"/>
      <protection locked="0"/>
    </xf>
    <xf numFmtId="0" fontId="23" fillId="0" borderId="47" xfId="17" applyFont="1" applyFill="1" applyBorder="1" applyAlignment="1">
      <alignment vertical="center"/>
    </xf>
    <xf numFmtId="10" fontId="14" fillId="8" borderId="1" xfId="20" applyNumberFormat="1" applyFont="1" applyFill="1" applyBorder="1" applyAlignment="1" applyProtection="1">
      <alignment horizontal="center" vertical="center" wrapText="1"/>
      <protection locked="0"/>
    </xf>
    <xf numFmtId="0" fontId="14" fillId="8" borderId="1" xfId="17" applyFont="1" applyFill="1" applyBorder="1" applyAlignment="1" applyProtection="1">
      <alignment horizontal="center" vertical="center" wrapText="1" shrinkToFit="1"/>
      <protection locked="0"/>
    </xf>
    <xf numFmtId="2" fontId="14" fillId="8" borderId="1" xfId="17" applyNumberFormat="1" applyFont="1" applyFill="1" applyBorder="1" applyAlignment="1" applyProtection="1">
      <alignment horizontal="center" vertical="center" wrapText="1"/>
      <protection locked="0"/>
    </xf>
    <xf numFmtId="0" fontId="37" fillId="8" borderId="1" xfId="9" applyFont="1" applyFill="1" applyBorder="1" applyAlignment="1" applyProtection="1">
      <alignment horizontal="center" vertical="center" wrapText="1"/>
      <protection locked="0"/>
    </xf>
    <xf numFmtId="0" fontId="37" fillId="8" borderId="1" xfId="9" applyFont="1" applyFill="1" applyBorder="1" applyAlignment="1" applyProtection="1">
      <alignment horizontal="center" vertical="center"/>
      <protection locked="0"/>
    </xf>
    <xf numFmtId="0" fontId="32" fillId="8" borderId="1" xfId="9" applyFill="1" applyBorder="1" applyAlignment="1" applyProtection="1">
      <alignment horizontal="center" vertical="center" wrapText="1"/>
      <protection locked="0"/>
    </xf>
    <xf numFmtId="3" fontId="14" fillId="8" borderId="1" xfId="17" applyNumberFormat="1" applyFont="1" applyFill="1" applyBorder="1" applyAlignment="1" applyProtection="1">
      <alignment horizontal="center" vertical="center" wrapText="1"/>
      <protection locked="0"/>
    </xf>
    <xf numFmtId="1" fontId="14" fillId="8" borderId="1" xfId="17" applyNumberFormat="1" applyFont="1" applyFill="1" applyBorder="1" applyAlignment="1" applyProtection="1">
      <alignment horizontal="center" vertical="center" wrapText="1"/>
      <protection locked="0"/>
    </xf>
    <xf numFmtId="3" fontId="31" fillId="8" borderId="1" xfId="1" applyNumberFormat="1" applyFill="1" applyBorder="1" applyAlignment="1">
      <alignment horizontal="center" vertical="center"/>
    </xf>
    <xf numFmtId="0" fontId="31" fillId="8" borderId="1" xfId="1" applyFill="1" applyBorder="1" applyAlignment="1">
      <alignment horizontal="center" vertical="center" wrapText="1"/>
    </xf>
    <xf numFmtId="164" fontId="31" fillId="8" borderId="1" xfId="1" applyNumberFormat="1" applyFill="1" applyBorder="1" applyAlignment="1">
      <alignment horizontal="center" vertical="center"/>
    </xf>
    <xf numFmtId="0" fontId="31" fillId="8" borderId="1" xfId="1" applyFill="1" applyBorder="1" applyAlignment="1">
      <alignment horizontal="center" vertical="center"/>
    </xf>
    <xf numFmtId="10" fontId="31" fillId="8" borderId="1" xfId="1" applyNumberFormat="1" applyFill="1" applyBorder="1" applyAlignment="1">
      <alignment horizontal="center" vertical="center"/>
    </xf>
    <xf numFmtId="0" fontId="31" fillId="8" borderId="4" xfId="1" applyFill="1" applyBorder="1" applyAlignment="1">
      <alignment horizontal="center" vertical="center" wrapText="1"/>
    </xf>
    <xf numFmtId="172" fontId="14" fillId="8" borderId="1" xfId="20" applyNumberFormat="1" applyFont="1" applyFill="1" applyBorder="1" applyAlignment="1">
      <alignment horizontal="center" vertical="center" wrapText="1"/>
    </xf>
    <xf numFmtId="0" fontId="37" fillId="8" borderId="1" xfId="9" applyFont="1" applyFill="1" applyBorder="1" applyAlignment="1">
      <alignment horizontal="center" vertical="center" wrapText="1"/>
    </xf>
    <xf numFmtId="2" fontId="14" fillId="8" borderId="24" xfId="17" applyNumberFormat="1" applyFont="1" applyFill="1" applyBorder="1" applyAlignment="1" applyProtection="1">
      <alignment horizontal="center" vertical="center" wrapText="1"/>
      <protection locked="0"/>
    </xf>
    <xf numFmtId="2" fontId="14" fillId="9" borderId="24" xfId="17" applyNumberFormat="1" applyFont="1" applyFill="1" applyBorder="1" applyAlignment="1" applyProtection="1">
      <alignment horizontal="center" vertical="center" wrapText="1"/>
      <protection locked="0"/>
    </xf>
    <xf numFmtId="0" fontId="14" fillId="10" borderId="1" xfId="17" applyFont="1" applyFill="1" applyBorder="1" applyAlignment="1" applyProtection="1">
      <alignment horizontal="center" vertical="center"/>
      <protection locked="0"/>
    </xf>
    <xf numFmtId="164" fontId="14" fillId="10" borderId="1" xfId="17" applyNumberFormat="1" applyFont="1" applyFill="1" applyBorder="1" applyAlignment="1">
      <alignment horizontal="center" vertical="center" wrapText="1"/>
    </xf>
    <xf numFmtId="0" fontId="14" fillId="10" borderId="1" xfId="17" applyFont="1" applyFill="1" applyBorder="1" applyAlignment="1" applyProtection="1">
      <alignment horizontal="center" vertical="center" wrapText="1"/>
      <protection locked="0"/>
    </xf>
    <xf numFmtId="0" fontId="14" fillId="10" borderId="1" xfId="17" applyFont="1" applyFill="1" applyBorder="1" applyAlignment="1">
      <alignment horizontal="center" vertical="center" wrapText="1"/>
    </xf>
    <xf numFmtId="0" fontId="13" fillId="0" borderId="1" xfId="15" applyNumberFormat="1" applyFont="1" applyFill="1" applyBorder="1" applyAlignment="1">
      <alignment horizontal="center" vertical="center" wrapText="1"/>
    </xf>
    <xf numFmtId="0" fontId="1" fillId="0" borderId="1" xfId="18" applyFont="1" applyFill="1" applyBorder="1" applyAlignment="1">
      <alignment horizontal="center" vertical="center"/>
    </xf>
    <xf numFmtId="0" fontId="14" fillId="0" borderId="1" xfId="17" applyFont="1" applyFill="1" applyBorder="1" applyAlignment="1" applyProtection="1">
      <alignment horizontal="center" vertical="center" wrapText="1"/>
      <protection locked="0"/>
    </xf>
    <xf numFmtId="1" fontId="14" fillId="0" borderId="1" xfId="17" applyNumberFormat="1" applyFont="1" applyFill="1" applyBorder="1" applyAlignment="1">
      <alignment horizontal="center" vertical="center" wrapText="1"/>
    </xf>
    <xf numFmtId="0" fontId="14" fillId="0" borderId="0" xfId="17" applyFont="1" applyFill="1" applyBorder="1" applyAlignment="1">
      <alignment horizontal="center" vertical="center"/>
    </xf>
    <xf numFmtId="171" fontId="14" fillId="0" borderId="1" xfId="17" quotePrefix="1" applyNumberFormat="1" applyFont="1" applyFill="1" applyBorder="1" applyAlignment="1" applyProtection="1">
      <alignment horizontal="center" vertical="center" wrapText="1"/>
      <protection locked="0"/>
    </xf>
    <xf numFmtId="2" fontId="14" fillId="0" borderId="24" xfId="17" applyNumberFormat="1" applyFont="1" applyFill="1" applyBorder="1" applyAlignment="1" applyProtection="1">
      <alignment horizontal="center" vertical="center" wrapText="1"/>
      <protection locked="0"/>
    </xf>
    <xf numFmtId="2" fontId="14" fillId="0" borderId="4" xfId="17" applyNumberFormat="1" applyFont="1" applyFill="1" applyBorder="1" applyAlignment="1">
      <alignment horizontal="center" vertical="center"/>
    </xf>
    <xf numFmtId="0" fontId="14" fillId="0" borderId="4" xfId="1" applyFont="1" applyFill="1" applyBorder="1" applyAlignment="1">
      <alignment horizontal="center" vertical="center" wrapText="1"/>
    </xf>
    <xf numFmtId="10" fontId="14" fillId="0" borderId="1" xfId="1" applyNumberFormat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164" fontId="14" fillId="0" borderId="1" xfId="1" applyNumberFormat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wrapText="1"/>
    </xf>
    <xf numFmtId="3" fontId="14" fillId="0" borderId="1" xfId="1" applyNumberFormat="1" applyFont="1" applyFill="1" applyBorder="1" applyAlignment="1">
      <alignment horizontal="center" vertical="center"/>
    </xf>
    <xf numFmtId="1" fontId="14" fillId="0" borderId="1" xfId="17" applyNumberFormat="1" applyFont="1" applyFill="1" applyBorder="1" applyAlignment="1">
      <alignment horizontal="center" vertical="center" wrapText="1"/>
    </xf>
    <xf numFmtId="14" fontId="14" fillId="0" borderId="1" xfId="17" applyNumberFormat="1" applyFont="1" applyFill="1" applyBorder="1" applyAlignment="1">
      <alignment horizontal="center" vertical="center" wrapText="1"/>
    </xf>
    <xf numFmtId="10" fontId="14" fillId="0" borderId="1" xfId="17" applyNumberFormat="1" applyFont="1" applyFill="1" applyBorder="1" applyAlignment="1">
      <alignment horizontal="center" vertical="center" wrapText="1"/>
    </xf>
    <xf numFmtId="171" fontId="14" fillId="0" borderId="1" xfId="17" applyNumberFormat="1" applyFont="1" applyFill="1" applyBorder="1" applyAlignment="1" applyProtection="1">
      <alignment horizontal="center" vertical="center" wrapText="1"/>
      <protection locked="0"/>
    </xf>
    <xf numFmtId="0" fontId="14" fillId="0" borderId="24" xfId="17" applyFont="1" applyFill="1" applyBorder="1" applyAlignment="1" applyProtection="1">
      <alignment horizontal="center" vertical="center" wrapText="1"/>
      <protection locked="0"/>
    </xf>
    <xf numFmtId="0" fontId="14" fillId="0" borderId="5" xfId="17" applyFont="1" applyFill="1" applyBorder="1" applyAlignment="1">
      <alignment horizontal="center" vertical="center" wrapText="1"/>
    </xf>
    <xf numFmtId="2" fontId="14" fillId="0" borderId="24" xfId="17" applyNumberFormat="1" applyFont="1" applyFill="1" applyBorder="1" applyAlignment="1" applyProtection="1">
      <alignment horizontal="center" vertical="center" wrapText="1"/>
      <protection locked="0"/>
    </xf>
    <xf numFmtId="0" fontId="14" fillId="0" borderId="18" xfId="0" applyFont="1" applyFill="1" applyBorder="1" applyAlignment="1">
      <alignment horizontal="center" vertical="center"/>
    </xf>
    <xf numFmtId="0" fontId="14" fillId="0" borderId="1" xfId="17" applyFont="1" applyFill="1" applyBorder="1" applyAlignment="1">
      <alignment horizontal="center" vertical="center"/>
    </xf>
    <xf numFmtId="0" fontId="14" fillId="0" borderId="1" xfId="17" applyFont="1" applyFill="1" applyBorder="1" applyAlignment="1">
      <alignment horizontal="center" vertical="center" wrapText="1"/>
    </xf>
    <xf numFmtId="0" fontId="14" fillId="0" borderId="1" xfId="17" applyFont="1" applyFill="1" applyBorder="1" applyAlignment="1" applyProtection="1">
      <alignment horizontal="center" vertical="center" wrapText="1"/>
      <protection locked="0"/>
    </xf>
    <xf numFmtId="164" fontId="14" fillId="0" borderId="1" xfId="17" applyNumberFormat="1" applyFont="1" applyFill="1" applyBorder="1" applyAlignment="1">
      <alignment horizontal="center" vertical="center" wrapText="1"/>
    </xf>
    <xf numFmtId="166" fontId="14" fillId="0" borderId="1" xfId="17" applyNumberFormat="1" applyFont="1" applyFill="1" applyBorder="1" applyAlignment="1">
      <alignment horizontal="center" vertical="center" wrapText="1"/>
    </xf>
    <xf numFmtId="3" fontId="14" fillId="0" borderId="1" xfId="17" applyNumberFormat="1" applyFont="1" applyFill="1" applyBorder="1" applyAlignment="1">
      <alignment horizontal="center" vertical="center"/>
    </xf>
    <xf numFmtId="164" fontId="14" fillId="0" borderId="1" xfId="17" applyNumberFormat="1" applyFont="1" applyFill="1" applyBorder="1" applyAlignment="1">
      <alignment horizontal="center" vertical="center"/>
    </xf>
    <xf numFmtId="1" fontId="14" fillId="0" borderId="1" xfId="17" applyNumberFormat="1" applyFont="1" applyFill="1" applyBorder="1" applyAlignment="1" applyProtection="1">
      <alignment horizontal="center" vertical="center" wrapText="1"/>
    </xf>
    <xf numFmtId="10" fontId="14" fillId="0" borderId="1" xfId="17" applyNumberFormat="1" applyFont="1" applyFill="1" applyBorder="1" applyAlignment="1">
      <alignment horizontal="center" vertical="center"/>
    </xf>
    <xf numFmtId="0" fontId="14" fillId="0" borderId="0" xfId="17" applyFont="1" applyFill="1" applyBorder="1" applyAlignment="1">
      <alignment horizontal="center" vertical="center"/>
    </xf>
    <xf numFmtId="166" fontId="14" fillId="0" borderId="4" xfId="17" applyNumberFormat="1" applyFont="1" applyFill="1" applyBorder="1" applyAlignment="1">
      <alignment horizontal="center" vertical="center"/>
    </xf>
    <xf numFmtId="0" fontId="14" fillId="0" borderId="5" xfId="17" applyFont="1" applyFill="1" applyBorder="1" applyAlignment="1">
      <alignment horizontal="center" vertical="center"/>
    </xf>
    <xf numFmtId="0" fontId="14" fillId="8" borderId="1" xfId="17" applyFont="1" applyFill="1" applyBorder="1" applyAlignment="1" applyProtection="1">
      <alignment horizontal="center" vertical="center" wrapText="1"/>
      <protection locked="0"/>
    </xf>
    <xf numFmtId="2" fontId="14" fillId="0" borderId="24" xfId="17" applyNumberFormat="1" applyFont="1" applyFill="1" applyBorder="1" applyAlignment="1" applyProtection="1">
      <alignment horizontal="center" vertical="center" wrapText="1"/>
      <protection locked="0"/>
    </xf>
    <xf numFmtId="0" fontId="14" fillId="8" borderId="0" xfId="17" applyFont="1" applyFill="1" applyBorder="1" applyAlignment="1">
      <alignment horizontal="center" vertical="center"/>
    </xf>
    <xf numFmtId="0" fontId="14" fillId="0" borderId="1" xfId="17" applyFont="1" applyFill="1" applyBorder="1" applyAlignment="1">
      <alignment horizontal="center" vertical="center" wrapText="1"/>
    </xf>
    <xf numFmtId="0" fontId="14" fillId="0" borderId="1" xfId="17" applyFont="1" applyFill="1" applyBorder="1" applyAlignment="1" applyProtection="1">
      <alignment horizontal="center" vertical="center"/>
      <protection locked="0"/>
    </xf>
    <xf numFmtId="0" fontId="14" fillId="0" borderId="1" xfId="17" applyFont="1" applyFill="1" applyBorder="1" applyAlignment="1" applyProtection="1">
      <alignment horizontal="center" vertical="center" wrapText="1"/>
      <protection locked="0"/>
    </xf>
    <xf numFmtId="3" fontId="14" fillId="0" borderId="1" xfId="17" applyNumberFormat="1" applyFont="1" applyFill="1" applyBorder="1" applyAlignment="1">
      <alignment horizontal="center" vertical="center" wrapText="1"/>
    </xf>
    <xf numFmtId="164" fontId="14" fillId="0" borderId="1" xfId="17" applyNumberFormat="1" applyFont="1" applyFill="1" applyBorder="1" applyAlignment="1">
      <alignment horizontal="center" vertical="center" wrapText="1"/>
    </xf>
    <xf numFmtId="166" fontId="14" fillId="0" borderId="1" xfId="17" applyNumberFormat="1" applyFont="1" applyFill="1" applyBorder="1" applyAlignment="1">
      <alignment horizontal="center" vertical="center" wrapText="1"/>
    </xf>
    <xf numFmtId="2" fontId="14" fillId="0" borderId="1" xfId="17" applyNumberFormat="1" applyFont="1" applyFill="1" applyBorder="1" applyAlignment="1" applyProtection="1">
      <alignment horizontal="center" vertical="center" wrapText="1"/>
      <protection locked="0"/>
    </xf>
    <xf numFmtId="3" fontId="14" fillId="0" borderId="1" xfId="17" applyNumberFormat="1" applyFont="1" applyFill="1" applyBorder="1" applyAlignment="1">
      <alignment horizontal="center" vertical="center"/>
    </xf>
    <xf numFmtId="164" fontId="14" fillId="0" borderId="1" xfId="17" applyNumberFormat="1" applyFont="1" applyFill="1" applyBorder="1" applyAlignment="1">
      <alignment horizontal="center" vertical="center"/>
    </xf>
    <xf numFmtId="3" fontId="14" fillId="0" borderId="1" xfId="17" applyNumberFormat="1" applyFont="1" applyFill="1" applyBorder="1" applyAlignment="1" applyProtection="1">
      <alignment horizontal="center" vertical="center" wrapText="1"/>
      <protection locked="0"/>
    </xf>
    <xf numFmtId="1" fontId="14" fillId="0" borderId="1" xfId="17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17" applyFont="1" applyFill="1" applyBorder="1" applyAlignment="1">
      <alignment horizontal="center" vertical="center"/>
    </xf>
    <xf numFmtId="171" fontId="14" fillId="0" borderId="1" xfId="17" quotePrefix="1" applyNumberFormat="1" applyFont="1" applyFill="1" applyBorder="1" applyAlignment="1" applyProtection="1">
      <alignment horizontal="center" vertical="center"/>
      <protection locked="0"/>
    </xf>
    <xf numFmtId="0" fontId="14" fillId="0" borderId="18" xfId="17" applyFont="1" applyFill="1" applyBorder="1" applyAlignment="1">
      <alignment horizontal="center" vertical="center" wrapText="1"/>
    </xf>
    <xf numFmtId="2" fontId="14" fillId="0" borderId="24" xfId="17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17" applyFont="1" applyFill="1" applyBorder="1" applyAlignment="1">
      <alignment horizontal="center" vertical="center"/>
    </xf>
    <xf numFmtId="0" fontId="14" fillId="0" borderId="1" xfId="17" applyFont="1" applyFill="1" applyBorder="1" applyAlignment="1">
      <alignment horizontal="center" vertical="center" wrapText="1"/>
    </xf>
    <xf numFmtId="0" fontId="14" fillId="0" borderId="1" xfId="17" applyFont="1" applyFill="1" applyBorder="1" applyAlignment="1" applyProtection="1">
      <alignment horizontal="center" vertical="center"/>
      <protection locked="0"/>
    </xf>
    <xf numFmtId="0" fontId="14" fillId="0" borderId="1" xfId="17" applyFont="1" applyFill="1" applyBorder="1" applyAlignment="1" applyProtection="1">
      <alignment horizontal="center" vertical="center" wrapText="1"/>
      <protection locked="0"/>
    </xf>
    <xf numFmtId="3" fontId="14" fillId="0" borderId="1" xfId="17" applyNumberFormat="1" applyFont="1" applyFill="1" applyBorder="1" applyAlignment="1">
      <alignment horizontal="center" vertical="center" wrapText="1"/>
    </xf>
    <xf numFmtId="166" fontId="14" fillId="0" borderId="1" xfId="17" applyNumberFormat="1" applyFont="1" applyFill="1" applyBorder="1" applyAlignment="1">
      <alignment horizontal="center" vertical="center" wrapText="1"/>
    </xf>
    <xf numFmtId="2" fontId="14" fillId="0" borderId="1" xfId="17" applyNumberFormat="1" applyFont="1" applyFill="1" applyBorder="1" applyAlignment="1" applyProtection="1">
      <alignment horizontal="center" vertical="center" wrapText="1"/>
      <protection locked="0"/>
    </xf>
    <xf numFmtId="3" fontId="14" fillId="0" borderId="1" xfId="17" applyNumberFormat="1" applyFont="1" applyFill="1" applyBorder="1" applyAlignment="1">
      <alignment horizontal="center" vertical="center"/>
    </xf>
    <xf numFmtId="164" fontId="14" fillId="0" borderId="1" xfId="17" applyNumberFormat="1" applyFont="1" applyFill="1" applyBorder="1" applyAlignment="1">
      <alignment horizontal="center" vertical="center"/>
    </xf>
    <xf numFmtId="10" fontId="14" fillId="0" borderId="1" xfId="17" applyNumberFormat="1" applyFont="1" applyFill="1" applyBorder="1" applyAlignment="1">
      <alignment horizontal="center" vertical="center"/>
    </xf>
    <xf numFmtId="171" fontId="14" fillId="0" borderId="1" xfId="17" quotePrefix="1" applyNumberFormat="1" applyFont="1" applyFill="1" applyBorder="1" applyAlignment="1" applyProtection="1">
      <alignment horizontal="center" vertical="center"/>
      <protection locked="0"/>
    </xf>
    <xf numFmtId="14" fontId="14" fillId="0" borderId="8" xfId="17" applyNumberFormat="1" applyFont="1" applyFill="1" applyBorder="1" applyAlignment="1">
      <alignment horizontal="center" vertical="center" wrapText="1"/>
    </xf>
    <xf numFmtId="0" fontId="14" fillId="0" borderId="18" xfId="17" applyFont="1" applyFill="1" applyBorder="1" applyAlignment="1">
      <alignment horizontal="center" vertical="center"/>
    </xf>
    <xf numFmtId="0" fontId="14" fillId="0" borderId="1" xfId="9" applyFont="1" applyFill="1" applyBorder="1" applyAlignment="1">
      <alignment horizontal="center" vertical="center" wrapText="1"/>
    </xf>
    <xf numFmtId="164" fontId="14" fillId="0" borderId="5" xfId="17" applyNumberFormat="1" applyFont="1" applyFill="1" applyBorder="1" applyAlignment="1">
      <alignment horizontal="center" vertical="center"/>
    </xf>
    <xf numFmtId="2" fontId="14" fillId="0" borderId="24" xfId="17" applyNumberFormat="1" applyFont="1" applyFill="1" applyBorder="1" applyAlignment="1" applyProtection="1">
      <alignment horizontal="center" vertical="center" wrapText="1"/>
      <protection locked="0"/>
    </xf>
    <xf numFmtId="0" fontId="37" fillId="0" borderId="1" xfId="9" applyFont="1" applyFill="1" applyBorder="1" applyAlignment="1" applyProtection="1">
      <alignment horizontal="center" vertical="center" wrapText="1"/>
      <protection locked="0"/>
    </xf>
    <xf numFmtId="172" fontId="14" fillId="0" borderId="1" xfId="20" applyNumberFormat="1" applyFont="1" applyFill="1" applyBorder="1" applyAlignment="1">
      <alignment horizontal="center" vertical="center" wrapText="1"/>
    </xf>
    <xf numFmtId="0" fontId="37" fillId="0" borderId="1" xfId="9" applyFont="1" applyFill="1" applyBorder="1" applyAlignment="1" applyProtection="1">
      <alignment horizontal="center" vertical="center"/>
      <protection locked="0"/>
    </xf>
    <xf numFmtId="0" fontId="14" fillId="0" borderId="1" xfId="17" applyFont="1" applyFill="1" applyBorder="1" applyAlignment="1">
      <alignment horizontal="center" vertical="center"/>
    </xf>
    <xf numFmtId="3" fontId="14" fillId="0" borderId="1" xfId="17" applyNumberFormat="1" applyFont="1" applyFill="1" applyBorder="1" applyAlignment="1">
      <alignment horizontal="center" vertical="center"/>
    </xf>
    <xf numFmtId="1" fontId="14" fillId="0" borderId="1" xfId="17" applyNumberFormat="1" applyFont="1" applyFill="1" applyBorder="1" applyAlignment="1" applyProtection="1">
      <alignment horizontal="center" vertical="center" wrapText="1"/>
    </xf>
    <xf numFmtId="10" fontId="14" fillId="0" borderId="1" xfId="17" applyNumberFormat="1" applyFont="1" applyFill="1" applyBorder="1" applyAlignment="1">
      <alignment horizontal="center" vertical="center"/>
    </xf>
    <xf numFmtId="2" fontId="14" fillId="0" borderId="1" xfId="17" applyNumberFormat="1" applyFont="1" applyFill="1" applyBorder="1" applyAlignment="1">
      <alignment horizontal="center" vertical="center"/>
    </xf>
    <xf numFmtId="171" fontId="14" fillId="0" borderId="1" xfId="17" quotePrefix="1" applyNumberFormat="1" applyFont="1" applyFill="1" applyBorder="1" applyAlignment="1" applyProtection="1">
      <alignment horizontal="center" vertical="center"/>
      <protection locked="0"/>
    </xf>
    <xf numFmtId="14" fontId="14" fillId="0" borderId="8" xfId="17" applyNumberFormat="1" applyFont="1" applyFill="1" applyBorder="1" applyAlignment="1">
      <alignment horizontal="center" vertical="center" wrapText="1"/>
    </xf>
    <xf numFmtId="0" fontId="14" fillId="0" borderId="1" xfId="9" quotePrefix="1" applyFont="1" applyFill="1" applyBorder="1" applyAlignment="1" applyProtection="1">
      <alignment horizontal="center" vertical="center" wrapText="1"/>
      <protection locked="0"/>
    </xf>
    <xf numFmtId="0" fontId="14" fillId="0" borderId="1" xfId="17" applyFont="1" applyFill="1" applyBorder="1" applyAlignment="1">
      <alignment horizontal="center" vertical="center" wrapText="1"/>
    </xf>
    <xf numFmtId="0" fontId="14" fillId="0" borderId="1" xfId="17" applyFont="1" applyFill="1" applyBorder="1" applyAlignment="1" applyProtection="1">
      <alignment horizontal="center" vertical="center"/>
      <protection locked="0"/>
    </xf>
    <xf numFmtId="0" fontId="14" fillId="0" borderId="1" xfId="17" applyFont="1" applyFill="1" applyBorder="1" applyAlignment="1" applyProtection="1">
      <alignment horizontal="center" vertical="center" wrapText="1"/>
      <protection locked="0"/>
    </xf>
    <xf numFmtId="164" fontId="14" fillId="0" borderId="1" xfId="17" applyNumberFormat="1" applyFont="1" applyFill="1" applyBorder="1" applyAlignment="1" applyProtection="1">
      <alignment horizontal="center" vertical="center" wrapText="1"/>
      <protection locked="0"/>
    </xf>
    <xf numFmtId="3" fontId="14" fillId="0" borderId="1" xfId="17" applyNumberFormat="1" applyFont="1" applyFill="1" applyBorder="1" applyAlignment="1">
      <alignment horizontal="center" vertical="center" wrapText="1"/>
    </xf>
    <xf numFmtId="164" fontId="14" fillId="0" borderId="1" xfId="17" applyNumberFormat="1" applyFont="1" applyFill="1" applyBorder="1" applyAlignment="1">
      <alignment horizontal="center" vertical="center" wrapText="1"/>
    </xf>
    <xf numFmtId="166" fontId="14" fillId="0" borderId="1" xfId="17" applyNumberFormat="1" applyFont="1" applyFill="1" applyBorder="1" applyAlignment="1">
      <alignment horizontal="center" vertical="center" wrapText="1"/>
    </xf>
    <xf numFmtId="2" fontId="14" fillId="0" borderId="1" xfId="17" applyNumberFormat="1" applyFont="1" applyFill="1" applyBorder="1" applyAlignment="1" applyProtection="1">
      <alignment horizontal="center" vertical="center" wrapText="1"/>
      <protection locked="0"/>
    </xf>
    <xf numFmtId="14" fontId="14" fillId="0" borderId="1" xfId="17" applyNumberFormat="1" applyFont="1" applyFill="1" applyBorder="1" applyAlignment="1">
      <alignment horizontal="center" vertical="center"/>
    </xf>
    <xf numFmtId="164" fontId="14" fillId="0" borderId="1" xfId="17" applyNumberFormat="1" applyFont="1" applyFill="1" applyBorder="1" applyAlignment="1">
      <alignment horizontal="center" vertical="center"/>
    </xf>
    <xf numFmtId="164" fontId="14" fillId="0" borderId="1" xfId="17" applyNumberFormat="1" applyFont="1" applyFill="1" applyBorder="1" applyAlignment="1" applyProtection="1">
      <alignment horizontal="center" vertical="center"/>
      <protection locked="0"/>
    </xf>
    <xf numFmtId="3" fontId="14" fillId="0" borderId="1" xfId="17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17" applyFont="1" applyFill="1" applyBorder="1" applyAlignment="1">
      <alignment horizontal="center" vertical="center"/>
    </xf>
    <xf numFmtId="171" fontId="14" fillId="0" borderId="1" xfId="17" applyNumberFormat="1" applyFont="1" applyFill="1" applyBorder="1" applyAlignment="1" applyProtection="1">
      <alignment horizontal="center" vertical="center"/>
      <protection locked="0"/>
    </xf>
    <xf numFmtId="0" fontId="14" fillId="0" borderId="18" xfId="17" applyFont="1" applyFill="1" applyBorder="1" applyAlignment="1">
      <alignment horizontal="center" vertical="center" wrapText="1"/>
    </xf>
    <xf numFmtId="14" fontId="14" fillId="0" borderId="8" xfId="17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9" applyFont="1" applyFill="1" applyBorder="1" applyAlignment="1" applyProtection="1">
      <alignment horizontal="center" vertical="center"/>
      <protection locked="0"/>
    </xf>
    <xf numFmtId="0" fontId="14" fillId="0" borderId="1" xfId="9" applyFont="1" applyFill="1" applyBorder="1" applyAlignment="1" applyProtection="1">
      <alignment horizontal="center" vertical="center" wrapText="1"/>
      <protection locked="0"/>
    </xf>
    <xf numFmtId="0" fontId="14" fillId="0" borderId="4" xfId="17" applyFont="1" applyFill="1" applyBorder="1" applyAlignment="1">
      <alignment horizontal="center" vertical="center" wrapText="1"/>
    </xf>
    <xf numFmtId="0" fontId="14" fillId="0" borderId="5" xfId="17" applyFont="1" applyFill="1" applyBorder="1" applyAlignment="1">
      <alignment horizontal="center" vertical="center"/>
    </xf>
    <xf numFmtId="2" fontId="14" fillId="0" borderId="24" xfId="17" applyNumberFormat="1" applyFont="1" applyFill="1" applyBorder="1" applyAlignment="1" applyProtection="1">
      <alignment horizontal="center" vertical="center" wrapText="1"/>
      <protection locked="0"/>
    </xf>
    <xf numFmtId="10" fontId="14" fillId="0" borderId="1" xfId="20" applyNumberFormat="1" applyFont="1" applyFill="1" applyBorder="1" applyAlignment="1" applyProtection="1">
      <alignment horizontal="center" vertical="center" wrapText="1"/>
      <protection locked="0"/>
    </xf>
    <xf numFmtId="0" fontId="14" fillId="10" borderId="4" xfId="17" applyFont="1" applyFill="1" applyBorder="1" applyAlignment="1">
      <alignment horizontal="center" vertical="center" wrapText="1"/>
    </xf>
    <xf numFmtId="0" fontId="14" fillId="0" borderId="23" xfId="17" applyFont="1" applyFill="1" applyBorder="1" applyAlignment="1">
      <alignment horizontal="center" vertical="center" wrapText="1"/>
    </xf>
    <xf numFmtId="14" fontId="14" fillId="0" borderId="20" xfId="17" applyNumberFormat="1" applyFont="1" applyFill="1" applyBorder="1" applyAlignment="1">
      <alignment horizontal="center" vertical="center" wrapText="1"/>
    </xf>
    <xf numFmtId="0" fontId="14" fillId="0" borderId="25" xfId="17" applyFont="1" applyFill="1" applyBorder="1" applyAlignment="1">
      <alignment horizontal="center" vertical="center" wrapText="1"/>
    </xf>
    <xf numFmtId="0" fontId="14" fillId="0" borderId="25" xfId="0" applyFont="1" applyFill="1" applyBorder="1" applyAlignment="1">
      <alignment horizontal="center" vertical="center"/>
    </xf>
    <xf numFmtId="164" fontId="14" fillId="0" borderId="24" xfId="17" applyNumberFormat="1" applyFont="1" applyFill="1" applyBorder="1" applyAlignment="1">
      <alignment horizontal="center" vertical="center" wrapText="1"/>
    </xf>
    <xf numFmtId="171" fontId="14" fillId="0" borderId="24" xfId="17" applyNumberFormat="1" applyFont="1" applyFill="1" applyBorder="1" applyAlignment="1" applyProtection="1">
      <alignment horizontal="center" vertical="center" wrapText="1"/>
      <protection locked="0"/>
    </xf>
    <xf numFmtId="14" fontId="14" fillId="0" borderId="24" xfId="17" applyNumberFormat="1" applyFont="1" applyFill="1" applyBorder="1" applyAlignment="1">
      <alignment horizontal="center" vertical="center"/>
    </xf>
    <xf numFmtId="14" fontId="14" fillId="0" borderId="24" xfId="17" applyNumberFormat="1" applyFont="1" applyFill="1" applyBorder="1" applyAlignment="1">
      <alignment horizontal="center" vertical="center" wrapText="1"/>
    </xf>
    <xf numFmtId="3" fontId="14" fillId="0" borderId="24" xfId="17" applyNumberFormat="1" applyFont="1" applyFill="1" applyBorder="1" applyAlignment="1">
      <alignment horizontal="center" vertical="center" wrapText="1"/>
    </xf>
    <xf numFmtId="166" fontId="14" fillId="0" borderId="24" xfId="17" applyNumberFormat="1" applyFont="1" applyFill="1" applyBorder="1" applyAlignment="1">
      <alignment horizontal="center" vertical="center" wrapText="1"/>
    </xf>
    <xf numFmtId="10" fontId="14" fillId="0" borderId="24" xfId="17" applyNumberFormat="1" applyFont="1" applyFill="1" applyBorder="1" applyAlignment="1">
      <alignment horizontal="center" vertical="center"/>
    </xf>
    <xf numFmtId="10" fontId="14" fillId="0" borderId="24" xfId="17" applyNumberFormat="1" applyFont="1" applyFill="1" applyBorder="1" applyAlignment="1">
      <alignment horizontal="center" vertical="center" wrapText="1"/>
    </xf>
    <xf numFmtId="0" fontId="14" fillId="0" borderId="21" xfId="17" applyFont="1" applyFill="1" applyBorder="1" applyAlignment="1">
      <alignment horizontal="center" vertical="center" wrapText="1"/>
    </xf>
    <xf numFmtId="166" fontId="14" fillId="9" borderId="1" xfId="17" applyNumberFormat="1" applyFont="1" applyFill="1" applyBorder="1" applyAlignment="1">
      <alignment horizontal="center" vertical="center"/>
    </xf>
    <xf numFmtId="0" fontId="0" fillId="0" borderId="0" xfId="0"/>
    <xf numFmtId="0" fontId="1" fillId="0" borderId="1" xfId="0" applyFont="1" applyFill="1" applyBorder="1" applyAlignment="1" applyProtection="1">
      <alignment horizontal="center" vertical="center"/>
      <protection locked="0"/>
    </xf>
    <xf numFmtId="164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1" fillId="0" borderId="9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center" vertical="center"/>
      <protection locked="0"/>
    </xf>
    <xf numFmtId="0" fontId="1" fillId="0" borderId="9" xfId="0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7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>
      <alignment horizontal="center" vertical="center" wrapText="1"/>
    </xf>
    <xf numFmtId="164" fontId="1" fillId="0" borderId="12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164" fontId="1" fillId="0" borderId="14" xfId="0" applyNumberFormat="1" applyFont="1" applyFill="1" applyBorder="1" applyAlignment="1" applyProtection="1">
      <alignment horizontal="center" vertical="center"/>
      <protection locked="0"/>
    </xf>
    <xf numFmtId="2" fontId="1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13" fillId="0" borderId="1" xfId="15" applyNumberFormat="1" applyFont="1" applyFill="1" applyBorder="1" applyAlignment="1" applyProtection="1">
      <alignment horizontal="center" vertical="center" wrapText="1"/>
    </xf>
    <xf numFmtId="0" fontId="13" fillId="0" borderId="1" xfId="15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15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15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 wrapText="1"/>
    </xf>
    <xf numFmtId="0" fontId="13" fillId="0" borderId="1" xfId="16" applyNumberFormat="1" applyFont="1" applyFill="1" applyBorder="1" applyAlignment="1" applyProtection="1">
      <alignment horizontal="center" vertical="center" wrapText="1"/>
      <protection locked="0"/>
    </xf>
    <xf numFmtId="2" fontId="1" fillId="0" borderId="0" xfId="0" applyNumberFormat="1" applyFont="1" applyFill="1" applyAlignment="1">
      <alignment horizontal="center"/>
    </xf>
    <xf numFmtId="0" fontId="0" fillId="0" borderId="0" xfId="0"/>
    <xf numFmtId="0" fontId="13" fillId="0" borderId="1" xfId="15" applyNumberFormat="1" applyFont="1" applyFill="1" applyBorder="1" applyAlignment="1" applyProtection="1">
      <alignment horizontal="center" vertical="center" wrapText="1"/>
    </xf>
    <xf numFmtId="0" fontId="13" fillId="0" borderId="1" xfId="15" applyNumberFormat="1" applyFont="1" applyFill="1" applyBorder="1" applyAlignment="1">
      <alignment horizontal="center" vertical="center" wrapText="1"/>
    </xf>
    <xf numFmtId="0" fontId="13" fillId="0" borderId="1" xfId="15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 applyProtection="1">
      <alignment horizontal="center" vertical="center" wrapText="1"/>
    </xf>
    <xf numFmtId="2" fontId="1" fillId="0" borderId="0" xfId="0" applyNumberFormat="1" applyFont="1" applyFill="1" applyAlignment="1">
      <alignment horizontal="center"/>
    </xf>
    <xf numFmtId="165" fontId="13" fillId="0" borderId="1" xfId="0" applyNumberFormat="1" applyFont="1" applyFill="1" applyBorder="1" applyAlignment="1" applyProtection="1">
      <alignment horizontal="center" vertical="center" wrapText="1"/>
    </xf>
    <xf numFmtId="164" fontId="13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/>
    <xf numFmtId="0" fontId="13" fillId="0" borderId="1" xfId="15" applyNumberFormat="1" applyFont="1" applyFill="1" applyBorder="1" applyAlignment="1" applyProtection="1">
      <alignment horizontal="center" vertical="center" wrapText="1"/>
    </xf>
    <xf numFmtId="0" fontId="13" fillId="0" borderId="1" xfId="15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15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 applyProtection="1">
      <alignment horizontal="center" vertical="center" wrapText="1"/>
    </xf>
    <xf numFmtId="0" fontId="13" fillId="0" borderId="1" xfId="16" applyNumberFormat="1" applyFont="1" applyFill="1" applyBorder="1" applyAlignment="1" applyProtection="1">
      <alignment horizontal="center" vertical="center" wrapText="1"/>
      <protection locked="0"/>
    </xf>
    <xf numFmtId="2" fontId="1" fillId="0" borderId="0" xfId="0" applyNumberFormat="1" applyFont="1" applyFill="1" applyAlignment="1">
      <alignment horizontal="center"/>
    </xf>
    <xf numFmtId="0" fontId="14" fillId="0" borderId="0" xfId="17" applyFont="1" applyFill="1" applyBorder="1" applyAlignment="1">
      <alignment horizontal="center" vertical="center"/>
    </xf>
    <xf numFmtId="0" fontId="13" fillId="0" borderId="1" xfId="15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Alignment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 wrapText="1"/>
    </xf>
    <xf numFmtId="0" fontId="13" fillId="0" borderId="0" xfId="15" applyFont="1" applyFill="1" applyAlignment="1">
      <alignment horizontal="center" vertical="center" wrapText="1"/>
    </xf>
    <xf numFmtId="0" fontId="13" fillId="0" borderId="1" xfId="16" applyNumberFormat="1" applyFont="1" applyFill="1" applyBorder="1" applyAlignment="1" applyProtection="1">
      <alignment horizontal="center" vertical="center" wrapText="1"/>
      <protection locked="0"/>
    </xf>
    <xf numFmtId="9" fontId="13" fillId="0" borderId="1" xfId="0" applyNumberFormat="1" applyFont="1" applyFill="1" applyBorder="1" applyAlignment="1">
      <alignment horizontal="center" vertical="center" wrapText="1"/>
    </xf>
    <xf numFmtId="0" fontId="14" fillId="0" borderId="1" xfId="17" applyFont="1" applyFill="1" applyBorder="1" applyAlignment="1">
      <alignment horizontal="center" vertical="center"/>
    </xf>
    <xf numFmtId="0" fontId="14" fillId="0" borderId="1" xfId="17" applyFont="1" applyFill="1" applyBorder="1" applyAlignment="1">
      <alignment horizontal="center" vertical="center" wrapText="1"/>
    </xf>
    <xf numFmtId="0" fontId="14" fillId="0" borderId="1" xfId="17" applyFont="1" applyFill="1" applyBorder="1" applyAlignment="1" applyProtection="1">
      <alignment horizontal="center" vertical="center"/>
      <protection locked="0"/>
    </xf>
    <xf numFmtId="0" fontId="14" fillId="0" borderId="1" xfId="17" applyFont="1" applyFill="1" applyBorder="1" applyAlignment="1" applyProtection="1">
      <alignment horizontal="center" vertical="center" wrapText="1"/>
      <protection locked="0"/>
    </xf>
    <xf numFmtId="3" fontId="14" fillId="0" borderId="1" xfId="17" applyNumberFormat="1" applyFont="1" applyFill="1" applyBorder="1" applyAlignment="1">
      <alignment horizontal="center" vertical="center" wrapText="1"/>
    </xf>
    <xf numFmtId="164" fontId="14" fillId="0" borderId="1" xfId="17" applyNumberFormat="1" applyFont="1" applyFill="1" applyBorder="1" applyAlignment="1">
      <alignment horizontal="center" vertical="center" wrapText="1"/>
    </xf>
    <xf numFmtId="166" fontId="14" fillId="0" borderId="1" xfId="17" applyNumberFormat="1" applyFont="1" applyFill="1" applyBorder="1" applyAlignment="1">
      <alignment horizontal="center" vertical="center" wrapText="1"/>
    </xf>
    <xf numFmtId="14" fontId="14" fillId="0" borderId="1" xfId="17" applyNumberFormat="1" applyFont="1" applyFill="1" applyBorder="1" applyAlignment="1">
      <alignment horizontal="center" vertical="center" wrapText="1"/>
    </xf>
    <xf numFmtId="3" fontId="14" fillId="0" borderId="1" xfId="17" applyNumberFormat="1" applyFont="1" applyFill="1" applyBorder="1" applyAlignment="1">
      <alignment horizontal="center" vertical="center"/>
    </xf>
    <xf numFmtId="164" fontId="14" fillId="0" borderId="1" xfId="17" applyNumberFormat="1" applyFont="1" applyFill="1" applyBorder="1" applyAlignment="1">
      <alignment horizontal="center" vertical="center"/>
    </xf>
    <xf numFmtId="1" fontId="14" fillId="0" borderId="1" xfId="17" applyNumberFormat="1" applyFont="1" applyFill="1" applyBorder="1" applyAlignment="1" applyProtection="1">
      <alignment horizontal="center" vertical="center" wrapText="1"/>
    </xf>
    <xf numFmtId="10" fontId="14" fillId="0" borderId="1" xfId="17" applyNumberFormat="1" applyFont="1" applyFill="1" applyBorder="1" applyAlignment="1">
      <alignment horizontal="center" vertical="center"/>
    </xf>
    <xf numFmtId="0" fontId="14" fillId="0" borderId="0" xfId="17" applyFont="1" applyFill="1" applyBorder="1" applyAlignment="1">
      <alignment horizontal="center" vertical="center"/>
    </xf>
    <xf numFmtId="171" fontId="14" fillId="0" borderId="1" xfId="17" applyNumberFormat="1" applyFont="1" applyFill="1" applyBorder="1" applyAlignment="1" applyProtection="1">
      <alignment horizontal="center" vertical="center"/>
      <protection locked="0"/>
    </xf>
    <xf numFmtId="0" fontId="14" fillId="0" borderId="18" xfId="17" applyFont="1" applyFill="1" applyBorder="1" applyAlignment="1">
      <alignment horizontal="center" vertical="center"/>
    </xf>
    <xf numFmtId="0" fontId="14" fillId="0" borderId="4" xfId="17" applyFont="1" applyFill="1" applyBorder="1" applyAlignment="1">
      <alignment horizontal="center" vertical="center"/>
    </xf>
    <xf numFmtId="2" fontId="14" fillId="0" borderId="24" xfId="17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17" applyFont="1" applyFill="1" applyBorder="1" applyAlignment="1">
      <alignment horizontal="center" vertical="center"/>
    </xf>
    <xf numFmtId="0" fontId="14" fillId="0" borderId="1" xfId="17" applyFont="1" applyFill="1" applyBorder="1" applyAlignment="1">
      <alignment horizontal="center" vertical="center" wrapText="1"/>
    </xf>
    <xf numFmtId="0" fontId="14" fillId="0" borderId="1" xfId="17" applyFont="1" applyFill="1" applyBorder="1" applyAlignment="1" applyProtection="1">
      <alignment horizontal="center" vertical="center"/>
      <protection locked="0"/>
    </xf>
    <xf numFmtId="0" fontId="14" fillId="0" borderId="1" xfId="17" applyFont="1" applyFill="1" applyBorder="1" applyAlignment="1" applyProtection="1">
      <alignment horizontal="center" vertical="center" wrapText="1"/>
      <protection locked="0"/>
    </xf>
    <xf numFmtId="164" fontId="14" fillId="0" borderId="1" xfId="17" applyNumberFormat="1" applyFont="1" applyFill="1" applyBorder="1" applyAlignment="1">
      <alignment horizontal="center" vertical="center" wrapText="1"/>
    </xf>
    <xf numFmtId="166" fontId="14" fillId="0" borderId="1" xfId="17" applyNumberFormat="1" applyFont="1" applyFill="1" applyBorder="1" applyAlignment="1">
      <alignment horizontal="center" vertical="center" wrapText="1"/>
    </xf>
    <xf numFmtId="3" fontId="14" fillId="0" borderId="1" xfId="17" applyNumberFormat="1" applyFont="1" applyFill="1" applyBorder="1" applyAlignment="1">
      <alignment horizontal="center" vertical="center"/>
    </xf>
    <xf numFmtId="164" fontId="14" fillId="0" borderId="1" xfId="17" applyNumberFormat="1" applyFont="1" applyFill="1" applyBorder="1" applyAlignment="1">
      <alignment horizontal="center" vertical="center"/>
    </xf>
    <xf numFmtId="1" fontId="14" fillId="0" borderId="1" xfId="17" applyNumberFormat="1" applyFont="1" applyFill="1" applyBorder="1" applyAlignment="1" applyProtection="1">
      <alignment horizontal="center" vertical="center" wrapText="1"/>
    </xf>
    <xf numFmtId="10" fontId="14" fillId="0" borderId="1" xfId="17" applyNumberFormat="1" applyFont="1" applyFill="1" applyBorder="1" applyAlignment="1">
      <alignment horizontal="center" vertical="center"/>
    </xf>
    <xf numFmtId="0" fontId="14" fillId="0" borderId="0" xfId="17" applyFont="1" applyFill="1" applyBorder="1" applyAlignment="1">
      <alignment horizontal="center" vertical="center"/>
    </xf>
    <xf numFmtId="171" fontId="14" fillId="0" borderId="1" xfId="17" applyNumberFormat="1" applyFont="1" applyFill="1" applyBorder="1" applyAlignment="1" applyProtection="1">
      <alignment horizontal="center" vertical="center"/>
      <protection locked="0"/>
    </xf>
    <xf numFmtId="14" fontId="14" fillId="0" borderId="8" xfId="17" applyNumberFormat="1" applyFont="1" applyFill="1" applyBorder="1" applyAlignment="1">
      <alignment horizontal="center" vertical="center" wrapText="1"/>
    </xf>
    <xf numFmtId="0" fontId="14" fillId="0" borderId="4" xfId="17" applyFont="1" applyFill="1" applyBorder="1" applyAlignment="1">
      <alignment horizontal="center" vertical="center"/>
    </xf>
    <xf numFmtId="1" fontId="14" fillId="0" borderId="5" xfId="17" applyNumberFormat="1" applyFont="1" applyFill="1" applyBorder="1" applyAlignment="1">
      <alignment horizontal="center" vertical="center"/>
    </xf>
    <xf numFmtId="2" fontId="14" fillId="0" borderId="24" xfId="17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17" applyFont="1" applyFill="1" applyBorder="1" applyAlignment="1">
      <alignment horizontal="center" vertical="center"/>
    </xf>
    <xf numFmtId="0" fontId="14" fillId="0" borderId="1" xfId="17" applyFont="1" applyFill="1" applyBorder="1" applyAlignment="1">
      <alignment horizontal="center" vertical="center" wrapText="1"/>
    </xf>
    <xf numFmtId="0" fontId="14" fillId="0" borderId="1" xfId="17" applyFont="1" applyFill="1" applyBorder="1" applyAlignment="1" applyProtection="1">
      <alignment horizontal="center" vertical="center"/>
      <protection locked="0"/>
    </xf>
    <xf numFmtId="0" fontId="14" fillId="0" borderId="1" xfId="17" applyFont="1" applyFill="1" applyBorder="1" applyAlignment="1" applyProtection="1">
      <alignment horizontal="center" vertical="center" wrapText="1"/>
      <protection locked="0"/>
    </xf>
    <xf numFmtId="164" fontId="14" fillId="0" borderId="1" xfId="17" applyNumberFormat="1" applyFont="1" applyFill="1" applyBorder="1" applyAlignment="1">
      <alignment horizontal="center" vertical="center" wrapText="1"/>
    </xf>
    <xf numFmtId="166" fontId="14" fillId="0" borderId="1" xfId="17" applyNumberFormat="1" applyFont="1" applyFill="1" applyBorder="1" applyAlignment="1">
      <alignment horizontal="center" vertical="center" wrapText="1"/>
    </xf>
    <xf numFmtId="3" fontId="14" fillId="0" borderId="1" xfId="17" applyNumberFormat="1" applyFont="1" applyFill="1" applyBorder="1" applyAlignment="1">
      <alignment horizontal="center" vertical="center"/>
    </xf>
    <xf numFmtId="164" fontId="14" fillId="0" borderId="1" xfId="17" applyNumberFormat="1" applyFont="1" applyFill="1" applyBorder="1" applyAlignment="1">
      <alignment horizontal="center" vertical="center"/>
    </xf>
    <xf numFmtId="1" fontId="14" fillId="0" borderId="1" xfId="17" applyNumberFormat="1" applyFont="1" applyFill="1" applyBorder="1" applyAlignment="1" applyProtection="1">
      <alignment horizontal="center" vertical="center" wrapText="1"/>
    </xf>
    <xf numFmtId="10" fontId="14" fillId="0" borderId="1" xfId="17" applyNumberFormat="1" applyFont="1" applyFill="1" applyBorder="1" applyAlignment="1">
      <alignment horizontal="center" vertical="center"/>
    </xf>
    <xf numFmtId="0" fontId="14" fillId="0" borderId="0" xfId="17" applyFont="1" applyFill="1" applyBorder="1" applyAlignment="1">
      <alignment horizontal="center" vertical="center"/>
    </xf>
    <xf numFmtId="171" fontId="14" fillId="0" borderId="1" xfId="17" applyNumberFormat="1" applyFont="1" applyFill="1" applyBorder="1" applyAlignment="1" applyProtection="1">
      <alignment horizontal="center" vertical="center"/>
      <protection locked="0"/>
    </xf>
    <xf numFmtId="0" fontId="14" fillId="0" borderId="4" xfId="17" applyFont="1" applyFill="1" applyBorder="1" applyAlignment="1">
      <alignment horizontal="center" vertical="center"/>
    </xf>
    <xf numFmtId="2" fontId="14" fillId="0" borderId="24" xfId="17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17" applyFont="1" applyFill="1" applyBorder="1" applyAlignment="1">
      <alignment horizontal="center" vertical="center"/>
    </xf>
    <xf numFmtId="0" fontId="14" fillId="0" borderId="1" xfId="17" applyFont="1" applyFill="1" applyBorder="1" applyAlignment="1">
      <alignment horizontal="center" vertical="center" wrapText="1"/>
    </xf>
    <xf numFmtId="0" fontId="14" fillId="0" borderId="1" xfId="17" applyFont="1" applyFill="1" applyBorder="1" applyAlignment="1" applyProtection="1">
      <alignment horizontal="center" vertical="center"/>
      <protection locked="0"/>
    </xf>
    <xf numFmtId="0" fontId="14" fillId="0" borderId="1" xfId="17" applyFont="1" applyFill="1" applyBorder="1" applyAlignment="1" applyProtection="1">
      <alignment horizontal="center" vertical="center" wrapText="1"/>
      <protection locked="0"/>
    </xf>
    <xf numFmtId="166" fontId="14" fillId="0" borderId="1" xfId="17" applyNumberFormat="1" applyFont="1" applyFill="1" applyBorder="1" applyAlignment="1">
      <alignment horizontal="center" vertical="center" wrapText="1"/>
    </xf>
    <xf numFmtId="3" fontId="14" fillId="0" borderId="1" xfId="17" applyNumberFormat="1" applyFont="1" applyFill="1" applyBorder="1" applyAlignment="1">
      <alignment horizontal="center" vertical="center"/>
    </xf>
    <xf numFmtId="164" fontId="14" fillId="0" borderId="1" xfId="17" applyNumberFormat="1" applyFont="1" applyFill="1" applyBorder="1" applyAlignment="1">
      <alignment horizontal="center" vertical="center"/>
    </xf>
    <xf numFmtId="10" fontId="14" fillId="0" borderId="1" xfId="17" applyNumberFormat="1" applyFont="1" applyFill="1" applyBorder="1" applyAlignment="1">
      <alignment horizontal="center" vertical="center"/>
    </xf>
    <xf numFmtId="0" fontId="14" fillId="0" borderId="0" xfId="17" applyFont="1" applyFill="1" applyBorder="1" applyAlignment="1">
      <alignment horizontal="center" vertical="center"/>
    </xf>
    <xf numFmtId="171" fontId="14" fillId="0" borderId="1" xfId="17" applyNumberFormat="1" applyFont="1" applyFill="1" applyBorder="1" applyAlignment="1" applyProtection="1">
      <alignment horizontal="center" vertical="center"/>
      <protection locked="0"/>
    </xf>
    <xf numFmtId="0" fontId="14" fillId="0" borderId="18" xfId="17" applyFont="1" applyFill="1" applyBorder="1" applyAlignment="1">
      <alignment horizontal="center" vertical="center"/>
    </xf>
    <xf numFmtId="0" fontId="14" fillId="0" borderId="4" xfId="17" applyFont="1" applyFill="1" applyBorder="1" applyAlignment="1">
      <alignment horizontal="center" vertical="center"/>
    </xf>
    <xf numFmtId="2" fontId="14" fillId="0" borderId="24" xfId="17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17" applyFont="1" applyFill="1" applyBorder="1" applyAlignment="1" applyProtection="1">
      <alignment horizontal="center" vertical="center" wrapText="1"/>
      <protection locked="0"/>
    </xf>
    <xf numFmtId="0" fontId="14" fillId="0" borderId="0" xfId="17" applyFont="1" applyFill="1" applyBorder="1" applyAlignment="1">
      <alignment horizontal="center" vertical="center"/>
    </xf>
    <xf numFmtId="2" fontId="14" fillId="0" borderId="24" xfId="17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17" applyFont="1" applyFill="1" applyBorder="1" applyAlignment="1">
      <alignment horizontal="center" vertical="center"/>
    </xf>
    <xf numFmtId="0" fontId="14" fillId="0" borderId="1" xfId="17" applyFont="1" applyFill="1" applyBorder="1" applyAlignment="1">
      <alignment horizontal="center" vertical="center" wrapText="1"/>
    </xf>
    <xf numFmtId="0" fontId="14" fillId="0" borderId="1" xfId="17" applyFont="1" applyFill="1" applyBorder="1" applyAlignment="1" applyProtection="1">
      <alignment horizontal="center" vertical="center"/>
      <protection locked="0"/>
    </xf>
    <xf numFmtId="0" fontId="14" fillId="0" borderId="1" xfId="17" applyFont="1" applyFill="1" applyBorder="1" applyAlignment="1" applyProtection="1">
      <alignment horizontal="center" vertical="center" wrapText="1"/>
      <protection locked="0"/>
    </xf>
    <xf numFmtId="3" fontId="14" fillId="0" borderId="1" xfId="17" applyNumberFormat="1" applyFont="1" applyFill="1" applyBorder="1" applyAlignment="1">
      <alignment horizontal="center" vertical="center" wrapText="1"/>
    </xf>
    <xf numFmtId="164" fontId="14" fillId="0" borderId="1" xfId="17" applyNumberFormat="1" applyFont="1" applyFill="1" applyBorder="1" applyAlignment="1">
      <alignment horizontal="center" vertical="center" wrapText="1"/>
    </xf>
    <xf numFmtId="166" fontId="14" fillId="0" borderId="1" xfId="17" applyNumberFormat="1" applyFont="1" applyFill="1" applyBorder="1" applyAlignment="1">
      <alignment horizontal="center" vertical="center" wrapText="1"/>
    </xf>
    <xf numFmtId="14" fontId="14" fillId="0" borderId="1" xfId="17" applyNumberFormat="1" applyFont="1" applyFill="1" applyBorder="1" applyAlignment="1">
      <alignment horizontal="center" vertical="center" wrapText="1"/>
    </xf>
    <xf numFmtId="3" fontId="14" fillId="0" borderId="1" xfId="17" applyNumberFormat="1" applyFont="1" applyFill="1" applyBorder="1" applyAlignment="1">
      <alignment horizontal="center" vertical="center"/>
    </xf>
    <xf numFmtId="164" fontId="14" fillId="0" borderId="1" xfId="17" applyNumberFormat="1" applyFont="1" applyFill="1" applyBorder="1" applyAlignment="1">
      <alignment horizontal="center" vertical="center"/>
    </xf>
    <xf numFmtId="1" fontId="14" fillId="0" borderId="1" xfId="17" applyNumberFormat="1" applyFont="1" applyFill="1" applyBorder="1" applyAlignment="1" applyProtection="1">
      <alignment horizontal="center" vertical="center" wrapText="1"/>
    </xf>
    <xf numFmtId="10" fontId="14" fillId="0" borderId="1" xfId="17" applyNumberFormat="1" applyFont="1" applyFill="1" applyBorder="1" applyAlignment="1">
      <alignment horizontal="center" vertical="center"/>
    </xf>
    <xf numFmtId="0" fontId="14" fillId="0" borderId="0" xfId="17" applyFont="1" applyFill="1" applyBorder="1" applyAlignment="1">
      <alignment horizontal="center" vertical="center"/>
    </xf>
    <xf numFmtId="171" fontId="14" fillId="0" borderId="1" xfId="17" applyNumberFormat="1" applyFont="1" applyFill="1" applyBorder="1" applyAlignment="1" applyProtection="1">
      <alignment horizontal="center" vertical="center"/>
      <protection locked="0"/>
    </xf>
    <xf numFmtId="0" fontId="14" fillId="0" borderId="18" xfId="17" applyFont="1" applyFill="1" applyBorder="1" applyAlignment="1">
      <alignment horizontal="center" vertical="center"/>
    </xf>
    <xf numFmtId="0" fontId="14" fillId="0" borderId="4" xfId="17" applyFont="1" applyFill="1" applyBorder="1" applyAlignment="1">
      <alignment horizontal="center" vertical="center"/>
    </xf>
    <xf numFmtId="2" fontId="14" fillId="0" borderId="24" xfId="17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17" applyFont="1" applyFill="1" applyBorder="1" applyAlignment="1">
      <alignment horizontal="center" vertical="center"/>
    </xf>
    <xf numFmtId="0" fontId="14" fillId="0" borderId="1" xfId="17" applyFont="1" applyFill="1" applyBorder="1" applyAlignment="1">
      <alignment horizontal="center" vertical="center" wrapText="1"/>
    </xf>
    <xf numFmtId="0" fontId="14" fillId="0" borderId="1" xfId="17" applyFont="1" applyFill="1" applyBorder="1" applyAlignment="1" applyProtection="1">
      <alignment horizontal="center" vertical="center"/>
      <protection locked="0"/>
    </xf>
    <xf numFmtId="0" fontId="14" fillId="0" borderId="1" xfId="17" applyFont="1" applyFill="1" applyBorder="1" applyAlignment="1" applyProtection="1">
      <alignment horizontal="center" vertical="center" wrapText="1"/>
      <protection locked="0"/>
    </xf>
    <xf numFmtId="3" fontId="14" fillId="0" borderId="1" xfId="17" applyNumberFormat="1" applyFont="1" applyFill="1" applyBorder="1" applyAlignment="1">
      <alignment horizontal="center" vertical="center" wrapText="1"/>
    </xf>
    <xf numFmtId="164" fontId="14" fillId="0" borderId="1" xfId="17" applyNumberFormat="1" applyFont="1" applyFill="1" applyBorder="1" applyAlignment="1">
      <alignment horizontal="center" vertical="center" wrapText="1"/>
    </xf>
    <xf numFmtId="166" fontId="14" fillId="0" borderId="1" xfId="17" applyNumberFormat="1" applyFont="1" applyFill="1" applyBorder="1" applyAlignment="1">
      <alignment horizontal="center" vertical="center" wrapText="1"/>
    </xf>
    <xf numFmtId="14" fontId="14" fillId="0" borderId="1" xfId="17" applyNumberFormat="1" applyFont="1" applyFill="1" applyBorder="1" applyAlignment="1">
      <alignment horizontal="center" vertical="center" wrapText="1"/>
    </xf>
    <xf numFmtId="3" fontId="14" fillId="0" borderId="1" xfId="17" applyNumberFormat="1" applyFont="1" applyFill="1" applyBorder="1" applyAlignment="1">
      <alignment horizontal="center" vertical="center"/>
    </xf>
    <xf numFmtId="164" fontId="14" fillId="0" borderId="1" xfId="17" applyNumberFormat="1" applyFont="1" applyFill="1" applyBorder="1" applyAlignment="1">
      <alignment horizontal="center" vertical="center"/>
    </xf>
    <xf numFmtId="1" fontId="14" fillId="0" borderId="1" xfId="17" applyNumberFormat="1" applyFont="1" applyFill="1" applyBorder="1" applyAlignment="1" applyProtection="1">
      <alignment horizontal="center" vertical="center" wrapText="1"/>
    </xf>
    <xf numFmtId="10" fontId="14" fillId="0" borderId="1" xfId="17" applyNumberFormat="1" applyFont="1" applyFill="1" applyBorder="1" applyAlignment="1">
      <alignment horizontal="center" vertical="center"/>
    </xf>
    <xf numFmtId="0" fontId="14" fillId="0" borderId="0" xfId="17" applyFont="1" applyFill="1" applyBorder="1" applyAlignment="1">
      <alignment horizontal="center" vertical="center"/>
    </xf>
    <xf numFmtId="171" fontId="14" fillId="0" borderId="1" xfId="17" applyNumberFormat="1" applyFont="1" applyFill="1" applyBorder="1" applyAlignment="1" applyProtection="1">
      <alignment horizontal="center" vertical="center"/>
      <protection locked="0"/>
    </xf>
    <xf numFmtId="14" fontId="14" fillId="0" borderId="8" xfId="17" applyNumberFormat="1" applyFont="1" applyFill="1" applyBorder="1" applyAlignment="1">
      <alignment horizontal="center" vertical="center"/>
    </xf>
    <xf numFmtId="14" fontId="14" fillId="0" borderId="8" xfId="17" applyNumberFormat="1" applyFont="1" applyFill="1" applyBorder="1" applyAlignment="1">
      <alignment horizontal="center" vertical="center" wrapText="1"/>
    </xf>
    <xf numFmtId="0" fontId="14" fillId="0" borderId="18" xfId="17" applyFont="1" applyFill="1" applyBorder="1" applyAlignment="1">
      <alignment horizontal="center" vertical="center"/>
    </xf>
    <xf numFmtId="0" fontId="14" fillId="0" borderId="4" xfId="17" applyFont="1" applyFill="1" applyBorder="1" applyAlignment="1">
      <alignment horizontal="center" vertical="center"/>
    </xf>
    <xf numFmtId="1" fontId="14" fillId="0" borderId="5" xfId="17" applyNumberFormat="1" applyFont="1" applyFill="1" applyBorder="1" applyAlignment="1">
      <alignment horizontal="center" vertical="center"/>
    </xf>
    <xf numFmtId="164" fontId="14" fillId="0" borderId="5" xfId="17" applyNumberFormat="1" applyFont="1" applyFill="1" applyBorder="1" applyAlignment="1">
      <alignment horizontal="center" vertical="center"/>
    </xf>
    <xf numFmtId="2" fontId="14" fillId="0" borderId="24" xfId="17" applyNumberFormat="1" applyFont="1" applyFill="1" applyBorder="1" applyAlignment="1" applyProtection="1">
      <alignment horizontal="center" vertical="center" wrapText="1"/>
      <protection locked="0"/>
    </xf>
    <xf numFmtId="14" fontId="14" fillId="9" borderId="8" xfId="17" applyNumberFormat="1" applyFont="1" applyFill="1" applyBorder="1" applyAlignment="1">
      <alignment horizontal="center" vertical="center"/>
    </xf>
    <xf numFmtId="168" fontId="14" fillId="9" borderId="1" xfId="17" applyNumberFormat="1" applyFont="1" applyFill="1" applyBorder="1" applyAlignment="1" applyProtection="1">
      <alignment horizontal="center" vertical="center"/>
      <protection locked="0"/>
    </xf>
    <xf numFmtId="12" fontId="14" fillId="9" borderId="1" xfId="17" applyNumberFormat="1" applyFont="1" applyFill="1" applyBorder="1" applyAlignment="1" applyProtection="1">
      <alignment horizontal="center" vertical="center"/>
      <protection locked="0"/>
    </xf>
    <xf numFmtId="1" fontId="14" fillId="9" borderId="1" xfId="17" applyNumberFormat="1" applyFont="1" applyFill="1" applyBorder="1" applyAlignment="1">
      <alignment horizontal="center" vertical="center"/>
    </xf>
    <xf numFmtId="9" fontId="14" fillId="0" borderId="24" xfId="17" applyNumberFormat="1" applyFont="1" applyFill="1" applyBorder="1" applyAlignment="1" applyProtection="1">
      <alignment horizontal="center" vertical="center" wrapText="1"/>
      <protection locked="0"/>
    </xf>
    <xf numFmtId="1" fontId="14" fillId="0" borderId="24" xfId="17" applyNumberFormat="1" applyFont="1" applyFill="1" applyBorder="1" applyAlignment="1" applyProtection="1">
      <alignment horizontal="center" vertical="center" wrapText="1"/>
      <protection locked="0"/>
    </xf>
    <xf numFmtId="0" fontId="14" fillId="10" borderId="24" xfId="17" applyFont="1" applyFill="1" applyBorder="1" applyAlignment="1" applyProtection="1">
      <alignment horizontal="center" vertical="center"/>
      <protection locked="0"/>
    </xf>
    <xf numFmtId="171" fontId="14" fillId="0" borderId="24" xfId="17" quotePrefix="1" applyNumberFormat="1" applyFont="1" applyFill="1" applyBorder="1" applyAlignment="1" applyProtection="1">
      <alignment horizontal="center" vertical="center"/>
      <protection locked="0"/>
    </xf>
    <xf numFmtId="3" fontId="14" fillId="0" borderId="24" xfId="17" applyNumberFormat="1" applyFont="1" applyFill="1" applyBorder="1" applyAlignment="1" applyProtection="1">
      <alignment horizontal="center" vertical="center" wrapText="1"/>
      <protection locked="0"/>
    </xf>
    <xf numFmtId="2" fontId="14" fillId="0" borderId="24" xfId="17" applyNumberFormat="1" applyFont="1" applyFill="1" applyBorder="1" applyAlignment="1">
      <alignment horizontal="center" vertical="center"/>
    </xf>
    <xf numFmtId="166" fontId="14" fillId="0" borderId="21" xfId="17" applyNumberFormat="1" applyFont="1" applyFill="1" applyBorder="1" applyAlignment="1">
      <alignment horizontal="center" vertical="center"/>
    </xf>
    <xf numFmtId="0" fontId="14" fillId="11" borderId="1" xfId="17" applyFont="1" applyFill="1" applyBorder="1" applyAlignment="1" applyProtection="1">
      <alignment horizontal="center" vertical="center" wrapText="1"/>
      <protection locked="0"/>
    </xf>
    <xf numFmtId="0" fontId="14" fillId="0" borderId="17" xfId="9" applyFont="1" applyFill="1" applyBorder="1" applyAlignment="1">
      <alignment horizontal="center" vertical="center"/>
    </xf>
    <xf numFmtId="0" fontId="14" fillId="0" borderId="9" xfId="9" applyFont="1" applyFill="1" applyBorder="1" applyAlignment="1" applyProtection="1">
      <alignment horizontal="center" vertical="center" wrapText="1"/>
      <protection locked="0"/>
    </xf>
    <xf numFmtId="0" fontId="14" fillId="11" borderId="0" xfId="17" applyFont="1" applyFill="1" applyBorder="1" applyAlignment="1">
      <alignment horizontal="center" vertical="center"/>
    </xf>
    <xf numFmtId="0" fontId="14" fillId="11" borderId="0" xfId="17" applyFont="1" applyFill="1" applyBorder="1" applyAlignment="1">
      <alignment horizontal="left" vertical="center"/>
    </xf>
    <xf numFmtId="0" fontId="14" fillId="11" borderId="0" xfId="17" applyFont="1" applyFill="1" applyBorder="1" applyAlignment="1">
      <alignment horizontal="center" vertical="center" wrapText="1"/>
    </xf>
    <xf numFmtId="0" fontId="14" fillId="11" borderId="0" xfId="17" applyFont="1" applyFill="1" applyBorder="1" applyAlignment="1" applyProtection="1">
      <alignment horizontal="center" vertical="center" wrapText="1"/>
      <protection locked="0"/>
    </xf>
    <xf numFmtId="164" fontId="14" fillId="11" borderId="0" xfId="17" applyNumberFormat="1" applyFont="1" applyFill="1" applyBorder="1" applyAlignment="1">
      <alignment horizontal="center" vertical="center"/>
    </xf>
    <xf numFmtId="164" fontId="14" fillId="11" borderId="0" xfId="17" applyNumberFormat="1" applyFont="1" applyFill="1" applyBorder="1" applyAlignment="1">
      <alignment horizontal="center" vertical="center" wrapText="1"/>
    </xf>
    <xf numFmtId="171" fontId="14" fillId="11" borderId="0" xfId="17" applyNumberFormat="1" applyFont="1" applyFill="1" applyBorder="1" applyAlignment="1">
      <alignment horizontal="center" vertical="center"/>
    </xf>
    <xf numFmtId="3" fontId="14" fillId="11" borderId="0" xfId="17" applyNumberFormat="1" applyFont="1" applyFill="1" applyBorder="1" applyAlignment="1">
      <alignment horizontal="center" vertical="center"/>
    </xf>
    <xf numFmtId="1" fontId="14" fillId="11" borderId="0" xfId="17" applyNumberFormat="1" applyFont="1" applyFill="1" applyBorder="1" applyAlignment="1">
      <alignment horizontal="center" vertical="center"/>
    </xf>
    <xf numFmtId="166" fontId="14" fillId="11" borderId="0" xfId="17" applyNumberFormat="1" applyFont="1" applyFill="1" applyBorder="1" applyAlignment="1">
      <alignment horizontal="center" vertical="center" wrapText="1"/>
    </xf>
    <xf numFmtId="0" fontId="14" fillId="11" borderId="1" xfId="17" applyFont="1" applyFill="1" applyBorder="1" applyAlignment="1" applyProtection="1">
      <alignment horizontal="center" vertical="center"/>
      <protection locked="0"/>
    </xf>
    <xf numFmtId="0" fontId="14" fillId="11" borderId="5" xfId="17" applyFont="1" applyFill="1" applyBorder="1" applyAlignment="1">
      <alignment horizontal="center" vertical="center"/>
    </xf>
    <xf numFmtId="0" fontId="14" fillId="11" borderId="8" xfId="17" applyFont="1" applyFill="1" applyBorder="1" applyAlignment="1">
      <alignment horizontal="center" vertical="center"/>
    </xf>
    <xf numFmtId="0" fontId="14" fillId="11" borderId="18" xfId="17" applyFont="1" applyFill="1" applyBorder="1" applyAlignment="1">
      <alignment horizontal="center" vertical="center"/>
    </xf>
    <xf numFmtId="164" fontId="14" fillId="11" borderId="1" xfId="17" applyNumberFormat="1" applyFont="1" applyFill="1" applyBorder="1" applyAlignment="1" applyProtection="1">
      <alignment horizontal="center" vertical="center"/>
      <protection locked="0"/>
    </xf>
    <xf numFmtId="164" fontId="14" fillId="11" borderId="1" xfId="17" applyNumberFormat="1" applyFont="1" applyFill="1" applyBorder="1" applyAlignment="1" applyProtection="1">
      <alignment horizontal="center" vertical="center" wrapText="1"/>
      <protection locked="0"/>
    </xf>
    <xf numFmtId="171" fontId="14" fillId="11" borderId="1" xfId="17" applyNumberFormat="1" applyFont="1" applyFill="1" applyBorder="1" applyAlignment="1" applyProtection="1">
      <alignment horizontal="center" vertical="center"/>
      <protection locked="0"/>
    </xf>
    <xf numFmtId="0" fontId="14" fillId="11" borderId="1" xfId="17" applyFont="1" applyFill="1" applyBorder="1" applyAlignment="1">
      <alignment horizontal="center" vertical="center"/>
    </xf>
    <xf numFmtId="0" fontId="14" fillId="11" borderId="1" xfId="17" applyFont="1" applyFill="1" applyBorder="1" applyAlignment="1">
      <alignment horizontal="center" vertical="center" wrapText="1"/>
    </xf>
    <xf numFmtId="3" fontId="14" fillId="11" borderId="1" xfId="17" applyNumberFormat="1" applyFont="1" applyFill="1" applyBorder="1" applyAlignment="1">
      <alignment horizontal="center" vertical="center"/>
    </xf>
    <xf numFmtId="164" fontId="14" fillId="11" borderId="1" xfId="17" applyNumberFormat="1" applyFont="1" applyFill="1" applyBorder="1" applyAlignment="1">
      <alignment horizontal="center" vertical="center"/>
    </xf>
    <xf numFmtId="1" fontId="14" fillId="11" borderId="1" xfId="17" applyNumberFormat="1" applyFont="1" applyFill="1" applyBorder="1" applyAlignment="1">
      <alignment horizontal="center" vertical="center"/>
    </xf>
    <xf numFmtId="166" fontId="14" fillId="11" borderId="1" xfId="17" applyNumberFormat="1" applyFont="1" applyFill="1" applyBorder="1" applyAlignment="1">
      <alignment horizontal="center" vertical="center"/>
    </xf>
    <xf numFmtId="0" fontId="14" fillId="11" borderId="4" xfId="17" applyFont="1" applyFill="1" applyBorder="1" applyAlignment="1">
      <alignment horizontal="center" vertical="center"/>
    </xf>
    <xf numFmtId="3" fontId="14" fillId="11" borderId="1" xfId="17" applyNumberFormat="1" applyFont="1" applyFill="1" applyBorder="1" applyAlignment="1" applyProtection="1">
      <alignment horizontal="center" vertical="center" wrapText="1"/>
      <protection locked="0"/>
    </xf>
    <xf numFmtId="3" fontId="14" fillId="11" borderId="1" xfId="17" applyNumberFormat="1" applyFont="1" applyFill="1" applyBorder="1" applyAlignment="1" applyProtection="1">
      <alignment horizontal="center" vertical="center" wrapText="1"/>
    </xf>
    <xf numFmtId="1" fontId="14" fillId="11" borderId="1" xfId="17" applyNumberFormat="1" applyFont="1" applyFill="1" applyBorder="1" applyAlignment="1" applyProtection="1">
      <alignment horizontal="center" vertical="center" wrapText="1"/>
      <protection locked="0"/>
    </xf>
    <xf numFmtId="0" fontId="14" fillId="11" borderId="5" xfId="17" applyFont="1" applyFill="1" applyBorder="1" applyAlignment="1">
      <alignment horizontal="center" vertical="center" wrapText="1"/>
    </xf>
    <xf numFmtId="14" fontId="14" fillId="11" borderId="8" xfId="17" applyNumberFormat="1" applyFont="1" applyFill="1" applyBorder="1" applyAlignment="1">
      <alignment horizontal="center" vertical="center" wrapText="1"/>
    </xf>
    <xf numFmtId="0" fontId="14" fillId="11" borderId="18" xfId="17" applyFont="1" applyFill="1" applyBorder="1" applyAlignment="1">
      <alignment horizontal="center" vertical="center" wrapText="1"/>
    </xf>
    <xf numFmtId="164" fontId="14" fillId="11" borderId="1" xfId="17" applyNumberFormat="1" applyFont="1" applyFill="1" applyBorder="1" applyAlignment="1" applyProtection="1">
      <alignment horizontal="center" vertical="center" wrapText="1"/>
    </xf>
    <xf numFmtId="164" fontId="14" fillId="11" borderId="1" xfId="17" applyNumberFormat="1" applyFont="1" applyFill="1" applyBorder="1" applyAlignment="1">
      <alignment horizontal="center" vertical="center" wrapText="1"/>
    </xf>
    <xf numFmtId="171" fontId="14" fillId="11" borderId="1" xfId="17" applyNumberFormat="1" applyFont="1" applyFill="1" applyBorder="1" applyAlignment="1" applyProtection="1">
      <alignment horizontal="center" vertical="center" wrapText="1"/>
      <protection locked="0"/>
    </xf>
    <xf numFmtId="14" fontId="14" fillId="11" borderId="1" xfId="17" applyNumberFormat="1" applyFont="1" applyFill="1" applyBorder="1" applyAlignment="1">
      <alignment horizontal="center" vertical="center" wrapText="1"/>
    </xf>
    <xf numFmtId="3" fontId="14" fillId="11" borderId="1" xfId="17" applyNumberFormat="1" applyFont="1" applyFill="1" applyBorder="1" applyAlignment="1">
      <alignment horizontal="center" vertical="center" wrapText="1"/>
    </xf>
    <xf numFmtId="1" fontId="14" fillId="11" borderId="1" xfId="17" applyNumberFormat="1" applyFont="1" applyFill="1" applyBorder="1" applyAlignment="1">
      <alignment horizontal="center" vertical="center" wrapText="1"/>
    </xf>
    <xf numFmtId="166" fontId="14" fillId="11" borderId="1" xfId="17" applyNumberFormat="1" applyFont="1" applyFill="1" applyBorder="1" applyAlignment="1">
      <alignment horizontal="center" vertical="center" wrapText="1"/>
    </xf>
    <xf numFmtId="10" fontId="14" fillId="11" borderId="1" xfId="17" applyNumberFormat="1" applyFont="1" applyFill="1" applyBorder="1" applyAlignment="1">
      <alignment horizontal="center" vertical="center" wrapText="1"/>
    </xf>
    <xf numFmtId="0" fontId="14" fillId="11" borderId="4" xfId="17" applyFont="1" applyFill="1" applyBorder="1" applyAlignment="1">
      <alignment horizontal="center" vertical="center" wrapText="1"/>
    </xf>
    <xf numFmtId="0" fontId="14" fillId="11" borderId="44" xfId="17" applyFont="1" applyFill="1" applyBorder="1" applyAlignment="1">
      <alignment horizontal="center" vertical="center"/>
    </xf>
    <xf numFmtId="14" fontId="14" fillId="11" borderId="8" xfId="17" applyNumberFormat="1" applyFont="1" applyFill="1" applyBorder="1" applyAlignment="1">
      <alignment horizontal="center" vertical="center"/>
    </xf>
    <xf numFmtId="14" fontId="14" fillId="11" borderId="1" xfId="17" applyNumberFormat="1" applyFont="1" applyFill="1" applyBorder="1" applyAlignment="1">
      <alignment horizontal="center" vertical="center"/>
    </xf>
    <xf numFmtId="10" fontId="14" fillId="11" borderId="1" xfId="17" applyNumberFormat="1" applyFont="1" applyFill="1" applyBorder="1" applyAlignment="1">
      <alignment horizontal="center" vertical="center"/>
    </xf>
    <xf numFmtId="0" fontId="14" fillId="11" borderId="24" xfId="17" applyFont="1" applyFill="1" applyBorder="1" applyAlignment="1" applyProtection="1">
      <alignment horizontal="center" vertical="center" wrapText="1"/>
      <protection locked="0"/>
    </xf>
    <xf numFmtId="0" fontId="14" fillId="11" borderId="24" xfId="17" applyFont="1" applyFill="1" applyBorder="1" applyAlignment="1" applyProtection="1">
      <alignment horizontal="center" vertical="center"/>
      <protection locked="0"/>
    </xf>
    <xf numFmtId="164" fontId="14" fillId="11" borderId="1" xfId="17" applyNumberFormat="1" applyFont="1" applyFill="1" applyBorder="1" applyAlignment="1" applyProtection="1">
      <alignment horizontal="center" vertical="center"/>
    </xf>
    <xf numFmtId="0" fontId="14" fillId="11" borderId="23" xfId="17" applyFont="1" applyFill="1" applyBorder="1" applyAlignment="1">
      <alignment horizontal="center" vertical="center"/>
    </xf>
    <xf numFmtId="14" fontId="14" fillId="11" borderId="20" xfId="17" applyNumberFormat="1" applyFont="1" applyFill="1" applyBorder="1" applyAlignment="1">
      <alignment horizontal="center" vertical="center" wrapText="1"/>
    </xf>
    <xf numFmtId="0" fontId="14" fillId="11" borderId="25" xfId="17" applyFont="1" applyFill="1" applyBorder="1" applyAlignment="1">
      <alignment horizontal="center" vertical="center" wrapText="1"/>
    </xf>
    <xf numFmtId="0" fontId="14" fillId="11" borderId="24" xfId="17" applyFont="1" applyFill="1" applyBorder="1" applyAlignment="1">
      <alignment horizontal="center" vertical="center" wrapText="1"/>
    </xf>
    <xf numFmtId="164" fontId="14" fillId="11" borderId="24" xfId="17" applyNumberFormat="1" applyFont="1" applyFill="1" applyBorder="1" applyAlignment="1" applyProtection="1">
      <alignment horizontal="center" vertical="center"/>
    </xf>
    <xf numFmtId="164" fontId="14" fillId="11" borderId="24" xfId="17" applyNumberFormat="1" applyFont="1" applyFill="1" applyBorder="1" applyAlignment="1">
      <alignment horizontal="center" vertical="center" wrapText="1"/>
    </xf>
    <xf numFmtId="171" fontId="14" fillId="11" borderId="24" xfId="17" applyNumberFormat="1" applyFont="1" applyFill="1" applyBorder="1" applyAlignment="1" applyProtection="1">
      <alignment horizontal="center" vertical="center" wrapText="1"/>
      <protection locked="0"/>
    </xf>
    <xf numFmtId="14" fontId="14" fillId="11" borderId="24" xfId="17" applyNumberFormat="1" applyFont="1" applyFill="1" applyBorder="1" applyAlignment="1">
      <alignment horizontal="center" vertical="center"/>
    </xf>
    <xf numFmtId="3" fontId="14" fillId="11" borderId="24" xfId="17" applyNumberFormat="1" applyFont="1" applyFill="1" applyBorder="1" applyAlignment="1">
      <alignment horizontal="center" vertical="center" wrapText="1"/>
    </xf>
    <xf numFmtId="3" fontId="14" fillId="11" borderId="24" xfId="17" applyNumberFormat="1" applyFont="1" applyFill="1" applyBorder="1" applyAlignment="1">
      <alignment horizontal="center" vertical="center"/>
    </xf>
    <xf numFmtId="164" fontId="14" fillId="11" borderId="24" xfId="17" applyNumberFormat="1" applyFont="1" applyFill="1" applyBorder="1" applyAlignment="1">
      <alignment horizontal="center" vertical="center"/>
    </xf>
    <xf numFmtId="166" fontId="14" fillId="11" borderId="24" xfId="17" applyNumberFormat="1" applyFont="1" applyFill="1" applyBorder="1" applyAlignment="1">
      <alignment horizontal="center" vertical="center" wrapText="1"/>
    </xf>
    <xf numFmtId="0" fontId="14" fillId="11" borderId="24" xfId="17" applyFont="1" applyFill="1" applyBorder="1" applyAlignment="1">
      <alignment horizontal="center" vertical="center"/>
    </xf>
    <xf numFmtId="10" fontId="14" fillId="11" borderId="24" xfId="17" applyNumberFormat="1" applyFont="1" applyFill="1" applyBorder="1" applyAlignment="1">
      <alignment horizontal="center" vertical="center"/>
    </xf>
    <xf numFmtId="0" fontId="14" fillId="11" borderId="21" xfId="17" applyFont="1" applyFill="1" applyBorder="1" applyAlignment="1">
      <alignment horizontal="center" vertical="center" wrapText="1"/>
    </xf>
    <xf numFmtId="0" fontId="14" fillId="11" borderId="8" xfId="17" applyFont="1" applyFill="1" applyBorder="1" applyAlignment="1">
      <alignment horizontal="center" vertical="center" wrapText="1"/>
    </xf>
    <xf numFmtId="171" fontId="14" fillId="11" borderId="1" xfId="17" quotePrefix="1" applyNumberFormat="1" applyFont="1" applyFill="1" applyBorder="1" applyAlignment="1" applyProtection="1">
      <alignment horizontal="center" vertical="center"/>
      <protection locked="0"/>
    </xf>
    <xf numFmtId="10" fontId="14" fillId="11" borderId="1" xfId="20" applyNumberFormat="1" applyFont="1" applyFill="1" applyBorder="1" applyAlignment="1" applyProtection="1">
      <alignment horizontal="center" vertical="center" wrapText="1"/>
      <protection locked="0"/>
    </xf>
    <xf numFmtId="2" fontId="14" fillId="11" borderId="1" xfId="17" applyNumberFormat="1" applyFont="1" applyFill="1" applyBorder="1" applyAlignment="1" applyProtection="1">
      <alignment horizontal="center" vertical="center" wrapText="1"/>
      <protection locked="0"/>
    </xf>
    <xf numFmtId="0" fontId="37" fillId="11" borderId="1" xfId="9" applyFont="1" applyFill="1" applyBorder="1" applyAlignment="1" applyProtection="1">
      <alignment horizontal="center" vertical="center" wrapText="1"/>
      <protection locked="0"/>
    </xf>
    <xf numFmtId="0" fontId="37" fillId="11" borderId="1" xfId="9" quotePrefix="1" applyFont="1" applyFill="1" applyBorder="1" applyAlignment="1" applyProtection="1">
      <alignment horizontal="center" vertical="center" wrapText="1"/>
      <protection locked="0"/>
    </xf>
    <xf numFmtId="1" fontId="37" fillId="11" borderId="0" xfId="9" applyNumberFormat="1" applyFont="1" applyFill="1" applyBorder="1" applyAlignment="1" applyProtection="1">
      <alignment horizontal="center" vertical="center" wrapText="1"/>
      <protection locked="0"/>
    </xf>
    <xf numFmtId="1" fontId="37" fillId="11" borderId="1" xfId="9" applyNumberFormat="1" applyFont="1" applyFill="1" applyBorder="1" applyAlignment="1" applyProtection="1">
      <alignment horizontal="center" vertical="center" wrapText="1"/>
      <protection locked="0"/>
    </xf>
    <xf numFmtId="172" fontId="14" fillId="11" borderId="1" xfId="20" applyNumberFormat="1" applyFont="1" applyFill="1" applyBorder="1" applyAlignment="1">
      <alignment horizontal="center" vertical="center" wrapText="1"/>
    </xf>
    <xf numFmtId="1" fontId="14" fillId="11" borderId="1" xfId="17" applyNumberFormat="1" applyFont="1" applyFill="1" applyBorder="1" applyAlignment="1" applyProtection="1">
      <alignment horizontal="center" vertical="center" wrapText="1"/>
    </xf>
    <xf numFmtId="2" fontId="14" fillId="11" borderId="1" xfId="17" applyNumberFormat="1" applyFont="1" applyFill="1" applyBorder="1" applyAlignment="1">
      <alignment horizontal="center" vertical="center"/>
    </xf>
    <xf numFmtId="166" fontId="14" fillId="11" borderId="4" xfId="17" applyNumberFormat="1" applyFont="1" applyFill="1" applyBorder="1" applyAlignment="1">
      <alignment horizontal="center" vertical="center"/>
    </xf>
    <xf numFmtId="1" fontId="14" fillId="11" borderId="5" xfId="17" applyNumberFormat="1" applyFont="1" applyFill="1" applyBorder="1" applyAlignment="1">
      <alignment horizontal="center" vertical="center"/>
    </xf>
    <xf numFmtId="10" fontId="14" fillId="11" borderId="1" xfId="17" applyNumberFormat="1" applyFont="1" applyFill="1" applyBorder="1" applyAlignment="1" applyProtection="1">
      <alignment horizontal="center" vertical="center" wrapText="1"/>
      <protection locked="0"/>
    </xf>
    <xf numFmtId="0" fontId="14" fillId="11" borderId="1" xfId="17" applyFont="1" applyFill="1" applyBorder="1" applyAlignment="1" applyProtection="1">
      <alignment horizontal="center" vertical="center"/>
    </xf>
    <xf numFmtId="37" fontId="14" fillId="11" borderId="1" xfId="17" applyNumberFormat="1" applyFont="1" applyFill="1" applyBorder="1" applyAlignment="1" applyProtection="1">
      <alignment horizontal="center" vertical="center" wrapText="1"/>
      <protection locked="0"/>
    </xf>
    <xf numFmtId="0" fontId="14" fillId="11" borderId="25" xfId="17" applyFont="1" applyFill="1" applyBorder="1" applyAlignment="1" applyProtection="1">
      <alignment horizontal="center" vertical="center" wrapText="1"/>
      <protection locked="0"/>
    </xf>
    <xf numFmtId="0" fontId="32" fillId="11" borderId="1" xfId="9" applyFill="1" applyBorder="1" applyAlignment="1" applyProtection="1">
      <alignment horizontal="center" vertical="center" wrapText="1"/>
      <protection locked="0"/>
    </xf>
    <xf numFmtId="0" fontId="32" fillId="11" borderId="1" xfId="9" quotePrefix="1" applyFill="1" applyBorder="1" applyAlignment="1" applyProtection="1">
      <alignment horizontal="center" vertical="center" wrapText="1"/>
      <protection locked="0"/>
    </xf>
    <xf numFmtId="0" fontId="32" fillId="11" borderId="1" xfId="9" applyFill="1" applyBorder="1"/>
    <xf numFmtId="164" fontId="32" fillId="11" borderId="1" xfId="9" applyNumberFormat="1" applyFill="1" applyBorder="1" applyAlignment="1" applyProtection="1">
      <alignment horizontal="center" vertical="center" wrapText="1"/>
      <protection locked="0"/>
    </xf>
    <xf numFmtId="0" fontId="14" fillId="11" borderId="18" xfId="17" applyFont="1" applyFill="1" applyBorder="1" applyAlignment="1" applyProtection="1">
      <alignment horizontal="center" vertical="center" wrapText="1"/>
      <protection locked="0"/>
    </xf>
    <xf numFmtId="0" fontId="32" fillId="11" borderId="1" xfId="9" applyFont="1" applyFill="1" applyBorder="1" applyAlignment="1" applyProtection="1">
      <alignment horizontal="center" vertical="center" wrapText="1"/>
      <protection locked="0"/>
    </xf>
    <xf numFmtId="0" fontId="32" fillId="11" borderId="1" xfId="9" applyFont="1" applyFill="1" applyBorder="1"/>
    <xf numFmtId="164" fontId="32" fillId="11" borderId="1" xfId="9" applyNumberFormat="1" applyFont="1" applyFill="1" applyBorder="1" applyAlignment="1" applyProtection="1">
      <alignment horizontal="center" vertical="center" wrapText="1"/>
      <protection locked="0"/>
    </xf>
    <xf numFmtId="2" fontId="14" fillId="11" borderId="24" xfId="17" applyNumberFormat="1" applyFont="1" applyFill="1" applyBorder="1" applyAlignment="1" applyProtection="1">
      <alignment horizontal="center" vertical="center" wrapText="1"/>
      <protection locked="0"/>
    </xf>
    <xf numFmtId="0" fontId="14" fillId="11" borderId="18" xfId="17" applyFont="1" applyFill="1" applyBorder="1" applyAlignment="1" applyProtection="1">
      <alignment horizontal="center" vertical="center"/>
      <protection locked="0"/>
    </xf>
    <xf numFmtId="0" fontId="14" fillId="11" borderId="1" xfId="10" applyFont="1" applyFill="1" applyBorder="1" applyAlignment="1" applyProtection="1">
      <alignment horizontal="center" vertical="center" wrapText="1"/>
      <protection locked="0"/>
    </xf>
    <xf numFmtId="168" fontId="14" fillId="11" borderId="1" xfId="17" applyNumberFormat="1" applyFont="1" applyFill="1" applyBorder="1" applyAlignment="1" applyProtection="1">
      <alignment horizontal="center" vertical="center"/>
      <protection locked="0"/>
    </xf>
    <xf numFmtId="167" fontId="14" fillId="11" borderId="1" xfId="17" applyNumberFormat="1" applyFont="1" applyFill="1" applyBorder="1" applyAlignment="1" applyProtection="1">
      <alignment horizontal="center" vertical="center"/>
      <protection locked="0"/>
    </xf>
    <xf numFmtId="0" fontId="14" fillId="11" borderId="1" xfId="17" quotePrefix="1" applyFont="1" applyFill="1" applyBorder="1" applyAlignment="1" applyProtection="1">
      <alignment horizontal="center" vertical="center" wrapText="1"/>
      <protection locked="0"/>
    </xf>
    <xf numFmtId="12" fontId="14" fillId="11" borderId="1" xfId="17" applyNumberFormat="1" applyFont="1" applyFill="1" applyBorder="1" applyAlignment="1" applyProtection="1">
      <alignment horizontal="center" vertical="center"/>
      <protection locked="0"/>
    </xf>
    <xf numFmtId="167" fontId="14" fillId="11" borderId="1" xfId="17" applyNumberFormat="1" applyFont="1" applyFill="1" applyBorder="1" applyAlignment="1" applyProtection="1">
      <alignment horizontal="center" vertical="center" wrapText="1"/>
      <protection locked="0"/>
    </xf>
    <xf numFmtId="168" fontId="14" fillId="11" borderId="1" xfId="17" applyNumberFormat="1" applyFont="1" applyFill="1" applyBorder="1" applyAlignment="1" applyProtection="1">
      <alignment horizontal="center" vertical="center" wrapText="1"/>
      <protection locked="0"/>
    </xf>
    <xf numFmtId="171" fontId="14" fillId="11" borderId="1" xfId="17" quotePrefix="1" applyNumberFormat="1" applyFont="1" applyFill="1" applyBorder="1" applyAlignment="1" applyProtection="1">
      <alignment horizontal="center" vertical="center" wrapText="1"/>
      <protection locked="0"/>
    </xf>
    <xf numFmtId="1" fontId="14" fillId="11" borderId="1" xfId="17" applyNumberFormat="1" applyFont="1" applyFill="1" applyBorder="1" applyAlignment="1" applyProtection="1">
      <alignment horizontal="center" vertical="center"/>
    </xf>
    <xf numFmtId="0" fontId="14" fillId="11" borderId="1" xfId="17" applyNumberFormat="1" applyFont="1" applyFill="1" applyBorder="1" applyAlignment="1" applyProtection="1">
      <alignment horizontal="center" vertical="center"/>
      <protection locked="0"/>
    </xf>
    <xf numFmtId="2" fontId="14" fillId="11" borderId="1" xfId="17" applyNumberFormat="1" applyFont="1" applyFill="1" applyBorder="1" applyAlignment="1">
      <alignment horizontal="center" vertical="center" wrapText="1"/>
    </xf>
    <xf numFmtId="3" fontId="14" fillId="11" borderId="0" xfId="17" applyNumberFormat="1" applyFont="1" applyFill="1" applyBorder="1" applyAlignment="1">
      <alignment horizontal="center" vertical="center" wrapText="1"/>
    </xf>
    <xf numFmtId="164" fontId="14" fillId="11" borderId="5" xfId="17" applyNumberFormat="1" applyFont="1" applyFill="1" applyBorder="1" applyAlignment="1">
      <alignment horizontal="center" vertical="center"/>
    </xf>
    <xf numFmtId="0" fontId="14" fillId="11" borderId="1" xfId="17" quotePrefix="1" applyFont="1" applyFill="1" applyBorder="1" applyAlignment="1">
      <alignment horizontal="center" vertical="center" wrapText="1"/>
    </xf>
    <xf numFmtId="3" fontId="14" fillId="11" borderId="1" xfId="17" applyNumberFormat="1" applyFont="1" applyFill="1" applyBorder="1" applyAlignment="1" applyProtection="1">
      <alignment horizontal="center" vertical="center"/>
    </xf>
    <xf numFmtId="14" fontId="14" fillId="11" borderId="8" xfId="17" applyNumberFormat="1" applyFont="1" applyFill="1" applyBorder="1" applyAlignment="1" applyProtection="1">
      <alignment horizontal="center" vertical="center" wrapText="1"/>
      <protection locked="0"/>
    </xf>
    <xf numFmtId="14" fontId="14" fillId="11" borderId="1" xfId="17" applyNumberFormat="1" applyFont="1" applyFill="1" applyBorder="1" applyAlignment="1" applyProtection="1">
      <alignment horizontal="center" vertical="center" wrapText="1"/>
      <protection locked="0"/>
    </xf>
    <xf numFmtId="170" fontId="14" fillId="11" borderId="1" xfId="17" applyNumberFormat="1" applyFont="1" applyFill="1" applyBorder="1" applyAlignment="1">
      <alignment horizontal="center" vertical="center" wrapText="1"/>
    </xf>
    <xf numFmtId="0" fontId="14" fillId="11" borderId="8" xfId="17" applyFont="1" applyFill="1" applyBorder="1" applyAlignment="1" applyProtection="1">
      <alignment horizontal="center" vertical="center" wrapText="1"/>
      <protection locked="0"/>
    </xf>
    <xf numFmtId="0" fontId="14" fillId="11" borderId="1" xfId="17" applyFont="1" applyFill="1" applyBorder="1" applyAlignment="1" applyProtection="1">
      <alignment horizontal="center" vertical="center" wrapText="1" shrinkToFit="1"/>
      <protection locked="0"/>
    </xf>
    <xf numFmtId="0" fontId="37" fillId="11" borderId="1" xfId="9" applyFont="1" applyFill="1" applyBorder="1" applyAlignment="1" applyProtection="1">
      <alignment horizontal="center" vertical="center"/>
      <protection locked="0"/>
    </xf>
    <xf numFmtId="172" fontId="14" fillId="11" borderId="1" xfId="20" applyNumberFormat="1" applyFont="1" applyFill="1" applyBorder="1" applyAlignment="1" applyProtection="1">
      <alignment horizontal="center" vertical="center" wrapText="1"/>
      <protection locked="0"/>
    </xf>
    <xf numFmtId="3" fontId="31" fillId="11" borderId="1" xfId="1" applyNumberFormat="1" applyFill="1" applyBorder="1" applyAlignment="1">
      <alignment horizontal="center" vertical="center"/>
    </xf>
    <xf numFmtId="0" fontId="31" fillId="11" borderId="1" xfId="1" applyFill="1" applyBorder="1" applyAlignment="1">
      <alignment horizontal="center" vertical="center" wrapText="1"/>
    </xf>
    <xf numFmtId="164" fontId="31" fillId="11" borderId="1" xfId="1" applyNumberFormat="1" applyFill="1" applyBorder="1" applyAlignment="1">
      <alignment horizontal="center" vertical="center"/>
    </xf>
    <xf numFmtId="0" fontId="31" fillId="11" borderId="1" xfId="1" applyFill="1" applyBorder="1" applyAlignment="1">
      <alignment horizontal="center" vertical="center"/>
    </xf>
    <xf numFmtId="10" fontId="31" fillId="11" borderId="1" xfId="1" applyNumberFormat="1" applyFill="1" applyBorder="1" applyAlignment="1">
      <alignment horizontal="center" vertical="center"/>
    </xf>
    <xf numFmtId="0" fontId="32" fillId="11" borderId="1" xfId="9" applyFont="1" applyFill="1" applyBorder="1" applyAlignment="1" applyProtection="1">
      <alignment horizontal="center" vertical="center"/>
      <protection locked="0"/>
    </xf>
    <xf numFmtId="0" fontId="32" fillId="11" borderId="1" xfId="9" quotePrefix="1" applyFont="1" applyFill="1" applyBorder="1" applyAlignment="1" applyProtection="1">
      <alignment horizontal="center" vertical="center" wrapText="1"/>
      <protection locked="0"/>
    </xf>
    <xf numFmtId="0" fontId="14" fillId="11" borderId="18" xfId="9" applyFont="1" applyFill="1" applyBorder="1" applyAlignment="1" applyProtection="1">
      <alignment horizontal="center" vertical="center" wrapText="1"/>
      <protection locked="0"/>
    </xf>
    <xf numFmtId="166" fontId="31" fillId="11" borderId="1" xfId="1" applyNumberFormat="1" applyFill="1" applyBorder="1" applyAlignment="1">
      <alignment horizontal="center" vertical="center" wrapText="1"/>
    </xf>
    <xf numFmtId="2" fontId="31" fillId="11" borderId="1" xfId="1" applyNumberFormat="1" applyFill="1" applyBorder="1" applyAlignment="1">
      <alignment horizontal="center" vertical="center"/>
    </xf>
    <xf numFmtId="166" fontId="31" fillId="11" borderId="1" xfId="1" applyNumberFormat="1" applyFill="1" applyBorder="1" applyAlignment="1">
      <alignment horizontal="center" vertical="center"/>
    </xf>
    <xf numFmtId="169" fontId="14" fillId="11" borderId="1" xfId="17" applyNumberFormat="1" applyFont="1" applyFill="1" applyBorder="1" applyAlignment="1">
      <alignment horizontal="center" vertical="center" wrapText="1"/>
    </xf>
    <xf numFmtId="17" fontId="14" fillId="11" borderId="8" xfId="17" applyNumberFormat="1" applyFont="1" applyFill="1" applyBorder="1" applyAlignment="1">
      <alignment horizontal="center" vertical="center" wrapText="1"/>
    </xf>
    <xf numFmtId="17" fontId="14" fillId="11" borderId="1" xfId="17" applyNumberFormat="1" applyFont="1" applyFill="1" applyBorder="1" applyAlignment="1">
      <alignment horizontal="center" vertical="center" wrapText="1"/>
    </xf>
    <xf numFmtId="0" fontId="14" fillId="11" borderId="1" xfId="17" applyFont="1" applyFill="1" applyBorder="1" applyAlignment="1" applyProtection="1">
      <alignment horizontal="center" vertical="center" wrapText="1"/>
    </xf>
    <xf numFmtId="11" fontId="14" fillId="11" borderId="18" xfId="17" applyNumberFormat="1" applyFont="1" applyFill="1" applyBorder="1" applyAlignment="1" applyProtection="1">
      <alignment horizontal="center" vertical="center" wrapText="1"/>
      <protection locked="0"/>
    </xf>
    <xf numFmtId="0" fontId="14" fillId="11" borderId="1" xfId="17" quotePrefix="1" applyFont="1" applyFill="1" applyBorder="1" applyAlignment="1" applyProtection="1">
      <alignment horizontal="center" vertical="center"/>
      <protection locked="0"/>
    </xf>
    <xf numFmtId="164" fontId="14" fillId="11" borderId="1" xfId="9" applyNumberFormat="1" applyFont="1" applyFill="1" applyBorder="1" applyAlignment="1">
      <alignment horizontal="center" vertical="center"/>
    </xf>
    <xf numFmtId="0" fontId="14" fillId="11" borderId="1" xfId="9" applyFont="1" applyFill="1" applyBorder="1" applyAlignment="1" applyProtection="1">
      <alignment horizontal="center" vertical="center"/>
      <protection locked="0"/>
    </xf>
    <xf numFmtId="0" fontId="14" fillId="11" borderId="1" xfId="9" applyFont="1" applyFill="1" applyBorder="1" applyAlignment="1" applyProtection="1">
      <alignment horizontal="center" vertical="center" wrapText="1"/>
      <protection locked="0"/>
    </xf>
    <xf numFmtId="14" fontId="14" fillId="11" borderId="8" xfId="9" applyNumberFormat="1" applyFont="1" applyFill="1" applyBorder="1" applyAlignment="1">
      <alignment horizontal="center" vertical="center" wrapText="1"/>
    </xf>
    <xf numFmtId="0" fontId="14" fillId="11" borderId="18" xfId="9" applyFont="1" applyFill="1" applyBorder="1" applyAlignment="1">
      <alignment horizontal="center" vertical="center"/>
    </xf>
    <xf numFmtId="0" fontId="14" fillId="11" borderId="1" xfId="11" applyFont="1" applyFill="1" applyBorder="1" applyAlignment="1" applyProtection="1">
      <alignment horizontal="center" vertical="center"/>
      <protection locked="0"/>
    </xf>
    <xf numFmtId="0" fontId="14" fillId="11" borderId="1" xfId="11" applyFont="1" applyFill="1" applyBorder="1" applyAlignment="1" applyProtection="1">
      <alignment horizontal="center" vertical="center" wrapText="1"/>
      <protection locked="0"/>
    </xf>
    <xf numFmtId="164" fontId="14" fillId="11" borderId="1" xfId="11" applyNumberFormat="1" applyFont="1" applyFill="1" applyBorder="1" applyAlignment="1" applyProtection="1">
      <alignment horizontal="center" vertical="center"/>
      <protection locked="0"/>
    </xf>
    <xf numFmtId="164" fontId="14" fillId="11" borderId="1" xfId="11" applyNumberFormat="1" applyFont="1" applyFill="1" applyBorder="1" applyAlignment="1" applyProtection="1">
      <alignment horizontal="center" vertical="center" wrapText="1"/>
      <protection locked="0"/>
    </xf>
    <xf numFmtId="164" fontId="14" fillId="11" borderId="1" xfId="11" applyNumberFormat="1" applyFont="1" applyFill="1" applyBorder="1" applyAlignment="1">
      <alignment horizontal="center" vertical="center" wrapText="1"/>
    </xf>
    <xf numFmtId="171" fontId="14" fillId="11" borderId="1" xfId="11" applyNumberFormat="1" applyFont="1" applyFill="1" applyBorder="1" applyAlignment="1" applyProtection="1">
      <alignment horizontal="center" vertical="center"/>
      <protection locked="0"/>
    </xf>
    <xf numFmtId="0" fontId="14" fillId="11" borderId="1" xfId="9" applyFont="1" applyFill="1" applyBorder="1" applyAlignment="1">
      <alignment horizontal="center" vertical="center" wrapText="1"/>
    </xf>
    <xf numFmtId="14" fontId="14" fillId="11" borderId="1" xfId="11" applyNumberFormat="1" applyFont="1" applyFill="1" applyBorder="1" applyAlignment="1">
      <alignment horizontal="center" vertical="center"/>
    </xf>
    <xf numFmtId="3" fontId="14" fillId="11" borderId="1" xfId="11" applyNumberFormat="1" applyFont="1" applyFill="1" applyBorder="1" applyAlignment="1">
      <alignment horizontal="center" vertical="center" wrapText="1"/>
    </xf>
    <xf numFmtId="0" fontId="14" fillId="11" borderId="1" xfId="11" applyFont="1" applyFill="1" applyBorder="1" applyAlignment="1">
      <alignment horizontal="center" vertical="center" wrapText="1"/>
    </xf>
    <xf numFmtId="3" fontId="14" fillId="11" borderId="1" xfId="11" applyNumberFormat="1" applyFont="1" applyFill="1" applyBorder="1" applyAlignment="1">
      <alignment horizontal="center" vertical="center"/>
    </xf>
    <xf numFmtId="1" fontId="14" fillId="11" borderId="1" xfId="11" applyNumberFormat="1" applyFont="1" applyFill="1" applyBorder="1" applyAlignment="1" applyProtection="1">
      <alignment horizontal="center" vertical="center" wrapText="1"/>
    </xf>
    <xf numFmtId="164" fontId="14" fillId="11" borderId="1" xfId="11" applyNumberFormat="1" applyFont="1" applyFill="1" applyBorder="1" applyAlignment="1">
      <alignment horizontal="center" vertical="center"/>
    </xf>
    <xf numFmtId="166" fontId="14" fillId="11" borderId="1" xfId="11" applyNumberFormat="1" applyFont="1" applyFill="1" applyBorder="1" applyAlignment="1">
      <alignment horizontal="center" vertical="center" wrapText="1"/>
    </xf>
    <xf numFmtId="0" fontId="14" fillId="11" borderId="1" xfId="11" applyFont="1" applyFill="1" applyBorder="1" applyAlignment="1">
      <alignment horizontal="center" vertical="center"/>
    </xf>
    <xf numFmtId="11" fontId="14" fillId="11" borderId="1" xfId="17" applyNumberFormat="1" applyFont="1" applyFill="1" applyBorder="1" applyAlignment="1" applyProtection="1">
      <alignment horizontal="center" vertical="center" wrapText="1"/>
      <protection locked="0"/>
    </xf>
    <xf numFmtId="0" fontId="14" fillId="11" borderId="1" xfId="17" applyFont="1" applyFill="1" applyBorder="1" applyAlignment="1" applyProtection="1">
      <alignment horizontal="left" vertical="center" wrapText="1"/>
      <protection locked="0"/>
    </xf>
    <xf numFmtId="9" fontId="14" fillId="11" borderId="1" xfId="17" applyNumberFormat="1" applyFont="1" applyFill="1" applyBorder="1" applyAlignment="1" applyProtection="1">
      <alignment horizontal="center" vertical="center" wrapText="1"/>
      <protection locked="0"/>
    </xf>
    <xf numFmtId="0" fontId="14" fillId="11" borderId="0" xfId="17" applyFont="1" applyFill="1" applyBorder="1" applyAlignment="1" applyProtection="1">
      <alignment horizontal="center" vertical="center"/>
      <protection locked="0"/>
    </xf>
    <xf numFmtId="14" fontId="14" fillId="11" borderId="0" xfId="17" applyNumberFormat="1" applyFont="1" applyFill="1" applyBorder="1" applyAlignment="1">
      <alignment horizontal="center" vertical="center"/>
    </xf>
    <xf numFmtId="164" fontId="14" fillId="11" borderId="0" xfId="17" applyNumberFormat="1" applyFont="1" applyFill="1" applyBorder="1" applyAlignment="1" applyProtection="1">
      <alignment horizontal="center" vertical="center"/>
      <protection locked="0"/>
    </xf>
    <xf numFmtId="164" fontId="14" fillId="11" borderId="0" xfId="17" applyNumberFormat="1" applyFont="1" applyFill="1" applyBorder="1" applyAlignment="1" applyProtection="1">
      <alignment horizontal="center" vertical="center" wrapText="1"/>
    </xf>
    <xf numFmtId="164" fontId="14" fillId="11" borderId="0" xfId="17" applyNumberFormat="1" applyFont="1" applyFill="1" applyBorder="1" applyAlignment="1" applyProtection="1">
      <alignment horizontal="center" vertical="center"/>
    </xf>
    <xf numFmtId="171" fontId="14" fillId="11" borderId="0" xfId="17" applyNumberFormat="1" applyFont="1" applyFill="1" applyBorder="1" applyAlignment="1" applyProtection="1">
      <alignment horizontal="center" vertical="center"/>
      <protection locked="0"/>
    </xf>
    <xf numFmtId="2" fontId="14" fillId="11" borderId="0" xfId="17" applyNumberFormat="1" applyFont="1" applyFill="1" applyBorder="1" applyAlignment="1">
      <alignment horizontal="center" vertical="center"/>
    </xf>
    <xf numFmtId="1" fontId="14" fillId="11" borderId="0" xfId="17" applyNumberFormat="1" applyFont="1" applyFill="1" applyBorder="1" applyAlignment="1" applyProtection="1">
      <alignment horizontal="center" vertical="center" wrapText="1"/>
    </xf>
    <xf numFmtId="166" fontId="14" fillId="11" borderId="0" xfId="17" applyNumberFormat="1" applyFont="1" applyFill="1" applyBorder="1" applyAlignment="1">
      <alignment horizontal="center" vertical="center"/>
    </xf>
    <xf numFmtId="0" fontId="23" fillId="0" borderId="47" xfId="17" applyFont="1" applyFill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 wrapText="1"/>
    </xf>
    <xf numFmtId="0" fontId="23" fillId="0" borderId="47" xfId="17" applyFont="1" applyFill="1" applyBorder="1" applyAlignment="1">
      <alignment horizontal="center" vertical="center" textRotation="90"/>
    </xf>
    <xf numFmtId="0" fontId="23" fillId="0" borderId="47" xfId="17" applyFont="1" applyFill="1" applyBorder="1" applyAlignment="1" applyProtection="1">
      <alignment horizontal="center" vertical="center" wrapText="1"/>
      <protection locked="0"/>
    </xf>
    <xf numFmtId="0" fontId="27" fillId="0" borderId="43" xfId="17" applyFont="1" applyFill="1" applyBorder="1" applyAlignment="1">
      <alignment horizontal="center" vertical="center" wrapText="1"/>
    </xf>
    <xf numFmtId="0" fontId="27" fillId="0" borderId="27" xfId="17" applyFont="1" applyFill="1" applyBorder="1" applyAlignment="1">
      <alignment horizontal="center" vertical="center" wrapText="1"/>
    </xf>
    <xf numFmtId="0" fontId="27" fillId="0" borderId="48" xfId="17" applyFont="1" applyFill="1" applyBorder="1" applyAlignment="1">
      <alignment horizontal="center" vertical="center" wrapText="1"/>
    </xf>
    <xf numFmtId="0" fontId="23" fillId="0" borderId="49" xfId="17" applyFont="1" applyFill="1" applyBorder="1" applyAlignment="1">
      <alignment horizontal="center" vertical="center" wrapText="1"/>
    </xf>
    <xf numFmtId="0" fontId="23" fillId="0" borderId="50" xfId="17" applyFont="1" applyFill="1" applyBorder="1" applyAlignment="1">
      <alignment horizontal="center" vertical="center" wrapText="1"/>
    </xf>
    <xf numFmtId="0" fontId="23" fillId="0" borderId="51" xfId="17" applyFont="1" applyFill="1" applyBorder="1" applyAlignment="1">
      <alignment horizontal="center" vertical="center" wrapText="1"/>
    </xf>
    <xf numFmtId="3" fontId="23" fillId="0" borderId="47" xfId="17" applyNumberFormat="1" applyFont="1" applyFill="1" applyBorder="1" applyAlignment="1">
      <alignment horizontal="center" vertical="center" wrapText="1"/>
    </xf>
    <xf numFmtId="0" fontId="23" fillId="0" borderId="47" xfId="17" applyFont="1" applyFill="1" applyBorder="1" applyAlignment="1">
      <alignment horizontal="center" vertical="center"/>
    </xf>
    <xf numFmtId="164" fontId="23" fillId="0" borderId="47" xfId="17" applyNumberFormat="1" applyFont="1" applyFill="1" applyBorder="1" applyAlignment="1">
      <alignment horizontal="center" vertical="center"/>
    </xf>
    <xf numFmtId="0" fontId="23" fillId="0" borderId="52" xfId="17" applyFont="1" applyFill="1" applyBorder="1" applyAlignment="1">
      <alignment horizontal="center" vertical="center" wrapText="1"/>
    </xf>
    <xf numFmtId="0" fontId="23" fillId="0" borderId="0" xfId="17" applyFont="1" applyFill="1" applyBorder="1" applyAlignment="1">
      <alignment horizontal="center" vertical="center" wrapText="1"/>
    </xf>
    <xf numFmtId="0" fontId="23" fillId="0" borderId="6" xfId="17" applyFont="1" applyFill="1" applyBorder="1" applyAlignment="1">
      <alignment horizontal="center" vertical="center" wrapText="1"/>
    </xf>
    <xf numFmtId="0" fontId="23" fillId="0" borderId="43" xfId="17" applyFont="1" applyFill="1" applyBorder="1" applyAlignment="1">
      <alignment horizontal="center" vertical="center" wrapText="1"/>
    </xf>
    <xf numFmtId="0" fontId="23" fillId="0" borderId="27" xfId="17" applyFont="1" applyFill="1" applyBorder="1" applyAlignment="1">
      <alignment horizontal="center" vertical="center" wrapText="1"/>
    </xf>
    <xf numFmtId="0" fontId="23" fillId="0" borderId="48" xfId="17" applyFont="1" applyFill="1" applyBorder="1" applyAlignment="1">
      <alignment horizontal="center" vertical="center" wrapText="1"/>
    </xf>
    <xf numFmtId="0" fontId="11" fillId="0" borderId="53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164" fontId="23" fillId="0" borderId="47" xfId="17" applyNumberFormat="1" applyFont="1" applyFill="1" applyBorder="1" applyAlignment="1">
      <alignment horizontal="center" vertical="center" wrapText="1"/>
    </xf>
    <xf numFmtId="1" fontId="23" fillId="0" borderId="47" xfId="17" applyNumberFormat="1" applyFont="1" applyFill="1" applyBorder="1" applyAlignment="1">
      <alignment horizontal="center" vertical="center"/>
    </xf>
    <xf numFmtId="166" fontId="23" fillId="0" borderId="47" xfId="17" applyNumberFormat="1" applyFont="1" applyFill="1" applyBorder="1" applyAlignment="1">
      <alignment horizontal="center" vertical="center" wrapText="1"/>
    </xf>
    <xf numFmtId="0" fontId="15" fillId="0" borderId="1" xfId="15" applyNumberFormat="1" applyFont="1" applyFill="1" applyBorder="1" applyAlignment="1" applyProtection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15" applyNumberFormat="1" applyFont="1" applyFill="1" applyBorder="1" applyAlignment="1">
      <alignment horizontal="center" vertical="center" wrapText="1"/>
    </xf>
    <xf numFmtId="0" fontId="13" fillId="0" borderId="1" xfId="15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15" applyNumberFormat="1" applyFont="1" applyFill="1" applyBorder="1" applyAlignment="1" applyProtection="1">
      <alignment horizontal="center" vertical="center" wrapText="1"/>
    </xf>
    <xf numFmtId="0" fontId="5" fillId="0" borderId="9" xfId="15" applyNumberFormat="1" applyFont="1" applyFill="1" applyBorder="1" applyAlignment="1" applyProtection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41" xfId="15" applyNumberFormat="1" applyFont="1" applyFill="1" applyBorder="1" applyAlignment="1" applyProtection="1">
      <alignment horizontal="center" vertical="center" wrapText="1"/>
    </xf>
    <xf numFmtId="0" fontId="5" fillId="0" borderId="55" xfId="15" applyNumberFormat="1" applyFont="1" applyFill="1" applyBorder="1" applyAlignment="1" applyProtection="1">
      <alignment horizontal="center" vertical="center" wrapText="1"/>
    </xf>
    <xf numFmtId="0" fontId="10" fillId="0" borderId="52" xfId="0" applyFont="1" applyFill="1" applyBorder="1" applyAlignment="1">
      <alignment horizontal="center" vertical="center" wrapText="1"/>
    </xf>
    <xf numFmtId="0" fontId="5" fillId="0" borderId="1" xfId="15" applyNumberFormat="1" applyFont="1" applyFill="1" applyBorder="1" applyAlignment="1" applyProtection="1">
      <alignment horizontal="center" vertical="center" wrapText="1"/>
    </xf>
    <xf numFmtId="0" fontId="5" fillId="0" borderId="1" xfId="17" applyFont="1" applyFill="1" applyBorder="1" applyAlignment="1">
      <alignment horizontal="center" vertical="center"/>
    </xf>
    <xf numFmtId="0" fontId="5" fillId="0" borderId="9" xfId="17" applyFont="1" applyFill="1" applyBorder="1" applyAlignment="1">
      <alignment horizontal="center" vertical="center"/>
    </xf>
    <xf numFmtId="0" fontId="5" fillId="0" borderId="31" xfId="17" applyFont="1" applyFill="1" applyBorder="1" applyAlignment="1">
      <alignment horizontal="center" vertical="center"/>
    </xf>
    <xf numFmtId="0" fontId="5" fillId="0" borderId="38" xfId="17" applyFont="1" applyFill="1" applyBorder="1" applyAlignment="1">
      <alignment horizontal="center" vertical="center"/>
    </xf>
    <xf numFmtId="0" fontId="5" fillId="0" borderId="24" xfId="17" applyFont="1" applyFill="1" applyBorder="1" applyAlignment="1">
      <alignment horizontal="center" vertical="center"/>
    </xf>
    <xf numFmtId="3" fontId="5" fillId="0" borderId="3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5" fillId="0" borderId="31" xfId="17" applyNumberFormat="1" applyFont="1" applyFill="1" applyBorder="1" applyAlignment="1">
      <alignment horizontal="center" vertical="center"/>
    </xf>
    <xf numFmtId="3" fontId="5" fillId="0" borderId="1" xfId="17" applyNumberFormat="1" applyFont="1" applyFill="1" applyBorder="1" applyAlignment="1">
      <alignment horizontal="center" vertical="center"/>
    </xf>
    <xf numFmtId="3" fontId="5" fillId="0" borderId="38" xfId="17" applyNumberFormat="1" applyFont="1" applyFill="1" applyBorder="1" applyAlignment="1">
      <alignment horizontal="center" vertical="center"/>
    </xf>
    <xf numFmtId="0" fontId="5" fillId="0" borderId="31" xfId="17" applyFont="1" applyFill="1" applyBorder="1" applyAlignment="1">
      <alignment horizontal="center" vertical="center" wrapText="1"/>
    </xf>
    <xf numFmtId="0" fontId="5" fillId="0" borderId="1" xfId="17" applyFont="1" applyFill="1" applyBorder="1" applyAlignment="1">
      <alignment horizontal="center" vertical="center" wrapText="1"/>
    </xf>
    <xf numFmtId="0" fontId="5" fillId="0" borderId="38" xfId="17" applyFont="1" applyFill="1" applyBorder="1" applyAlignment="1">
      <alignment horizontal="center" vertical="center" wrapText="1"/>
    </xf>
    <xf numFmtId="3" fontId="5" fillId="0" borderId="56" xfId="17" applyNumberFormat="1" applyFont="1" applyFill="1" applyBorder="1" applyAlignment="1">
      <alignment horizontal="center" vertical="center"/>
    </xf>
    <xf numFmtId="3" fontId="5" fillId="0" borderId="24" xfId="17" applyNumberFormat="1" applyFont="1" applyFill="1" applyBorder="1" applyAlignment="1">
      <alignment horizontal="center" vertical="center"/>
    </xf>
    <xf numFmtId="0" fontId="5" fillId="0" borderId="56" xfId="17" applyFont="1" applyFill="1" applyBorder="1" applyAlignment="1">
      <alignment horizontal="center" vertical="center"/>
    </xf>
    <xf numFmtId="3" fontId="5" fillId="0" borderId="9" xfId="17" applyNumberFormat="1" applyFont="1" applyFill="1" applyBorder="1" applyAlignment="1">
      <alignment horizontal="center" vertical="center"/>
    </xf>
    <xf numFmtId="3" fontId="5" fillId="0" borderId="57" xfId="17" applyNumberFormat="1" applyFont="1" applyFill="1" applyBorder="1" applyAlignment="1">
      <alignment horizontal="center" vertical="center"/>
    </xf>
    <xf numFmtId="0" fontId="5" fillId="0" borderId="57" xfId="17" applyFont="1" applyFill="1" applyBorder="1" applyAlignment="1">
      <alignment horizontal="center" vertical="center"/>
    </xf>
    <xf numFmtId="0" fontId="5" fillId="0" borderId="24" xfId="17" applyFont="1" applyFill="1" applyBorder="1" applyAlignment="1">
      <alignment horizontal="center" vertical="center" wrapText="1"/>
    </xf>
    <xf numFmtId="3" fontId="5" fillId="0" borderId="56" xfId="0" applyNumberFormat="1" applyFont="1" applyBorder="1" applyAlignment="1">
      <alignment horizontal="center" vertical="center"/>
    </xf>
    <xf numFmtId="3" fontId="5" fillId="0" borderId="24" xfId="0" applyNumberFormat="1" applyFont="1" applyBorder="1" applyAlignment="1">
      <alignment horizontal="center" vertical="center"/>
    </xf>
    <xf numFmtId="0" fontId="5" fillId="0" borderId="9" xfId="17" applyFont="1" applyFill="1" applyBorder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/>
    </xf>
    <xf numFmtId="3" fontId="5" fillId="0" borderId="57" xfId="0" applyNumberFormat="1" applyFont="1" applyBorder="1" applyAlignment="1">
      <alignment horizontal="center" vertical="center"/>
    </xf>
    <xf numFmtId="0" fontId="5" fillId="0" borderId="56" xfId="17" applyFont="1" applyFill="1" applyBorder="1" applyAlignment="1">
      <alignment horizontal="center" vertical="center" wrapText="1"/>
    </xf>
    <xf numFmtId="0" fontId="5" fillId="0" borderId="2" xfId="17" applyFont="1" applyFill="1" applyBorder="1" applyAlignment="1">
      <alignment horizontal="center" vertical="center" wrapText="1"/>
    </xf>
    <xf numFmtId="0" fontId="5" fillId="0" borderId="57" xfId="17" applyFont="1" applyFill="1" applyBorder="1" applyAlignment="1">
      <alignment horizontal="center" vertical="center" wrapText="1"/>
    </xf>
    <xf numFmtId="0" fontId="5" fillId="0" borderId="2" xfId="17" applyFont="1" applyFill="1" applyBorder="1" applyAlignment="1">
      <alignment horizontal="center" vertical="center"/>
    </xf>
    <xf numFmtId="3" fontId="5" fillId="0" borderId="2" xfId="17" applyNumberFormat="1" applyFont="1" applyFill="1" applyBorder="1" applyAlignment="1">
      <alignment horizontal="center" vertical="center"/>
    </xf>
  </cellXfs>
  <cellStyles count="25">
    <cellStyle name="Bad" xfId="1" builtinId="27"/>
    <cellStyle name="Comma" xfId="2" builtinId="3"/>
    <cellStyle name="Currency 2" xfId="3" xr:uid="{00000000-0005-0000-0000-000002000000}"/>
    <cellStyle name="Currency 2 2" xfId="4" xr:uid="{00000000-0005-0000-0000-000003000000}"/>
    <cellStyle name="Currency 2 2 2" xfId="5" xr:uid="{00000000-0005-0000-0000-000004000000}"/>
    <cellStyle name="Currency 2 2 3" xfId="6" xr:uid="{00000000-0005-0000-0000-000005000000}"/>
    <cellStyle name="Currency 2 3" xfId="7" xr:uid="{00000000-0005-0000-0000-000006000000}"/>
    <cellStyle name="Currency 2 3 2" xfId="21" xr:uid="{00000000-0005-0000-0000-000007000000}"/>
    <cellStyle name="Currency 2 4" xfId="8" xr:uid="{00000000-0005-0000-0000-000008000000}"/>
    <cellStyle name="Currency 2 4 2" xfId="22" xr:uid="{00000000-0005-0000-0000-000009000000}"/>
    <cellStyle name="Good" xfId="9" builtinId="26"/>
    <cellStyle name="Hyperlink" xfId="10" builtinId="8"/>
    <cellStyle name="Neutral" xfId="11" builtinId="28"/>
    <cellStyle name="Normal" xfId="0" builtinId="0"/>
    <cellStyle name="Normal 2" xfId="12" xr:uid="{00000000-0005-0000-0000-00000E000000}"/>
    <cellStyle name="Normal 2 2" xfId="23" xr:uid="{00000000-0005-0000-0000-00000F000000}"/>
    <cellStyle name="Normal 3" xfId="13" xr:uid="{00000000-0005-0000-0000-000010000000}"/>
    <cellStyle name="Normal 4" xfId="14" xr:uid="{00000000-0005-0000-0000-000011000000}"/>
    <cellStyle name="Normal 4 2" xfId="24" xr:uid="{00000000-0005-0000-0000-000012000000}"/>
    <cellStyle name="Normal_cast" xfId="15" xr:uid="{00000000-0005-0000-0000-000013000000}"/>
    <cellStyle name="Normal_CPparts-2000" xfId="16" xr:uid="{00000000-0005-0000-0000-000014000000}"/>
    <cellStyle name="Normal_Products_ref" xfId="17" xr:uid="{00000000-0005-0000-0000-000015000000}"/>
    <cellStyle name="Normal_Products_ref 2" xfId="18" xr:uid="{00000000-0005-0000-0000-000016000000}"/>
    <cellStyle name="Normal_Sheet1" xfId="19" xr:uid="{00000000-0005-0000-0000-000017000000}"/>
    <cellStyle name="Percent" xfId="20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565265</xdr:colOff>
      <xdr:row>0</xdr:row>
      <xdr:rowOff>83127</xdr:rowOff>
    </xdr:from>
    <xdr:to>
      <xdr:col>28</xdr:col>
      <xdr:colOff>623455</xdr:colOff>
      <xdr:row>2</xdr:row>
      <xdr:rowOff>108065</xdr:rowOff>
    </xdr:to>
    <xdr:pic>
      <xdr:nvPicPr>
        <xdr:cNvPr id="18736" name="Picture 1">
          <a:extLst>
            <a:ext uri="{FF2B5EF4-FFF2-40B4-BE49-F238E27FC236}">
              <a16:creationId xmlns:a16="http://schemas.microsoft.com/office/drawing/2014/main" id="{00000000-0008-0000-0600-000030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91367" y="83127"/>
          <a:ext cx="1421477" cy="515389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S@-11-83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7.bin"/><Relationship Id="rId13" Type="http://schemas.openxmlformats.org/officeDocument/2006/relationships/printerSettings" Target="../printerSettings/printerSettings22.bin"/><Relationship Id="rId3" Type="http://schemas.openxmlformats.org/officeDocument/2006/relationships/printerSettings" Target="../printerSettings/printerSettings12.bin"/><Relationship Id="rId7" Type="http://schemas.openxmlformats.org/officeDocument/2006/relationships/printerSettings" Target="../printerSettings/printerSettings16.bin"/><Relationship Id="rId12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printerSettings" Target="../printerSettings/printerSettings15.bin"/><Relationship Id="rId11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4.bin"/><Relationship Id="rId15" Type="http://schemas.openxmlformats.org/officeDocument/2006/relationships/printerSettings" Target="../printerSettings/printerSettings24.bin"/><Relationship Id="rId10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3.bin"/><Relationship Id="rId9" Type="http://schemas.openxmlformats.org/officeDocument/2006/relationships/printerSettings" Target="../printerSettings/printerSettings18.bin"/><Relationship Id="rId14" Type="http://schemas.openxmlformats.org/officeDocument/2006/relationships/printerSettings" Target="../printerSettings/printerSettings2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5.bin"/><Relationship Id="rId3" Type="http://schemas.openxmlformats.org/officeDocument/2006/relationships/printerSettings" Target="../printerSettings/printerSettings30.bin"/><Relationship Id="rId7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28.bin"/><Relationship Id="rId6" Type="http://schemas.openxmlformats.org/officeDocument/2006/relationships/printerSettings" Target="../printerSettings/printerSettings33.bin"/><Relationship Id="rId5" Type="http://schemas.openxmlformats.org/officeDocument/2006/relationships/printerSettings" Target="../printerSettings/printerSettings32.bin"/><Relationship Id="rId4" Type="http://schemas.openxmlformats.org/officeDocument/2006/relationships/printerSettings" Target="../printerSettings/printerSettings3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4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Q321"/>
  <sheetViews>
    <sheetView tabSelected="1" zoomScale="70" zoomScaleNormal="70" zoomScaleSheetLayoutView="70" workbookViewId="0">
      <pane xSplit="8" ySplit="3" topLeftCell="I4" activePane="bottomRight" state="frozen"/>
      <selection pane="topRight" activeCell="H1" sqref="H1"/>
      <selection pane="bottomLeft" activeCell="A4" sqref="A4"/>
      <selection pane="bottomRight" activeCell="F94" sqref="F94"/>
    </sheetView>
  </sheetViews>
  <sheetFormatPr defaultColWidth="11.42578125" defaultRowHeight="12.75" x14ac:dyDescent="0.2"/>
  <cols>
    <col min="1" max="1" width="7.140625" style="213" customWidth="1"/>
    <col min="2" max="2" width="27.140625" style="213" customWidth="1"/>
    <col min="3" max="3" width="12.85546875" style="213" customWidth="1"/>
    <col min="4" max="4" width="10.42578125" style="213" customWidth="1"/>
    <col min="5" max="5" width="13.42578125" style="671" customWidth="1"/>
    <col min="6" max="6" width="13.42578125" style="213" customWidth="1"/>
    <col min="7" max="7" width="9.140625" style="213" customWidth="1"/>
    <col min="8" max="8" width="23.28515625" style="213" customWidth="1"/>
    <col min="9" max="9" width="12.42578125" style="213" customWidth="1"/>
    <col min="10" max="10" width="9.85546875" style="213" customWidth="1"/>
    <col min="11" max="11" width="16.42578125" style="213" customWidth="1"/>
    <col min="12" max="12" width="7.42578125" style="213" customWidth="1"/>
    <col min="13" max="13" width="11.140625" style="213" customWidth="1"/>
    <col min="14" max="14" width="13.42578125" style="213" customWidth="1"/>
    <col min="15" max="16" width="10.42578125" style="205" customWidth="1"/>
    <col min="17" max="17" width="12.42578125" style="205" customWidth="1"/>
    <col min="18" max="18" width="13.42578125" style="205" customWidth="1"/>
    <col min="19" max="19" width="9.5703125" style="213" customWidth="1"/>
    <col min="20" max="20" width="9.85546875" style="213" customWidth="1"/>
    <col min="21" max="22" width="9.42578125" style="213" customWidth="1"/>
    <col min="23" max="27" width="19.42578125" style="213" customWidth="1"/>
    <col min="28" max="28" width="19" style="205" customWidth="1"/>
    <col min="29" max="29" width="6.42578125" style="213" customWidth="1"/>
    <col min="30" max="30" width="28.42578125" style="213" customWidth="1"/>
    <col min="31" max="31" width="10.42578125" style="213" customWidth="1"/>
    <col min="32" max="32" width="13.42578125" style="213" customWidth="1"/>
    <col min="33" max="33" width="15.42578125" style="213" customWidth="1"/>
    <col min="34" max="34" width="3.42578125" style="213" customWidth="1"/>
    <col min="35" max="35" width="4" style="213" customWidth="1"/>
    <col min="36" max="36" width="20.42578125" style="213" customWidth="1"/>
    <col min="37" max="37" width="22.85546875" style="205" customWidth="1"/>
    <col min="38" max="38" width="3.140625" style="213" customWidth="1"/>
    <col min="39" max="39" width="3" style="213" customWidth="1"/>
    <col min="40" max="40" width="4.42578125" style="213" customWidth="1"/>
    <col min="41" max="41" width="14.42578125" style="213" customWidth="1"/>
    <col min="42" max="43" width="15.42578125" style="213" customWidth="1"/>
    <col min="44" max="44" width="9.42578125" style="210" customWidth="1"/>
    <col min="45" max="45" width="9.85546875" style="209" customWidth="1"/>
    <col min="46" max="46" width="11.42578125" style="210" customWidth="1"/>
    <col min="47" max="48" width="8.42578125" style="209" customWidth="1"/>
    <col min="49" max="49" width="15.42578125" style="209" customWidth="1"/>
    <col min="50" max="50" width="17.140625" style="285" customWidth="1"/>
    <col min="51" max="51" width="15.140625" style="213" customWidth="1"/>
    <col min="52" max="52" width="8.42578125" style="213" customWidth="1"/>
    <col min="53" max="53" width="17.140625" style="213" customWidth="1"/>
    <col min="54" max="54" width="23.85546875" style="213" customWidth="1"/>
    <col min="55" max="55" width="16.42578125" style="213" customWidth="1"/>
    <col min="56" max="58" width="16" style="213" customWidth="1"/>
    <col min="59" max="59" width="19.42578125" style="213" customWidth="1"/>
    <col min="60" max="60" width="24.42578125" style="205" customWidth="1"/>
    <col min="61" max="61" width="13.140625" style="213" customWidth="1"/>
    <col min="62" max="66" width="11.42578125" style="211" customWidth="1"/>
    <col min="67" max="67" width="11.42578125" style="213" customWidth="1"/>
    <col min="68" max="68" width="11.42578125" style="211" customWidth="1"/>
    <col min="69" max="69" width="11.42578125" style="213" customWidth="1"/>
    <col min="70" max="71" width="11.42578125" style="210" customWidth="1"/>
    <col min="72" max="72" width="11.42578125" style="287" customWidth="1"/>
    <col min="73" max="75" width="11.42578125" style="211" customWidth="1"/>
    <col min="76" max="76" width="11.140625" style="213" customWidth="1"/>
    <col min="77" max="77" width="11.42578125" style="213" customWidth="1"/>
    <col min="78" max="78" width="11.42578125" style="288" customWidth="1"/>
    <col min="79" max="79" width="11.42578125" style="213" customWidth="1"/>
    <col min="80" max="80" width="12.42578125" style="213" customWidth="1"/>
    <col min="81" max="82" width="11.42578125" style="210" customWidth="1"/>
    <col min="83" max="83" width="11.42578125" style="213" customWidth="1"/>
    <col min="84" max="84" width="13.42578125" style="213" customWidth="1"/>
    <col min="85" max="88" width="11.42578125" style="213" customWidth="1"/>
    <col min="89" max="89" width="45" style="213" customWidth="1"/>
    <col min="90" max="90" width="11.42578125" style="213"/>
    <col min="91" max="92" width="14" style="213" bestFit="1" customWidth="1"/>
    <col min="93" max="93" width="12.42578125" style="213" bestFit="1" customWidth="1"/>
    <col min="94" max="16384" width="11.42578125" style="213"/>
  </cols>
  <sheetData>
    <row r="1" spans="1:114" ht="75" customHeight="1" thickBot="1" x14ac:dyDescent="0.25">
      <c r="A1" s="1035" t="s">
        <v>871</v>
      </c>
      <c r="B1" s="557" t="s">
        <v>872</v>
      </c>
      <c r="C1" s="557"/>
      <c r="D1" s="1032" t="s">
        <v>1071</v>
      </c>
      <c r="E1" s="1032"/>
      <c r="F1" s="1032"/>
      <c r="G1" s="1032"/>
      <c r="H1" s="1032"/>
      <c r="I1" s="1032" t="s">
        <v>1076</v>
      </c>
      <c r="J1" s="1032" t="s">
        <v>1160</v>
      </c>
      <c r="K1" s="1032" t="s">
        <v>2847</v>
      </c>
      <c r="L1" s="1032" t="s">
        <v>1159</v>
      </c>
      <c r="M1" s="1032" t="s">
        <v>1046</v>
      </c>
      <c r="N1" s="1032" t="s">
        <v>1163</v>
      </c>
      <c r="O1" s="1032" t="s">
        <v>1165</v>
      </c>
      <c r="P1" s="1046" t="s">
        <v>3994</v>
      </c>
      <c r="Q1" s="1047"/>
      <c r="R1" s="1048"/>
      <c r="S1" s="1037" t="s">
        <v>3651</v>
      </c>
      <c r="T1" s="1038"/>
      <c r="U1" s="1038"/>
      <c r="V1" s="1038"/>
      <c r="W1" s="1039"/>
      <c r="X1" s="1032" t="s">
        <v>3072</v>
      </c>
      <c r="Y1" s="1032" t="s">
        <v>3073</v>
      </c>
      <c r="Z1" s="1040" t="s">
        <v>3736</v>
      </c>
      <c r="AA1" s="1032" t="s">
        <v>3074</v>
      </c>
      <c r="AB1" s="1032" t="s">
        <v>1166</v>
      </c>
      <c r="AC1" s="1032" t="s">
        <v>436</v>
      </c>
      <c r="AD1" s="1032" t="s">
        <v>1168</v>
      </c>
      <c r="AE1" s="1032" t="s">
        <v>1047</v>
      </c>
      <c r="AF1" s="398" t="s">
        <v>1154</v>
      </c>
      <c r="AG1" s="398" t="s">
        <v>1158</v>
      </c>
      <c r="AH1" s="1035" t="s">
        <v>2802</v>
      </c>
      <c r="AI1" s="1033"/>
      <c r="AJ1" s="1032" t="s">
        <v>1693</v>
      </c>
      <c r="AK1" s="1034"/>
      <c r="AL1" s="1036" t="s">
        <v>1592</v>
      </c>
      <c r="AM1" s="1034"/>
      <c r="AN1" s="1034"/>
      <c r="AO1" s="398" t="s">
        <v>1048</v>
      </c>
      <c r="AP1" s="398" t="s">
        <v>2803</v>
      </c>
      <c r="AQ1" s="398" t="s">
        <v>3737</v>
      </c>
      <c r="AR1" s="1045" t="s">
        <v>2805</v>
      </c>
      <c r="AS1" s="1033"/>
      <c r="AT1" s="1033"/>
      <c r="AU1" s="1033"/>
      <c r="AV1" s="1033"/>
      <c r="AW1" s="1054" t="s">
        <v>1171</v>
      </c>
      <c r="AX1" s="401"/>
      <c r="AY1" s="397" t="s">
        <v>874</v>
      </c>
      <c r="AZ1" s="397"/>
      <c r="BA1" s="1044" t="s">
        <v>2808</v>
      </c>
      <c r="BB1" s="1033"/>
      <c r="BC1" s="1032" t="s">
        <v>2812</v>
      </c>
      <c r="BD1" s="1033"/>
      <c r="BE1" s="1032" t="s">
        <v>2813</v>
      </c>
      <c r="BF1" s="1032" t="s">
        <v>2815</v>
      </c>
      <c r="BG1" s="1032" t="s">
        <v>2182</v>
      </c>
      <c r="BH1" s="1032" t="s">
        <v>1509</v>
      </c>
      <c r="BI1" s="1032" t="s">
        <v>171</v>
      </c>
      <c r="BJ1" s="1043" t="s">
        <v>2819</v>
      </c>
      <c r="BK1" s="1034"/>
      <c r="BL1" s="1034"/>
      <c r="BM1" s="402" t="s">
        <v>803</v>
      </c>
      <c r="BN1" s="1043" t="s">
        <v>2820</v>
      </c>
      <c r="BO1" s="1034"/>
      <c r="BP1" s="1043" t="s">
        <v>170</v>
      </c>
      <c r="BQ1" s="1032" t="s">
        <v>169</v>
      </c>
      <c r="BR1" s="1045" t="s">
        <v>2822</v>
      </c>
      <c r="BS1" s="1033"/>
      <c r="BT1" s="1055" t="s">
        <v>807</v>
      </c>
      <c r="BU1" s="1043" t="s">
        <v>168</v>
      </c>
      <c r="BV1" s="1043" t="s">
        <v>167</v>
      </c>
      <c r="BW1" s="1043" t="s">
        <v>2827</v>
      </c>
      <c r="BX1" s="1032" t="s">
        <v>2830</v>
      </c>
      <c r="BY1" s="1032" t="s">
        <v>2831</v>
      </c>
      <c r="BZ1" s="1056" t="s">
        <v>2833</v>
      </c>
      <c r="CA1" s="1032" t="s">
        <v>2835</v>
      </c>
      <c r="CB1" s="1032" t="s">
        <v>2836</v>
      </c>
      <c r="CC1" s="1045" t="s">
        <v>2838</v>
      </c>
      <c r="CD1" s="1033"/>
      <c r="CE1" s="1032" t="s">
        <v>2840</v>
      </c>
      <c r="CF1" s="398" t="s">
        <v>1050</v>
      </c>
      <c r="CG1" s="1032" t="s">
        <v>1054</v>
      </c>
      <c r="CH1" s="1033"/>
      <c r="CI1" s="1033"/>
      <c r="CK1" s="316"/>
    </row>
    <row r="2" spans="1:114" ht="24.75" customHeight="1" thickBot="1" x14ac:dyDescent="0.25">
      <c r="A2" s="1035"/>
      <c r="B2" s="556" t="s">
        <v>2807</v>
      </c>
      <c r="C2" s="404"/>
      <c r="D2" s="1034"/>
      <c r="E2" s="1034"/>
      <c r="F2" s="1034"/>
      <c r="G2" s="1034"/>
      <c r="H2" s="1034"/>
      <c r="I2" s="1034"/>
      <c r="J2" s="1033"/>
      <c r="K2" s="1033"/>
      <c r="L2" s="1033"/>
      <c r="M2" s="1033"/>
      <c r="N2" s="1033"/>
      <c r="O2" s="1034"/>
      <c r="P2" s="1049"/>
      <c r="Q2" s="1050"/>
      <c r="R2" s="1051"/>
      <c r="S2" s="1052" t="s">
        <v>436</v>
      </c>
      <c r="T2" s="1053"/>
      <c r="U2" s="1052" t="s">
        <v>3649</v>
      </c>
      <c r="V2" s="1053"/>
      <c r="W2" s="1040" t="s">
        <v>3654</v>
      </c>
      <c r="X2" s="1032"/>
      <c r="Y2" s="1032"/>
      <c r="Z2" s="1042"/>
      <c r="AA2" s="1032"/>
      <c r="AB2" s="1034"/>
      <c r="AC2" s="1034"/>
      <c r="AD2" s="1034"/>
      <c r="AE2" s="1033"/>
      <c r="AF2" s="399" t="s">
        <v>1156</v>
      </c>
      <c r="AG2" s="399" t="s">
        <v>1156</v>
      </c>
      <c r="AH2" s="1033"/>
      <c r="AI2" s="1033"/>
      <c r="AJ2" s="1036" t="s">
        <v>551</v>
      </c>
      <c r="AK2" s="1036" t="s">
        <v>1540</v>
      </c>
      <c r="AL2" s="1036" t="s">
        <v>436</v>
      </c>
      <c r="AM2" s="1036"/>
      <c r="AN2" s="1036"/>
      <c r="AO2" s="404" t="s">
        <v>1541</v>
      </c>
      <c r="AP2" s="404" t="s">
        <v>1541</v>
      </c>
      <c r="AQ2" s="404" t="s">
        <v>3738</v>
      </c>
      <c r="AR2" s="405" t="s">
        <v>4063</v>
      </c>
      <c r="AS2" s="405" t="s">
        <v>4063</v>
      </c>
      <c r="AT2" s="405" t="s">
        <v>4063</v>
      </c>
      <c r="AU2" s="405" t="s">
        <v>4063</v>
      </c>
      <c r="AV2" s="405" t="s">
        <v>4063</v>
      </c>
      <c r="AW2" s="1034"/>
      <c r="AX2" s="406" t="s">
        <v>1542</v>
      </c>
      <c r="AY2" s="404" t="s">
        <v>1190</v>
      </c>
      <c r="AZ2" s="404" t="s">
        <v>1543</v>
      </c>
      <c r="BA2" s="1033"/>
      <c r="BB2" s="1033"/>
      <c r="BC2" s="1033"/>
      <c r="BD2" s="1033"/>
      <c r="BE2" s="1033"/>
      <c r="BF2" s="1033"/>
      <c r="BG2" s="1033"/>
      <c r="BH2" s="1032"/>
      <c r="BI2" s="1032"/>
      <c r="BJ2" s="402" t="s">
        <v>2818</v>
      </c>
      <c r="BK2" s="407" t="s">
        <v>2818</v>
      </c>
      <c r="BL2" s="407" t="s">
        <v>2804</v>
      </c>
      <c r="BM2" s="402" t="s">
        <v>1513</v>
      </c>
      <c r="BN2" s="1034"/>
      <c r="BO2" s="1034"/>
      <c r="BP2" s="1034"/>
      <c r="BQ2" s="1034"/>
      <c r="BR2" s="1033"/>
      <c r="BS2" s="1033"/>
      <c r="BT2" s="1033"/>
      <c r="BU2" s="1034"/>
      <c r="BV2" s="1034"/>
      <c r="BW2" s="1043"/>
      <c r="BX2" s="1034"/>
      <c r="BY2" s="1034"/>
      <c r="BZ2" s="1034"/>
      <c r="CA2" s="1034"/>
      <c r="CB2" s="1034"/>
      <c r="CC2" s="1033"/>
      <c r="CD2" s="1033"/>
      <c r="CE2" s="1033"/>
      <c r="CF2" s="397"/>
      <c r="CG2" s="1033"/>
      <c r="CH2" s="1033"/>
      <c r="CI2" s="1033"/>
      <c r="CK2" s="315" t="s">
        <v>3019</v>
      </c>
    </row>
    <row r="3" spans="1:114" ht="84.75" customHeight="1" thickBot="1" x14ac:dyDescent="0.25">
      <c r="A3" s="1035"/>
      <c r="B3" s="399" t="s">
        <v>2806</v>
      </c>
      <c r="C3" s="399" t="s">
        <v>3981</v>
      </c>
      <c r="D3" s="404" t="s">
        <v>2728</v>
      </c>
      <c r="E3" s="404" t="s">
        <v>2730</v>
      </c>
      <c r="F3" s="408" t="s">
        <v>233</v>
      </c>
      <c r="G3" s="399" t="s">
        <v>232</v>
      </c>
      <c r="H3" s="399" t="s">
        <v>4014</v>
      </c>
      <c r="I3" s="397" t="s">
        <v>2845</v>
      </c>
      <c r="J3" s="399" t="s">
        <v>1161</v>
      </c>
      <c r="K3" s="399" t="s">
        <v>2846</v>
      </c>
      <c r="L3" s="399" t="s">
        <v>442</v>
      </c>
      <c r="M3" s="399" t="s">
        <v>442</v>
      </c>
      <c r="N3" s="399" t="s">
        <v>1162</v>
      </c>
      <c r="O3" s="399" t="s">
        <v>1164</v>
      </c>
      <c r="P3" s="555" t="s">
        <v>436</v>
      </c>
      <c r="Q3" s="555" t="s">
        <v>3998</v>
      </c>
      <c r="R3" s="555" t="s">
        <v>3999</v>
      </c>
      <c r="S3" s="399" t="s">
        <v>3647</v>
      </c>
      <c r="T3" s="399" t="s">
        <v>3648</v>
      </c>
      <c r="U3" s="399" t="s">
        <v>3650</v>
      </c>
      <c r="V3" s="399" t="s">
        <v>3648</v>
      </c>
      <c r="W3" s="1041"/>
      <c r="X3" s="1032"/>
      <c r="Y3" s="1032"/>
      <c r="Z3" s="1041"/>
      <c r="AA3" s="1032"/>
      <c r="AB3" s="399" t="s">
        <v>1167</v>
      </c>
      <c r="AC3" s="399" t="s">
        <v>1153</v>
      </c>
      <c r="AD3" s="399" t="s">
        <v>1169</v>
      </c>
      <c r="AE3" s="399" t="s">
        <v>436</v>
      </c>
      <c r="AF3" s="399" t="s">
        <v>1155</v>
      </c>
      <c r="AG3" s="399" t="s">
        <v>1157</v>
      </c>
      <c r="AH3" s="409" t="s">
        <v>273</v>
      </c>
      <c r="AI3" s="409" t="s">
        <v>274</v>
      </c>
      <c r="AJ3" s="1036"/>
      <c r="AK3" s="1036"/>
      <c r="AL3" s="409" t="s">
        <v>275</v>
      </c>
      <c r="AM3" s="409" t="s">
        <v>276</v>
      </c>
      <c r="AN3" s="410" t="s">
        <v>277</v>
      </c>
      <c r="AO3" s="404" t="s">
        <v>278</v>
      </c>
      <c r="AP3" s="399" t="s">
        <v>279</v>
      </c>
      <c r="AQ3" s="399" t="s">
        <v>278</v>
      </c>
      <c r="AR3" s="405" t="s">
        <v>280</v>
      </c>
      <c r="AS3" s="405" t="s">
        <v>451</v>
      </c>
      <c r="AT3" s="405" t="s">
        <v>281</v>
      </c>
      <c r="AU3" s="405" t="s">
        <v>449</v>
      </c>
      <c r="AV3" s="405" t="s">
        <v>450</v>
      </c>
      <c r="AW3" s="405" t="s">
        <v>1170</v>
      </c>
      <c r="AX3" s="406" t="s">
        <v>452</v>
      </c>
      <c r="AY3" s="404"/>
      <c r="AZ3" s="399" t="s">
        <v>1508</v>
      </c>
      <c r="BA3" s="397" t="s">
        <v>2809</v>
      </c>
      <c r="BB3" s="397" t="s">
        <v>1544</v>
      </c>
      <c r="BC3" s="404" t="s">
        <v>2810</v>
      </c>
      <c r="BD3" s="404" t="s">
        <v>2811</v>
      </c>
      <c r="BE3" s="404" t="s">
        <v>2814</v>
      </c>
      <c r="BF3" s="404" t="s">
        <v>2816</v>
      </c>
      <c r="BG3" s="399" t="s">
        <v>2817</v>
      </c>
      <c r="BH3" s="1032"/>
      <c r="BI3" s="1032"/>
      <c r="BJ3" s="402" t="s">
        <v>1510</v>
      </c>
      <c r="BK3" s="402" t="s">
        <v>1511</v>
      </c>
      <c r="BL3" s="402" t="s">
        <v>1512</v>
      </c>
      <c r="BM3" s="402" t="s">
        <v>803</v>
      </c>
      <c r="BN3" s="402" t="s">
        <v>804</v>
      </c>
      <c r="BO3" s="398" t="s">
        <v>805</v>
      </c>
      <c r="BP3" s="1034"/>
      <c r="BQ3" s="398" t="s">
        <v>806</v>
      </c>
      <c r="BR3" s="400" t="s">
        <v>2821</v>
      </c>
      <c r="BS3" s="400" t="s">
        <v>2823</v>
      </c>
      <c r="BT3" s="411" t="s">
        <v>2824</v>
      </c>
      <c r="BU3" s="402" t="s">
        <v>2825</v>
      </c>
      <c r="BV3" s="402" t="s">
        <v>2826</v>
      </c>
      <c r="BW3" s="407" t="s">
        <v>2828</v>
      </c>
      <c r="BX3" s="398" t="s">
        <v>2829</v>
      </c>
      <c r="BY3" s="398" t="s">
        <v>2806</v>
      </c>
      <c r="BZ3" s="403" t="s">
        <v>2832</v>
      </c>
      <c r="CA3" s="398" t="s">
        <v>2834</v>
      </c>
      <c r="CB3" s="398" t="s">
        <v>2834</v>
      </c>
      <c r="CC3" s="400" t="s">
        <v>2837</v>
      </c>
      <c r="CD3" s="400" t="s">
        <v>2839</v>
      </c>
      <c r="CE3" s="398" t="s">
        <v>2841</v>
      </c>
      <c r="CF3" s="398" t="s">
        <v>1761</v>
      </c>
      <c r="CG3" s="398" t="s">
        <v>2842</v>
      </c>
      <c r="CH3" s="398" t="s">
        <v>2843</v>
      </c>
      <c r="CI3" s="398" t="s">
        <v>2844</v>
      </c>
      <c r="CK3" s="183"/>
      <c r="CM3" s="205" t="s">
        <v>4065</v>
      </c>
      <c r="CN3" s="205" t="s">
        <v>4064</v>
      </c>
      <c r="CO3" s="205" t="s">
        <v>4066</v>
      </c>
    </row>
    <row r="4" spans="1:114" ht="75" hidden="1" customHeight="1" x14ac:dyDescent="0.2">
      <c r="A4" s="682">
        <v>34</v>
      </c>
      <c r="B4" s="598" t="s">
        <v>1594</v>
      </c>
      <c r="C4" s="598" t="s">
        <v>3980</v>
      </c>
      <c r="D4" s="598" t="s">
        <v>1595</v>
      </c>
      <c r="E4" s="598" t="s">
        <v>4007</v>
      </c>
      <c r="F4" s="598" t="s">
        <v>1596</v>
      </c>
      <c r="G4" s="683" t="s">
        <v>1797</v>
      </c>
      <c r="H4" s="598" t="s">
        <v>4015</v>
      </c>
      <c r="I4" s="685" t="s">
        <v>1324</v>
      </c>
      <c r="J4" s="598" t="s">
        <v>1597</v>
      </c>
      <c r="K4" s="598">
        <v>800</v>
      </c>
      <c r="L4" s="598">
        <v>240</v>
      </c>
      <c r="M4" s="598">
        <v>96.5</v>
      </c>
      <c r="N4" s="598" t="s">
        <v>2484</v>
      </c>
      <c r="O4" s="598" t="s">
        <v>1706</v>
      </c>
      <c r="P4" s="598" t="s">
        <v>3995</v>
      </c>
      <c r="Q4" s="598" t="s">
        <v>2373</v>
      </c>
      <c r="R4" s="598" t="s">
        <v>2373</v>
      </c>
      <c r="S4" s="598" t="s">
        <v>3652</v>
      </c>
      <c r="T4" s="598" t="s">
        <v>3653</v>
      </c>
      <c r="U4" s="598">
        <v>0.1</v>
      </c>
      <c r="V4" s="598">
        <v>0.31</v>
      </c>
      <c r="W4" s="598" t="s">
        <v>3660</v>
      </c>
      <c r="X4" s="598">
        <v>18.399999999999999</v>
      </c>
      <c r="Y4" s="598" t="s">
        <v>3689</v>
      </c>
      <c r="Z4" s="598" t="s">
        <v>3793</v>
      </c>
      <c r="AA4" s="598">
        <v>118</v>
      </c>
      <c r="AB4" s="598" t="s">
        <v>1313</v>
      </c>
      <c r="AC4" s="598" t="s">
        <v>119</v>
      </c>
      <c r="AD4" s="598" t="s">
        <v>1708</v>
      </c>
      <c r="AE4" s="598" t="s">
        <v>1016</v>
      </c>
      <c r="AF4" s="598">
        <v>25.5</v>
      </c>
      <c r="AG4" s="598" t="s">
        <v>980</v>
      </c>
      <c r="AH4" s="598" t="s">
        <v>1744</v>
      </c>
      <c r="AI4" s="598" t="s">
        <v>122</v>
      </c>
      <c r="AJ4" s="598" t="s">
        <v>1598</v>
      </c>
      <c r="AK4" s="598" t="s">
        <v>2723</v>
      </c>
      <c r="AL4" s="598"/>
      <c r="AM4" s="598"/>
      <c r="AN4" s="598" t="s">
        <v>1784</v>
      </c>
      <c r="AO4" s="598"/>
      <c r="AP4" s="598"/>
      <c r="AQ4" s="598"/>
      <c r="AR4" s="347">
        <v>2.2997114400000003</v>
      </c>
      <c r="AS4" s="347">
        <v>0.87996847999999994</v>
      </c>
      <c r="AT4" s="347">
        <v>0.68945984000000005</v>
      </c>
      <c r="AU4" s="347">
        <v>0.88904032</v>
      </c>
      <c r="AV4" s="347">
        <v>0.77110639999999997</v>
      </c>
      <c r="AW4" s="686"/>
      <c r="AX4" s="687" t="s">
        <v>1596</v>
      </c>
      <c r="AY4" s="598" t="s">
        <v>1669</v>
      </c>
      <c r="AZ4" s="598"/>
      <c r="BA4" s="598" t="s">
        <v>3760</v>
      </c>
      <c r="BB4" s="598" t="s">
        <v>3786</v>
      </c>
      <c r="BC4" s="598" t="s">
        <v>2544</v>
      </c>
      <c r="BD4" s="598" t="s">
        <v>2545</v>
      </c>
      <c r="BE4" s="598">
        <v>17927001</v>
      </c>
      <c r="BF4" s="598">
        <v>17410608</v>
      </c>
      <c r="BG4" s="598" t="s">
        <v>243</v>
      </c>
      <c r="BH4" s="346" t="s">
        <v>1796</v>
      </c>
      <c r="BI4" s="689">
        <v>40799</v>
      </c>
      <c r="BJ4" s="690">
        <v>1729</v>
      </c>
      <c r="BK4" s="690">
        <v>1445</v>
      </c>
      <c r="BL4" s="690">
        <v>3174</v>
      </c>
      <c r="BM4" s="690">
        <v>550</v>
      </c>
      <c r="BN4" s="690">
        <v>2300</v>
      </c>
      <c r="BO4" s="346">
        <v>284</v>
      </c>
      <c r="BP4" s="690"/>
      <c r="BQ4" s="346" t="s">
        <v>3797</v>
      </c>
      <c r="BR4" s="686" t="s">
        <v>3799</v>
      </c>
      <c r="BS4" s="686" t="s">
        <v>3799</v>
      </c>
      <c r="BT4" s="594" t="s">
        <v>3802</v>
      </c>
      <c r="BU4" s="690"/>
      <c r="BV4" s="690"/>
      <c r="BW4" s="690"/>
      <c r="BX4" s="686"/>
      <c r="BY4" s="346">
        <v>11</v>
      </c>
      <c r="BZ4" s="691"/>
      <c r="CA4" s="346"/>
      <c r="CB4" s="346"/>
      <c r="CC4" s="686"/>
      <c r="CD4" s="686"/>
      <c r="CE4" s="346"/>
      <c r="CF4" s="693"/>
      <c r="CG4" s="346"/>
      <c r="CH4" s="346"/>
      <c r="CI4" s="694"/>
      <c r="CJ4" s="671"/>
      <c r="CK4" s="661"/>
      <c r="CL4" s="671"/>
      <c r="CM4" s="671"/>
      <c r="CN4" s="671"/>
      <c r="CO4" s="671"/>
      <c r="CP4" s="532"/>
      <c r="CQ4" s="532"/>
      <c r="CR4" s="532"/>
      <c r="CS4" s="532"/>
      <c r="CT4" s="532"/>
      <c r="CU4" s="532"/>
      <c r="CV4" s="532"/>
      <c r="CW4" s="532"/>
      <c r="CX4" s="532"/>
      <c r="CY4" s="532"/>
      <c r="CZ4" s="532"/>
      <c r="DA4" s="532"/>
      <c r="DB4" s="532"/>
      <c r="DC4" s="532"/>
      <c r="DD4" s="532"/>
      <c r="DE4" s="532"/>
      <c r="DF4" s="532"/>
      <c r="DG4" s="532"/>
      <c r="DH4" s="532"/>
      <c r="DI4" s="532"/>
      <c r="DJ4" s="532"/>
    </row>
    <row r="5" spans="1:114" ht="75" hidden="1" customHeight="1" x14ac:dyDescent="0.2">
      <c r="A5" s="599">
        <v>34</v>
      </c>
      <c r="B5" s="661" t="s">
        <v>1594</v>
      </c>
      <c r="C5" s="598" t="s">
        <v>3980</v>
      </c>
      <c r="D5" s="661" t="s">
        <v>1595</v>
      </c>
      <c r="E5" s="661" t="s">
        <v>4007</v>
      </c>
      <c r="F5" s="661" t="s">
        <v>1596</v>
      </c>
      <c r="G5" s="657" t="s">
        <v>1797</v>
      </c>
      <c r="H5" s="598" t="s">
        <v>4015</v>
      </c>
      <c r="I5" s="601" t="s">
        <v>1324</v>
      </c>
      <c r="J5" s="661" t="s">
        <v>1597</v>
      </c>
      <c r="K5" s="661">
        <v>800</v>
      </c>
      <c r="L5" s="661">
        <v>240</v>
      </c>
      <c r="M5" s="661">
        <v>96.5</v>
      </c>
      <c r="N5" s="661" t="s">
        <v>2484</v>
      </c>
      <c r="O5" s="661" t="s">
        <v>1706</v>
      </c>
      <c r="P5" s="598" t="s">
        <v>3995</v>
      </c>
      <c r="Q5" s="598" t="s">
        <v>2373</v>
      </c>
      <c r="R5" s="598" t="s">
        <v>2373</v>
      </c>
      <c r="S5" s="598" t="s">
        <v>3652</v>
      </c>
      <c r="T5" s="598" t="s">
        <v>3653</v>
      </c>
      <c r="U5" s="598">
        <v>0.1</v>
      </c>
      <c r="V5" s="598">
        <v>0.31</v>
      </c>
      <c r="W5" s="598" t="s">
        <v>3660</v>
      </c>
      <c r="X5" s="598">
        <v>18.399999999999999</v>
      </c>
      <c r="Y5" s="661" t="s">
        <v>3689</v>
      </c>
      <c r="Z5" s="661" t="s">
        <v>3793</v>
      </c>
      <c r="AA5" s="661">
        <v>118</v>
      </c>
      <c r="AB5" s="661" t="s">
        <v>1313</v>
      </c>
      <c r="AC5" s="661" t="s">
        <v>119</v>
      </c>
      <c r="AD5" s="661" t="s">
        <v>1708</v>
      </c>
      <c r="AE5" s="598" t="s">
        <v>1016</v>
      </c>
      <c r="AF5" s="661">
        <v>25.5</v>
      </c>
      <c r="AG5" s="661" t="s">
        <v>980</v>
      </c>
      <c r="AH5" s="661" t="s">
        <v>1744</v>
      </c>
      <c r="AI5" s="661" t="s">
        <v>122</v>
      </c>
      <c r="AJ5" s="661" t="s">
        <v>1598</v>
      </c>
      <c r="AK5" s="661" t="s">
        <v>2157</v>
      </c>
      <c r="AL5" s="661"/>
      <c r="AM5" s="661"/>
      <c r="AN5" s="661" t="s">
        <v>1784</v>
      </c>
      <c r="AO5" s="661"/>
      <c r="AP5" s="661"/>
      <c r="AQ5" s="661"/>
      <c r="AR5" s="347">
        <v>2.2997114400000003</v>
      </c>
      <c r="AS5" s="347">
        <v>0.87996847999999994</v>
      </c>
      <c r="AT5" s="347">
        <v>0.68945984000000005</v>
      </c>
      <c r="AU5" s="347">
        <v>0.88904032</v>
      </c>
      <c r="AV5" s="347">
        <v>0.77110639999999997</v>
      </c>
      <c r="AW5" s="664"/>
      <c r="AX5" s="597" t="s">
        <v>1596</v>
      </c>
      <c r="AY5" s="661" t="s">
        <v>1669</v>
      </c>
      <c r="AZ5" s="661"/>
      <c r="BA5" s="661" t="s">
        <v>3761</v>
      </c>
      <c r="BB5" s="661" t="s">
        <v>3787</v>
      </c>
      <c r="BC5" s="661" t="s">
        <v>3789</v>
      </c>
      <c r="BD5" s="661" t="s">
        <v>1188</v>
      </c>
      <c r="BE5" s="661">
        <v>17927002</v>
      </c>
      <c r="BF5" s="661">
        <v>17410608</v>
      </c>
      <c r="BG5" s="661" t="s">
        <v>243</v>
      </c>
      <c r="BH5" s="659" t="s">
        <v>1796</v>
      </c>
      <c r="BI5" s="595">
        <v>40850</v>
      </c>
      <c r="BJ5" s="690">
        <v>1729</v>
      </c>
      <c r="BK5" s="690">
        <v>1445</v>
      </c>
      <c r="BL5" s="690">
        <v>3174</v>
      </c>
      <c r="BM5" s="663">
        <v>550</v>
      </c>
      <c r="BN5" s="663">
        <v>2300</v>
      </c>
      <c r="BO5" s="659">
        <v>284</v>
      </c>
      <c r="BP5" s="663"/>
      <c r="BQ5" s="659" t="s">
        <v>3797</v>
      </c>
      <c r="BR5" s="664" t="s">
        <v>3799</v>
      </c>
      <c r="BS5" s="664" t="s">
        <v>3799</v>
      </c>
      <c r="BT5" s="594" t="s">
        <v>3802</v>
      </c>
      <c r="BU5" s="663"/>
      <c r="BV5" s="663"/>
      <c r="BW5" s="663"/>
      <c r="BX5" s="664"/>
      <c r="BY5" s="659">
        <v>11</v>
      </c>
      <c r="BZ5" s="665"/>
      <c r="CA5" s="659"/>
      <c r="CB5" s="659"/>
      <c r="CC5" s="664"/>
      <c r="CD5" s="664"/>
      <c r="CE5" s="659"/>
      <c r="CF5" s="596"/>
      <c r="CG5" s="659"/>
      <c r="CH5" s="659"/>
      <c r="CI5" s="677"/>
      <c r="CJ5" s="671"/>
      <c r="CK5" s="661"/>
      <c r="CL5" s="671"/>
      <c r="CM5" s="671"/>
      <c r="CN5" s="671"/>
      <c r="CO5" s="671"/>
      <c r="CP5" s="532"/>
      <c r="CQ5" s="532"/>
      <c r="CR5" s="532"/>
      <c r="CS5" s="532"/>
      <c r="CT5" s="532"/>
      <c r="CU5" s="532"/>
      <c r="CV5" s="532"/>
      <c r="CW5" s="532"/>
      <c r="CX5" s="532"/>
      <c r="CY5" s="532"/>
      <c r="CZ5" s="532"/>
      <c r="DA5" s="532"/>
      <c r="DB5" s="532"/>
      <c r="DC5" s="532"/>
      <c r="DD5" s="532"/>
      <c r="DE5" s="532"/>
      <c r="DF5" s="532"/>
      <c r="DG5" s="532"/>
      <c r="DH5" s="532"/>
      <c r="DI5" s="532"/>
      <c r="DJ5" s="532"/>
    </row>
    <row r="6" spans="1:114" ht="75" hidden="1" customHeight="1" x14ac:dyDescent="0.2">
      <c r="A6" s="599">
        <v>34</v>
      </c>
      <c r="B6" s="661" t="s">
        <v>1594</v>
      </c>
      <c r="C6" s="598" t="s">
        <v>3980</v>
      </c>
      <c r="D6" s="661" t="s">
        <v>1595</v>
      </c>
      <c r="E6" s="661" t="s">
        <v>4007</v>
      </c>
      <c r="F6" s="661" t="s">
        <v>979</v>
      </c>
      <c r="G6" s="657" t="s">
        <v>1797</v>
      </c>
      <c r="H6" s="598" t="s">
        <v>4015</v>
      </c>
      <c r="I6" s="601" t="s">
        <v>1324</v>
      </c>
      <c r="J6" s="661" t="s">
        <v>1597</v>
      </c>
      <c r="K6" s="661">
        <v>800</v>
      </c>
      <c r="L6" s="661">
        <v>240</v>
      </c>
      <c r="M6" s="661">
        <v>96.5</v>
      </c>
      <c r="N6" s="661" t="s">
        <v>2484</v>
      </c>
      <c r="O6" s="661" t="s">
        <v>1706</v>
      </c>
      <c r="P6" s="598" t="s">
        <v>3995</v>
      </c>
      <c r="Q6" s="598" t="s">
        <v>2373</v>
      </c>
      <c r="R6" s="598" t="s">
        <v>2373</v>
      </c>
      <c r="S6" s="598" t="s">
        <v>3652</v>
      </c>
      <c r="T6" s="598" t="s">
        <v>3653</v>
      </c>
      <c r="U6" s="598">
        <v>0.1</v>
      </c>
      <c r="V6" s="598">
        <v>0.31</v>
      </c>
      <c r="W6" s="598" t="s">
        <v>3664</v>
      </c>
      <c r="X6" s="598">
        <v>18.399999999999999</v>
      </c>
      <c r="Y6" s="661" t="s">
        <v>3689</v>
      </c>
      <c r="Z6" s="661" t="s">
        <v>3793</v>
      </c>
      <c r="AA6" s="661">
        <v>118</v>
      </c>
      <c r="AB6" s="661" t="s">
        <v>1313</v>
      </c>
      <c r="AC6" s="661" t="s">
        <v>119</v>
      </c>
      <c r="AD6" s="661" t="s">
        <v>1708</v>
      </c>
      <c r="AE6" s="598" t="s">
        <v>1016</v>
      </c>
      <c r="AF6" s="661">
        <v>25.5</v>
      </c>
      <c r="AG6" s="661" t="s">
        <v>980</v>
      </c>
      <c r="AH6" s="661" t="s">
        <v>1744</v>
      </c>
      <c r="AI6" s="661" t="s">
        <v>122</v>
      </c>
      <c r="AJ6" s="661" t="s">
        <v>1598</v>
      </c>
      <c r="AK6" s="661" t="s">
        <v>3762</v>
      </c>
      <c r="AL6" s="661"/>
      <c r="AM6" s="661"/>
      <c r="AN6" s="661" t="s">
        <v>1784</v>
      </c>
      <c r="AO6" s="661"/>
      <c r="AP6" s="661"/>
      <c r="AQ6" s="661"/>
      <c r="AR6" s="347">
        <v>2.2997114400000003</v>
      </c>
      <c r="AS6" s="347">
        <v>0.87996847999999994</v>
      </c>
      <c r="AT6" s="347">
        <v>0.68945984000000005</v>
      </c>
      <c r="AU6" s="347">
        <v>0.88904032</v>
      </c>
      <c r="AV6" s="347">
        <v>0.77110639999999997</v>
      </c>
      <c r="AW6" s="664"/>
      <c r="AX6" s="597" t="s">
        <v>979</v>
      </c>
      <c r="AY6" s="661" t="s">
        <v>1669</v>
      </c>
      <c r="AZ6" s="661"/>
      <c r="BA6" s="661" t="s">
        <v>3791</v>
      </c>
      <c r="BB6" s="661" t="s">
        <v>3792</v>
      </c>
      <c r="BC6" s="661" t="s">
        <v>3788</v>
      </c>
      <c r="BD6" s="661" t="s">
        <v>3790</v>
      </c>
      <c r="BE6" s="661">
        <v>17927004</v>
      </c>
      <c r="BF6" s="661">
        <v>17410608</v>
      </c>
      <c r="BG6" s="661" t="s">
        <v>243</v>
      </c>
      <c r="BH6" s="659" t="s">
        <v>1796</v>
      </c>
      <c r="BI6" s="595">
        <v>40850</v>
      </c>
      <c r="BJ6" s="690">
        <v>1729</v>
      </c>
      <c r="BK6" s="690">
        <v>1445</v>
      </c>
      <c r="BL6" s="690">
        <v>3174</v>
      </c>
      <c r="BM6" s="663">
        <v>550</v>
      </c>
      <c r="BN6" s="663">
        <v>2300</v>
      </c>
      <c r="BO6" s="659">
        <v>284</v>
      </c>
      <c r="BP6" s="663"/>
      <c r="BQ6" s="659" t="s">
        <v>3797</v>
      </c>
      <c r="BR6" s="664" t="s">
        <v>3799</v>
      </c>
      <c r="BS6" s="664" t="s">
        <v>3799</v>
      </c>
      <c r="BT6" s="594" t="s">
        <v>3802</v>
      </c>
      <c r="BU6" s="663"/>
      <c r="BV6" s="663"/>
      <c r="BW6" s="663"/>
      <c r="BX6" s="664"/>
      <c r="BY6" s="659">
        <v>11</v>
      </c>
      <c r="BZ6" s="665"/>
      <c r="CA6" s="659"/>
      <c r="CB6" s="659"/>
      <c r="CC6" s="664"/>
      <c r="CD6" s="664"/>
      <c r="CE6" s="659"/>
      <c r="CF6" s="596"/>
      <c r="CG6" s="659"/>
      <c r="CH6" s="659"/>
      <c r="CI6" s="677"/>
      <c r="CJ6" s="671"/>
      <c r="CK6" s="661"/>
      <c r="CL6" s="671"/>
      <c r="CM6" s="671"/>
      <c r="CN6" s="671"/>
      <c r="CO6" s="671"/>
      <c r="CP6" s="532"/>
      <c r="CQ6" s="532"/>
      <c r="CR6" s="532"/>
      <c r="CS6" s="532"/>
      <c r="CT6" s="532"/>
      <c r="CU6" s="532"/>
      <c r="CV6" s="532"/>
      <c r="CW6" s="532"/>
      <c r="CX6" s="532"/>
      <c r="CY6" s="532"/>
      <c r="CZ6" s="532"/>
      <c r="DA6" s="532"/>
      <c r="DB6" s="532"/>
      <c r="DC6" s="532"/>
      <c r="DD6" s="532"/>
      <c r="DE6" s="532"/>
      <c r="DF6" s="532"/>
      <c r="DG6" s="532"/>
      <c r="DH6" s="532"/>
      <c r="DI6" s="532"/>
      <c r="DJ6" s="532"/>
    </row>
    <row r="7" spans="1:114" ht="75" hidden="1" customHeight="1" x14ac:dyDescent="0.2">
      <c r="A7" s="678">
        <v>36</v>
      </c>
      <c r="B7" s="660" t="s">
        <v>3974</v>
      </c>
      <c r="C7" s="273" t="s">
        <v>3982</v>
      </c>
      <c r="D7" s="661" t="s">
        <v>790</v>
      </c>
      <c r="E7" s="661" t="s">
        <v>4007</v>
      </c>
      <c r="F7" s="660">
        <v>2015</v>
      </c>
      <c r="G7" s="657" t="s">
        <v>3012</v>
      </c>
      <c r="H7" s="661" t="s">
        <v>4016</v>
      </c>
      <c r="I7" s="673" t="s">
        <v>3838</v>
      </c>
      <c r="J7" s="660" t="s">
        <v>114</v>
      </c>
      <c r="K7" s="660" t="s">
        <v>3834</v>
      </c>
      <c r="L7" s="660">
        <v>264</v>
      </c>
      <c r="M7" s="660">
        <v>109</v>
      </c>
      <c r="N7" s="660" t="s">
        <v>2484</v>
      </c>
      <c r="O7" s="661" t="s">
        <v>1706</v>
      </c>
      <c r="P7" s="661" t="s">
        <v>4068</v>
      </c>
      <c r="Q7" s="598" t="s">
        <v>2373</v>
      </c>
      <c r="R7" s="661" t="s">
        <v>4067</v>
      </c>
      <c r="S7" s="661" t="s">
        <v>3653</v>
      </c>
      <c r="T7" s="661" t="s">
        <v>3652</v>
      </c>
      <c r="U7" s="661">
        <v>0.14949999999999999</v>
      </c>
      <c r="V7" s="661">
        <v>0.14949999999999999</v>
      </c>
      <c r="W7" s="661" t="s">
        <v>3660</v>
      </c>
      <c r="X7" s="514">
        <v>0.10970000000000001</v>
      </c>
      <c r="Y7" s="661" t="s">
        <v>3676</v>
      </c>
      <c r="Z7" s="661" t="s">
        <v>3991</v>
      </c>
      <c r="AA7" s="661">
        <v>134</v>
      </c>
      <c r="AB7" s="661" t="s">
        <v>3836</v>
      </c>
      <c r="AC7" s="661" t="s">
        <v>3014</v>
      </c>
      <c r="AD7" s="661" t="s">
        <v>1746</v>
      </c>
      <c r="AE7" s="661" t="s">
        <v>1016</v>
      </c>
      <c r="AF7" s="660">
        <v>29.4</v>
      </c>
      <c r="AG7" s="660">
        <v>24.7</v>
      </c>
      <c r="AH7" s="660" t="s">
        <v>1744</v>
      </c>
      <c r="AI7" s="660" t="s">
        <v>122</v>
      </c>
      <c r="AJ7" s="661" t="s">
        <v>3960</v>
      </c>
      <c r="AK7" s="661" t="s">
        <v>3959</v>
      </c>
      <c r="AL7" s="660"/>
      <c r="AM7" s="660"/>
      <c r="AN7" s="660" t="s">
        <v>1784</v>
      </c>
      <c r="AO7" s="660">
        <v>0.16</v>
      </c>
      <c r="AP7" s="660">
        <v>0.21</v>
      </c>
      <c r="AQ7" s="660">
        <v>0.16</v>
      </c>
      <c r="AR7" s="347">
        <v>3.8279536063999999</v>
      </c>
      <c r="AS7" s="347">
        <v>1.5921079199999999</v>
      </c>
      <c r="AT7" s="347">
        <v>1.2862961935999999</v>
      </c>
      <c r="AU7" s="347">
        <v>1.1385159199999999</v>
      </c>
      <c r="AV7" s="347">
        <v>0.95499259679999993</v>
      </c>
      <c r="AW7" s="664">
        <f t="shared" ref="AW7:AW12" si="0">(100*PI()*(A7^2))/(40*AO7*AV7*453.5924)</f>
        <v>146.86189443438494</v>
      </c>
      <c r="AX7" s="597" t="s">
        <v>3961</v>
      </c>
      <c r="AY7" s="661" t="s">
        <v>3962</v>
      </c>
      <c r="AZ7" s="661"/>
      <c r="BA7" s="661" t="s">
        <v>4072</v>
      </c>
      <c r="BB7" s="661" t="s">
        <v>4073</v>
      </c>
      <c r="BC7" s="660" t="s">
        <v>3718</v>
      </c>
      <c r="BD7" s="661" t="s">
        <v>3719</v>
      </c>
      <c r="BE7" s="661">
        <v>18214501</v>
      </c>
      <c r="BF7" s="661">
        <v>32357185</v>
      </c>
      <c r="BG7" s="661" t="s">
        <v>2134</v>
      </c>
      <c r="BH7" s="659"/>
      <c r="BI7" s="667">
        <v>42464</v>
      </c>
      <c r="BJ7" s="663">
        <v>922</v>
      </c>
      <c r="BK7" s="663">
        <v>1003</v>
      </c>
      <c r="BL7" s="663">
        <v>1925</v>
      </c>
      <c r="BM7" s="663">
        <v>610</v>
      </c>
      <c r="BN7" s="663">
        <v>2662</v>
      </c>
      <c r="BO7" s="659">
        <v>314</v>
      </c>
      <c r="BP7" s="652">
        <v>933</v>
      </c>
      <c r="BQ7" s="659">
        <v>0.38</v>
      </c>
      <c r="BR7" s="664">
        <v>32.94</v>
      </c>
      <c r="BS7" s="664" t="s">
        <v>819</v>
      </c>
      <c r="BT7" s="659">
        <v>224</v>
      </c>
      <c r="BU7" s="659"/>
      <c r="BV7" s="652"/>
      <c r="BW7" s="652"/>
      <c r="BX7" s="668">
        <v>29.2</v>
      </c>
      <c r="BY7" s="659">
        <v>10</v>
      </c>
      <c r="BZ7" s="665">
        <v>1.1000000000000001E-3</v>
      </c>
      <c r="CA7" s="659"/>
      <c r="CB7" s="659"/>
      <c r="CC7" s="659"/>
      <c r="CD7" s="668"/>
      <c r="CE7" s="651"/>
      <c r="CF7" s="654"/>
      <c r="CG7" s="659">
        <v>0.83</v>
      </c>
      <c r="CH7" s="659">
        <v>0.54</v>
      </c>
      <c r="CI7" s="677">
        <v>0.28000000000000003</v>
      </c>
      <c r="CJ7" s="671"/>
      <c r="CK7" s="183"/>
    </row>
    <row r="8" spans="1:114" ht="75" hidden="1" customHeight="1" x14ac:dyDescent="0.2">
      <c r="A8" s="678">
        <v>36</v>
      </c>
      <c r="B8" s="660" t="s">
        <v>3976</v>
      </c>
      <c r="C8" s="598" t="s">
        <v>3982</v>
      </c>
      <c r="D8" s="661" t="s">
        <v>790</v>
      </c>
      <c r="E8" s="661" t="s">
        <v>4007</v>
      </c>
      <c r="F8" s="660">
        <v>2015</v>
      </c>
      <c r="G8" s="657" t="s">
        <v>3012</v>
      </c>
      <c r="H8" s="661" t="s">
        <v>4016</v>
      </c>
      <c r="I8" s="673" t="s">
        <v>3838</v>
      </c>
      <c r="J8" s="660" t="s">
        <v>114</v>
      </c>
      <c r="K8" s="660" t="s">
        <v>3835</v>
      </c>
      <c r="L8" s="660">
        <v>288</v>
      </c>
      <c r="M8" s="660">
        <v>121</v>
      </c>
      <c r="N8" s="660" t="s">
        <v>1361</v>
      </c>
      <c r="O8" s="661" t="s">
        <v>1706</v>
      </c>
      <c r="P8" s="661" t="s">
        <v>4068</v>
      </c>
      <c r="Q8" s="598" t="s">
        <v>2373</v>
      </c>
      <c r="R8" s="661" t="s">
        <v>4067</v>
      </c>
      <c r="S8" s="273" t="s">
        <v>3653</v>
      </c>
      <c r="T8" s="273" t="s">
        <v>3652</v>
      </c>
      <c r="U8" s="598">
        <v>0.14949999999999999</v>
      </c>
      <c r="V8" s="598">
        <v>0.14949999999999999</v>
      </c>
      <c r="W8" s="661" t="s">
        <v>3660</v>
      </c>
      <c r="X8" s="514">
        <v>0.10970000000000001</v>
      </c>
      <c r="Y8" s="661" t="s">
        <v>3676</v>
      </c>
      <c r="Z8" s="661" t="s">
        <v>3991</v>
      </c>
      <c r="AA8" s="661">
        <v>134</v>
      </c>
      <c r="AB8" s="661" t="s">
        <v>3836</v>
      </c>
      <c r="AC8" s="661" t="s">
        <v>3014</v>
      </c>
      <c r="AD8" s="661" t="s">
        <v>1746</v>
      </c>
      <c r="AE8" s="661" t="s">
        <v>1016</v>
      </c>
      <c r="AF8" s="660">
        <v>29.4</v>
      </c>
      <c r="AG8" s="660">
        <v>24.7</v>
      </c>
      <c r="AH8" s="660" t="s">
        <v>1744</v>
      </c>
      <c r="AI8" s="660" t="s">
        <v>122</v>
      </c>
      <c r="AJ8" s="661" t="s">
        <v>3960</v>
      </c>
      <c r="AK8" s="661" t="s">
        <v>3959</v>
      </c>
      <c r="AL8" s="660"/>
      <c r="AM8" s="660"/>
      <c r="AN8" s="660" t="s">
        <v>1784</v>
      </c>
      <c r="AO8" s="660">
        <v>0.16</v>
      </c>
      <c r="AP8" s="660">
        <v>0.21</v>
      </c>
      <c r="AQ8" s="660">
        <v>0.11</v>
      </c>
      <c r="AR8" s="347">
        <v>3.9167669199999997</v>
      </c>
      <c r="AS8" s="347">
        <v>1.7009699999999999</v>
      </c>
      <c r="AT8" s="347">
        <v>1.3751095071999999</v>
      </c>
      <c r="AU8" s="347">
        <v>1.1385159199999999</v>
      </c>
      <c r="AV8" s="347">
        <v>0.95499259679999993</v>
      </c>
      <c r="AW8" s="664">
        <f t="shared" si="0"/>
        <v>146.86189443438494</v>
      </c>
      <c r="AX8" s="597" t="s">
        <v>3961</v>
      </c>
      <c r="AY8" s="661" t="s">
        <v>3962</v>
      </c>
      <c r="AZ8" s="661"/>
      <c r="BA8" s="661" t="s">
        <v>3016</v>
      </c>
      <c r="BB8" s="660" t="s">
        <v>3965</v>
      </c>
      <c r="BC8" s="660" t="s">
        <v>3718</v>
      </c>
      <c r="BD8" s="661" t="s">
        <v>3719</v>
      </c>
      <c r="BE8" s="661">
        <v>18215201</v>
      </c>
      <c r="BF8" s="661">
        <v>32357185</v>
      </c>
      <c r="BG8" s="661" t="s">
        <v>2134</v>
      </c>
      <c r="BH8" s="659"/>
      <c r="BI8" s="667">
        <v>42464</v>
      </c>
      <c r="BJ8" s="663">
        <v>1030</v>
      </c>
      <c r="BK8" s="663">
        <v>1130</v>
      </c>
      <c r="BL8" s="663">
        <v>2150</v>
      </c>
      <c r="BM8" s="663">
        <v>610</v>
      </c>
      <c r="BN8" s="663">
        <v>2662</v>
      </c>
      <c r="BO8" s="659">
        <v>314</v>
      </c>
      <c r="BP8" s="652">
        <v>1041</v>
      </c>
      <c r="BQ8" s="659">
        <v>0.38</v>
      </c>
      <c r="BR8" s="664">
        <v>33.57</v>
      </c>
      <c r="BS8" s="664" t="s">
        <v>819</v>
      </c>
      <c r="BT8" s="659">
        <v>224</v>
      </c>
      <c r="BU8" s="659"/>
      <c r="BV8" s="652"/>
      <c r="BW8" s="652"/>
      <c r="BX8" s="668">
        <v>32.5</v>
      </c>
      <c r="BY8" s="659">
        <v>12</v>
      </c>
      <c r="BZ8" s="665">
        <v>8.0000000000000004E-4</v>
      </c>
      <c r="CA8" s="659"/>
      <c r="CB8" s="659"/>
      <c r="CC8" s="659"/>
      <c r="CD8" s="668"/>
      <c r="CE8" s="651"/>
      <c r="CF8" s="654"/>
      <c r="CG8" s="659">
        <v>0.83</v>
      </c>
      <c r="CH8" s="659">
        <v>0.54</v>
      </c>
      <c r="CI8" s="677">
        <v>0.28000000000000003</v>
      </c>
      <c r="CJ8" s="671"/>
      <c r="CK8" s="661"/>
      <c r="CL8" s="671"/>
      <c r="CM8" s="671"/>
      <c r="CN8" s="671"/>
      <c r="CO8" s="671"/>
      <c r="CP8" s="532"/>
      <c r="CQ8" s="532"/>
      <c r="CR8" s="532"/>
      <c r="CS8" s="532"/>
      <c r="CT8" s="532"/>
      <c r="CU8" s="532"/>
      <c r="CV8" s="532"/>
      <c r="CW8" s="532"/>
      <c r="CX8" s="532"/>
      <c r="CY8" s="532"/>
      <c r="CZ8" s="532"/>
      <c r="DA8" s="532"/>
      <c r="DB8" s="532"/>
      <c r="DC8" s="532"/>
      <c r="DD8" s="532"/>
      <c r="DE8" s="532"/>
      <c r="DF8" s="532"/>
      <c r="DG8" s="532"/>
      <c r="DH8" s="532"/>
      <c r="DI8" s="532"/>
      <c r="DJ8" s="532"/>
    </row>
    <row r="9" spans="1:114" ht="75" hidden="1" customHeight="1" x14ac:dyDescent="0.2">
      <c r="A9" s="678">
        <v>36</v>
      </c>
      <c r="B9" s="660" t="s">
        <v>3974</v>
      </c>
      <c r="C9" s="273" t="s">
        <v>3980</v>
      </c>
      <c r="D9" s="661" t="s">
        <v>790</v>
      </c>
      <c r="E9" s="661" t="s">
        <v>4007</v>
      </c>
      <c r="F9" s="660">
        <v>2015</v>
      </c>
      <c r="G9" s="657" t="s">
        <v>3012</v>
      </c>
      <c r="H9" s="661" t="s">
        <v>4016</v>
      </c>
      <c r="I9" s="673" t="s">
        <v>3838</v>
      </c>
      <c r="J9" s="660" t="s">
        <v>114</v>
      </c>
      <c r="K9" s="660" t="s">
        <v>3834</v>
      </c>
      <c r="L9" s="660">
        <v>264</v>
      </c>
      <c r="M9" s="660">
        <v>109</v>
      </c>
      <c r="N9" s="660" t="s">
        <v>2484</v>
      </c>
      <c r="O9" s="661" t="s">
        <v>1706</v>
      </c>
      <c r="P9" s="661" t="s">
        <v>4068</v>
      </c>
      <c r="Q9" s="598" t="s">
        <v>2373</v>
      </c>
      <c r="R9" s="661" t="s">
        <v>4067</v>
      </c>
      <c r="S9" s="598" t="s">
        <v>3653</v>
      </c>
      <c r="T9" s="598" t="s">
        <v>3652</v>
      </c>
      <c r="U9" s="598">
        <v>0.14949999999999999</v>
      </c>
      <c r="V9" s="598">
        <v>0.14949999999999999</v>
      </c>
      <c r="W9" s="661" t="s">
        <v>3660</v>
      </c>
      <c r="X9" s="514">
        <v>0.14000000000000001</v>
      </c>
      <c r="Y9" s="661" t="s">
        <v>3689</v>
      </c>
      <c r="Z9" s="661" t="s">
        <v>3793</v>
      </c>
      <c r="AA9" s="661">
        <v>134</v>
      </c>
      <c r="AB9" s="661" t="s">
        <v>3836</v>
      </c>
      <c r="AC9" s="661" t="s">
        <v>3014</v>
      </c>
      <c r="AD9" s="661" t="s">
        <v>1746</v>
      </c>
      <c r="AE9" s="661" t="s">
        <v>1016</v>
      </c>
      <c r="AF9" s="660">
        <v>29.4</v>
      </c>
      <c r="AG9" s="660">
        <v>24.7</v>
      </c>
      <c r="AH9" s="660" t="s">
        <v>1744</v>
      </c>
      <c r="AI9" s="660" t="s">
        <v>122</v>
      </c>
      <c r="AJ9" s="661" t="s">
        <v>3960</v>
      </c>
      <c r="AK9" s="661" t="s">
        <v>3959</v>
      </c>
      <c r="AL9" s="660"/>
      <c r="AM9" s="660"/>
      <c r="AN9" s="660" t="s">
        <v>1784</v>
      </c>
      <c r="AO9" s="660">
        <v>0.16</v>
      </c>
      <c r="AP9" s="660">
        <v>0.2</v>
      </c>
      <c r="AQ9" s="660">
        <v>0.16</v>
      </c>
      <c r="AR9" s="679">
        <v>3.5435514224000002</v>
      </c>
      <c r="AS9" s="679">
        <v>1.5921079199999999</v>
      </c>
      <c r="AT9" s="679">
        <v>1.2862961935999999</v>
      </c>
      <c r="AU9" s="679">
        <v>1.14758776</v>
      </c>
      <c r="AV9" s="347">
        <v>0.94601147519999995</v>
      </c>
      <c r="AW9" s="664">
        <f t="shared" si="0"/>
        <v>148.25615292585061</v>
      </c>
      <c r="AX9" s="597" t="s">
        <v>3961</v>
      </c>
      <c r="AY9" s="661" t="s">
        <v>3962</v>
      </c>
      <c r="AZ9" s="661"/>
      <c r="BA9" s="661" t="s">
        <v>4070</v>
      </c>
      <c r="BB9" s="661" t="s">
        <v>4071</v>
      </c>
      <c r="BC9" s="660">
        <v>18212902</v>
      </c>
      <c r="BD9" s="661" t="s">
        <v>3720</v>
      </c>
      <c r="BE9" s="661">
        <v>18214501</v>
      </c>
      <c r="BF9" s="661" t="s">
        <v>157</v>
      </c>
      <c r="BG9" s="661" t="s">
        <v>3017</v>
      </c>
      <c r="BH9" s="659"/>
      <c r="BI9" s="667">
        <v>42464</v>
      </c>
      <c r="BJ9" s="663">
        <v>922</v>
      </c>
      <c r="BK9" s="663">
        <v>1003</v>
      </c>
      <c r="BL9" s="663">
        <v>1925</v>
      </c>
      <c r="BM9" s="663">
        <v>610</v>
      </c>
      <c r="BN9" s="663">
        <v>2662</v>
      </c>
      <c r="BO9" s="659">
        <v>314</v>
      </c>
      <c r="BP9" s="652">
        <v>933</v>
      </c>
      <c r="BQ9" s="659">
        <v>0.38</v>
      </c>
      <c r="BR9" s="664">
        <v>30.86</v>
      </c>
      <c r="BS9" s="664" t="s">
        <v>819</v>
      </c>
      <c r="BT9" s="659">
        <v>225</v>
      </c>
      <c r="BU9" s="659"/>
      <c r="BV9" s="652"/>
      <c r="BW9" s="652"/>
      <c r="BX9" s="668">
        <v>29.2</v>
      </c>
      <c r="BY9" s="659">
        <v>10</v>
      </c>
      <c r="BZ9" s="665">
        <v>1.1000000000000001E-3</v>
      </c>
      <c r="CA9" s="659"/>
      <c r="CB9" s="659"/>
      <c r="CC9" s="659"/>
      <c r="CD9" s="668"/>
      <c r="CE9" s="651"/>
      <c r="CF9" s="654"/>
      <c r="CG9" s="659">
        <v>0.82</v>
      </c>
      <c r="CH9" s="659">
        <v>0.56000000000000005</v>
      </c>
      <c r="CI9" s="677">
        <v>0.27</v>
      </c>
      <c r="CK9" s="183"/>
    </row>
    <row r="10" spans="1:114" ht="75" hidden="1" customHeight="1" x14ac:dyDescent="0.2">
      <c r="A10" s="678">
        <v>36</v>
      </c>
      <c r="B10" s="660" t="s">
        <v>3976</v>
      </c>
      <c r="C10" s="273" t="s">
        <v>3980</v>
      </c>
      <c r="D10" s="661" t="s">
        <v>790</v>
      </c>
      <c r="E10" s="661" t="s">
        <v>4007</v>
      </c>
      <c r="F10" s="660">
        <v>2015</v>
      </c>
      <c r="G10" s="657" t="s">
        <v>3012</v>
      </c>
      <c r="H10" s="661" t="s">
        <v>4016</v>
      </c>
      <c r="I10" s="673" t="s">
        <v>3838</v>
      </c>
      <c r="J10" s="660" t="s">
        <v>114</v>
      </c>
      <c r="K10" s="660" t="s">
        <v>3835</v>
      </c>
      <c r="L10" s="660">
        <v>288</v>
      </c>
      <c r="M10" s="660">
        <v>121</v>
      </c>
      <c r="N10" s="660" t="s">
        <v>1361</v>
      </c>
      <c r="O10" s="661" t="s">
        <v>1706</v>
      </c>
      <c r="P10" s="661" t="s">
        <v>4068</v>
      </c>
      <c r="Q10" s="598" t="s">
        <v>2373</v>
      </c>
      <c r="R10" s="661" t="s">
        <v>4067</v>
      </c>
      <c r="S10" s="273" t="s">
        <v>3653</v>
      </c>
      <c r="T10" s="273" t="s">
        <v>3652</v>
      </c>
      <c r="U10" s="598">
        <v>0.14949999999999999</v>
      </c>
      <c r="V10" s="598">
        <v>0.14949999999999999</v>
      </c>
      <c r="W10" s="661" t="s">
        <v>3660</v>
      </c>
      <c r="X10" s="514">
        <v>0.14000000000000001</v>
      </c>
      <c r="Y10" s="661" t="s">
        <v>3689</v>
      </c>
      <c r="Z10" s="661" t="s">
        <v>3793</v>
      </c>
      <c r="AA10" s="661">
        <v>134</v>
      </c>
      <c r="AB10" s="661" t="s">
        <v>3836</v>
      </c>
      <c r="AC10" s="661" t="s">
        <v>3014</v>
      </c>
      <c r="AD10" s="661" t="s">
        <v>1746</v>
      </c>
      <c r="AE10" s="273" t="s">
        <v>1016</v>
      </c>
      <c r="AF10" s="660">
        <v>29.4</v>
      </c>
      <c r="AG10" s="660">
        <v>24.7</v>
      </c>
      <c r="AH10" s="660" t="s">
        <v>1744</v>
      </c>
      <c r="AI10" s="660" t="s">
        <v>122</v>
      </c>
      <c r="AJ10" s="661" t="s">
        <v>3960</v>
      </c>
      <c r="AK10" s="661" t="s">
        <v>3959</v>
      </c>
      <c r="AL10" s="660"/>
      <c r="AM10" s="660"/>
      <c r="AN10" s="660" t="s">
        <v>1784</v>
      </c>
      <c r="AO10" s="660">
        <v>0.16</v>
      </c>
      <c r="AP10" s="660">
        <v>0.2</v>
      </c>
      <c r="AQ10" s="660">
        <v>0.11</v>
      </c>
      <c r="AR10" s="679">
        <v>3.6323647360000004</v>
      </c>
      <c r="AS10" s="679">
        <v>1.7009699999999999</v>
      </c>
      <c r="AT10" s="679">
        <v>1.3751095071999999</v>
      </c>
      <c r="AU10" s="679">
        <v>1.14758776</v>
      </c>
      <c r="AV10" s="347">
        <v>0.94601147519999995</v>
      </c>
      <c r="AW10" s="664">
        <f t="shared" si="0"/>
        <v>148.25615292585061</v>
      </c>
      <c r="AX10" s="597" t="s">
        <v>3961</v>
      </c>
      <c r="AY10" s="661" t="s">
        <v>3962</v>
      </c>
      <c r="AZ10" s="661"/>
      <c r="BA10" s="661" t="s">
        <v>3018</v>
      </c>
      <c r="BB10" s="660" t="s">
        <v>3966</v>
      </c>
      <c r="BC10" s="660">
        <v>18212902</v>
      </c>
      <c r="BD10" s="661" t="s">
        <v>3720</v>
      </c>
      <c r="BE10" s="661">
        <v>18215201</v>
      </c>
      <c r="BF10" s="661" t="s">
        <v>157</v>
      </c>
      <c r="BG10" s="661" t="s">
        <v>3017</v>
      </c>
      <c r="BH10" s="659"/>
      <c r="BI10" s="667">
        <v>42464</v>
      </c>
      <c r="BJ10" s="663">
        <v>1030</v>
      </c>
      <c r="BK10" s="663">
        <v>1120</v>
      </c>
      <c r="BL10" s="663">
        <v>2150</v>
      </c>
      <c r="BM10" s="663">
        <v>610</v>
      </c>
      <c r="BN10" s="663">
        <v>2662</v>
      </c>
      <c r="BO10" s="659">
        <v>314</v>
      </c>
      <c r="BP10" s="652">
        <v>1043</v>
      </c>
      <c r="BQ10" s="659">
        <v>0.38</v>
      </c>
      <c r="BR10" s="664">
        <v>31.45</v>
      </c>
      <c r="BS10" s="664" t="s">
        <v>819</v>
      </c>
      <c r="BT10" s="659">
        <v>224</v>
      </c>
      <c r="BU10" s="659"/>
      <c r="BV10" s="652"/>
      <c r="BW10" s="652"/>
      <c r="BX10" s="668">
        <v>32.6</v>
      </c>
      <c r="BY10" s="659">
        <v>12</v>
      </c>
      <c r="BZ10" s="665">
        <v>8.0000000000000004E-4</v>
      </c>
      <c r="CA10" s="659"/>
      <c r="CB10" s="659"/>
      <c r="CC10" s="659"/>
      <c r="CD10" s="668"/>
      <c r="CE10" s="651"/>
      <c r="CF10" s="654"/>
      <c r="CG10" s="659">
        <v>0.82</v>
      </c>
      <c r="CH10" s="659">
        <v>0.56000000000000005</v>
      </c>
      <c r="CI10" s="677">
        <v>0.27</v>
      </c>
      <c r="CK10" s="183"/>
    </row>
    <row r="11" spans="1:114" ht="75" hidden="1" customHeight="1" x14ac:dyDescent="0.2">
      <c r="A11" s="678">
        <v>38</v>
      </c>
      <c r="B11" s="182" t="s">
        <v>3975</v>
      </c>
      <c r="C11" s="183" t="s">
        <v>3982</v>
      </c>
      <c r="D11" s="183" t="s">
        <v>790</v>
      </c>
      <c r="E11" s="661" t="s">
        <v>4007</v>
      </c>
      <c r="F11" s="182">
        <v>2015</v>
      </c>
      <c r="G11" s="657" t="s">
        <v>3012</v>
      </c>
      <c r="H11" s="183" t="s">
        <v>4016</v>
      </c>
      <c r="I11" s="673" t="s">
        <v>3838</v>
      </c>
      <c r="J11" s="182" t="s">
        <v>114</v>
      </c>
      <c r="K11" s="660" t="s">
        <v>3834</v>
      </c>
      <c r="L11" s="660">
        <v>264</v>
      </c>
      <c r="M11" s="660">
        <v>109</v>
      </c>
      <c r="N11" s="182" t="s">
        <v>2484</v>
      </c>
      <c r="O11" s="183" t="s">
        <v>1706</v>
      </c>
      <c r="P11" s="183" t="s">
        <v>4068</v>
      </c>
      <c r="Q11" s="598" t="s">
        <v>2373</v>
      </c>
      <c r="R11" s="183" t="s">
        <v>4067</v>
      </c>
      <c r="S11" s="183" t="s">
        <v>3653</v>
      </c>
      <c r="T11" s="183" t="s">
        <v>3652</v>
      </c>
      <c r="U11" s="661">
        <v>0.14949999999999999</v>
      </c>
      <c r="V11" s="661">
        <v>0.14949999999999999</v>
      </c>
      <c r="W11" s="183" t="s">
        <v>3660</v>
      </c>
      <c r="X11" s="514">
        <v>0.10970000000000001</v>
      </c>
      <c r="Y11" s="183" t="s">
        <v>3676</v>
      </c>
      <c r="Z11" s="183" t="s">
        <v>3970</v>
      </c>
      <c r="AA11" s="183">
        <v>134</v>
      </c>
      <c r="AB11" s="183" t="s">
        <v>3837</v>
      </c>
      <c r="AC11" s="183" t="s">
        <v>119</v>
      </c>
      <c r="AD11" s="183" t="s">
        <v>1746</v>
      </c>
      <c r="AE11" s="183" t="s">
        <v>1016</v>
      </c>
      <c r="AF11" s="660">
        <v>29.4</v>
      </c>
      <c r="AG11" s="660">
        <v>24.7</v>
      </c>
      <c r="AH11" s="182" t="s">
        <v>1744</v>
      </c>
      <c r="AI11" s="182" t="s">
        <v>122</v>
      </c>
      <c r="AJ11" s="183" t="s">
        <v>3960</v>
      </c>
      <c r="AK11" s="183" t="s">
        <v>3959</v>
      </c>
      <c r="AL11" s="660"/>
      <c r="AM11" s="660"/>
      <c r="AN11" s="182" t="s">
        <v>1784</v>
      </c>
      <c r="AO11" s="660">
        <v>0.16</v>
      </c>
      <c r="AP11" s="660">
        <v>0.21</v>
      </c>
      <c r="AQ11" s="660">
        <v>0.16</v>
      </c>
      <c r="AR11" s="679">
        <v>3.7581004384000005</v>
      </c>
      <c r="AS11" s="679">
        <v>1.5921079199999999</v>
      </c>
      <c r="AT11" s="679">
        <v>1.2862961935999999</v>
      </c>
      <c r="AU11" s="679">
        <v>1.1385159199999999</v>
      </c>
      <c r="AV11" s="347">
        <v>0.94401567040000001</v>
      </c>
      <c r="AW11" s="185">
        <f t="shared" si="0"/>
        <v>165.53587132144443</v>
      </c>
      <c r="AX11" s="597" t="s">
        <v>3963</v>
      </c>
      <c r="AY11" s="661" t="s">
        <v>3964</v>
      </c>
      <c r="AZ11" s="183"/>
      <c r="BA11" s="661" t="s">
        <v>4076</v>
      </c>
      <c r="BB11" s="661" t="s">
        <v>4077</v>
      </c>
      <c r="BC11" s="660" t="s">
        <v>3015</v>
      </c>
      <c r="BD11" s="661" t="s">
        <v>3967</v>
      </c>
      <c r="BE11" s="661" t="s">
        <v>3969</v>
      </c>
      <c r="BF11" s="661">
        <v>32357185</v>
      </c>
      <c r="BG11" s="661" t="s">
        <v>2134</v>
      </c>
      <c r="BH11" s="659"/>
      <c r="BI11" s="667">
        <v>42464</v>
      </c>
      <c r="BJ11" s="663">
        <v>922</v>
      </c>
      <c r="BK11" s="663">
        <v>1003</v>
      </c>
      <c r="BL11" s="663">
        <v>1925</v>
      </c>
      <c r="BM11" s="663">
        <v>610</v>
      </c>
      <c r="BN11" s="663">
        <v>2662</v>
      </c>
      <c r="BO11" s="659">
        <v>314</v>
      </c>
      <c r="BP11" s="652">
        <v>933</v>
      </c>
      <c r="BQ11" s="659">
        <v>0.38</v>
      </c>
      <c r="BR11" s="664">
        <v>30</v>
      </c>
      <c r="BS11" s="664" t="s">
        <v>819</v>
      </c>
      <c r="BT11" s="659">
        <v>235</v>
      </c>
      <c r="BU11" s="659"/>
      <c r="BV11" s="652"/>
      <c r="BW11" s="652"/>
      <c r="BX11" s="668">
        <v>29.2</v>
      </c>
      <c r="BY11" s="659">
        <v>10</v>
      </c>
      <c r="BZ11" s="665">
        <v>1.1000000000000001E-3</v>
      </c>
      <c r="CA11" s="659"/>
      <c r="CB11" s="659"/>
      <c r="CC11" s="659"/>
      <c r="CD11" s="668"/>
      <c r="CE11" s="651"/>
      <c r="CF11" s="654"/>
      <c r="CG11" s="659">
        <v>0.83</v>
      </c>
      <c r="CH11" s="659">
        <v>0.54</v>
      </c>
      <c r="CI11" s="677">
        <v>0.28000000000000003</v>
      </c>
      <c r="CK11" s="661"/>
    </row>
    <row r="12" spans="1:114" s="311" customFormat="1" ht="75" hidden="1" customHeight="1" x14ac:dyDescent="0.2">
      <c r="A12" s="678">
        <v>38</v>
      </c>
      <c r="B12" s="660" t="s">
        <v>3975</v>
      </c>
      <c r="C12" s="661" t="s">
        <v>3980</v>
      </c>
      <c r="D12" s="661" t="s">
        <v>790</v>
      </c>
      <c r="E12" s="661" t="s">
        <v>4007</v>
      </c>
      <c r="F12" s="660">
        <v>2015</v>
      </c>
      <c r="G12" s="657" t="s">
        <v>3012</v>
      </c>
      <c r="H12" s="661" t="s">
        <v>4016</v>
      </c>
      <c r="I12" s="673" t="s">
        <v>3838</v>
      </c>
      <c r="J12" s="660" t="s">
        <v>114</v>
      </c>
      <c r="K12" s="660" t="s">
        <v>3834</v>
      </c>
      <c r="L12" s="660">
        <v>264</v>
      </c>
      <c r="M12" s="660">
        <v>109</v>
      </c>
      <c r="N12" s="660" t="s">
        <v>2484</v>
      </c>
      <c r="O12" s="661" t="s">
        <v>1706</v>
      </c>
      <c r="P12" s="661" t="s">
        <v>4068</v>
      </c>
      <c r="Q12" s="598" t="s">
        <v>2373</v>
      </c>
      <c r="R12" s="661" t="s">
        <v>4067</v>
      </c>
      <c r="S12" s="661" t="s">
        <v>3653</v>
      </c>
      <c r="T12" s="661" t="s">
        <v>3652</v>
      </c>
      <c r="U12" s="661">
        <v>0.14949999999999999</v>
      </c>
      <c r="V12" s="661">
        <v>0.14949999999999999</v>
      </c>
      <c r="W12" s="661" t="s">
        <v>3660</v>
      </c>
      <c r="X12" s="514">
        <v>0.10970000000000001</v>
      </c>
      <c r="Y12" s="661" t="s">
        <v>3676</v>
      </c>
      <c r="Z12" s="661" t="s">
        <v>3970</v>
      </c>
      <c r="AA12" s="661">
        <v>134</v>
      </c>
      <c r="AB12" s="661" t="s">
        <v>3837</v>
      </c>
      <c r="AC12" s="661" t="s">
        <v>119</v>
      </c>
      <c r="AD12" s="661" t="s">
        <v>1746</v>
      </c>
      <c r="AE12" s="661" t="s">
        <v>1016</v>
      </c>
      <c r="AF12" s="660">
        <v>29.4</v>
      </c>
      <c r="AG12" s="660">
        <v>24.7</v>
      </c>
      <c r="AH12" s="660" t="s">
        <v>1744</v>
      </c>
      <c r="AI12" s="660" t="s">
        <v>122</v>
      </c>
      <c r="AJ12" s="661" t="s">
        <v>3960</v>
      </c>
      <c r="AK12" s="661" t="s">
        <v>3959</v>
      </c>
      <c r="AL12" s="660"/>
      <c r="AM12" s="660"/>
      <c r="AN12" s="660" t="s">
        <v>1784</v>
      </c>
      <c r="AO12" s="660">
        <v>0.16</v>
      </c>
      <c r="AP12" s="660">
        <v>0.2</v>
      </c>
      <c r="AQ12" s="660">
        <v>0.16</v>
      </c>
      <c r="AR12" s="347">
        <v>3.4976479120000001</v>
      </c>
      <c r="AS12" s="347">
        <v>1.5921079199999999</v>
      </c>
      <c r="AT12" s="347">
        <v>1.2862961935999999</v>
      </c>
      <c r="AU12" s="347">
        <v>1.14758776</v>
      </c>
      <c r="AV12" s="347">
        <v>0.9330387440000002</v>
      </c>
      <c r="AW12" s="664">
        <f t="shared" si="0"/>
        <v>167.48335216052021</v>
      </c>
      <c r="AX12" s="597" t="s">
        <v>3963</v>
      </c>
      <c r="AY12" s="661" t="s">
        <v>3964</v>
      </c>
      <c r="AZ12" s="661"/>
      <c r="BA12" s="661" t="s">
        <v>4075</v>
      </c>
      <c r="BB12" s="661" t="s">
        <v>4074</v>
      </c>
      <c r="BC12" s="660">
        <v>18212901</v>
      </c>
      <c r="BD12" s="661" t="s">
        <v>3968</v>
      </c>
      <c r="BE12" s="661" t="s">
        <v>3969</v>
      </c>
      <c r="BF12" s="661" t="s">
        <v>157</v>
      </c>
      <c r="BG12" s="661" t="s">
        <v>3017</v>
      </c>
      <c r="BH12" s="659"/>
      <c r="BI12" s="667">
        <v>42464</v>
      </c>
      <c r="BJ12" s="663">
        <v>922</v>
      </c>
      <c r="BK12" s="663">
        <v>1003</v>
      </c>
      <c r="BL12" s="663">
        <v>1925</v>
      </c>
      <c r="BM12" s="663">
        <v>610</v>
      </c>
      <c r="BN12" s="663">
        <v>2662</v>
      </c>
      <c r="BO12" s="659">
        <v>314</v>
      </c>
      <c r="BP12" s="652">
        <v>933</v>
      </c>
      <c r="BQ12" s="659">
        <v>0.38</v>
      </c>
      <c r="BR12" s="664">
        <v>29.9</v>
      </c>
      <c r="BS12" s="664" t="s">
        <v>819</v>
      </c>
      <c r="BT12" s="181">
        <v>235</v>
      </c>
      <c r="BU12" s="659"/>
      <c r="BV12" s="652"/>
      <c r="BW12" s="652"/>
      <c r="BX12" s="668">
        <v>29.2</v>
      </c>
      <c r="BY12" s="659">
        <v>10</v>
      </c>
      <c r="BZ12" s="665">
        <v>1.1000000000000001E-3</v>
      </c>
      <c r="CA12" s="659"/>
      <c r="CB12" s="659"/>
      <c r="CC12" s="659"/>
      <c r="CD12" s="668"/>
      <c r="CE12" s="651"/>
      <c r="CF12" s="654"/>
      <c r="CG12" s="659">
        <v>0.82</v>
      </c>
      <c r="CH12" s="659">
        <v>0.56000000000000005</v>
      </c>
      <c r="CI12" s="677">
        <v>0.27</v>
      </c>
      <c r="CJ12" s="213"/>
      <c r="CK12" s="183"/>
      <c r="CL12" s="213"/>
      <c r="CM12" s="213"/>
      <c r="CN12" s="213"/>
      <c r="CO12" s="213"/>
      <c r="CP12" s="213"/>
      <c r="CQ12" s="213"/>
      <c r="CR12" s="213"/>
      <c r="CS12" s="213"/>
      <c r="CT12" s="213"/>
      <c r="CU12" s="213"/>
      <c r="CV12" s="213"/>
      <c r="CW12" s="213"/>
      <c r="CX12" s="213"/>
      <c r="CY12" s="213"/>
      <c r="CZ12" s="213"/>
      <c r="DA12" s="213"/>
      <c r="DB12" s="213"/>
      <c r="DC12" s="213"/>
      <c r="DD12" s="213"/>
      <c r="DE12" s="213"/>
      <c r="DF12" s="213"/>
      <c r="DG12" s="213"/>
      <c r="DH12" s="213"/>
      <c r="DI12" s="213"/>
      <c r="DJ12" s="213"/>
    </row>
    <row r="13" spans="1:114" ht="75" hidden="1" customHeight="1" x14ac:dyDescent="0.2">
      <c r="A13" s="651">
        <v>38</v>
      </c>
      <c r="B13" s="182" t="s">
        <v>3977</v>
      </c>
      <c r="C13" s="183" t="s">
        <v>3982</v>
      </c>
      <c r="D13" s="183" t="s">
        <v>790</v>
      </c>
      <c r="E13" s="661" t="s">
        <v>4007</v>
      </c>
      <c r="F13" s="182">
        <v>2016</v>
      </c>
      <c r="G13" s="271" t="s">
        <v>3012</v>
      </c>
      <c r="H13" s="183" t="s">
        <v>4020</v>
      </c>
      <c r="I13" s="264" t="s">
        <v>3988</v>
      </c>
      <c r="J13" s="182" t="s">
        <v>114</v>
      </c>
      <c r="K13" s="183" t="s">
        <v>3669</v>
      </c>
      <c r="L13" s="182">
        <v>288</v>
      </c>
      <c r="M13" s="182">
        <v>121</v>
      </c>
      <c r="N13" s="182" t="s">
        <v>1361</v>
      </c>
      <c r="O13" s="183" t="s">
        <v>1706</v>
      </c>
      <c r="P13" s="183" t="s">
        <v>4068</v>
      </c>
      <c r="Q13" s="598" t="s">
        <v>2373</v>
      </c>
      <c r="R13" s="183" t="s">
        <v>4067</v>
      </c>
      <c r="S13" s="183" t="s">
        <v>3653</v>
      </c>
      <c r="T13" s="183" t="s">
        <v>3652</v>
      </c>
      <c r="U13" s="183">
        <v>0.14949999999999999</v>
      </c>
      <c r="V13" s="183">
        <v>0.14949999999999999</v>
      </c>
      <c r="W13" s="183" t="s">
        <v>3660</v>
      </c>
      <c r="X13" s="514">
        <v>0.10970000000000001</v>
      </c>
      <c r="Y13" s="183" t="s">
        <v>3676</v>
      </c>
      <c r="Z13" s="183" t="s">
        <v>3992</v>
      </c>
      <c r="AA13" s="183">
        <v>134</v>
      </c>
      <c r="AB13" s="183" t="s">
        <v>3722</v>
      </c>
      <c r="AC13" s="183" t="s">
        <v>119</v>
      </c>
      <c r="AD13" s="183" t="s">
        <v>3724</v>
      </c>
      <c r="AE13" s="183" t="s">
        <v>3725</v>
      </c>
      <c r="AF13" s="182">
        <v>29.4</v>
      </c>
      <c r="AG13" s="182">
        <v>24.72</v>
      </c>
      <c r="AH13" s="182" t="s">
        <v>1744</v>
      </c>
      <c r="AI13" s="182" t="s">
        <v>122</v>
      </c>
      <c r="AJ13" s="183" t="s">
        <v>3670</v>
      </c>
      <c r="AK13" s="183" t="s">
        <v>3671</v>
      </c>
      <c r="AL13" s="182"/>
      <c r="AM13" s="182"/>
      <c r="AN13" s="182" t="s">
        <v>1784</v>
      </c>
      <c r="AO13" s="182">
        <v>0.14000000000000001</v>
      </c>
      <c r="AP13" s="660">
        <v>0.11</v>
      </c>
      <c r="AQ13" s="660">
        <v>0.22</v>
      </c>
      <c r="AR13" s="347">
        <v>4.6901412799999997</v>
      </c>
      <c r="AS13" s="347">
        <v>1.6374671199999999</v>
      </c>
      <c r="AT13" s="347">
        <v>1.30180904</v>
      </c>
      <c r="AU13" s="347">
        <v>2.1681697600000001</v>
      </c>
      <c r="AV13" s="347">
        <v>1.8415835199999997</v>
      </c>
      <c r="AW13" s="185" t="s">
        <v>1982</v>
      </c>
      <c r="AX13" s="260" t="s">
        <v>3903</v>
      </c>
      <c r="AY13" s="183" t="s">
        <v>3904</v>
      </c>
      <c r="AZ13" s="183"/>
      <c r="BA13" s="183" t="s">
        <v>3726</v>
      </c>
      <c r="BB13" s="183" t="s">
        <v>3727</v>
      </c>
      <c r="BC13" s="660" t="s">
        <v>3672</v>
      </c>
      <c r="BD13" s="183" t="s">
        <v>3673</v>
      </c>
      <c r="BE13" s="183">
        <v>18214501</v>
      </c>
      <c r="BF13" s="183" t="s">
        <v>3674</v>
      </c>
      <c r="BG13" s="183" t="s">
        <v>3675</v>
      </c>
      <c r="BH13" s="181" t="s">
        <v>3728</v>
      </c>
      <c r="BI13" s="190">
        <v>42464</v>
      </c>
      <c r="BJ13" s="184">
        <v>2668</v>
      </c>
      <c r="BK13" s="184">
        <v>2866</v>
      </c>
      <c r="BL13" s="663">
        <v>5401</v>
      </c>
      <c r="BM13" s="184">
        <v>665</v>
      </c>
      <c r="BN13" s="184">
        <v>2750</v>
      </c>
      <c r="BO13" s="181">
        <v>314</v>
      </c>
      <c r="BP13" s="191">
        <v>1240</v>
      </c>
      <c r="BQ13" s="181">
        <v>0.35</v>
      </c>
      <c r="BR13" s="664">
        <v>29</v>
      </c>
      <c r="BS13" s="664" t="s">
        <v>819</v>
      </c>
      <c r="BT13" s="181">
        <v>234</v>
      </c>
      <c r="BU13" s="181" t="s">
        <v>819</v>
      </c>
      <c r="BV13" s="191" t="s">
        <v>819</v>
      </c>
      <c r="BW13" s="191" t="s">
        <v>819</v>
      </c>
      <c r="BX13" s="192">
        <v>47.7</v>
      </c>
      <c r="BY13" s="181">
        <v>12</v>
      </c>
      <c r="BZ13" s="187">
        <v>8.0000000000000004E-4</v>
      </c>
      <c r="CA13" s="181" t="s">
        <v>819</v>
      </c>
      <c r="CB13" s="181" t="s">
        <v>819</v>
      </c>
      <c r="CC13" s="181" t="s">
        <v>819</v>
      </c>
      <c r="CD13" s="192" t="s">
        <v>819</v>
      </c>
      <c r="CE13" s="180" t="s">
        <v>157</v>
      </c>
      <c r="CF13" s="196" t="s">
        <v>819</v>
      </c>
      <c r="CG13" s="181">
        <v>0.85</v>
      </c>
      <c r="CH13" s="181">
        <v>0.59</v>
      </c>
      <c r="CI13" s="277">
        <f>0.26</f>
        <v>0.26</v>
      </c>
      <c r="CK13" s="183"/>
    </row>
    <row r="14" spans="1:114" ht="75" hidden="1" customHeight="1" x14ac:dyDescent="0.2">
      <c r="A14" s="651">
        <v>38</v>
      </c>
      <c r="B14" s="660" t="s">
        <v>3977</v>
      </c>
      <c r="C14" s="661" t="s">
        <v>3982</v>
      </c>
      <c r="D14" s="661" t="s">
        <v>790</v>
      </c>
      <c r="E14" s="661" t="s">
        <v>4007</v>
      </c>
      <c r="F14" s="660">
        <v>2016</v>
      </c>
      <c r="G14" s="657" t="s">
        <v>3012</v>
      </c>
      <c r="H14" s="661" t="s">
        <v>4020</v>
      </c>
      <c r="I14" s="673" t="s">
        <v>3988</v>
      </c>
      <c r="J14" s="660" t="s">
        <v>114</v>
      </c>
      <c r="K14" s="661" t="s">
        <v>3677</v>
      </c>
      <c r="L14" s="660">
        <v>288</v>
      </c>
      <c r="M14" s="660">
        <v>121</v>
      </c>
      <c r="N14" s="660" t="s">
        <v>1361</v>
      </c>
      <c r="O14" s="661" t="s">
        <v>1706</v>
      </c>
      <c r="P14" s="661" t="s">
        <v>4068</v>
      </c>
      <c r="Q14" s="598" t="s">
        <v>2373</v>
      </c>
      <c r="R14" s="661" t="s">
        <v>4067</v>
      </c>
      <c r="S14" s="661" t="s">
        <v>3653</v>
      </c>
      <c r="T14" s="661" t="s">
        <v>3652</v>
      </c>
      <c r="U14" s="661">
        <v>0.14949999999999999</v>
      </c>
      <c r="V14" s="661">
        <v>0.14949999999999999</v>
      </c>
      <c r="W14" s="661" t="s">
        <v>3660</v>
      </c>
      <c r="X14" s="514">
        <v>0.10970000000000001</v>
      </c>
      <c r="Y14" s="661" t="s">
        <v>3676</v>
      </c>
      <c r="Z14" s="661" t="s">
        <v>3992</v>
      </c>
      <c r="AA14" s="661">
        <v>134</v>
      </c>
      <c r="AB14" s="661" t="s">
        <v>3723</v>
      </c>
      <c r="AC14" s="661" t="s">
        <v>3014</v>
      </c>
      <c r="AD14" s="661" t="s">
        <v>3724</v>
      </c>
      <c r="AE14" s="661" t="s">
        <v>3725</v>
      </c>
      <c r="AF14" s="660">
        <v>29.4</v>
      </c>
      <c r="AG14" s="660">
        <v>28.6</v>
      </c>
      <c r="AH14" s="660" t="s">
        <v>1744</v>
      </c>
      <c r="AI14" s="660" t="s">
        <v>122</v>
      </c>
      <c r="AJ14" s="661" t="s">
        <v>3670</v>
      </c>
      <c r="AK14" s="661" t="s">
        <v>3671</v>
      </c>
      <c r="AL14" s="660"/>
      <c r="AM14" s="660"/>
      <c r="AN14" s="660" t="s">
        <v>1784</v>
      </c>
      <c r="AO14" s="660">
        <v>0.14000000000000001</v>
      </c>
      <c r="AP14" s="660">
        <v>0.11</v>
      </c>
      <c r="AQ14" s="660">
        <v>0.22</v>
      </c>
      <c r="AR14" s="347">
        <v>4.6810694399999999</v>
      </c>
      <c r="AS14" s="347">
        <v>1.6374671199999999</v>
      </c>
      <c r="AT14" s="347">
        <v>1.30180904</v>
      </c>
      <c r="AU14" s="347">
        <v>2.1681697600000001</v>
      </c>
      <c r="AV14" s="347">
        <v>1.8415835199999997</v>
      </c>
      <c r="AW14" s="664"/>
      <c r="AX14" s="597" t="s">
        <v>3903</v>
      </c>
      <c r="AY14" s="661" t="s">
        <v>3904</v>
      </c>
      <c r="AZ14" s="661"/>
      <c r="BA14" s="661" t="s">
        <v>3729</v>
      </c>
      <c r="BB14" s="661" t="s">
        <v>3730</v>
      </c>
      <c r="BC14" s="660" t="s">
        <v>3731</v>
      </c>
      <c r="BD14" s="661" t="s">
        <v>3673</v>
      </c>
      <c r="BE14" s="661">
        <v>18214501</v>
      </c>
      <c r="BF14" s="661" t="s">
        <v>3674</v>
      </c>
      <c r="BG14" s="661" t="s">
        <v>3675</v>
      </c>
      <c r="BH14" s="659" t="s">
        <v>3728</v>
      </c>
      <c r="BI14" s="667">
        <v>42464</v>
      </c>
      <c r="BJ14" s="663">
        <v>2668</v>
      </c>
      <c r="BK14" s="663">
        <v>2866</v>
      </c>
      <c r="BL14" s="663">
        <v>5401</v>
      </c>
      <c r="BM14" s="663">
        <v>665</v>
      </c>
      <c r="BN14" s="663">
        <v>2750</v>
      </c>
      <c r="BO14" s="659">
        <v>314</v>
      </c>
      <c r="BP14" s="652">
        <v>1240</v>
      </c>
      <c r="BQ14" s="659">
        <v>0.38</v>
      </c>
      <c r="BR14" s="664">
        <v>31.5</v>
      </c>
      <c r="BS14" s="664" t="s">
        <v>819</v>
      </c>
      <c r="BT14" s="659">
        <v>234</v>
      </c>
      <c r="BU14" s="659" t="s">
        <v>819</v>
      </c>
      <c r="BV14" s="652" t="s">
        <v>819</v>
      </c>
      <c r="BW14" s="652" t="s">
        <v>819</v>
      </c>
      <c r="BX14" s="668">
        <v>47.7</v>
      </c>
      <c r="BY14" s="659">
        <v>12</v>
      </c>
      <c r="BZ14" s="665">
        <v>8.0000000000000004E-4</v>
      </c>
      <c r="CA14" s="659" t="s">
        <v>819</v>
      </c>
      <c r="CB14" s="659" t="s">
        <v>819</v>
      </c>
      <c r="CC14" s="659" t="s">
        <v>819</v>
      </c>
      <c r="CD14" s="668" t="s">
        <v>819</v>
      </c>
      <c r="CE14" s="651" t="s">
        <v>157</v>
      </c>
      <c r="CF14" s="654" t="s">
        <v>819</v>
      </c>
      <c r="CG14" s="659">
        <v>0.85</v>
      </c>
      <c r="CH14" s="659">
        <v>0.59</v>
      </c>
      <c r="CI14" s="677">
        <f>0.26</f>
        <v>0.26</v>
      </c>
      <c r="CK14" s="183"/>
    </row>
    <row r="15" spans="1:114" ht="75" hidden="1" customHeight="1" x14ac:dyDescent="0.2">
      <c r="A15" s="651">
        <v>38</v>
      </c>
      <c r="B15" s="660" t="s">
        <v>3978</v>
      </c>
      <c r="C15" s="661" t="s">
        <v>3982</v>
      </c>
      <c r="D15" s="661" t="s">
        <v>790</v>
      </c>
      <c r="E15" s="661" t="s">
        <v>4008</v>
      </c>
      <c r="F15" s="660">
        <v>2017</v>
      </c>
      <c r="G15" s="657" t="s">
        <v>3012</v>
      </c>
      <c r="H15" s="661" t="s">
        <v>4020</v>
      </c>
      <c r="I15" s="673" t="s">
        <v>3988</v>
      </c>
      <c r="J15" s="660" t="s">
        <v>114</v>
      </c>
      <c r="K15" s="661" t="s">
        <v>3721</v>
      </c>
      <c r="L15" s="660">
        <v>315</v>
      </c>
      <c r="M15" s="660">
        <v>133.26499999999999</v>
      </c>
      <c r="N15" s="660" t="s">
        <v>197</v>
      </c>
      <c r="O15" s="661" t="s">
        <v>1706</v>
      </c>
      <c r="P15" s="661" t="s">
        <v>4068</v>
      </c>
      <c r="Q15" s="598" t="s">
        <v>2373</v>
      </c>
      <c r="R15" s="661" t="s">
        <v>4067</v>
      </c>
      <c r="S15" s="661" t="s">
        <v>3653</v>
      </c>
      <c r="T15" s="661" t="s">
        <v>3652</v>
      </c>
      <c r="U15" s="661">
        <v>0.14949999999999999</v>
      </c>
      <c r="V15" s="661">
        <v>0.14949999999999999</v>
      </c>
      <c r="W15" s="661" t="s">
        <v>3660</v>
      </c>
      <c r="X15" s="514">
        <v>0.10970000000000001</v>
      </c>
      <c r="Y15" s="661" t="s">
        <v>3676</v>
      </c>
      <c r="Z15" s="661" t="s">
        <v>3992</v>
      </c>
      <c r="AA15" s="661">
        <v>134</v>
      </c>
      <c r="AB15" s="661" t="s">
        <v>3722</v>
      </c>
      <c r="AC15" s="661" t="s">
        <v>119</v>
      </c>
      <c r="AD15" s="661" t="s">
        <v>819</v>
      </c>
      <c r="AE15" s="661" t="s">
        <v>819</v>
      </c>
      <c r="AF15" s="669">
        <v>32</v>
      </c>
      <c r="AG15" s="660">
        <v>36.1</v>
      </c>
      <c r="AH15" s="660" t="s">
        <v>1744</v>
      </c>
      <c r="AI15" s="660" t="s">
        <v>122</v>
      </c>
      <c r="AJ15" s="661" t="s">
        <v>3670</v>
      </c>
      <c r="AK15" s="661" t="s">
        <v>3671</v>
      </c>
      <c r="AL15" s="660"/>
      <c r="AM15" s="660"/>
      <c r="AN15" s="660" t="s">
        <v>1784</v>
      </c>
      <c r="AO15" s="660">
        <v>0.16500000000000001</v>
      </c>
      <c r="AP15" s="660" t="s">
        <v>819</v>
      </c>
      <c r="AQ15" s="660">
        <v>0.27</v>
      </c>
      <c r="AR15" s="347">
        <v>4.9486887199999998</v>
      </c>
      <c r="AS15" s="347">
        <v>1.66014672</v>
      </c>
      <c r="AT15" s="347">
        <v>1.36984784</v>
      </c>
      <c r="AU15" s="347">
        <v>2.2997114400000003</v>
      </c>
      <c r="AV15" s="347">
        <v>2.02755624</v>
      </c>
      <c r="AW15" s="664"/>
      <c r="AX15" s="597" t="s">
        <v>3903</v>
      </c>
      <c r="AY15" s="661" t="s">
        <v>3904</v>
      </c>
      <c r="AZ15" s="661"/>
      <c r="BA15" s="661" t="s">
        <v>3905</v>
      </c>
      <c r="BB15" s="661" t="s">
        <v>3906</v>
      </c>
      <c r="BC15" s="660" t="s">
        <v>3732</v>
      </c>
      <c r="BD15" s="661" t="s">
        <v>3909</v>
      </c>
      <c r="BE15" s="661">
        <v>19198701</v>
      </c>
      <c r="BF15" s="661" t="s">
        <v>3674</v>
      </c>
      <c r="BG15" s="661" t="s">
        <v>3675</v>
      </c>
      <c r="BH15" s="659" t="s">
        <v>3728</v>
      </c>
      <c r="BI15" s="667">
        <v>42464</v>
      </c>
      <c r="BJ15" s="663">
        <v>2668</v>
      </c>
      <c r="BK15" s="663">
        <v>2866</v>
      </c>
      <c r="BL15" s="663">
        <v>5401</v>
      </c>
      <c r="BM15" s="663">
        <v>665</v>
      </c>
      <c r="BN15" s="663">
        <v>2750</v>
      </c>
      <c r="BO15" s="659">
        <v>342</v>
      </c>
      <c r="BP15" s="652">
        <v>1240</v>
      </c>
      <c r="BQ15" s="659">
        <v>0.38</v>
      </c>
      <c r="BR15" s="664">
        <v>29.6</v>
      </c>
      <c r="BS15" s="664" t="s">
        <v>819</v>
      </c>
      <c r="BT15" s="659">
        <v>234</v>
      </c>
      <c r="BU15" s="659" t="s">
        <v>819</v>
      </c>
      <c r="BV15" s="652" t="s">
        <v>819</v>
      </c>
      <c r="BW15" s="652" t="s">
        <v>819</v>
      </c>
      <c r="BX15" s="668">
        <v>47.7</v>
      </c>
      <c r="BY15" s="659">
        <v>23</v>
      </c>
      <c r="BZ15" s="665"/>
      <c r="CA15" s="659" t="s">
        <v>819</v>
      </c>
      <c r="CB15" s="659" t="s">
        <v>819</v>
      </c>
      <c r="CC15" s="659" t="s">
        <v>819</v>
      </c>
      <c r="CD15" s="668" t="s">
        <v>819</v>
      </c>
      <c r="CE15" s="651" t="s">
        <v>157</v>
      </c>
      <c r="CF15" s="654" t="s">
        <v>819</v>
      </c>
      <c r="CG15" s="659"/>
      <c r="CH15" s="659"/>
      <c r="CI15" s="677"/>
      <c r="CK15" s="183"/>
    </row>
    <row r="16" spans="1:114" ht="75" hidden="1" customHeight="1" x14ac:dyDescent="0.2">
      <c r="A16" s="651">
        <v>38</v>
      </c>
      <c r="B16" s="660" t="s">
        <v>3978</v>
      </c>
      <c r="C16" s="183" t="s">
        <v>3982</v>
      </c>
      <c r="D16" s="183" t="s">
        <v>790</v>
      </c>
      <c r="E16" s="661" t="s">
        <v>4008</v>
      </c>
      <c r="F16" s="182">
        <v>2017</v>
      </c>
      <c r="G16" s="271" t="s">
        <v>3012</v>
      </c>
      <c r="H16" s="183" t="s">
        <v>4020</v>
      </c>
      <c r="I16" s="673" t="s">
        <v>3988</v>
      </c>
      <c r="J16" s="182" t="s">
        <v>114</v>
      </c>
      <c r="K16" s="661" t="s">
        <v>3721</v>
      </c>
      <c r="L16" s="660">
        <v>315</v>
      </c>
      <c r="M16" s="182">
        <v>133.26499999999999</v>
      </c>
      <c r="N16" s="660" t="s">
        <v>197</v>
      </c>
      <c r="O16" s="183" t="s">
        <v>1706</v>
      </c>
      <c r="P16" s="183" t="s">
        <v>4068</v>
      </c>
      <c r="Q16" s="598" t="s">
        <v>2373</v>
      </c>
      <c r="R16" s="183" t="s">
        <v>4067</v>
      </c>
      <c r="S16" s="183" t="s">
        <v>3653</v>
      </c>
      <c r="T16" s="183" t="s">
        <v>3652</v>
      </c>
      <c r="U16" s="183">
        <v>0.14949999999999999</v>
      </c>
      <c r="V16" s="183">
        <v>0.14949999999999999</v>
      </c>
      <c r="W16" s="183" t="s">
        <v>3660</v>
      </c>
      <c r="X16" s="514">
        <v>0.10970000000000001</v>
      </c>
      <c r="Y16" s="183" t="s">
        <v>3676</v>
      </c>
      <c r="Z16" s="183" t="s">
        <v>3992</v>
      </c>
      <c r="AA16" s="183">
        <v>134</v>
      </c>
      <c r="AB16" s="183" t="s">
        <v>3723</v>
      </c>
      <c r="AC16" s="183" t="s">
        <v>3014</v>
      </c>
      <c r="AD16" s="183" t="s">
        <v>819</v>
      </c>
      <c r="AE16" s="661" t="s">
        <v>819</v>
      </c>
      <c r="AF16" s="669">
        <v>32</v>
      </c>
      <c r="AG16" s="182">
        <v>36.1</v>
      </c>
      <c r="AH16" s="182" t="s">
        <v>1744</v>
      </c>
      <c r="AI16" s="182" t="s">
        <v>122</v>
      </c>
      <c r="AJ16" s="183" t="s">
        <v>3670</v>
      </c>
      <c r="AK16" s="183" t="s">
        <v>3671</v>
      </c>
      <c r="AL16" s="182"/>
      <c r="AM16" s="182"/>
      <c r="AN16" s="182" t="s">
        <v>1784</v>
      </c>
      <c r="AO16" s="182">
        <v>0.16500000000000001</v>
      </c>
      <c r="AP16" s="182" t="s">
        <v>819</v>
      </c>
      <c r="AQ16" s="660">
        <v>0.27</v>
      </c>
      <c r="AR16" s="347">
        <v>4.9486887199999998</v>
      </c>
      <c r="AS16" s="347">
        <v>1.66014672</v>
      </c>
      <c r="AT16" s="347">
        <v>1.36984784</v>
      </c>
      <c r="AU16" s="347">
        <v>2.2997114400000003</v>
      </c>
      <c r="AV16" s="347">
        <v>2.02755624</v>
      </c>
      <c r="AW16" s="185"/>
      <c r="AX16" s="260" t="s">
        <v>3903</v>
      </c>
      <c r="AY16" s="183" t="s">
        <v>3904</v>
      </c>
      <c r="AZ16" s="183"/>
      <c r="BA16" s="183" t="s">
        <v>3907</v>
      </c>
      <c r="BB16" s="183" t="s">
        <v>3908</v>
      </c>
      <c r="BC16" s="660" t="s">
        <v>3732</v>
      </c>
      <c r="BD16" s="183" t="s">
        <v>3909</v>
      </c>
      <c r="BE16" s="183">
        <v>19198701</v>
      </c>
      <c r="BF16" s="183" t="s">
        <v>3674</v>
      </c>
      <c r="BG16" s="183" t="s">
        <v>3675</v>
      </c>
      <c r="BH16" s="181" t="s">
        <v>3728</v>
      </c>
      <c r="BI16" s="190">
        <v>42464</v>
      </c>
      <c r="BJ16" s="184">
        <v>2668</v>
      </c>
      <c r="BK16" s="184">
        <v>2866</v>
      </c>
      <c r="BL16" s="184">
        <v>5401</v>
      </c>
      <c r="BM16" s="184">
        <v>665</v>
      </c>
      <c r="BN16" s="184">
        <v>2750</v>
      </c>
      <c r="BO16" s="181">
        <v>342</v>
      </c>
      <c r="BP16" s="191">
        <v>1240</v>
      </c>
      <c r="BQ16" s="181">
        <v>0.38</v>
      </c>
      <c r="BR16" s="185">
        <v>29.6</v>
      </c>
      <c r="BS16" s="185" t="s">
        <v>819</v>
      </c>
      <c r="BT16" s="659">
        <v>234</v>
      </c>
      <c r="BU16" s="181" t="s">
        <v>819</v>
      </c>
      <c r="BV16" s="652" t="s">
        <v>819</v>
      </c>
      <c r="BW16" s="652" t="s">
        <v>819</v>
      </c>
      <c r="BX16" s="192">
        <v>47.7</v>
      </c>
      <c r="BY16" s="181">
        <v>23</v>
      </c>
      <c r="BZ16" s="187"/>
      <c r="CA16" s="181" t="s">
        <v>819</v>
      </c>
      <c r="CB16" s="181" t="s">
        <v>819</v>
      </c>
      <c r="CC16" s="181" t="s">
        <v>819</v>
      </c>
      <c r="CD16" s="192" t="s">
        <v>819</v>
      </c>
      <c r="CE16" s="651" t="s">
        <v>157</v>
      </c>
      <c r="CF16" s="654" t="s">
        <v>819</v>
      </c>
      <c r="CG16" s="659"/>
      <c r="CH16" s="659"/>
      <c r="CI16" s="677"/>
      <c r="CK16" s="183"/>
    </row>
    <row r="17" spans="1:114" ht="75" hidden="1" customHeight="1" x14ac:dyDescent="0.2">
      <c r="A17" s="659">
        <v>38</v>
      </c>
      <c r="B17" s="661" t="s">
        <v>3000</v>
      </c>
      <c r="C17" s="661" t="s">
        <v>3980</v>
      </c>
      <c r="D17" s="661" t="s">
        <v>312</v>
      </c>
      <c r="E17" s="661" t="s">
        <v>4007</v>
      </c>
      <c r="F17" s="661">
        <v>2013</v>
      </c>
      <c r="G17" s="657" t="s">
        <v>1797</v>
      </c>
      <c r="H17" s="661" t="s">
        <v>3001</v>
      </c>
      <c r="I17" s="601" t="s">
        <v>1324</v>
      </c>
      <c r="J17" s="661" t="s">
        <v>114</v>
      </c>
      <c r="K17" s="661">
        <v>900</v>
      </c>
      <c r="L17" s="661">
        <v>251.2</v>
      </c>
      <c r="M17" s="661">
        <v>103.2</v>
      </c>
      <c r="N17" s="661" t="s">
        <v>2484</v>
      </c>
      <c r="O17" s="661" t="s">
        <v>1706</v>
      </c>
      <c r="P17" s="841" t="s">
        <v>3997</v>
      </c>
      <c r="Q17" s="841" t="s">
        <v>2797</v>
      </c>
      <c r="R17" s="841" t="s">
        <v>4000</v>
      </c>
      <c r="S17" s="661" t="s">
        <v>3653</v>
      </c>
      <c r="T17" s="661" t="s">
        <v>3652</v>
      </c>
      <c r="U17" s="661">
        <v>0.1</v>
      </c>
      <c r="V17" s="661">
        <v>0.31</v>
      </c>
      <c r="W17" s="661" t="s">
        <v>3660</v>
      </c>
      <c r="X17" s="661">
        <v>19.45</v>
      </c>
      <c r="Y17" s="661" t="s">
        <v>3259</v>
      </c>
      <c r="Z17" s="661" t="s">
        <v>3793</v>
      </c>
      <c r="AA17" s="661">
        <v>118</v>
      </c>
      <c r="AB17" s="661" t="s">
        <v>1313</v>
      </c>
      <c r="AC17" s="661" t="s">
        <v>119</v>
      </c>
      <c r="AD17" s="661" t="s">
        <v>1708</v>
      </c>
      <c r="AE17" s="661" t="s">
        <v>1016</v>
      </c>
      <c r="AF17" s="661">
        <v>25.5</v>
      </c>
      <c r="AG17" s="661" t="s">
        <v>980</v>
      </c>
      <c r="AH17" s="661" t="s">
        <v>1744</v>
      </c>
      <c r="AI17" s="661" t="s">
        <v>122</v>
      </c>
      <c r="AJ17" s="661" t="s">
        <v>1598</v>
      </c>
      <c r="AK17" s="661" t="s">
        <v>2723</v>
      </c>
      <c r="AL17" s="661"/>
      <c r="AM17" s="661"/>
      <c r="AN17" s="661" t="s">
        <v>1784</v>
      </c>
      <c r="AO17" s="661"/>
      <c r="AP17" s="659"/>
      <c r="AQ17" s="659"/>
      <c r="AR17" s="347">
        <v>0</v>
      </c>
      <c r="AS17" s="347">
        <v>0.86182479999999995</v>
      </c>
      <c r="AT17" s="347">
        <v>0.64863655999999992</v>
      </c>
      <c r="AU17" s="347">
        <v>1.0160460800000002</v>
      </c>
      <c r="AV17" s="347">
        <v>0.87089664</v>
      </c>
      <c r="AW17" s="659"/>
      <c r="AX17" s="597"/>
      <c r="AY17" s="661" t="s">
        <v>1597</v>
      </c>
      <c r="AZ17" s="661"/>
      <c r="BA17" s="661" t="s">
        <v>3794</v>
      </c>
      <c r="BB17" s="661" t="s">
        <v>3002</v>
      </c>
      <c r="BC17" s="661" t="s">
        <v>3796</v>
      </c>
      <c r="BD17" s="661" t="s">
        <v>3795</v>
      </c>
      <c r="BE17" s="661">
        <v>32346611</v>
      </c>
      <c r="BF17" s="661">
        <v>32337026</v>
      </c>
      <c r="BG17" s="661" t="s">
        <v>243</v>
      </c>
      <c r="BH17" s="659" t="s">
        <v>1796</v>
      </c>
      <c r="BI17" s="595">
        <v>40796</v>
      </c>
      <c r="BJ17" s="663">
        <v>1863</v>
      </c>
      <c r="BK17" s="663">
        <v>1790</v>
      </c>
      <c r="BL17" s="663">
        <v>3654</v>
      </c>
      <c r="BM17" s="663">
        <v>510</v>
      </c>
      <c r="BN17" s="663">
        <v>2300</v>
      </c>
      <c r="BO17" s="659">
        <v>285</v>
      </c>
      <c r="BP17" s="663"/>
      <c r="BQ17" s="659" t="s">
        <v>3798</v>
      </c>
      <c r="BR17" s="659" t="s">
        <v>3800</v>
      </c>
      <c r="BS17" s="659" t="s">
        <v>3800</v>
      </c>
      <c r="BT17" s="594" t="s">
        <v>3801</v>
      </c>
      <c r="BU17" s="659"/>
      <c r="BV17" s="663"/>
      <c r="BW17" s="663"/>
      <c r="BX17" s="659"/>
      <c r="BY17" s="659">
        <v>10</v>
      </c>
      <c r="BZ17" s="659"/>
      <c r="CA17" s="659"/>
      <c r="CB17" s="659"/>
      <c r="CC17" s="659"/>
      <c r="CD17" s="664"/>
      <c r="CE17" s="659"/>
      <c r="CF17" s="596"/>
      <c r="CG17" s="659"/>
      <c r="CH17" s="659"/>
      <c r="CI17" s="677"/>
      <c r="CK17" s="183"/>
    </row>
    <row r="18" spans="1:114" ht="75" hidden="1" customHeight="1" x14ac:dyDescent="0.2">
      <c r="A18" s="659">
        <v>38</v>
      </c>
      <c r="B18" s="661" t="s">
        <v>4147</v>
      </c>
      <c r="C18" s="273" t="s">
        <v>3982</v>
      </c>
      <c r="D18" s="661" t="s">
        <v>4137</v>
      </c>
      <c r="E18" s="661" t="s">
        <v>4008</v>
      </c>
      <c r="F18" s="661" t="s">
        <v>4148</v>
      </c>
      <c r="G18" s="657" t="s">
        <v>1797</v>
      </c>
      <c r="H18" s="661" t="s">
        <v>4149</v>
      </c>
      <c r="I18" s="601" t="s">
        <v>669</v>
      </c>
      <c r="J18" s="661" t="s">
        <v>1597</v>
      </c>
      <c r="K18" s="661" t="s">
        <v>4150</v>
      </c>
      <c r="L18" s="661">
        <v>278</v>
      </c>
      <c r="M18" s="661">
        <v>115.5</v>
      </c>
      <c r="N18" s="661" t="s">
        <v>2119</v>
      </c>
      <c r="O18" s="661" t="s">
        <v>1706</v>
      </c>
      <c r="P18" s="661" t="s">
        <v>3997</v>
      </c>
      <c r="Q18" s="661" t="s">
        <v>2797</v>
      </c>
      <c r="R18" s="661" t="s">
        <v>4000</v>
      </c>
      <c r="S18" s="661" t="s">
        <v>3653</v>
      </c>
      <c r="T18" s="661" t="s">
        <v>3652</v>
      </c>
      <c r="U18" s="661">
        <v>0.14949999999999999</v>
      </c>
      <c r="V18" s="661">
        <v>0.14949999999999999</v>
      </c>
      <c r="W18" s="661" t="s">
        <v>3660</v>
      </c>
      <c r="X18" s="661">
        <v>11</v>
      </c>
      <c r="Y18" s="661" t="s">
        <v>3676</v>
      </c>
      <c r="Z18" s="661" t="s">
        <v>4151</v>
      </c>
      <c r="AA18" s="661">
        <v>144</v>
      </c>
      <c r="AB18" s="661" t="s">
        <v>4152</v>
      </c>
      <c r="AC18" s="661" t="s">
        <v>119</v>
      </c>
      <c r="AD18" s="661" t="s">
        <v>889</v>
      </c>
      <c r="AE18" s="661" t="s">
        <v>3725</v>
      </c>
      <c r="AF18" s="662">
        <v>36.86</v>
      </c>
      <c r="AG18" s="661">
        <v>41.06</v>
      </c>
      <c r="AH18" s="661" t="s">
        <v>1744</v>
      </c>
      <c r="AI18" s="661" t="s">
        <v>122</v>
      </c>
      <c r="AJ18" s="661" t="s">
        <v>369</v>
      </c>
      <c r="AK18" s="661" t="s">
        <v>4142</v>
      </c>
      <c r="AL18" s="661"/>
      <c r="AM18" s="661"/>
      <c r="AN18" s="661" t="s">
        <v>1784</v>
      </c>
      <c r="AO18" s="661" t="s">
        <v>819</v>
      </c>
      <c r="AP18" s="659" t="s">
        <v>819</v>
      </c>
      <c r="AQ18" s="661" t="s">
        <v>4153</v>
      </c>
      <c r="AR18" s="347">
        <v>4.7690000000000001</v>
      </c>
      <c r="AS18" s="347">
        <v>1.22</v>
      </c>
      <c r="AT18" s="347">
        <v>0.96599999999999997</v>
      </c>
      <c r="AU18" s="347" t="s">
        <v>819</v>
      </c>
      <c r="AV18" s="347">
        <v>2.1269999999999998</v>
      </c>
      <c r="AW18" s="659" t="s">
        <v>819</v>
      </c>
      <c r="AX18" s="597" t="s">
        <v>4154</v>
      </c>
      <c r="AY18" s="597" t="s">
        <v>4155</v>
      </c>
      <c r="AZ18" s="661" t="s">
        <v>819</v>
      </c>
      <c r="BA18" s="661" t="s">
        <v>4156</v>
      </c>
      <c r="BB18" s="661" t="s">
        <v>4157</v>
      </c>
      <c r="BC18" s="661" t="s">
        <v>4158</v>
      </c>
      <c r="BD18" s="661" t="s">
        <v>4159</v>
      </c>
      <c r="BE18" s="661">
        <v>19379701</v>
      </c>
      <c r="BF18" s="661">
        <v>32353472</v>
      </c>
      <c r="BG18" s="661" t="s">
        <v>2133</v>
      </c>
      <c r="BH18" s="659" t="s">
        <v>1796</v>
      </c>
      <c r="BI18" s="595">
        <v>42478</v>
      </c>
      <c r="BJ18" s="663">
        <v>2502.2045855400002</v>
      </c>
      <c r="BK18" s="663">
        <v>2217.8130511499999</v>
      </c>
      <c r="BL18" s="663">
        <v>4720.0176366799997</v>
      </c>
      <c r="BM18" s="663">
        <v>685.8</v>
      </c>
      <c r="BN18" s="663">
        <v>2637</v>
      </c>
      <c r="BO18" s="659">
        <v>340.4</v>
      </c>
      <c r="BP18" s="663">
        <v>2237</v>
      </c>
      <c r="BQ18" s="659">
        <v>0.28999999999999998</v>
      </c>
      <c r="BR18" s="659">
        <v>26.05</v>
      </c>
      <c r="BS18" s="659">
        <v>26.05</v>
      </c>
      <c r="BT18" s="594">
        <v>190</v>
      </c>
      <c r="BU18" s="659" t="s">
        <v>819</v>
      </c>
      <c r="BV18" s="663" t="s">
        <v>819</v>
      </c>
      <c r="BW18" s="663">
        <v>7177.7999999999993</v>
      </c>
      <c r="BX18" s="664">
        <v>23.823291659999999</v>
      </c>
      <c r="BY18" s="659">
        <v>12</v>
      </c>
      <c r="BZ18" s="665">
        <v>7.1412744784172663E-3</v>
      </c>
      <c r="CA18" s="659" t="s">
        <v>819</v>
      </c>
      <c r="CB18" s="659" t="s">
        <v>819</v>
      </c>
      <c r="CC18" s="659" t="s">
        <v>819</v>
      </c>
      <c r="CD18" s="664" t="s">
        <v>819</v>
      </c>
      <c r="CE18" s="659" t="s">
        <v>819</v>
      </c>
      <c r="CF18" s="596" t="s">
        <v>819</v>
      </c>
      <c r="CG18" s="659" t="s">
        <v>819</v>
      </c>
      <c r="CH18" s="659" t="s">
        <v>819</v>
      </c>
      <c r="CI18" s="677" t="s">
        <v>819</v>
      </c>
      <c r="CK18" s="183"/>
    </row>
    <row r="19" spans="1:114" ht="75" hidden="1" customHeight="1" x14ac:dyDescent="0.2">
      <c r="A19" s="659">
        <v>38</v>
      </c>
      <c r="B19" s="661" t="s">
        <v>4147</v>
      </c>
      <c r="C19" s="661" t="s">
        <v>3982</v>
      </c>
      <c r="D19" s="661" t="s">
        <v>4137</v>
      </c>
      <c r="E19" s="661" t="s">
        <v>4008</v>
      </c>
      <c r="F19" s="661" t="s">
        <v>4148</v>
      </c>
      <c r="G19" s="657" t="s">
        <v>1797</v>
      </c>
      <c r="H19" s="661" t="s">
        <v>4160</v>
      </c>
      <c r="I19" s="601" t="s">
        <v>669</v>
      </c>
      <c r="J19" s="661" t="s">
        <v>1597</v>
      </c>
      <c r="K19" s="661" t="s">
        <v>4150</v>
      </c>
      <c r="L19" s="661">
        <v>278</v>
      </c>
      <c r="M19" s="661">
        <v>115.5</v>
      </c>
      <c r="N19" s="661" t="s">
        <v>2119</v>
      </c>
      <c r="O19" s="661" t="s">
        <v>1706</v>
      </c>
      <c r="P19" s="661" t="s">
        <v>3997</v>
      </c>
      <c r="Q19" s="661" t="s">
        <v>2797</v>
      </c>
      <c r="R19" s="661" t="s">
        <v>4000</v>
      </c>
      <c r="S19" s="661" t="s">
        <v>3653</v>
      </c>
      <c r="T19" s="661" t="s">
        <v>3652</v>
      </c>
      <c r="U19" s="661">
        <v>0.1</v>
      </c>
      <c r="V19" s="661">
        <v>0.1</v>
      </c>
      <c r="W19" s="661" t="s">
        <v>3660</v>
      </c>
      <c r="X19" s="661">
        <v>11</v>
      </c>
      <c r="Y19" s="661" t="s">
        <v>3676</v>
      </c>
      <c r="Z19" s="661" t="s">
        <v>4151</v>
      </c>
      <c r="AA19" s="661">
        <v>144</v>
      </c>
      <c r="AB19" s="661" t="s">
        <v>4161</v>
      </c>
      <c r="AC19" s="661" t="s">
        <v>3014</v>
      </c>
      <c r="AD19" s="661" t="s">
        <v>4162</v>
      </c>
      <c r="AE19" s="661" t="s">
        <v>1016</v>
      </c>
      <c r="AF19" s="662">
        <v>30.3</v>
      </c>
      <c r="AG19" s="661">
        <v>40.6</v>
      </c>
      <c r="AH19" s="661" t="s">
        <v>1744</v>
      </c>
      <c r="AI19" s="661" t="s">
        <v>122</v>
      </c>
      <c r="AJ19" s="661" t="s">
        <v>369</v>
      </c>
      <c r="AK19" s="661" t="s">
        <v>4142</v>
      </c>
      <c r="AL19" s="661"/>
      <c r="AM19" s="661"/>
      <c r="AN19" s="661" t="s">
        <v>1784</v>
      </c>
      <c r="AO19" s="661" t="s">
        <v>819</v>
      </c>
      <c r="AP19" s="659" t="s">
        <v>819</v>
      </c>
      <c r="AQ19" s="661" t="s">
        <v>4153</v>
      </c>
      <c r="AR19" s="347">
        <v>4.7690000000000001</v>
      </c>
      <c r="AS19" s="347">
        <v>1.22</v>
      </c>
      <c r="AT19" s="347">
        <v>0.96599999999999997</v>
      </c>
      <c r="AU19" s="347" t="s">
        <v>819</v>
      </c>
      <c r="AV19" s="347">
        <v>2.1269999999999998</v>
      </c>
      <c r="AW19" s="659" t="s">
        <v>819</v>
      </c>
      <c r="AX19" s="597" t="s">
        <v>819</v>
      </c>
      <c r="AY19" s="661" t="s">
        <v>819</v>
      </c>
      <c r="AZ19" s="661" t="s">
        <v>819</v>
      </c>
      <c r="BA19" s="661" t="s">
        <v>4163</v>
      </c>
      <c r="BB19" s="661" t="s">
        <v>4164</v>
      </c>
      <c r="BC19" s="661" t="s">
        <v>4158</v>
      </c>
      <c r="BD19" s="661" t="s">
        <v>4159</v>
      </c>
      <c r="BE19" s="661">
        <v>19379702</v>
      </c>
      <c r="BF19" s="661">
        <v>32353472</v>
      </c>
      <c r="BG19" s="661" t="s">
        <v>2133</v>
      </c>
      <c r="BH19" s="659" t="s">
        <v>1796</v>
      </c>
      <c r="BI19" s="595">
        <v>42478</v>
      </c>
      <c r="BJ19" s="663">
        <v>2502.2045855400002</v>
      </c>
      <c r="BK19" s="663">
        <v>2217.8130511499999</v>
      </c>
      <c r="BL19" s="663">
        <v>4720.0176366799997</v>
      </c>
      <c r="BM19" s="663">
        <v>685.8</v>
      </c>
      <c r="BN19" s="663">
        <v>2637</v>
      </c>
      <c r="BO19" s="659">
        <v>340.4</v>
      </c>
      <c r="BP19" s="663">
        <v>2237</v>
      </c>
      <c r="BQ19" s="659">
        <v>0.28999999999999998</v>
      </c>
      <c r="BR19" s="659">
        <v>26.05</v>
      </c>
      <c r="BS19" s="659">
        <v>26.05</v>
      </c>
      <c r="BT19" s="594">
        <v>190</v>
      </c>
      <c r="BU19" s="659" t="s">
        <v>819</v>
      </c>
      <c r="BV19" s="663" t="s">
        <v>819</v>
      </c>
      <c r="BW19" s="663" t="s">
        <v>819</v>
      </c>
      <c r="BX19" s="664">
        <v>23.823291659999999</v>
      </c>
      <c r="BY19" s="659">
        <v>12</v>
      </c>
      <c r="BZ19" s="665">
        <v>7.1412744784172663E-3</v>
      </c>
      <c r="CA19" s="659" t="s">
        <v>819</v>
      </c>
      <c r="CB19" s="659" t="s">
        <v>819</v>
      </c>
      <c r="CC19" s="659" t="s">
        <v>819</v>
      </c>
      <c r="CD19" s="664" t="s">
        <v>819</v>
      </c>
      <c r="CE19" s="659" t="s">
        <v>4165</v>
      </c>
      <c r="CF19" s="596" t="s">
        <v>819</v>
      </c>
      <c r="CG19" s="659" t="s">
        <v>819</v>
      </c>
      <c r="CH19" s="659" t="s">
        <v>819</v>
      </c>
      <c r="CI19" s="677" t="s">
        <v>819</v>
      </c>
      <c r="CK19" s="183"/>
    </row>
    <row r="20" spans="1:114" ht="75" hidden="1" customHeight="1" x14ac:dyDescent="0.2">
      <c r="A20" s="659">
        <v>38</v>
      </c>
      <c r="B20" s="661" t="s">
        <v>1579</v>
      </c>
      <c r="C20" s="661" t="s">
        <v>3982</v>
      </c>
      <c r="D20" s="661" t="s">
        <v>4137</v>
      </c>
      <c r="E20" s="661" t="s">
        <v>4007</v>
      </c>
      <c r="F20" s="661" t="s">
        <v>3740</v>
      </c>
      <c r="G20" s="657" t="s">
        <v>1797</v>
      </c>
      <c r="H20" s="661" t="s">
        <v>4012</v>
      </c>
      <c r="I20" s="601" t="s">
        <v>669</v>
      </c>
      <c r="J20" s="661" t="s">
        <v>114</v>
      </c>
      <c r="K20" s="661" t="s">
        <v>3749</v>
      </c>
      <c r="L20" s="661">
        <v>278</v>
      </c>
      <c r="M20" s="661">
        <v>116.5</v>
      </c>
      <c r="N20" s="661" t="s">
        <v>3741</v>
      </c>
      <c r="O20" s="661" t="s">
        <v>1706</v>
      </c>
      <c r="P20" s="661" t="s">
        <v>3997</v>
      </c>
      <c r="Q20" s="661" t="s">
        <v>2797</v>
      </c>
      <c r="R20" s="661" t="s">
        <v>4000</v>
      </c>
      <c r="S20" s="661" t="s">
        <v>3653</v>
      </c>
      <c r="T20" s="661" t="s">
        <v>3652</v>
      </c>
      <c r="U20" s="661">
        <v>0.14949999999999999</v>
      </c>
      <c r="V20" s="661">
        <v>0.14949999999999999</v>
      </c>
      <c r="W20" s="661" t="s">
        <v>3660</v>
      </c>
      <c r="X20" s="661">
        <v>11</v>
      </c>
      <c r="Y20" s="661" t="s">
        <v>3676</v>
      </c>
      <c r="Z20" s="661" t="s">
        <v>3990</v>
      </c>
      <c r="AA20" s="661">
        <v>144</v>
      </c>
      <c r="AB20" s="661" t="s">
        <v>1580</v>
      </c>
      <c r="AC20" s="661" t="s">
        <v>119</v>
      </c>
      <c r="AD20" s="661" t="s">
        <v>1581</v>
      </c>
      <c r="AE20" s="661" t="s">
        <v>1016</v>
      </c>
      <c r="AF20" s="661">
        <v>38</v>
      </c>
      <c r="AG20" s="661">
        <v>36.1</v>
      </c>
      <c r="AH20" s="661" t="s">
        <v>1744</v>
      </c>
      <c r="AI20" s="661" t="s">
        <v>1744</v>
      </c>
      <c r="AJ20" s="661" t="s">
        <v>1582</v>
      </c>
      <c r="AK20" s="661" t="s">
        <v>3744</v>
      </c>
      <c r="AL20" s="661" t="s">
        <v>1921</v>
      </c>
      <c r="AM20" s="661" t="s">
        <v>1921</v>
      </c>
      <c r="AN20" s="661" t="s">
        <v>1784</v>
      </c>
      <c r="AO20" s="661">
        <v>0.13300000000000001</v>
      </c>
      <c r="AP20" s="661" t="s">
        <v>819</v>
      </c>
      <c r="AQ20" s="661" t="s">
        <v>3745</v>
      </c>
      <c r="AR20" s="347">
        <v>4.0913998399999993</v>
      </c>
      <c r="AS20" s="347">
        <v>1.4469584799999999</v>
      </c>
      <c r="AT20" s="347">
        <v>1.177524832</v>
      </c>
      <c r="AU20" s="347">
        <v>1.3870843359999998</v>
      </c>
      <c r="AV20" s="347">
        <v>1.1974828800000001</v>
      </c>
      <c r="AW20" s="664" t="s">
        <v>1982</v>
      </c>
      <c r="AX20" s="597" t="s">
        <v>2546</v>
      </c>
      <c r="AY20" s="661" t="s">
        <v>1669</v>
      </c>
      <c r="AZ20" s="661" t="s">
        <v>819</v>
      </c>
      <c r="BA20" s="661" t="s">
        <v>4138</v>
      </c>
      <c r="BB20" s="661" t="s">
        <v>4139</v>
      </c>
      <c r="BC20" s="661" t="s">
        <v>1583</v>
      </c>
      <c r="BD20" s="661" t="s">
        <v>3748</v>
      </c>
      <c r="BE20" s="661">
        <v>18515902</v>
      </c>
      <c r="BF20" s="661">
        <v>32353472</v>
      </c>
      <c r="BG20" s="661" t="s">
        <v>2133</v>
      </c>
      <c r="BH20" s="659" t="s">
        <v>1796</v>
      </c>
      <c r="BI20" s="595">
        <v>42474</v>
      </c>
      <c r="BJ20" s="663" t="s">
        <v>3750</v>
      </c>
      <c r="BK20" s="663" t="s">
        <v>3752</v>
      </c>
      <c r="BL20" s="663" t="s">
        <v>3751</v>
      </c>
      <c r="BM20" s="663" t="s">
        <v>3754</v>
      </c>
      <c r="BN20" s="663" t="s">
        <v>3755</v>
      </c>
      <c r="BO20" s="659" t="s">
        <v>3756</v>
      </c>
      <c r="BP20" s="663">
        <v>2541</v>
      </c>
      <c r="BQ20" s="659" t="s">
        <v>3753</v>
      </c>
      <c r="BR20" s="664" t="s">
        <v>3757</v>
      </c>
      <c r="BS20" s="664" t="s">
        <v>3757</v>
      </c>
      <c r="BT20" s="594" t="s">
        <v>3771</v>
      </c>
      <c r="BU20" s="663" t="s">
        <v>819</v>
      </c>
      <c r="BV20" s="663" t="s">
        <v>819</v>
      </c>
      <c r="BW20" s="663" t="s">
        <v>819</v>
      </c>
      <c r="BX20" s="664" t="s">
        <v>819</v>
      </c>
      <c r="BY20" s="659">
        <v>12</v>
      </c>
      <c r="BZ20" s="665" t="s">
        <v>819</v>
      </c>
      <c r="CA20" s="659" t="s">
        <v>819</v>
      </c>
      <c r="CB20" s="651" t="s">
        <v>819</v>
      </c>
      <c r="CC20" s="664" t="s">
        <v>819</v>
      </c>
      <c r="CD20" s="664" t="s">
        <v>3758</v>
      </c>
      <c r="CE20" s="659" t="s">
        <v>1049</v>
      </c>
      <c r="CF20" s="596" t="s">
        <v>3759</v>
      </c>
      <c r="CG20" s="659">
        <v>0.88</v>
      </c>
      <c r="CH20" s="659" t="s">
        <v>819</v>
      </c>
      <c r="CI20" s="677" t="s">
        <v>819</v>
      </c>
      <c r="CK20" s="183"/>
    </row>
    <row r="21" spans="1:114" ht="75" hidden="1" customHeight="1" x14ac:dyDescent="0.2">
      <c r="A21" s="673">
        <v>38</v>
      </c>
      <c r="B21" s="661" t="s">
        <v>1579</v>
      </c>
      <c r="C21" s="661" t="s">
        <v>3982</v>
      </c>
      <c r="D21" s="661" t="s">
        <v>4137</v>
      </c>
      <c r="E21" s="661" t="s">
        <v>4007</v>
      </c>
      <c r="F21" s="661" t="s">
        <v>3739</v>
      </c>
      <c r="G21" s="657" t="s">
        <v>1797</v>
      </c>
      <c r="H21" s="661" t="s">
        <v>4013</v>
      </c>
      <c r="I21" s="601" t="s">
        <v>669</v>
      </c>
      <c r="J21" s="661" t="s">
        <v>114</v>
      </c>
      <c r="K21" s="661" t="s">
        <v>1406</v>
      </c>
      <c r="L21" s="661">
        <v>278</v>
      </c>
      <c r="M21" s="661">
        <v>116.5</v>
      </c>
      <c r="N21" s="661" t="s">
        <v>3741</v>
      </c>
      <c r="O21" s="661" t="s">
        <v>1706</v>
      </c>
      <c r="P21" s="661" t="s">
        <v>3997</v>
      </c>
      <c r="Q21" s="661" t="s">
        <v>2797</v>
      </c>
      <c r="R21" s="661" t="s">
        <v>4000</v>
      </c>
      <c r="S21" s="661" t="s">
        <v>3653</v>
      </c>
      <c r="T21" s="661" t="s">
        <v>3652</v>
      </c>
      <c r="U21" s="661">
        <v>0.14949999999999999</v>
      </c>
      <c r="V21" s="661">
        <v>0.14949999999999999</v>
      </c>
      <c r="W21" s="661" t="s">
        <v>3660</v>
      </c>
      <c r="X21" s="661">
        <v>11</v>
      </c>
      <c r="Y21" s="661" t="s">
        <v>3676</v>
      </c>
      <c r="Z21" s="661" t="s">
        <v>3990</v>
      </c>
      <c r="AA21" s="661">
        <v>144</v>
      </c>
      <c r="AB21" s="661" t="s">
        <v>1580</v>
      </c>
      <c r="AC21" s="661" t="s">
        <v>119</v>
      </c>
      <c r="AD21" s="661" t="s">
        <v>1581</v>
      </c>
      <c r="AE21" s="661" t="s">
        <v>1016</v>
      </c>
      <c r="AF21" s="661">
        <v>38</v>
      </c>
      <c r="AG21" s="661">
        <v>36.1</v>
      </c>
      <c r="AH21" s="661" t="s">
        <v>1744</v>
      </c>
      <c r="AI21" s="661" t="s">
        <v>1744</v>
      </c>
      <c r="AJ21" s="661" t="s">
        <v>1582</v>
      </c>
      <c r="AK21" s="661" t="s">
        <v>3744</v>
      </c>
      <c r="AL21" s="661" t="s">
        <v>1921</v>
      </c>
      <c r="AM21" s="661" t="s">
        <v>1921</v>
      </c>
      <c r="AN21" s="661" t="s">
        <v>1784</v>
      </c>
      <c r="AO21" s="661">
        <v>0.13300000000000001</v>
      </c>
      <c r="AP21" s="661" t="s">
        <v>819</v>
      </c>
      <c r="AQ21" s="661" t="s">
        <v>3745</v>
      </c>
      <c r="AR21" s="347">
        <v>4.0913998399999993</v>
      </c>
      <c r="AS21" s="347">
        <v>1.4469584799999999</v>
      </c>
      <c r="AT21" s="347">
        <v>1.177524832</v>
      </c>
      <c r="AU21" s="347">
        <v>1.3870843359999998</v>
      </c>
      <c r="AV21" s="347">
        <v>1.1974828800000001</v>
      </c>
      <c r="AW21" s="664" t="s">
        <v>1982</v>
      </c>
      <c r="AX21" s="585" t="s">
        <v>3775</v>
      </c>
      <c r="AY21" s="661" t="s">
        <v>1669</v>
      </c>
      <c r="AZ21" s="661" t="s">
        <v>819</v>
      </c>
      <c r="BA21" s="661" t="s">
        <v>4140</v>
      </c>
      <c r="BB21" s="661" t="s">
        <v>4141</v>
      </c>
      <c r="BC21" s="661" t="s">
        <v>1583</v>
      </c>
      <c r="BD21" s="661" t="s">
        <v>3748</v>
      </c>
      <c r="BE21" s="661">
        <v>18515902</v>
      </c>
      <c r="BF21" s="661">
        <v>32353471</v>
      </c>
      <c r="BG21" s="661" t="s">
        <v>2134</v>
      </c>
      <c r="BH21" s="659" t="s">
        <v>1796</v>
      </c>
      <c r="BI21" s="595">
        <v>42474</v>
      </c>
      <c r="BJ21" s="663" t="s">
        <v>3777</v>
      </c>
      <c r="BK21" s="663" t="s">
        <v>3778</v>
      </c>
      <c r="BL21" s="663" t="s">
        <v>3776</v>
      </c>
      <c r="BM21" s="663" t="s">
        <v>3779</v>
      </c>
      <c r="BN21" s="663" t="s">
        <v>3780</v>
      </c>
      <c r="BO21" s="659" t="s">
        <v>3781</v>
      </c>
      <c r="BP21" s="663" t="s">
        <v>819</v>
      </c>
      <c r="BQ21" s="659" t="s">
        <v>3782</v>
      </c>
      <c r="BR21" s="664" t="s">
        <v>3784</v>
      </c>
      <c r="BS21" s="664" t="s">
        <v>3784</v>
      </c>
      <c r="BT21" s="594" t="s">
        <v>3783</v>
      </c>
      <c r="BU21" s="663" t="s">
        <v>819</v>
      </c>
      <c r="BV21" s="663" t="s">
        <v>819</v>
      </c>
      <c r="BW21" s="663" t="s">
        <v>819</v>
      </c>
      <c r="BX21" s="664" t="s">
        <v>819</v>
      </c>
      <c r="BY21" s="659">
        <v>12</v>
      </c>
      <c r="BZ21" s="665" t="s">
        <v>819</v>
      </c>
      <c r="CA21" s="659" t="s">
        <v>819</v>
      </c>
      <c r="CB21" s="651" t="s">
        <v>819</v>
      </c>
      <c r="CC21" s="664" t="s">
        <v>819</v>
      </c>
      <c r="CD21" s="664" t="s">
        <v>3785</v>
      </c>
      <c r="CE21" s="659" t="s">
        <v>1049</v>
      </c>
      <c r="CF21" s="596" t="s">
        <v>3759</v>
      </c>
      <c r="CG21" s="659">
        <v>0.96</v>
      </c>
      <c r="CH21" s="659" t="s">
        <v>819</v>
      </c>
      <c r="CI21" s="677" t="s">
        <v>819</v>
      </c>
      <c r="CK21" s="183"/>
    </row>
    <row r="22" spans="1:114" ht="75" hidden="1" customHeight="1" x14ac:dyDescent="0.2">
      <c r="A22" s="673">
        <v>38</v>
      </c>
      <c r="B22" s="661" t="s">
        <v>487</v>
      </c>
      <c r="C22" s="183" t="s">
        <v>3980</v>
      </c>
      <c r="D22" s="183" t="s">
        <v>789</v>
      </c>
      <c r="E22" s="661" t="s">
        <v>4007</v>
      </c>
      <c r="F22" s="661" t="s">
        <v>1789</v>
      </c>
      <c r="G22" s="271" t="s">
        <v>1797</v>
      </c>
      <c r="H22" s="183" t="s">
        <v>4018</v>
      </c>
      <c r="I22" s="264" t="s">
        <v>1597</v>
      </c>
      <c r="J22" s="661" t="s">
        <v>114</v>
      </c>
      <c r="K22" s="661">
        <v>840</v>
      </c>
      <c r="L22" s="661">
        <v>232</v>
      </c>
      <c r="M22" s="661">
        <v>101</v>
      </c>
      <c r="N22" s="661" t="s">
        <v>2484</v>
      </c>
      <c r="O22" s="183" t="s">
        <v>1706</v>
      </c>
      <c r="P22" s="841" t="s">
        <v>4379</v>
      </c>
      <c r="Q22" s="841" t="s">
        <v>2373</v>
      </c>
      <c r="R22" s="841" t="s">
        <v>2373</v>
      </c>
      <c r="S22" s="183" t="s">
        <v>3652</v>
      </c>
      <c r="T22" s="183" t="s">
        <v>3666</v>
      </c>
      <c r="U22" s="183">
        <v>0.1065</v>
      </c>
      <c r="V22" s="183">
        <v>0.34649999999999997</v>
      </c>
      <c r="W22" s="183" t="s">
        <v>3665</v>
      </c>
      <c r="X22" s="661"/>
      <c r="Y22" s="183"/>
      <c r="Z22" s="183"/>
      <c r="AA22" s="183">
        <v>118</v>
      </c>
      <c r="AB22" s="183" t="s">
        <v>490</v>
      </c>
      <c r="AC22" s="183" t="s">
        <v>119</v>
      </c>
      <c r="AD22" s="183" t="s">
        <v>2160</v>
      </c>
      <c r="AE22" s="183" t="s">
        <v>1668</v>
      </c>
      <c r="AF22" s="661">
        <v>26.8</v>
      </c>
      <c r="AG22" s="661" t="s">
        <v>491</v>
      </c>
      <c r="AH22" s="661" t="s">
        <v>122</v>
      </c>
      <c r="AI22" s="661" t="s">
        <v>122</v>
      </c>
      <c r="AJ22" s="183" t="s">
        <v>488</v>
      </c>
      <c r="AK22" s="183" t="s">
        <v>489</v>
      </c>
      <c r="AL22" s="661"/>
      <c r="AM22" s="661"/>
      <c r="AN22" s="661" t="s">
        <v>1784</v>
      </c>
      <c r="AO22" s="661"/>
      <c r="AP22" s="659" t="s">
        <v>2952</v>
      </c>
      <c r="AQ22" s="659"/>
      <c r="AR22" s="347">
        <v>2.5401151999999998</v>
      </c>
      <c r="AS22" s="347">
        <v>0.95254320000000003</v>
      </c>
      <c r="AT22" s="347" t="e">
        <v>#VALUE!</v>
      </c>
      <c r="AU22" s="347">
        <v>0.95999921611299843</v>
      </c>
      <c r="AV22" s="347" t="e">
        <v>#VALUE!</v>
      </c>
      <c r="AW22" s="659" t="s">
        <v>2952</v>
      </c>
      <c r="AX22" s="260">
        <v>38530</v>
      </c>
      <c r="AY22" s="183" t="s">
        <v>1669</v>
      </c>
      <c r="AZ22" s="183">
        <v>200</v>
      </c>
      <c r="BA22" s="183" t="s">
        <v>3706</v>
      </c>
      <c r="BB22" s="183" t="s">
        <v>3707</v>
      </c>
      <c r="BC22" s="661" t="s">
        <v>1586</v>
      </c>
      <c r="BD22" s="183" t="s">
        <v>1599</v>
      </c>
      <c r="BE22" s="183"/>
      <c r="BF22" s="183">
        <v>32337026</v>
      </c>
      <c r="BG22" s="183" t="s">
        <v>243</v>
      </c>
      <c r="BH22" s="181"/>
      <c r="BI22" s="595">
        <v>40801</v>
      </c>
      <c r="BJ22" s="184">
        <v>2248.7150723999998</v>
      </c>
      <c r="BK22" s="184">
        <v>1865.1107365199998</v>
      </c>
      <c r="BL22" s="184">
        <v>4113.8258089199999</v>
      </c>
      <c r="BM22" s="184">
        <v>550</v>
      </c>
      <c r="BN22" s="184">
        <v>2512</v>
      </c>
      <c r="BO22" s="181">
        <v>308</v>
      </c>
      <c r="BP22" s="663">
        <v>1650.2308455993846</v>
      </c>
      <c r="BQ22" s="181">
        <v>0.35</v>
      </c>
      <c r="BR22" s="659" t="s">
        <v>2952</v>
      </c>
      <c r="BS22" s="185">
        <v>26.37</v>
      </c>
      <c r="BT22" s="594">
        <v>198</v>
      </c>
      <c r="BU22" s="181" t="s">
        <v>2952</v>
      </c>
      <c r="BV22" s="663">
        <v>304.83058327164628</v>
      </c>
      <c r="BW22" s="663">
        <v>426.76281658030484</v>
      </c>
      <c r="BX22" s="659" t="s">
        <v>2952</v>
      </c>
      <c r="BY22" s="181">
        <v>9</v>
      </c>
      <c r="BZ22" s="659" t="s">
        <v>2952</v>
      </c>
      <c r="CA22" s="181" t="s">
        <v>536</v>
      </c>
      <c r="CB22" s="181" t="s">
        <v>536</v>
      </c>
      <c r="CC22" s="181" t="s">
        <v>2952</v>
      </c>
      <c r="CD22" s="664">
        <v>32.677838526720485</v>
      </c>
      <c r="CE22" s="659" t="s">
        <v>1049</v>
      </c>
      <c r="CF22" s="596">
        <v>-0.17987231688883609</v>
      </c>
      <c r="CG22" s="181" t="s">
        <v>2952</v>
      </c>
      <c r="CH22" s="181" t="s">
        <v>2952</v>
      </c>
      <c r="CI22" s="277" t="s">
        <v>2952</v>
      </c>
      <c r="CK22" s="183"/>
    </row>
    <row r="23" spans="1:114" ht="75" hidden="1" customHeight="1" x14ac:dyDescent="0.2">
      <c r="A23" s="599">
        <v>38</v>
      </c>
      <c r="B23" s="661" t="s">
        <v>3713</v>
      </c>
      <c r="C23" s="273" t="s">
        <v>3980</v>
      </c>
      <c r="D23" s="661" t="s">
        <v>789</v>
      </c>
      <c r="E23" s="661" t="s">
        <v>4007</v>
      </c>
      <c r="F23" s="661" t="s">
        <v>1789</v>
      </c>
      <c r="G23" s="657" t="s">
        <v>1797</v>
      </c>
      <c r="H23" s="661" t="s">
        <v>4017</v>
      </c>
      <c r="I23" s="673" t="s">
        <v>1597</v>
      </c>
      <c r="J23" s="661" t="s">
        <v>1597</v>
      </c>
      <c r="K23" s="661"/>
      <c r="L23" s="661">
        <v>255</v>
      </c>
      <c r="M23" s="661">
        <v>109.6</v>
      </c>
      <c r="N23" s="661"/>
      <c r="O23" s="661" t="s">
        <v>1706</v>
      </c>
      <c r="P23" s="841" t="s">
        <v>4379</v>
      </c>
      <c r="Q23" s="841" t="s">
        <v>2373</v>
      </c>
      <c r="R23" s="841" t="s">
        <v>2373</v>
      </c>
      <c r="S23" s="661"/>
      <c r="T23" s="661"/>
      <c r="U23" s="661"/>
      <c r="V23" s="661"/>
      <c r="W23" s="661"/>
      <c r="X23" s="661"/>
      <c r="Y23" s="661"/>
      <c r="Z23" s="661"/>
      <c r="AA23" s="661">
        <v>118</v>
      </c>
      <c r="AB23" s="661" t="s">
        <v>3708</v>
      </c>
      <c r="AC23" s="661"/>
      <c r="AD23" s="661"/>
      <c r="AE23" s="661" t="s">
        <v>1668</v>
      </c>
      <c r="AF23" s="661"/>
      <c r="AG23" s="661"/>
      <c r="AH23" s="661"/>
      <c r="AI23" s="661"/>
      <c r="AJ23" s="661" t="s">
        <v>1598</v>
      </c>
      <c r="AK23" s="661" t="s">
        <v>2723</v>
      </c>
      <c r="AL23" s="661"/>
      <c r="AM23" s="661"/>
      <c r="AN23" s="661"/>
      <c r="AO23" s="661"/>
      <c r="AP23" s="659"/>
      <c r="AQ23" s="659"/>
      <c r="AR23" s="347">
        <v>0</v>
      </c>
      <c r="AS23" s="347">
        <v>0</v>
      </c>
      <c r="AT23" s="347">
        <v>0</v>
      </c>
      <c r="AU23" s="347">
        <v>0</v>
      </c>
      <c r="AV23" s="347">
        <v>0</v>
      </c>
      <c r="AW23" s="659"/>
      <c r="AX23" s="597"/>
      <c r="AY23" s="661" t="s">
        <v>1669</v>
      </c>
      <c r="AZ23" s="661"/>
      <c r="BA23" s="661" t="s">
        <v>3714</v>
      </c>
      <c r="BB23" s="661" t="s">
        <v>3715</v>
      </c>
      <c r="BC23" s="661" t="s">
        <v>3716</v>
      </c>
      <c r="BD23" s="661" t="s">
        <v>3717</v>
      </c>
      <c r="BE23" s="661">
        <v>32329711</v>
      </c>
      <c r="BF23" s="661"/>
      <c r="BG23" s="661"/>
      <c r="BH23" s="659"/>
      <c r="BI23" s="595"/>
      <c r="BJ23" s="663"/>
      <c r="BK23" s="663"/>
      <c r="BL23" s="663"/>
      <c r="BM23" s="663"/>
      <c r="BN23" s="663"/>
      <c r="BO23" s="659"/>
      <c r="BP23" s="663"/>
      <c r="BQ23" s="659"/>
      <c r="BR23" s="659"/>
      <c r="BS23" s="659">
        <v>27.79</v>
      </c>
      <c r="BT23" s="594"/>
      <c r="BU23" s="659"/>
      <c r="BV23" s="663"/>
      <c r="BW23" s="663"/>
      <c r="BX23" s="659"/>
      <c r="BY23" s="659"/>
      <c r="BZ23" s="659"/>
      <c r="CA23" s="659"/>
      <c r="CB23" s="659"/>
      <c r="CC23" s="659"/>
      <c r="CD23" s="664"/>
      <c r="CE23" s="659"/>
      <c r="CF23" s="596"/>
      <c r="CG23" s="659"/>
      <c r="CH23" s="659"/>
      <c r="CI23" s="677"/>
      <c r="CK23" s="183"/>
    </row>
    <row r="24" spans="1:114" ht="75" hidden="1" customHeight="1" x14ac:dyDescent="0.2">
      <c r="A24" s="599">
        <v>38</v>
      </c>
      <c r="B24" s="661" t="s">
        <v>3702</v>
      </c>
      <c r="C24" s="598" t="s">
        <v>3980</v>
      </c>
      <c r="D24" s="183" t="s">
        <v>789</v>
      </c>
      <c r="E24" s="661" t="s">
        <v>4007</v>
      </c>
      <c r="F24" s="661" t="s">
        <v>3703</v>
      </c>
      <c r="G24" s="271" t="s">
        <v>1797</v>
      </c>
      <c r="H24" s="183" t="s">
        <v>4019</v>
      </c>
      <c r="I24" s="264" t="s">
        <v>1597</v>
      </c>
      <c r="J24" s="661" t="s">
        <v>1597</v>
      </c>
      <c r="K24" s="183"/>
      <c r="L24" s="661">
        <v>272</v>
      </c>
      <c r="M24" s="661"/>
      <c r="N24" s="661"/>
      <c r="O24" s="183" t="s">
        <v>1706</v>
      </c>
      <c r="P24" s="841" t="s">
        <v>3996</v>
      </c>
      <c r="Q24" s="841" t="s">
        <v>2373</v>
      </c>
      <c r="R24" s="841" t="s">
        <v>2373</v>
      </c>
      <c r="S24" s="183" t="s">
        <v>3652</v>
      </c>
      <c r="T24" s="183" t="s">
        <v>3653</v>
      </c>
      <c r="U24" s="183">
        <v>0.45</v>
      </c>
      <c r="V24" s="183">
        <v>0.15</v>
      </c>
      <c r="W24" s="183" t="s">
        <v>3704</v>
      </c>
      <c r="X24" s="661"/>
      <c r="Y24" s="183"/>
      <c r="Z24" s="183"/>
      <c r="AA24" s="183">
        <v>134</v>
      </c>
      <c r="AB24" s="183" t="s">
        <v>3708</v>
      </c>
      <c r="AC24" s="183"/>
      <c r="AD24" s="183"/>
      <c r="AE24" s="183" t="s">
        <v>1668</v>
      </c>
      <c r="AF24" s="661">
        <v>34.6</v>
      </c>
      <c r="AG24" s="661">
        <v>33.9</v>
      </c>
      <c r="AH24" s="661"/>
      <c r="AI24" s="661"/>
      <c r="AJ24" s="183" t="s">
        <v>488</v>
      </c>
      <c r="AK24" s="183" t="s">
        <v>3705</v>
      </c>
      <c r="AL24" s="661"/>
      <c r="AM24" s="661"/>
      <c r="AN24" s="661"/>
      <c r="AO24" s="661"/>
      <c r="AP24" s="659"/>
      <c r="AQ24" s="659"/>
      <c r="AR24" s="347">
        <v>0</v>
      </c>
      <c r="AS24" s="347">
        <v>0</v>
      </c>
      <c r="AT24" s="347">
        <v>0</v>
      </c>
      <c r="AU24" s="347">
        <v>0</v>
      </c>
      <c r="AV24" s="347">
        <v>0</v>
      </c>
      <c r="AW24" s="659"/>
      <c r="AX24" s="260"/>
      <c r="AY24" s="183" t="s">
        <v>1669</v>
      </c>
      <c r="AZ24" s="183"/>
      <c r="BA24" s="183" t="s">
        <v>3709</v>
      </c>
      <c r="BB24" s="183" t="s">
        <v>3710</v>
      </c>
      <c r="BC24" s="661" t="s">
        <v>3711</v>
      </c>
      <c r="BD24" s="183" t="s">
        <v>3712</v>
      </c>
      <c r="BE24" s="183">
        <v>32349890</v>
      </c>
      <c r="BF24" s="183"/>
      <c r="BG24" s="183"/>
      <c r="BH24" s="181"/>
      <c r="BI24" s="595"/>
      <c r="BJ24" s="184"/>
      <c r="BK24" s="184"/>
      <c r="BL24" s="184"/>
      <c r="BM24" s="184"/>
      <c r="BN24" s="184"/>
      <c r="BO24" s="181"/>
      <c r="BP24" s="663"/>
      <c r="BQ24" s="181"/>
      <c r="BR24" s="659"/>
      <c r="BS24" s="659"/>
      <c r="BT24" s="594"/>
      <c r="BU24" s="181"/>
      <c r="BV24" s="663"/>
      <c r="BW24" s="663"/>
      <c r="BX24" s="659"/>
      <c r="BY24" s="181"/>
      <c r="BZ24" s="659"/>
      <c r="CA24" s="181"/>
      <c r="CB24" s="181"/>
      <c r="CC24" s="181"/>
      <c r="CD24" s="664"/>
      <c r="CE24" s="659"/>
      <c r="CF24" s="596"/>
      <c r="CG24" s="181"/>
      <c r="CH24" s="181"/>
      <c r="CI24" s="277"/>
      <c r="CK24" s="183"/>
    </row>
    <row r="25" spans="1:114" ht="75" hidden="1" customHeight="1" x14ac:dyDescent="0.2">
      <c r="A25" s="678">
        <v>41</v>
      </c>
      <c r="B25" s="660" t="s">
        <v>502</v>
      </c>
      <c r="C25" s="273" t="s">
        <v>3980</v>
      </c>
      <c r="D25" s="661" t="s">
        <v>790</v>
      </c>
      <c r="E25" s="661" t="s">
        <v>4007</v>
      </c>
      <c r="F25" s="660">
        <v>2012</v>
      </c>
      <c r="G25" s="657" t="s">
        <v>1797</v>
      </c>
      <c r="H25" s="661" t="s">
        <v>3901</v>
      </c>
      <c r="I25" s="673" t="s">
        <v>3838</v>
      </c>
      <c r="J25" s="660" t="s">
        <v>114</v>
      </c>
      <c r="K25" s="661" t="s">
        <v>1759</v>
      </c>
      <c r="L25" s="660">
        <v>292</v>
      </c>
      <c r="M25" s="660">
        <v>125.5</v>
      </c>
      <c r="N25" s="660" t="s">
        <v>1361</v>
      </c>
      <c r="O25" s="661" t="s">
        <v>1706</v>
      </c>
      <c r="P25" s="661" t="s">
        <v>4068</v>
      </c>
      <c r="Q25" s="841" t="s">
        <v>2373</v>
      </c>
      <c r="R25" s="841" t="s">
        <v>2373</v>
      </c>
      <c r="S25" s="661" t="s">
        <v>3653</v>
      </c>
      <c r="T25" s="661" t="s">
        <v>3652</v>
      </c>
      <c r="U25" s="661">
        <v>0.45</v>
      </c>
      <c r="V25" s="661">
        <v>0.15</v>
      </c>
      <c r="W25" s="661" t="s">
        <v>3660</v>
      </c>
      <c r="X25" s="841"/>
      <c r="Y25" s="661" t="s">
        <v>3259</v>
      </c>
      <c r="Z25" s="661" t="s">
        <v>3870</v>
      </c>
      <c r="AA25" s="661">
        <v>134</v>
      </c>
      <c r="AB25" s="661" t="s">
        <v>3899</v>
      </c>
      <c r="AC25" s="661" t="s">
        <v>3014</v>
      </c>
      <c r="AD25" s="661" t="s">
        <v>3900</v>
      </c>
      <c r="AE25" s="661" t="s">
        <v>1801</v>
      </c>
      <c r="AF25" s="660">
        <v>32</v>
      </c>
      <c r="AG25" s="660">
        <v>30</v>
      </c>
      <c r="AH25" s="660" t="s">
        <v>1744</v>
      </c>
      <c r="AI25" s="660" t="s">
        <v>122</v>
      </c>
      <c r="AJ25" s="661" t="s">
        <v>2631</v>
      </c>
      <c r="AK25" s="661" t="s">
        <v>2723</v>
      </c>
      <c r="AL25" s="660"/>
      <c r="AM25" s="660"/>
      <c r="AN25" s="660" t="s">
        <v>1784</v>
      </c>
      <c r="AO25" s="660">
        <v>0.19700000000000001</v>
      </c>
      <c r="AP25" s="659">
        <v>0.16700000000000001</v>
      </c>
      <c r="AQ25" s="659">
        <v>0.19</v>
      </c>
      <c r="AR25" s="347">
        <v>3.2029973845936808</v>
      </c>
      <c r="AS25" s="347">
        <v>1.1793392</v>
      </c>
      <c r="AT25" s="347">
        <v>0.95254320000000003</v>
      </c>
      <c r="AU25" s="347">
        <v>1.2699989629828206</v>
      </c>
      <c r="AV25" s="347">
        <v>1.0869991124112803</v>
      </c>
      <c r="AW25" s="664">
        <f>(100*PI()*(A25^2))/(40*AO25*AV25*453.5924)</f>
        <v>135.92408241847667</v>
      </c>
      <c r="AX25" s="597" t="s">
        <v>1641</v>
      </c>
      <c r="AY25" s="661" t="s">
        <v>2999</v>
      </c>
      <c r="AZ25" s="661">
        <v>683</v>
      </c>
      <c r="BA25" s="661" t="s">
        <v>1633</v>
      </c>
      <c r="BB25" s="661" t="s">
        <v>1637</v>
      </c>
      <c r="BC25" s="661" t="s">
        <v>881</v>
      </c>
      <c r="BD25" s="661" t="s">
        <v>1635</v>
      </c>
      <c r="BE25" s="661">
        <v>17576501</v>
      </c>
      <c r="BF25" s="661">
        <v>32344940</v>
      </c>
      <c r="BG25" s="661" t="s">
        <v>447</v>
      </c>
      <c r="BH25" s="659" t="s">
        <v>1625</v>
      </c>
      <c r="BI25" s="667">
        <v>42464</v>
      </c>
      <c r="BJ25" s="663">
        <f>937*2.20462262</f>
        <v>2065.73139494</v>
      </c>
      <c r="BK25" s="663">
        <f>1278*2.20462262</f>
        <v>2817.5077083599999</v>
      </c>
      <c r="BL25" s="652">
        <f>BJ25+BK25</f>
        <v>4883.2391033000004</v>
      </c>
      <c r="BM25" s="663">
        <v>616</v>
      </c>
      <c r="BN25" s="663">
        <v>2830</v>
      </c>
      <c r="BO25" s="659">
        <v>330.2</v>
      </c>
      <c r="BP25" s="652">
        <f>IF(G25="Front",0.5*9.81*0.4535924*(BJ25+BL25*(BM25/BN25)*1.1)*1.1*(BO25/1000),IF(G25="Rear",0.5*9.81*0.4535924*(BK25+BL25*(BM25/BN25)*0.9)*0.9*(BO25/1000),"TBD"))</f>
        <v>2495.4122305034193</v>
      </c>
      <c r="BQ25" s="659">
        <v>0.35</v>
      </c>
      <c r="BR25" s="659" t="s">
        <v>819</v>
      </c>
      <c r="BS25" s="659" t="s">
        <v>819</v>
      </c>
      <c r="BT25" s="181">
        <v>180</v>
      </c>
      <c r="BU25" s="659" t="s">
        <v>819</v>
      </c>
      <c r="BV25" s="652">
        <f>(BP25/(M25/1000))/(2*AF25)</f>
        <v>310.68379363837391</v>
      </c>
      <c r="BW25" s="652">
        <f>(1.4*BP25/(M25/1000))/(2*AF25)</f>
        <v>434.95731109372343</v>
      </c>
      <c r="BX25" s="668">
        <v>31.8</v>
      </c>
      <c r="BY25" s="659">
        <v>12</v>
      </c>
      <c r="BZ25" s="665">
        <f>BX25/(L25*BY25)</f>
        <v>9.0753424657534255E-3</v>
      </c>
      <c r="CA25" s="659" t="s">
        <v>2952</v>
      </c>
      <c r="CB25" s="659" t="s">
        <v>2952</v>
      </c>
      <c r="CC25" s="659" t="s">
        <v>2952</v>
      </c>
      <c r="CD25" s="668">
        <f>BV25*(2*AF25)/(2*250)</f>
        <v>39.767525585711859</v>
      </c>
      <c r="CE25" s="651" t="s">
        <v>1049</v>
      </c>
      <c r="CF25" s="654">
        <v>-0.19532333157038728</v>
      </c>
      <c r="CG25" s="659"/>
      <c r="CH25" s="659"/>
      <c r="CI25" s="677"/>
      <c r="CK25" s="183"/>
    </row>
    <row r="26" spans="1:114" s="532" customFormat="1" ht="75" hidden="1" customHeight="1" x14ac:dyDescent="0.2">
      <c r="A26" s="280">
        <v>41</v>
      </c>
      <c r="B26" s="182" t="s">
        <v>502</v>
      </c>
      <c r="C26" s="598" t="s">
        <v>3980</v>
      </c>
      <c r="D26" s="183" t="s">
        <v>790</v>
      </c>
      <c r="E26" s="661" t="s">
        <v>4007</v>
      </c>
      <c r="F26" s="182">
        <v>2012</v>
      </c>
      <c r="G26" s="271" t="s">
        <v>1797</v>
      </c>
      <c r="H26" s="183" t="s">
        <v>2997</v>
      </c>
      <c r="I26" s="264" t="s">
        <v>3838</v>
      </c>
      <c r="J26" s="182" t="s">
        <v>114</v>
      </c>
      <c r="K26" s="183" t="s">
        <v>1759</v>
      </c>
      <c r="L26" s="182">
        <v>292</v>
      </c>
      <c r="M26" s="182">
        <v>125.5</v>
      </c>
      <c r="N26" s="182" t="s">
        <v>1361</v>
      </c>
      <c r="O26" s="183" t="s">
        <v>1706</v>
      </c>
      <c r="P26" s="183" t="s">
        <v>4068</v>
      </c>
      <c r="Q26" s="841" t="s">
        <v>2373</v>
      </c>
      <c r="R26" s="841" t="s">
        <v>2373</v>
      </c>
      <c r="S26" s="183" t="s">
        <v>3653</v>
      </c>
      <c r="T26" s="183" t="s">
        <v>3652</v>
      </c>
      <c r="U26" s="183">
        <v>0.45</v>
      </c>
      <c r="V26" s="183">
        <v>0.15</v>
      </c>
      <c r="W26" s="183" t="s">
        <v>3660</v>
      </c>
      <c r="X26" s="841"/>
      <c r="Y26" s="183"/>
      <c r="Z26" s="183"/>
      <c r="AA26" s="183">
        <v>134</v>
      </c>
      <c r="AB26" s="183" t="s">
        <v>399</v>
      </c>
      <c r="AC26" s="183" t="s">
        <v>119</v>
      </c>
      <c r="AD26" s="183" t="s">
        <v>3898</v>
      </c>
      <c r="AE26" s="183" t="s">
        <v>1801</v>
      </c>
      <c r="AF26" s="660">
        <v>32</v>
      </c>
      <c r="AG26" s="182">
        <v>32</v>
      </c>
      <c r="AH26" s="182" t="s">
        <v>1744</v>
      </c>
      <c r="AI26" s="182" t="s">
        <v>122</v>
      </c>
      <c r="AJ26" s="183" t="s">
        <v>3896</v>
      </c>
      <c r="AK26" s="183" t="s">
        <v>3897</v>
      </c>
      <c r="AL26" s="182"/>
      <c r="AM26" s="182"/>
      <c r="AN26" s="182" t="s">
        <v>1784</v>
      </c>
      <c r="AO26" s="182">
        <v>0.19700000000000001</v>
      </c>
      <c r="AP26" s="659">
        <v>0.16700000000000001</v>
      </c>
      <c r="AQ26" s="659">
        <v>0.19</v>
      </c>
      <c r="AR26" s="347">
        <v>3.2029973845936808</v>
      </c>
      <c r="AS26" s="347">
        <v>1.1793392</v>
      </c>
      <c r="AT26" s="347">
        <v>0.95254320000000003</v>
      </c>
      <c r="AU26" s="347">
        <v>1.2699989629828206</v>
      </c>
      <c r="AV26" s="347">
        <v>1.0869991124112803</v>
      </c>
      <c r="AW26" s="185">
        <f>(100*PI()*(A26^2))/(40*AO26*AV26*453.5924)</f>
        <v>135.92408241847667</v>
      </c>
      <c r="AX26" s="260" t="s">
        <v>1641</v>
      </c>
      <c r="AY26" s="183" t="s">
        <v>2999</v>
      </c>
      <c r="AZ26" s="183">
        <v>683</v>
      </c>
      <c r="BA26" s="183" t="s">
        <v>1636</v>
      </c>
      <c r="BB26" s="183" t="s">
        <v>1634</v>
      </c>
      <c r="BC26" s="661" t="s">
        <v>881</v>
      </c>
      <c r="BD26" s="183" t="s">
        <v>1635</v>
      </c>
      <c r="BE26" s="183">
        <v>17576501</v>
      </c>
      <c r="BF26" s="183">
        <v>32344940</v>
      </c>
      <c r="BG26" s="183" t="s">
        <v>447</v>
      </c>
      <c r="BH26" s="181" t="s">
        <v>1626</v>
      </c>
      <c r="BI26" s="190">
        <v>42464</v>
      </c>
      <c r="BJ26" s="184">
        <f>937*2.20462262</f>
        <v>2065.73139494</v>
      </c>
      <c r="BK26" s="184">
        <f>1278*2.20462262</f>
        <v>2817.5077083599999</v>
      </c>
      <c r="BL26" s="652">
        <f>BJ26+BK26</f>
        <v>4883.2391033000004</v>
      </c>
      <c r="BM26" s="184">
        <v>616</v>
      </c>
      <c r="BN26" s="184">
        <v>2830</v>
      </c>
      <c r="BO26" s="181">
        <v>330.2</v>
      </c>
      <c r="BP26" s="191">
        <v>2495</v>
      </c>
      <c r="BQ26" s="181">
        <v>0.35</v>
      </c>
      <c r="BR26" s="659" t="s">
        <v>819</v>
      </c>
      <c r="BS26" s="659" t="s">
        <v>819</v>
      </c>
      <c r="BT26" s="181">
        <v>180</v>
      </c>
      <c r="BU26" s="181" t="s">
        <v>819</v>
      </c>
      <c r="BV26" s="191">
        <f>(BP26/(M26/1000))/(2*AF26)</f>
        <v>310.63247011952188</v>
      </c>
      <c r="BW26" s="191">
        <f>(1.4*BP26/(M26/1000))/(2*AF26)</f>
        <v>434.88545816733068</v>
      </c>
      <c r="BX26" s="192">
        <v>31.8</v>
      </c>
      <c r="BY26" s="181">
        <v>12</v>
      </c>
      <c r="BZ26" s="187">
        <f>BX26/(L26*BY26)</f>
        <v>9.0753424657534255E-3</v>
      </c>
      <c r="CA26" s="181" t="s">
        <v>2952</v>
      </c>
      <c r="CB26" s="181" t="s">
        <v>2952</v>
      </c>
      <c r="CC26" s="181" t="s">
        <v>2952</v>
      </c>
      <c r="CD26" s="192">
        <f>BV26*(2*AF26)/(2*250)</f>
        <v>39.760956175298801</v>
      </c>
      <c r="CE26" s="180" t="s">
        <v>1049</v>
      </c>
      <c r="CF26" s="196" t="s">
        <v>819</v>
      </c>
      <c r="CG26" s="181"/>
      <c r="CH26" s="181"/>
      <c r="CI26" s="277"/>
      <c r="CJ26" s="213"/>
      <c r="CK26" s="183"/>
      <c r="CL26" s="213"/>
      <c r="CM26" s="651"/>
      <c r="CN26" s="651"/>
      <c r="CO26" s="651"/>
      <c r="CP26" s="213"/>
      <c r="CQ26" s="213"/>
      <c r="CR26" s="213"/>
      <c r="CS26" s="213"/>
      <c r="CT26" s="213"/>
      <c r="CU26" s="213"/>
      <c r="CV26" s="213"/>
      <c r="CW26" s="213"/>
      <c r="CX26" s="213"/>
      <c r="CY26" s="213"/>
      <c r="CZ26" s="213"/>
      <c r="DA26" s="213"/>
      <c r="DB26" s="213"/>
      <c r="DC26" s="213"/>
      <c r="DD26" s="213"/>
      <c r="DE26" s="213"/>
      <c r="DF26" s="213"/>
      <c r="DG26" s="213"/>
      <c r="DH26" s="213"/>
      <c r="DI26" s="213"/>
      <c r="DJ26" s="213"/>
    </row>
    <row r="27" spans="1:114" ht="75" hidden="1" customHeight="1" x14ac:dyDescent="0.2">
      <c r="A27" s="678">
        <v>41</v>
      </c>
      <c r="B27" s="660" t="s">
        <v>503</v>
      </c>
      <c r="C27" s="273" t="s">
        <v>3980</v>
      </c>
      <c r="D27" s="661" t="s">
        <v>790</v>
      </c>
      <c r="E27" s="661" t="s">
        <v>4007</v>
      </c>
      <c r="F27" s="660">
        <v>2012</v>
      </c>
      <c r="G27" s="657" t="s">
        <v>1797</v>
      </c>
      <c r="H27" s="661" t="s">
        <v>3902</v>
      </c>
      <c r="I27" s="673" t="s">
        <v>3838</v>
      </c>
      <c r="J27" s="660" t="s">
        <v>114</v>
      </c>
      <c r="K27" s="661" t="s">
        <v>1760</v>
      </c>
      <c r="L27" s="660">
        <v>315</v>
      </c>
      <c r="M27" s="660">
        <v>135</v>
      </c>
      <c r="N27" s="660" t="s">
        <v>197</v>
      </c>
      <c r="O27" s="661" t="s">
        <v>1706</v>
      </c>
      <c r="P27" s="661" t="s">
        <v>4068</v>
      </c>
      <c r="Q27" s="841" t="s">
        <v>2373</v>
      </c>
      <c r="R27" s="841" t="s">
        <v>2373</v>
      </c>
      <c r="S27" s="661" t="s">
        <v>3653</v>
      </c>
      <c r="T27" s="661" t="s">
        <v>3652</v>
      </c>
      <c r="U27" s="661">
        <v>0.45</v>
      </c>
      <c r="V27" s="661">
        <v>0.15</v>
      </c>
      <c r="W27" s="661" t="s">
        <v>3660</v>
      </c>
      <c r="X27" s="841"/>
      <c r="Y27" s="661" t="s">
        <v>3259</v>
      </c>
      <c r="Z27" s="661" t="s">
        <v>3871</v>
      </c>
      <c r="AA27" s="661">
        <v>134</v>
      </c>
      <c r="AB27" s="661" t="s">
        <v>3899</v>
      </c>
      <c r="AC27" s="661" t="s">
        <v>3014</v>
      </c>
      <c r="AD27" s="661" t="s">
        <v>3900</v>
      </c>
      <c r="AE27" s="661" t="s">
        <v>1801</v>
      </c>
      <c r="AF27" s="660">
        <v>32</v>
      </c>
      <c r="AG27" s="660">
        <v>30</v>
      </c>
      <c r="AH27" s="660" t="s">
        <v>1744</v>
      </c>
      <c r="AI27" s="660" t="s">
        <v>122</v>
      </c>
      <c r="AJ27" s="661" t="s">
        <v>2631</v>
      </c>
      <c r="AK27" s="661" t="s">
        <v>2723</v>
      </c>
      <c r="AL27" s="660"/>
      <c r="AM27" s="660"/>
      <c r="AN27" s="660" t="s">
        <v>1784</v>
      </c>
      <c r="AO27" s="660">
        <v>0.2</v>
      </c>
      <c r="AP27" s="659">
        <v>0.17</v>
      </c>
      <c r="AQ27" s="659">
        <v>0.19</v>
      </c>
      <c r="AR27" s="347">
        <v>3.4019399999999997</v>
      </c>
      <c r="AS27" s="347">
        <v>1.4061352</v>
      </c>
      <c r="AT27" s="347">
        <v>1.13398</v>
      </c>
      <c r="AU27" s="347">
        <v>1.3819988715293372</v>
      </c>
      <c r="AV27" s="347">
        <v>1.198999020957797</v>
      </c>
      <c r="AW27" s="664">
        <f>(100*PI()*(A27^2))/(40*AO27*AV27*453.5924)</f>
        <v>121.37884522523009</v>
      </c>
      <c r="AX27" s="597" t="s">
        <v>1641</v>
      </c>
      <c r="AY27" s="661" t="s">
        <v>2999</v>
      </c>
      <c r="AZ27" s="661">
        <v>94</v>
      </c>
      <c r="BA27" s="661" t="s">
        <v>1638</v>
      </c>
      <c r="BB27" s="661" t="s">
        <v>1639</v>
      </c>
      <c r="BC27" s="661" t="s">
        <v>1629</v>
      </c>
      <c r="BD27" s="661" t="s">
        <v>1640</v>
      </c>
      <c r="BE27" s="661">
        <v>17576501</v>
      </c>
      <c r="BF27" s="661">
        <v>32344940</v>
      </c>
      <c r="BG27" s="661" t="s">
        <v>447</v>
      </c>
      <c r="BH27" s="659" t="s">
        <v>1625</v>
      </c>
      <c r="BI27" s="667">
        <v>42464</v>
      </c>
      <c r="BJ27" s="663">
        <f>1089*2.20462262</f>
        <v>2400.83403318</v>
      </c>
      <c r="BK27" s="663">
        <f>1486*2.20462262</f>
        <v>3276.06921332</v>
      </c>
      <c r="BL27" s="652">
        <f>BJ27+BK27</f>
        <v>5676.9032465</v>
      </c>
      <c r="BM27" s="663">
        <v>616</v>
      </c>
      <c r="BN27" s="663">
        <v>2830</v>
      </c>
      <c r="BO27" s="659">
        <v>330.2</v>
      </c>
      <c r="BP27" s="652">
        <f>IF(G27="Front",0.5*9.81*0.4535924*(BJ27+BL27*(BM27/BN27)*1.1)*1.1*(BO27/1000),IF(G27="Rear",0.5*9.81*0.4535924*(BK27+BL27*(BM27/BN27)*0.9)*0.9*(BO27/1000),"TBD"))</f>
        <v>2901.4083074777536</v>
      </c>
      <c r="BQ27" s="659">
        <v>0.35</v>
      </c>
      <c r="BR27" s="659" t="s">
        <v>819</v>
      </c>
      <c r="BS27" s="659" t="s">
        <v>819</v>
      </c>
      <c r="BT27" s="186">
        <v>180</v>
      </c>
      <c r="BU27" s="659" t="s">
        <v>819</v>
      </c>
      <c r="BV27" s="652">
        <f>(BP27/(M27/1000))/(2*AF27)</f>
        <v>335.81114669881407</v>
      </c>
      <c r="BW27" s="652">
        <f>(1.4*BP27/(M27/1000))/(2*AF27)</f>
        <v>470.13560537833968</v>
      </c>
      <c r="BX27" s="668">
        <v>36.97</v>
      </c>
      <c r="BY27" s="659">
        <v>23</v>
      </c>
      <c r="BZ27" s="665">
        <f>BX27/(L27*BY27)</f>
        <v>5.1028295376121463E-3</v>
      </c>
      <c r="CA27" s="659" t="s">
        <v>2952</v>
      </c>
      <c r="CB27" s="659" t="s">
        <v>2952</v>
      </c>
      <c r="CC27" s="659" t="s">
        <v>2952</v>
      </c>
      <c r="CD27" s="668">
        <f>BV27*(2*AF27)/(2*250)</f>
        <v>42.983826777448201</v>
      </c>
      <c r="CE27" s="651" t="s">
        <v>1049</v>
      </c>
      <c r="CF27" s="654">
        <v>-0.25553394383235672</v>
      </c>
      <c r="CG27" s="659"/>
      <c r="CH27" s="659"/>
      <c r="CI27" s="677"/>
      <c r="CK27" s="183"/>
    </row>
    <row r="28" spans="1:114" s="584" customFormat="1" ht="75" hidden="1" customHeight="1" x14ac:dyDescent="0.2">
      <c r="A28" s="678">
        <v>41</v>
      </c>
      <c r="B28" s="660" t="s">
        <v>503</v>
      </c>
      <c r="C28" s="598" t="s">
        <v>3980</v>
      </c>
      <c r="D28" s="661" t="s">
        <v>790</v>
      </c>
      <c r="E28" s="661" t="s">
        <v>4007</v>
      </c>
      <c r="F28" s="660">
        <v>2012</v>
      </c>
      <c r="G28" s="657" t="s">
        <v>1797</v>
      </c>
      <c r="H28" s="661" t="s">
        <v>2998</v>
      </c>
      <c r="I28" s="673" t="s">
        <v>3838</v>
      </c>
      <c r="J28" s="660" t="s">
        <v>114</v>
      </c>
      <c r="K28" s="661" t="s">
        <v>1760</v>
      </c>
      <c r="L28" s="660">
        <v>315</v>
      </c>
      <c r="M28" s="660">
        <v>135</v>
      </c>
      <c r="N28" s="660" t="s">
        <v>197</v>
      </c>
      <c r="O28" s="661" t="s">
        <v>1706</v>
      </c>
      <c r="P28" s="661" t="s">
        <v>4068</v>
      </c>
      <c r="Q28" s="841" t="s">
        <v>2373</v>
      </c>
      <c r="R28" s="841" t="s">
        <v>2373</v>
      </c>
      <c r="S28" s="661" t="s">
        <v>3653</v>
      </c>
      <c r="T28" s="661" t="s">
        <v>3652</v>
      </c>
      <c r="U28" s="661">
        <v>0.45</v>
      </c>
      <c r="V28" s="661">
        <v>0.15</v>
      </c>
      <c r="W28" s="661" t="s">
        <v>3660</v>
      </c>
      <c r="X28" s="841"/>
      <c r="Y28" s="661"/>
      <c r="Z28" s="661"/>
      <c r="AA28" s="661">
        <v>134</v>
      </c>
      <c r="AB28" s="661" t="s">
        <v>399</v>
      </c>
      <c r="AC28" s="661" t="s">
        <v>119</v>
      </c>
      <c r="AD28" s="661" t="s">
        <v>3898</v>
      </c>
      <c r="AE28" s="661" t="s">
        <v>1801</v>
      </c>
      <c r="AF28" s="660">
        <v>32</v>
      </c>
      <c r="AG28" s="660">
        <v>32</v>
      </c>
      <c r="AH28" s="660" t="s">
        <v>1744</v>
      </c>
      <c r="AI28" s="660" t="s">
        <v>122</v>
      </c>
      <c r="AJ28" s="661" t="s">
        <v>3896</v>
      </c>
      <c r="AK28" s="661" t="s">
        <v>3897</v>
      </c>
      <c r="AL28" s="660"/>
      <c r="AM28" s="660"/>
      <c r="AN28" s="660" t="s">
        <v>1784</v>
      </c>
      <c r="AO28" s="660">
        <v>0.2</v>
      </c>
      <c r="AP28" s="659">
        <v>0.17</v>
      </c>
      <c r="AQ28" s="659">
        <v>0.19</v>
      </c>
      <c r="AR28" s="600">
        <v>3.4019399999999997</v>
      </c>
      <c r="AS28" s="600">
        <v>1.4061352</v>
      </c>
      <c r="AT28" s="600">
        <v>1.13398</v>
      </c>
      <c r="AU28" s="600">
        <v>1.3819988715293372</v>
      </c>
      <c r="AV28" s="600">
        <v>1.198999020957797</v>
      </c>
      <c r="AW28" s="664">
        <f>(100*PI()*(A28^2))/(40*AO28*AV28*453.5924)</f>
        <v>121.37884522523009</v>
      </c>
      <c r="AX28" s="597" t="s">
        <v>1641</v>
      </c>
      <c r="AY28" s="661" t="s">
        <v>2999</v>
      </c>
      <c r="AZ28" s="661">
        <v>94</v>
      </c>
      <c r="BA28" s="661" t="s">
        <v>1642</v>
      </c>
      <c r="BB28" s="661" t="s">
        <v>1643</v>
      </c>
      <c r="BC28" s="661" t="s">
        <v>1629</v>
      </c>
      <c r="BD28" s="661" t="s">
        <v>1640</v>
      </c>
      <c r="BE28" s="661">
        <v>17576501</v>
      </c>
      <c r="BF28" s="661">
        <v>32344940</v>
      </c>
      <c r="BG28" s="661" t="s">
        <v>447</v>
      </c>
      <c r="BH28" s="659" t="s">
        <v>1626</v>
      </c>
      <c r="BI28" s="667">
        <v>42464</v>
      </c>
      <c r="BJ28" s="663">
        <f>1089*2.20462262</f>
        <v>2400.83403318</v>
      </c>
      <c r="BK28" s="663">
        <f>1486*2.20462262</f>
        <v>3276.06921332</v>
      </c>
      <c r="BL28" s="652">
        <f>BJ28+BK28</f>
        <v>5676.9032465</v>
      </c>
      <c r="BM28" s="663">
        <v>616</v>
      </c>
      <c r="BN28" s="663">
        <v>2830</v>
      </c>
      <c r="BO28" s="659">
        <v>330.2</v>
      </c>
      <c r="BP28" s="652">
        <v>2901</v>
      </c>
      <c r="BQ28" s="659">
        <v>0.35</v>
      </c>
      <c r="BR28" s="659" t="s">
        <v>819</v>
      </c>
      <c r="BS28" s="659" t="s">
        <v>819</v>
      </c>
      <c r="BT28" s="594">
        <v>180</v>
      </c>
      <c r="BU28" s="659" t="s">
        <v>819</v>
      </c>
      <c r="BV28" s="652">
        <f>(BP28/(M28/1000))/(2*AF28)</f>
        <v>335.76388888888886</v>
      </c>
      <c r="BW28" s="652">
        <f>(1.4*BP28/(M28/1000))/(2*AF28)</f>
        <v>470.06944444444434</v>
      </c>
      <c r="BX28" s="668">
        <v>36.97</v>
      </c>
      <c r="BY28" s="659">
        <v>23</v>
      </c>
      <c r="BZ28" s="665">
        <f>BX28/(L28*BY28)</f>
        <v>5.1028295376121463E-3</v>
      </c>
      <c r="CA28" s="659" t="s">
        <v>2952</v>
      </c>
      <c r="CB28" s="659" t="s">
        <v>2952</v>
      </c>
      <c r="CC28" s="659" t="s">
        <v>2952</v>
      </c>
      <c r="CD28" s="668">
        <f>BV28*(2*AF28)/(2*250)</f>
        <v>42.977777777777774</v>
      </c>
      <c r="CE28" s="651" t="s">
        <v>1049</v>
      </c>
      <c r="CF28" s="654" t="s">
        <v>819</v>
      </c>
      <c r="CG28" s="659"/>
      <c r="CH28" s="659"/>
      <c r="CI28" s="677"/>
      <c r="CK28" s="582"/>
    </row>
    <row r="29" spans="1:114" s="312" customFormat="1" ht="75" hidden="1" customHeight="1" x14ac:dyDescent="0.2">
      <c r="A29" s="678">
        <v>41</v>
      </c>
      <c r="B29" s="840" t="s">
        <v>4060</v>
      </c>
      <c r="C29" s="661" t="s">
        <v>3982</v>
      </c>
      <c r="D29" s="661" t="s">
        <v>616</v>
      </c>
      <c r="E29" s="661" t="s">
        <v>4008</v>
      </c>
      <c r="F29" s="840">
        <v>2019</v>
      </c>
      <c r="G29" s="657" t="s">
        <v>1797</v>
      </c>
      <c r="H29" s="661" t="s">
        <v>4336</v>
      </c>
      <c r="I29" s="673" t="s">
        <v>3217</v>
      </c>
      <c r="J29" s="840" t="s">
        <v>114</v>
      </c>
      <c r="K29" s="661" t="s">
        <v>4337</v>
      </c>
      <c r="L29" s="840">
        <v>320</v>
      </c>
      <c r="M29" s="840" t="s">
        <v>4338</v>
      </c>
      <c r="N29" s="840" t="s">
        <v>4339</v>
      </c>
      <c r="O29" s="661" t="s">
        <v>1706</v>
      </c>
      <c r="P29" s="661" t="s">
        <v>4005</v>
      </c>
      <c r="Q29" s="661" t="s">
        <v>2797</v>
      </c>
      <c r="R29" s="661" t="s">
        <v>2797</v>
      </c>
      <c r="S29" s="661" t="s">
        <v>3653</v>
      </c>
      <c r="T29" s="661" t="s">
        <v>3653</v>
      </c>
      <c r="U29" s="661">
        <v>0.2495</v>
      </c>
      <c r="V29" s="661">
        <v>0.2495</v>
      </c>
      <c r="W29" s="661" t="s">
        <v>4340</v>
      </c>
      <c r="X29" s="517">
        <v>0.11</v>
      </c>
      <c r="Y29" s="661" t="s">
        <v>3682</v>
      </c>
      <c r="Z29" s="661" t="s">
        <v>3991</v>
      </c>
      <c r="AA29" s="661">
        <v>144</v>
      </c>
      <c r="AB29" s="661" t="s">
        <v>819</v>
      </c>
      <c r="AC29" s="661" t="s">
        <v>119</v>
      </c>
      <c r="AD29" s="661" t="s">
        <v>819</v>
      </c>
      <c r="AE29" s="661" t="s">
        <v>1668</v>
      </c>
      <c r="AF29" s="840">
        <v>33.200000000000003</v>
      </c>
      <c r="AG29" s="840">
        <v>32.700000000000003</v>
      </c>
      <c r="AH29" s="840" t="s">
        <v>122</v>
      </c>
      <c r="AI29" s="840" t="s">
        <v>122</v>
      </c>
      <c r="AJ29" s="661" t="s">
        <v>369</v>
      </c>
      <c r="AK29" s="661" t="s">
        <v>4341</v>
      </c>
      <c r="AL29" s="840"/>
      <c r="AM29" s="840"/>
      <c r="AN29" s="840" t="s">
        <v>1784</v>
      </c>
      <c r="AO29" s="840"/>
      <c r="AP29" s="839" t="s">
        <v>819</v>
      </c>
      <c r="AQ29" s="839" t="s">
        <v>4342</v>
      </c>
      <c r="AR29" s="586">
        <v>5.0599999999999996</v>
      </c>
      <c r="AS29" s="586">
        <v>1.68</v>
      </c>
      <c r="AT29" s="586">
        <v>1.42</v>
      </c>
      <c r="AU29" s="586">
        <v>2.2599999999999998</v>
      </c>
      <c r="AV29" s="586">
        <v>1.93</v>
      </c>
      <c r="AW29" s="664">
        <v>43.9</v>
      </c>
      <c r="AX29" s="597">
        <v>43472</v>
      </c>
      <c r="AY29" s="661" t="s">
        <v>1669</v>
      </c>
      <c r="AZ29" s="661"/>
      <c r="BA29" s="661" t="s">
        <v>4343</v>
      </c>
      <c r="BB29" s="661" t="s">
        <v>4344</v>
      </c>
      <c r="BC29" s="661" t="s">
        <v>4345</v>
      </c>
      <c r="BD29" s="661" t="s">
        <v>4346</v>
      </c>
      <c r="BE29" s="661" t="s">
        <v>4347</v>
      </c>
      <c r="BF29" s="661" t="s">
        <v>4348</v>
      </c>
      <c r="BG29" s="661" t="s">
        <v>4349</v>
      </c>
      <c r="BH29" s="659"/>
      <c r="BI29" s="667">
        <v>42496</v>
      </c>
      <c r="BJ29" s="663">
        <v>2630</v>
      </c>
      <c r="BK29" s="663">
        <v>3320</v>
      </c>
      <c r="BL29" s="846">
        <v>5950</v>
      </c>
      <c r="BM29" s="663">
        <v>720</v>
      </c>
      <c r="BN29" s="663">
        <v>3025</v>
      </c>
      <c r="BO29" s="659">
        <v>383</v>
      </c>
      <c r="BP29" s="846"/>
      <c r="BQ29" s="659">
        <v>0.38</v>
      </c>
      <c r="BR29" s="839"/>
      <c r="BS29" s="839"/>
      <c r="BT29" s="583">
        <v>228</v>
      </c>
      <c r="BU29" s="839">
        <v>2050</v>
      </c>
      <c r="BV29" s="846"/>
      <c r="BW29" s="846"/>
      <c r="BX29" s="847">
        <v>42.86</v>
      </c>
      <c r="BY29" s="659">
        <v>12</v>
      </c>
      <c r="BZ29" s="665"/>
      <c r="CA29" s="659" t="s">
        <v>819</v>
      </c>
      <c r="CB29" s="839" t="s">
        <v>819</v>
      </c>
      <c r="CC29" s="839"/>
      <c r="CD29" s="847"/>
      <c r="CE29" s="651"/>
      <c r="CF29" s="849"/>
      <c r="CG29" s="659"/>
      <c r="CH29" s="659"/>
      <c r="CI29" s="677"/>
      <c r="CJ29" s="213"/>
      <c r="CK29" s="183"/>
      <c r="CL29" s="213"/>
      <c r="CM29" s="213"/>
      <c r="CN29" s="213"/>
      <c r="CO29" s="213"/>
      <c r="CP29" s="213"/>
      <c r="CQ29" s="213"/>
      <c r="CR29" s="213"/>
      <c r="CS29" s="213"/>
      <c r="CT29" s="213"/>
      <c r="CU29" s="213"/>
      <c r="CV29" s="213"/>
      <c r="CW29" s="213"/>
      <c r="CX29" s="213"/>
      <c r="CY29" s="213"/>
      <c r="CZ29" s="213"/>
      <c r="DA29" s="213"/>
      <c r="DB29" s="213"/>
      <c r="DC29" s="213"/>
      <c r="DD29" s="213"/>
      <c r="DE29" s="213"/>
      <c r="DF29" s="213"/>
      <c r="DG29" s="213"/>
      <c r="DH29" s="213"/>
      <c r="DI29" s="213"/>
      <c r="DJ29" s="213"/>
    </row>
    <row r="30" spans="1:114" s="312" customFormat="1" ht="75" hidden="1" customHeight="1" x14ac:dyDescent="0.2">
      <c r="A30" s="678">
        <v>41</v>
      </c>
      <c r="B30" s="840" t="s">
        <v>4060</v>
      </c>
      <c r="C30" s="661" t="s">
        <v>3982</v>
      </c>
      <c r="D30" s="661" t="s">
        <v>616</v>
      </c>
      <c r="E30" s="661" t="s">
        <v>4008</v>
      </c>
      <c r="F30" s="840">
        <v>2019</v>
      </c>
      <c r="G30" s="657" t="s">
        <v>1797</v>
      </c>
      <c r="H30" s="661" t="s">
        <v>4350</v>
      </c>
      <c r="I30" s="673" t="s">
        <v>3217</v>
      </c>
      <c r="J30" s="840" t="s">
        <v>114</v>
      </c>
      <c r="K30" s="661" t="s">
        <v>4351</v>
      </c>
      <c r="L30" s="840">
        <v>320</v>
      </c>
      <c r="M30" s="840">
        <v>136</v>
      </c>
      <c r="N30" s="840">
        <v>17</v>
      </c>
      <c r="O30" s="661" t="s">
        <v>1706</v>
      </c>
      <c r="P30" s="661" t="s">
        <v>4005</v>
      </c>
      <c r="Q30" s="661" t="s">
        <v>2797</v>
      </c>
      <c r="R30" s="661" t="s">
        <v>2797</v>
      </c>
      <c r="S30" s="661" t="s">
        <v>3653</v>
      </c>
      <c r="T30" s="661" t="s">
        <v>3653</v>
      </c>
      <c r="U30" s="661">
        <v>0.2495</v>
      </c>
      <c r="V30" s="661">
        <v>0.2495</v>
      </c>
      <c r="W30" s="661" t="s">
        <v>4340</v>
      </c>
      <c r="X30" s="517">
        <v>0.11</v>
      </c>
      <c r="Y30" s="661" t="s">
        <v>3682</v>
      </c>
      <c r="Z30" s="661" t="s">
        <v>3991</v>
      </c>
      <c r="AA30" s="661">
        <v>144</v>
      </c>
      <c r="AB30" s="661" t="s">
        <v>819</v>
      </c>
      <c r="AC30" s="661" t="s">
        <v>119</v>
      </c>
      <c r="AD30" s="661" t="s">
        <v>819</v>
      </c>
      <c r="AE30" s="661" t="s">
        <v>1668</v>
      </c>
      <c r="AF30" s="840">
        <v>33.200000000000003</v>
      </c>
      <c r="AG30" s="840">
        <v>32.700000000000003</v>
      </c>
      <c r="AH30" s="840" t="s">
        <v>122</v>
      </c>
      <c r="AI30" s="840" t="s">
        <v>122</v>
      </c>
      <c r="AJ30" s="661" t="s">
        <v>369</v>
      </c>
      <c r="AK30" s="661" t="s">
        <v>4341</v>
      </c>
      <c r="AL30" s="840"/>
      <c r="AM30" s="840"/>
      <c r="AN30" s="840" t="s">
        <v>1784</v>
      </c>
      <c r="AO30" s="840"/>
      <c r="AP30" s="839" t="s">
        <v>819</v>
      </c>
      <c r="AQ30" s="839" t="s">
        <v>4352</v>
      </c>
      <c r="AR30" s="586">
        <v>5.12</v>
      </c>
      <c r="AS30" s="586">
        <v>1.75</v>
      </c>
      <c r="AT30" s="586">
        <v>1.48</v>
      </c>
      <c r="AU30" s="586">
        <v>2.2599999999999998</v>
      </c>
      <c r="AV30" s="586">
        <v>1.93</v>
      </c>
      <c r="AW30" s="664">
        <v>43.9</v>
      </c>
      <c r="AX30" s="597">
        <v>43647</v>
      </c>
      <c r="AY30" s="661" t="s">
        <v>1669</v>
      </c>
      <c r="AZ30" s="661"/>
      <c r="BA30" s="661" t="s">
        <v>4353</v>
      </c>
      <c r="BB30" s="661" t="s">
        <v>819</v>
      </c>
      <c r="BC30" s="661" t="s">
        <v>4345</v>
      </c>
      <c r="BD30" s="661" t="s">
        <v>4346</v>
      </c>
      <c r="BE30" s="661" t="s">
        <v>819</v>
      </c>
      <c r="BF30" s="661" t="s">
        <v>4348</v>
      </c>
      <c r="BG30" s="661" t="s">
        <v>4349</v>
      </c>
      <c r="BH30" s="659"/>
      <c r="BI30" s="667">
        <v>42496</v>
      </c>
      <c r="BJ30" s="663">
        <v>3031</v>
      </c>
      <c r="BK30" s="663">
        <v>3395</v>
      </c>
      <c r="BL30" s="846">
        <v>6426</v>
      </c>
      <c r="BM30" s="663">
        <v>720</v>
      </c>
      <c r="BN30" s="663">
        <v>2822</v>
      </c>
      <c r="BO30" s="659">
        <v>366</v>
      </c>
      <c r="BP30" s="846"/>
      <c r="BQ30" s="659"/>
      <c r="BR30" s="839"/>
      <c r="BS30" s="839"/>
      <c r="BT30" s="583" t="s">
        <v>819</v>
      </c>
      <c r="BU30" s="839" t="s">
        <v>819</v>
      </c>
      <c r="BV30" s="846"/>
      <c r="BW30" s="846"/>
      <c r="BX30" s="847">
        <v>46.2</v>
      </c>
      <c r="BY30" s="659">
        <v>12</v>
      </c>
      <c r="BZ30" s="665"/>
      <c r="CA30" s="659" t="s">
        <v>819</v>
      </c>
      <c r="CB30" s="839" t="s">
        <v>819</v>
      </c>
      <c r="CC30" s="839"/>
      <c r="CD30" s="847"/>
      <c r="CE30" s="651"/>
      <c r="CF30" s="849"/>
      <c r="CG30" s="659"/>
      <c r="CH30" s="659"/>
      <c r="CI30" s="677"/>
      <c r="CJ30" s="213"/>
      <c r="CK30" s="183"/>
      <c r="CL30" s="213"/>
      <c r="CM30" s="213"/>
      <c r="CN30" s="213"/>
      <c r="CO30" s="213"/>
      <c r="CP30" s="213"/>
      <c r="CQ30" s="213"/>
      <c r="CR30" s="213"/>
      <c r="CS30" s="213"/>
      <c r="CT30" s="213"/>
      <c r="CU30" s="213"/>
      <c r="CV30" s="213"/>
      <c r="CW30" s="213"/>
      <c r="CX30" s="213"/>
      <c r="CY30" s="213"/>
      <c r="CZ30" s="213"/>
      <c r="DA30" s="213"/>
      <c r="DB30" s="213"/>
      <c r="DC30" s="213"/>
      <c r="DD30" s="213"/>
      <c r="DE30" s="213"/>
      <c r="DF30" s="213"/>
      <c r="DG30" s="213"/>
      <c r="DH30" s="213"/>
      <c r="DI30" s="213"/>
      <c r="DJ30" s="213"/>
    </row>
    <row r="31" spans="1:114" ht="75" hidden="1" customHeight="1" x14ac:dyDescent="0.2">
      <c r="A31" s="599">
        <v>43</v>
      </c>
      <c r="B31" s="841" t="s">
        <v>966</v>
      </c>
      <c r="C31" s="661" t="s">
        <v>3982</v>
      </c>
      <c r="D31" s="841" t="s">
        <v>4137</v>
      </c>
      <c r="E31" s="661" t="s">
        <v>4007</v>
      </c>
      <c r="F31" s="841" t="s">
        <v>3740</v>
      </c>
      <c r="G31" s="853" t="s">
        <v>1797</v>
      </c>
      <c r="H31" s="841" t="s">
        <v>4012</v>
      </c>
      <c r="I31" s="601" t="s">
        <v>669</v>
      </c>
      <c r="J31" s="841" t="s">
        <v>114</v>
      </c>
      <c r="K31" s="841" t="s">
        <v>1407</v>
      </c>
      <c r="L31" s="841">
        <v>320</v>
      </c>
      <c r="M31" s="841">
        <v>137.5</v>
      </c>
      <c r="N31" s="841" t="s">
        <v>176</v>
      </c>
      <c r="O31" s="841" t="s">
        <v>1706</v>
      </c>
      <c r="P31" s="841" t="s">
        <v>3997</v>
      </c>
      <c r="Q31" s="841" t="s">
        <v>2797</v>
      </c>
      <c r="R31" s="841" t="s">
        <v>4000</v>
      </c>
      <c r="S31" s="661" t="s">
        <v>3653</v>
      </c>
      <c r="T31" s="661" t="s">
        <v>3652</v>
      </c>
      <c r="U31" s="661">
        <v>0.14949999999999999</v>
      </c>
      <c r="V31" s="661">
        <v>0.14949999999999999</v>
      </c>
      <c r="W31" s="661" t="s">
        <v>3660</v>
      </c>
      <c r="X31" s="841">
        <v>11</v>
      </c>
      <c r="Y31" s="661" t="s">
        <v>3676</v>
      </c>
      <c r="Z31" s="661" t="s">
        <v>3990</v>
      </c>
      <c r="AA31" s="661">
        <v>144</v>
      </c>
      <c r="AB31" s="841" t="s">
        <v>1580</v>
      </c>
      <c r="AC31" s="841" t="s">
        <v>119</v>
      </c>
      <c r="AD31" s="841" t="s">
        <v>1581</v>
      </c>
      <c r="AE31" s="841" t="s">
        <v>1016</v>
      </c>
      <c r="AF31" s="841">
        <v>38</v>
      </c>
      <c r="AG31" s="661">
        <v>36.1</v>
      </c>
      <c r="AH31" s="841" t="s">
        <v>1744</v>
      </c>
      <c r="AI31" s="841" t="s">
        <v>1744</v>
      </c>
      <c r="AJ31" s="661" t="s">
        <v>369</v>
      </c>
      <c r="AK31" s="661" t="s">
        <v>4142</v>
      </c>
      <c r="AL31" s="841" t="s">
        <v>1921</v>
      </c>
      <c r="AM31" s="841" t="s">
        <v>1921</v>
      </c>
      <c r="AN31" s="841" t="s">
        <v>1784</v>
      </c>
      <c r="AO31" s="841">
        <v>8.8999999999999996E-2</v>
      </c>
      <c r="AP31" s="841" t="s">
        <v>819</v>
      </c>
      <c r="AQ31" s="841" t="s">
        <v>3746</v>
      </c>
      <c r="AR31" s="586">
        <v>5.9874144000000005</v>
      </c>
      <c r="AS31" s="586">
        <v>1.636559936</v>
      </c>
      <c r="AT31" s="586">
        <v>1.3671262880000004</v>
      </c>
      <c r="AU31" s="586">
        <v>3.1932876800000005</v>
      </c>
      <c r="AV31" s="586">
        <v>2.8939169599999999</v>
      </c>
      <c r="AW31" s="664" t="s">
        <v>1982</v>
      </c>
      <c r="AX31" s="597" t="s">
        <v>2546</v>
      </c>
      <c r="AY31" s="841" t="s">
        <v>1669</v>
      </c>
      <c r="AZ31" s="661" t="s">
        <v>819</v>
      </c>
      <c r="BA31" s="661" t="s">
        <v>4143</v>
      </c>
      <c r="BB31" s="841" t="s">
        <v>4144</v>
      </c>
      <c r="BC31" s="841" t="s">
        <v>967</v>
      </c>
      <c r="BD31" s="661" t="s">
        <v>3747</v>
      </c>
      <c r="BE31" s="661">
        <v>18328502</v>
      </c>
      <c r="BF31" s="661">
        <v>32353472</v>
      </c>
      <c r="BG31" s="661" t="s">
        <v>2133</v>
      </c>
      <c r="BH31" s="839" t="s">
        <v>1796</v>
      </c>
      <c r="BI31" s="845">
        <v>42474</v>
      </c>
      <c r="BJ31" s="842" t="s">
        <v>3764</v>
      </c>
      <c r="BK31" s="842" t="s">
        <v>3764</v>
      </c>
      <c r="BL31" s="663" t="s">
        <v>3763</v>
      </c>
      <c r="BM31" s="842" t="s">
        <v>3765</v>
      </c>
      <c r="BN31" s="842" t="s">
        <v>3755</v>
      </c>
      <c r="BO31" s="839" t="s">
        <v>3768</v>
      </c>
      <c r="BP31" s="842">
        <v>2146</v>
      </c>
      <c r="BQ31" s="839" t="s">
        <v>3753</v>
      </c>
      <c r="BR31" s="843" t="s">
        <v>3770</v>
      </c>
      <c r="BS31" s="843" t="s">
        <v>3770</v>
      </c>
      <c r="BT31" s="594" t="s">
        <v>3771</v>
      </c>
      <c r="BU31" s="842" t="s">
        <v>819</v>
      </c>
      <c r="BV31" s="842" t="s">
        <v>819</v>
      </c>
      <c r="BW31" s="842" t="s">
        <v>819</v>
      </c>
      <c r="BX31" s="843" t="s">
        <v>819</v>
      </c>
      <c r="BY31" s="659">
        <v>12</v>
      </c>
      <c r="BZ31" s="665" t="s">
        <v>819</v>
      </c>
      <c r="CA31" s="659" t="s">
        <v>819</v>
      </c>
      <c r="CB31" s="838" t="s">
        <v>819</v>
      </c>
      <c r="CC31" s="516" t="s">
        <v>819</v>
      </c>
      <c r="CD31" s="843" t="s">
        <v>3772</v>
      </c>
      <c r="CE31" s="651" t="s">
        <v>1049</v>
      </c>
      <c r="CF31" s="596" t="s">
        <v>3759</v>
      </c>
      <c r="CG31" s="839">
        <v>1.0920000000000001</v>
      </c>
      <c r="CH31" s="839" t="s">
        <v>819</v>
      </c>
      <c r="CI31" s="677" t="s">
        <v>819</v>
      </c>
      <c r="CK31" s="841"/>
    </row>
    <row r="32" spans="1:114" s="611" customFormat="1" ht="75" hidden="1" customHeight="1" x14ac:dyDescent="0.2">
      <c r="A32" s="599">
        <v>43</v>
      </c>
      <c r="B32" s="841" t="s">
        <v>966</v>
      </c>
      <c r="C32" s="661" t="s">
        <v>3982</v>
      </c>
      <c r="D32" s="841" t="s">
        <v>4137</v>
      </c>
      <c r="E32" s="661" t="s">
        <v>4007</v>
      </c>
      <c r="F32" s="841" t="s">
        <v>3743</v>
      </c>
      <c r="G32" s="853" t="s">
        <v>1797</v>
      </c>
      <c r="H32" s="841" t="s">
        <v>4012</v>
      </c>
      <c r="I32" s="601" t="s">
        <v>669</v>
      </c>
      <c r="J32" s="841" t="s">
        <v>114</v>
      </c>
      <c r="K32" s="841" t="s">
        <v>1408</v>
      </c>
      <c r="L32" s="841">
        <v>320</v>
      </c>
      <c r="M32" s="841">
        <v>137.5</v>
      </c>
      <c r="N32" s="841" t="s">
        <v>3742</v>
      </c>
      <c r="O32" s="841" t="s">
        <v>1706</v>
      </c>
      <c r="P32" s="841" t="s">
        <v>3997</v>
      </c>
      <c r="Q32" s="841" t="s">
        <v>2797</v>
      </c>
      <c r="R32" s="841" t="s">
        <v>4000</v>
      </c>
      <c r="S32" s="661" t="s">
        <v>3653</v>
      </c>
      <c r="T32" s="661" t="s">
        <v>3652</v>
      </c>
      <c r="U32" s="661">
        <v>0.14949999999999999</v>
      </c>
      <c r="V32" s="661">
        <v>0.14949999999999999</v>
      </c>
      <c r="W32" s="661" t="s">
        <v>3660</v>
      </c>
      <c r="X32" s="661">
        <v>11</v>
      </c>
      <c r="Y32" s="661" t="s">
        <v>3676</v>
      </c>
      <c r="Z32" s="661" t="s">
        <v>3990</v>
      </c>
      <c r="AA32" s="661">
        <v>144</v>
      </c>
      <c r="AB32" s="661" t="s">
        <v>2547</v>
      </c>
      <c r="AC32" s="841" t="s">
        <v>2548</v>
      </c>
      <c r="AD32" s="841" t="s">
        <v>1581</v>
      </c>
      <c r="AE32" s="841" t="s">
        <v>1016</v>
      </c>
      <c r="AF32" s="661">
        <v>38</v>
      </c>
      <c r="AG32" s="661">
        <v>32.200000000000003</v>
      </c>
      <c r="AH32" s="841" t="s">
        <v>1744</v>
      </c>
      <c r="AI32" s="841" t="s">
        <v>1744</v>
      </c>
      <c r="AJ32" s="841" t="s">
        <v>369</v>
      </c>
      <c r="AK32" s="661" t="s">
        <v>4142</v>
      </c>
      <c r="AL32" s="841" t="s">
        <v>1921</v>
      </c>
      <c r="AM32" s="841" t="s">
        <v>1921</v>
      </c>
      <c r="AN32" s="841" t="s">
        <v>1784</v>
      </c>
      <c r="AO32" s="841">
        <v>8.8999999999999996E-2</v>
      </c>
      <c r="AP32" s="841" t="s">
        <v>819</v>
      </c>
      <c r="AQ32" s="841" t="s">
        <v>3746</v>
      </c>
      <c r="AR32" s="615">
        <v>5.9874144000000005</v>
      </c>
      <c r="AS32" s="615">
        <v>1.636559936</v>
      </c>
      <c r="AT32" s="615">
        <v>1.3671262880000004</v>
      </c>
      <c r="AU32" s="615">
        <v>3.1932876800000005</v>
      </c>
      <c r="AV32" s="615">
        <v>2.8939169599999999</v>
      </c>
      <c r="AW32" s="664" t="s">
        <v>1982</v>
      </c>
      <c r="AX32" s="597" t="s">
        <v>2546</v>
      </c>
      <c r="AY32" s="841" t="s">
        <v>1669</v>
      </c>
      <c r="AZ32" s="661" t="s">
        <v>819</v>
      </c>
      <c r="BA32" s="661" t="s">
        <v>4145</v>
      </c>
      <c r="BB32" s="841" t="s">
        <v>4146</v>
      </c>
      <c r="BC32" s="841" t="s">
        <v>967</v>
      </c>
      <c r="BD32" s="661" t="s">
        <v>3747</v>
      </c>
      <c r="BE32" s="661">
        <v>18328502</v>
      </c>
      <c r="BF32" s="661">
        <v>32353472</v>
      </c>
      <c r="BG32" s="661" t="s">
        <v>2133</v>
      </c>
      <c r="BH32" s="659" t="s">
        <v>1796</v>
      </c>
      <c r="BI32" s="845">
        <v>42474</v>
      </c>
      <c r="BJ32" s="842" t="s">
        <v>3764</v>
      </c>
      <c r="BK32" s="842" t="s">
        <v>3764</v>
      </c>
      <c r="BL32" s="842" t="s">
        <v>3763</v>
      </c>
      <c r="BM32" s="842" t="s">
        <v>3766</v>
      </c>
      <c r="BN32" s="842" t="s">
        <v>3755</v>
      </c>
      <c r="BO32" s="839" t="s">
        <v>3767</v>
      </c>
      <c r="BP32" s="842">
        <v>2542</v>
      </c>
      <c r="BQ32" s="839" t="s">
        <v>3774</v>
      </c>
      <c r="BR32" s="843" t="s">
        <v>3769</v>
      </c>
      <c r="BS32" s="843" t="s">
        <v>3769</v>
      </c>
      <c r="BT32" s="594" t="s">
        <v>3771</v>
      </c>
      <c r="BU32" s="842" t="s">
        <v>819</v>
      </c>
      <c r="BV32" s="842" t="s">
        <v>819</v>
      </c>
      <c r="BW32" s="842" t="s">
        <v>819</v>
      </c>
      <c r="BX32" s="843" t="s">
        <v>819</v>
      </c>
      <c r="BY32" s="659">
        <v>12</v>
      </c>
      <c r="BZ32" s="665" t="s">
        <v>819</v>
      </c>
      <c r="CA32" s="839" t="s">
        <v>819</v>
      </c>
      <c r="CB32" s="838" t="s">
        <v>819</v>
      </c>
      <c r="CC32" s="516" t="s">
        <v>819</v>
      </c>
      <c r="CD32" s="843" t="s">
        <v>3773</v>
      </c>
      <c r="CE32" s="651" t="s">
        <v>1049</v>
      </c>
      <c r="CF32" s="596" t="s">
        <v>3759</v>
      </c>
      <c r="CG32" s="839">
        <v>1.1400000000000001</v>
      </c>
      <c r="CH32" s="839" t="s">
        <v>819</v>
      </c>
      <c r="CI32" s="677" t="s">
        <v>819</v>
      </c>
      <c r="CK32" s="841"/>
    </row>
    <row r="33" spans="1:114" s="611" customFormat="1" ht="75" hidden="1" customHeight="1" x14ac:dyDescent="0.2">
      <c r="A33" s="678">
        <v>43</v>
      </c>
      <c r="B33" s="325" t="s">
        <v>4108</v>
      </c>
      <c r="C33" s="661" t="s">
        <v>3982</v>
      </c>
      <c r="D33" s="317" t="s">
        <v>4109</v>
      </c>
      <c r="E33" s="841" t="s">
        <v>4008</v>
      </c>
      <c r="F33" s="325">
        <v>2020</v>
      </c>
      <c r="G33" s="352" t="s">
        <v>1797</v>
      </c>
      <c r="H33" s="317" t="s">
        <v>4378</v>
      </c>
      <c r="I33" s="355" t="s">
        <v>1324</v>
      </c>
      <c r="J33" s="325" t="s">
        <v>114</v>
      </c>
      <c r="K33" s="841"/>
      <c r="L33" s="841"/>
      <c r="M33" s="841"/>
      <c r="N33" s="675" t="s">
        <v>3933</v>
      </c>
      <c r="O33" s="676" t="s">
        <v>1706</v>
      </c>
      <c r="P33" s="841" t="s">
        <v>4005</v>
      </c>
      <c r="Q33" s="676" t="s">
        <v>2797</v>
      </c>
      <c r="R33" s="676" t="s">
        <v>4000</v>
      </c>
      <c r="S33" s="661" t="s">
        <v>3652</v>
      </c>
      <c r="T33" s="661" t="s">
        <v>3652</v>
      </c>
      <c r="U33" s="661">
        <v>0.14499999999999999</v>
      </c>
      <c r="V33" s="661">
        <v>0.14499999999999999</v>
      </c>
      <c r="W33" s="661" t="s">
        <v>3942</v>
      </c>
      <c r="X33" s="517">
        <v>0.11</v>
      </c>
      <c r="Y33" s="661" t="s">
        <v>3676</v>
      </c>
      <c r="Z33" s="661" t="s">
        <v>3993</v>
      </c>
      <c r="AA33" s="661">
        <v>284</v>
      </c>
      <c r="AB33" s="276" t="s">
        <v>3910</v>
      </c>
      <c r="AC33" s="660" t="s">
        <v>710</v>
      </c>
      <c r="AD33" s="276" t="s">
        <v>3024</v>
      </c>
      <c r="AE33" s="660" t="s">
        <v>91</v>
      </c>
      <c r="AF33" s="840">
        <v>132.19999999999999</v>
      </c>
      <c r="AG33" s="661">
        <v>163.75</v>
      </c>
      <c r="AH33" s="660" t="s">
        <v>1744</v>
      </c>
      <c r="AI33" s="660" t="s">
        <v>1744</v>
      </c>
      <c r="AJ33" s="841" t="s">
        <v>3030</v>
      </c>
      <c r="AK33" s="661" t="s">
        <v>3911</v>
      </c>
      <c r="AL33" s="660"/>
      <c r="AM33" s="660"/>
      <c r="AN33" s="660" t="s">
        <v>1784</v>
      </c>
      <c r="AO33" s="660">
        <v>0.3</v>
      </c>
      <c r="AP33" s="660" t="s">
        <v>157</v>
      </c>
      <c r="AQ33" s="660">
        <v>0.02</v>
      </c>
      <c r="AR33" s="615">
        <v>17.191136799999999</v>
      </c>
      <c r="AS33" s="615">
        <v>4.5812792</v>
      </c>
      <c r="AT33" s="615">
        <v>3.9916096000000003</v>
      </c>
      <c r="AU33" s="615">
        <v>9.8883056000000007</v>
      </c>
      <c r="AV33" s="615">
        <v>9.2986360000000001</v>
      </c>
      <c r="AW33" s="664">
        <f>(100*PI()*(A33^2))/(40*AO33*AV33*453.5924)</f>
        <v>11.476792274825714</v>
      </c>
      <c r="AX33" s="513" t="s">
        <v>3912</v>
      </c>
      <c r="AY33" s="660" t="s">
        <v>2093</v>
      </c>
      <c r="AZ33" s="661">
        <v>55</v>
      </c>
      <c r="BA33" s="661" t="s">
        <v>3936</v>
      </c>
      <c r="BB33" s="660" t="s">
        <v>3939</v>
      </c>
      <c r="BC33" s="660">
        <v>18885301</v>
      </c>
      <c r="BD33" s="661" t="s">
        <v>3941</v>
      </c>
      <c r="BE33" s="661">
        <v>18885402</v>
      </c>
      <c r="BF33" s="661" t="s">
        <v>2205</v>
      </c>
      <c r="BG33" s="661" t="s">
        <v>2205</v>
      </c>
      <c r="BH33" s="538" t="s">
        <v>3943</v>
      </c>
      <c r="BI33" s="667">
        <v>41949</v>
      </c>
      <c r="BJ33" s="652">
        <v>7000</v>
      </c>
      <c r="BK33" s="652">
        <v>14300</v>
      </c>
      <c r="BL33" s="842">
        <f>BJ33+BK33</f>
        <v>21300</v>
      </c>
      <c r="BM33" s="652">
        <v>1041</v>
      </c>
      <c r="BN33" s="652">
        <v>5215</v>
      </c>
      <c r="BO33" s="201">
        <v>392.9</v>
      </c>
      <c r="BP33" s="652">
        <v>11584</v>
      </c>
      <c r="BQ33" s="655">
        <v>0.43</v>
      </c>
      <c r="BR33" s="540">
        <v>0.50690000000000002</v>
      </c>
      <c r="BS33" s="668"/>
      <c r="BT33" s="653">
        <v>130</v>
      </c>
      <c r="BU33" s="652"/>
      <c r="BV33" s="652"/>
      <c r="BW33" s="652"/>
      <c r="BX33" s="668">
        <v>346.1</v>
      </c>
      <c r="BY33" s="659">
        <v>39</v>
      </c>
      <c r="BZ33" s="665" t="e">
        <f>BX33/(L33*BY33)</f>
        <v>#DIV/0!</v>
      </c>
      <c r="CA33" s="839" t="s">
        <v>157</v>
      </c>
      <c r="CB33" s="839" t="s">
        <v>157</v>
      </c>
      <c r="CC33" s="668"/>
      <c r="CD33" s="668">
        <v>140.84</v>
      </c>
      <c r="CE33" s="651" t="s">
        <v>1049</v>
      </c>
      <c r="CF33" s="654">
        <f>(AF33/MAX(CC33,CD33))-1</f>
        <v>-6.1346208463504803E-2</v>
      </c>
      <c r="CG33" s="651"/>
      <c r="CH33" s="651"/>
      <c r="CI33" s="279"/>
      <c r="CK33" s="512" t="s">
        <v>3020</v>
      </c>
    </row>
    <row r="34" spans="1:114" s="611" customFormat="1" ht="75" hidden="1" customHeight="1" x14ac:dyDescent="0.2">
      <c r="A34" s="613">
        <v>43</v>
      </c>
      <c r="B34" s="325" t="s">
        <v>4108</v>
      </c>
      <c r="C34" s="604" t="s">
        <v>3982</v>
      </c>
      <c r="D34" s="317" t="s">
        <v>4109</v>
      </c>
      <c r="E34" s="661" t="s">
        <v>4007</v>
      </c>
      <c r="F34" s="325">
        <v>2017</v>
      </c>
      <c r="G34" s="352" t="s">
        <v>1797</v>
      </c>
      <c r="H34" s="317" t="s">
        <v>4110</v>
      </c>
      <c r="I34" s="355" t="s">
        <v>1324</v>
      </c>
      <c r="J34" s="325" t="s">
        <v>114</v>
      </c>
      <c r="K34" s="841"/>
      <c r="L34" s="841"/>
      <c r="M34" s="841"/>
      <c r="N34" s="675" t="s">
        <v>3933</v>
      </c>
      <c r="O34" s="676" t="s">
        <v>1706</v>
      </c>
      <c r="P34" s="841" t="s">
        <v>3995</v>
      </c>
      <c r="Q34" s="676" t="s">
        <v>2797</v>
      </c>
      <c r="R34" s="841" t="s">
        <v>2373</v>
      </c>
      <c r="S34" s="841"/>
      <c r="T34" s="841"/>
      <c r="U34" s="841"/>
      <c r="V34" s="841"/>
      <c r="W34" s="604"/>
      <c r="X34" s="661"/>
      <c r="Y34" s="604"/>
      <c r="Z34" s="604"/>
      <c r="AA34" s="604"/>
      <c r="AB34" s="604"/>
      <c r="AC34" s="840"/>
      <c r="AD34" s="840"/>
      <c r="AE34" s="660"/>
      <c r="AF34" s="661"/>
      <c r="AG34" s="661"/>
      <c r="AH34" s="840"/>
      <c r="AI34" s="840"/>
      <c r="AJ34" s="840"/>
      <c r="AK34" s="604"/>
      <c r="AL34" s="840"/>
      <c r="AM34" s="840"/>
      <c r="AN34" s="840"/>
      <c r="AO34" s="840"/>
      <c r="AP34" s="840"/>
      <c r="AQ34" s="840"/>
      <c r="AR34" s="615"/>
      <c r="AS34" s="615"/>
      <c r="AT34" s="615"/>
      <c r="AU34" s="615"/>
      <c r="AV34" s="615"/>
      <c r="AW34" s="605"/>
      <c r="AX34" s="851"/>
      <c r="AY34" s="840"/>
      <c r="AZ34" s="604"/>
      <c r="BA34" s="661"/>
      <c r="BB34" s="840"/>
      <c r="BC34" s="840"/>
      <c r="BD34" s="841"/>
      <c r="BE34" s="841"/>
      <c r="BF34" s="841"/>
      <c r="BG34" s="841"/>
      <c r="BH34" s="839"/>
      <c r="BI34" s="667"/>
      <c r="BJ34" s="846"/>
      <c r="BK34" s="846"/>
      <c r="BL34" s="846"/>
      <c r="BM34" s="846"/>
      <c r="BN34" s="846"/>
      <c r="BO34" s="201"/>
      <c r="BP34" s="607"/>
      <c r="BQ34" s="655"/>
      <c r="BR34" s="847"/>
      <c r="BS34" s="847"/>
      <c r="BT34" s="653"/>
      <c r="BU34" s="652"/>
      <c r="BV34" s="607"/>
      <c r="BW34" s="607"/>
      <c r="BX34" s="608"/>
      <c r="BY34" s="659"/>
      <c r="BZ34" s="606"/>
      <c r="CA34" s="844"/>
      <c r="CB34" s="844"/>
      <c r="CC34" s="668"/>
      <c r="CD34" s="608"/>
      <c r="CE34" s="602"/>
      <c r="CF34" s="610"/>
      <c r="CG34" s="838"/>
      <c r="CH34" s="838"/>
      <c r="CI34" s="855"/>
      <c r="CK34" s="512"/>
    </row>
    <row r="35" spans="1:114" s="611" customFormat="1" ht="75" hidden="1" customHeight="1" x14ac:dyDescent="0.2">
      <c r="A35" s="613">
        <v>43</v>
      </c>
      <c r="B35" s="325" t="s">
        <v>4108</v>
      </c>
      <c r="C35" s="604" t="s">
        <v>3982</v>
      </c>
      <c r="D35" s="317" t="s">
        <v>4109</v>
      </c>
      <c r="E35" s="661" t="s">
        <v>4007</v>
      </c>
      <c r="F35" s="325">
        <v>2017</v>
      </c>
      <c r="G35" s="352" t="s">
        <v>1797</v>
      </c>
      <c r="H35" s="317" t="s">
        <v>4111</v>
      </c>
      <c r="I35" s="355" t="s">
        <v>1324</v>
      </c>
      <c r="J35" s="325" t="s">
        <v>114</v>
      </c>
      <c r="K35" s="841"/>
      <c r="L35" s="841"/>
      <c r="M35" s="841"/>
      <c r="N35" s="675" t="s">
        <v>3933</v>
      </c>
      <c r="O35" s="676" t="s">
        <v>1706</v>
      </c>
      <c r="P35" s="841" t="s">
        <v>3995</v>
      </c>
      <c r="Q35" s="676" t="s">
        <v>2797</v>
      </c>
      <c r="R35" s="841" t="s">
        <v>2373</v>
      </c>
      <c r="S35" s="841"/>
      <c r="T35" s="841"/>
      <c r="U35" s="841"/>
      <c r="V35" s="841"/>
      <c r="W35" s="604"/>
      <c r="X35" s="661"/>
      <c r="Y35" s="604"/>
      <c r="Z35" s="604"/>
      <c r="AA35" s="604"/>
      <c r="AB35" s="604"/>
      <c r="AC35" s="840"/>
      <c r="AD35" s="840"/>
      <c r="AE35" s="660"/>
      <c r="AF35" s="661"/>
      <c r="AG35" s="661"/>
      <c r="AH35" s="840"/>
      <c r="AI35" s="840"/>
      <c r="AJ35" s="840"/>
      <c r="AK35" s="604"/>
      <c r="AL35" s="840"/>
      <c r="AM35" s="840"/>
      <c r="AN35" s="840"/>
      <c r="AO35" s="840"/>
      <c r="AP35" s="840"/>
      <c r="AQ35" s="840"/>
      <c r="AR35" s="615"/>
      <c r="AS35" s="615"/>
      <c r="AT35" s="615"/>
      <c r="AU35" s="615"/>
      <c r="AV35" s="615"/>
      <c r="AW35" s="605"/>
      <c r="AX35" s="851"/>
      <c r="AY35" s="840"/>
      <c r="AZ35" s="604"/>
      <c r="BA35" s="661"/>
      <c r="BB35" s="840"/>
      <c r="BC35" s="840"/>
      <c r="BD35" s="841"/>
      <c r="BE35" s="841"/>
      <c r="BF35" s="841"/>
      <c r="BG35" s="841"/>
      <c r="BH35" s="839"/>
      <c r="BI35" s="667"/>
      <c r="BJ35" s="846"/>
      <c r="BK35" s="846"/>
      <c r="BL35" s="846"/>
      <c r="BM35" s="846"/>
      <c r="BN35" s="846"/>
      <c r="BO35" s="201"/>
      <c r="BP35" s="607"/>
      <c r="BQ35" s="655"/>
      <c r="BR35" s="847"/>
      <c r="BS35" s="847"/>
      <c r="BT35" s="609"/>
      <c r="BU35" s="607"/>
      <c r="BV35" s="607"/>
      <c r="BW35" s="607"/>
      <c r="BX35" s="608"/>
      <c r="BY35" s="603"/>
      <c r="BZ35" s="606"/>
      <c r="CA35" s="844"/>
      <c r="CB35" s="844"/>
      <c r="CC35" s="608"/>
      <c r="CD35" s="608"/>
      <c r="CE35" s="602"/>
      <c r="CF35" s="610"/>
      <c r="CG35" s="838"/>
      <c r="CH35" s="838"/>
      <c r="CI35" s="855"/>
      <c r="CK35" s="512"/>
    </row>
    <row r="36" spans="1:114" ht="75" hidden="1" customHeight="1" x14ac:dyDescent="0.2">
      <c r="A36" s="678">
        <v>44</v>
      </c>
      <c r="B36" s="661" t="s">
        <v>3971</v>
      </c>
      <c r="C36" s="619" t="s">
        <v>3982</v>
      </c>
      <c r="D36" s="619" t="s">
        <v>614</v>
      </c>
      <c r="E36" s="661" t="s">
        <v>4007</v>
      </c>
      <c r="F36" s="619">
        <v>2012</v>
      </c>
      <c r="G36" s="657" t="s">
        <v>1797</v>
      </c>
      <c r="H36" s="619" t="s">
        <v>4023</v>
      </c>
      <c r="I36" s="630" t="s">
        <v>1597</v>
      </c>
      <c r="J36" s="661" t="s">
        <v>114</v>
      </c>
      <c r="K36" s="619">
        <v>1500</v>
      </c>
      <c r="L36" s="661">
        <v>325</v>
      </c>
      <c r="M36" s="661">
        <v>143</v>
      </c>
      <c r="N36" s="618" t="s">
        <v>197</v>
      </c>
      <c r="O36" s="619" t="s">
        <v>1706</v>
      </c>
      <c r="P36" s="841" t="s">
        <v>3995</v>
      </c>
      <c r="Q36" s="841" t="s">
        <v>2373</v>
      </c>
      <c r="R36" s="841" t="s">
        <v>2373</v>
      </c>
      <c r="S36" s="627" t="s">
        <v>3652</v>
      </c>
      <c r="T36" s="627" t="s">
        <v>3652</v>
      </c>
      <c r="U36" s="666">
        <v>7.0000000000000007E-2</v>
      </c>
      <c r="V36" s="666">
        <v>7.0000000000000007E-2</v>
      </c>
      <c r="W36" s="619" t="s">
        <v>3664</v>
      </c>
      <c r="X36" s="661">
        <v>14.11</v>
      </c>
      <c r="Y36" s="619" t="s">
        <v>3259</v>
      </c>
      <c r="Z36" s="619" t="s">
        <v>3793</v>
      </c>
      <c r="AA36" s="619">
        <v>144</v>
      </c>
      <c r="AB36" s="619" t="s">
        <v>1249</v>
      </c>
      <c r="AC36" s="619" t="s">
        <v>2487</v>
      </c>
      <c r="AD36" s="619" t="s">
        <v>1581</v>
      </c>
      <c r="AE36" s="660" t="s">
        <v>1801</v>
      </c>
      <c r="AF36" s="661">
        <v>38.9</v>
      </c>
      <c r="AG36" s="661">
        <v>45.8</v>
      </c>
      <c r="AH36" s="661" t="s">
        <v>122</v>
      </c>
      <c r="AI36" s="661" t="s">
        <v>122</v>
      </c>
      <c r="AJ36" s="619" t="s">
        <v>1582</v>
      </c>
      <c r="AK36" s="619" t="s">
        <v>3744</v>
      </c>
      <c r="AL36" s="619"/>
      <c r="AM36" s="619"/>
      <c r="AN36" s="619" t="s">
        <v>1784</v>
      </c>
      <c r="AO36" s="661"/>
      <c r="AP36" s="666"/>
      <c r="AQ36" s="623">
        <v>0.67</v>
      </c>
      <c r="AR36" s="631">
        <v>4.3544831999999998</v>
      </c>
      <c r="AS36" s="631">
        <v>1.4968535999999999</v>
      </c>
      <c r="AT36" s="631">
        <v>1.28820128</v>
      </c>
      <c r="AU36" s="631">
        <v>1.4242788800000001</v>
      </c>
      <c r="AV36" s="631">
        <v>1.2337702400000001</v>
      </c>
      <c r="AW36" s="621"/>
      <c r="AX36" s="629">
        <v>40340</v>
      </c>
      <c r="AY36" s="661" t="s">
        <v>1669</v>
      </c>
      <c r="AZ36" s="619"/>
      <c r="BA36" s="661" t="s">
        <v>615</v>
      </c>
      <c r="BB36" s="661" t="s">
        <v>2532</v>
      </c>
      <c r="BC36" s="661">
        <v>17648301</v>
      </c>
      <c r="BD36" s="627">
        <v>17734201</v>
      </c>
      <c r="BE36" s="627">
        <v>17717901</v>
      </c>
      <c r="BF36" s="627">
        <v>32345703</v>
      </c>
      <c r="BG36" s="627" t="s">
        <v>1086</v>
      </c>
      <c r="BH36" s="619" t="s">
        <v>2169</v>
      </c>
      <c r="BI36" s="595">
        <v>40800</v>
      </c>
      <c r="BJ36" s="626"/>
      <c r="BK36" s="626"/>
      <c r="BL36" s="620"/>
      <c r="BM36" s="626"/>
      <c r="BN36" s="620"/>
      <c r="BO36" s="659"/>
      <c r="BP36" s="624"/>
      <c r="BQ36" s="659">
        <v>0.38</v>
      </c>
      <c r="BR36" s="664"/>
      <c r="BS36" s="664"/>
      <c r="BT36" s="653"/>
      <c r="BU36" s="624"/>
      <c r="BV36" s="652"/>
      <c r="BW36" s="624"/>
      <c r="BX36" s="625"/>
      <c r="BY36" s="617">
        <v>14</v>
      </c>
      <c r="BZ36" s="622"/>
      <c r="CA36" s="664"/>
      <c r="CB36" s="664"/>
      <c r="CC36" s="668"/>
      <c r="CD36" s="668"/>
      <c r="CE36" s="651"/>
      <c r="CF36" s="654"/>
      <c r="CG36" s="655"/>
      <c r="CH36" s="655"/>
      <c r="CI36" s="612"/>
      <c r="CJ36" s="671"/>
      <c r="CK36" s="661"/>
      <c r="CL36" s="671"/>
      <c r="CM36" s="671"/>
      <c r="CN36" s="671"/>
      <c r="CO36" s="671"/>
      <c r="CP36" s="532"/>
      <c r="CQ36" s="532"/>
      <c r="CR36" s="532"/>
      <c r="CS36" s="532"/>
      <c r="CT36" s="532"/>
      <c r="CU36" s="532"/>
      <c r="CV36" s="532"/>
      <c r="CW36" s="532"/>
      <c r="CX36" s="532"/>
      <c r="CY36" s="532"/>
      <c r="CZ36" s="532"/>
      <c r="DA36" s="532"/>
      <c r="DB36" s="532"/>
      <c r="DC36" s="532"/>
      <c r="DD36" s="532"/>
      <c r="DE36" s="532"/>
      <c r="DF36" s="532"/>
      <c r="DG36" s="532"/>
      <c r="DH36" s="532"/>
      <c r="DI36" s="532"/>
      <c r="DJ36" s="532"/>
    </row>
    <row r="37" spans="1:114" s="611" customFormat="1" ht="75" hidden="1" customHeight="1" x14ac:dyDescent="0.2">
      <c r="A37" s="678">
        <v>44</v>
      </c>
      <c r="B37" s="661" t="s">
        <v>3971</v>
      </c>
      <c r="C37" s="661" t="s">
        <v>3982</v>
      </c>
      <c r="D37" s="661" t="s">
        <v>614</v>
      </c>
      <c r="E37" s="661" t="s">
        <v>4007</v>
      </c>
      <c r="F37" s="661">
        <v>2012</v>
      </c>
      <c r="G37" s="657" t="s">
        <v>1797</v>
      </c>
      <c r="H37" s="661" t="s">
        <v>4023</v>
      </c>
      <c r="I37" s="673" t="s">
        <v>1597</v>
      </c>
      <c r="J37" s="661" t="s">
        <v>114</v>
      </c>
      <c r="K37" s="661"/>
      <c r="L37" s="661">
        <v>325</v>
      </c>
      <c r="M37" s="661"/>
      <c r="N37" s="660" t="s">
        <v>197</v>
      </c>
      <c r="O37" s="661" t="s">
        <v>1706</v>
      </c>
      <c r="P37" s="841" t="s">
        <v>3995</v>
      </c>
      <c r="Q37" s="841" t="s">
        <v>2373</v>
      </c>
      <c r="R37" s="841" t="s">
        <v>2373</v>
      </c>
      <c r="S37" s="627" t="s">
        <v>3652</v>
      </c>
      <c r="T37" s="627" t="s">
        <v>3652</v>
      </c>
      <c r="U37" s="666">
        <v>7.0000000000000007E-2</v>
      </c>
      <c r="V37" s="666">
        <v>7.0000000000000007E-2</v>
      </c>
      <c r="W37" s="661" t="s">
        <v>3664</v>
      </c>
      <c r="X37" s="661">
        <v>14.11</v>
      </c>
      <c r="Y37" s="661" t="s">
        <v>3259</v>
      </c>
      <c r="Z37" s="661" t="s">
        <v>3793</v>
      </c>
      <c r="AA37" s="661">
        <v>144</v>
      </c>
      <c r="AB37" s="661" t="s">
        <v>1250</v>
      </c>
      <c r="AC37" s="661" t="s">
        <v>119</v>
      </c>
      <c r="AD37" s="661" t="s">
        <v>1581</v>
      </c>
      <c r="AE37" s="660" t="s">
        <v>1801</v>
      </c>
      <c r="AF37" s="661">
        <v>38.9</v>
      </c>
      <c r="AG37" s="661">
        <v>45.8</v>
      </c>
      <c r="AH37" s="661" t="s">
        <v>122</v>
      </c>
      <c r="AI37" s="661" t="s">
        <v>122</v>
      </c>
      <c r="AJ37" s="661" t="s">
        <v>1582</v>
      </c>
      <c r="AK37" s="661" t="s">
        <v>3744</v>
      </c>
      <c r="AL37" s="661"/>
      <c r="AM37" s="661"/>
      <c r="AN37" s="661" t="s">
        <v>1784</v>
      </c>
      <c r="AO37" s="661"/>
      <c r="AP37" s="666"/>
      <c r="AQ37" s="666">
        <v>0.67</v>
      </c>
      <c r="AR37" s="631">
        <v>4.3544831999999998</v>
      </c>
      <c r="AS37" s="631">
        <v>1.4968535999999999</v>
      </c>
      <c r="AT37" s="631">
        <v>1.28820128</v>
      </c>
      <c r="AU37" s="631">
        <v>1.4242788800000001</v>
      </c>
      <c r="AV37" s="631">
        <v>1.2337702400000001</v>
      </c>
      <c r="AW37" s="664"/>
      <c r="AX37" s="656">
        <v>40340</v>
      </c>
      <c r="AY37" s="661" t="s">
        <v>1669</v>
      </c>
      <c r="AZ37" s="661"/>
      <c r="BA37" s="661" t="s">
        <v>1251</v>
      </c>
      <c r="BB37" s="661" t="s">
        <v>2533</v>
      </c>
      <c r="BC37" s="661">
        <v>17648301</v>
      </c>
      <c r="BD37" s="627">
        <v>17734201</v>
      </c>
      <c r="BE37" s="627">
        <v>17717901</v>
      </c>
      <c r="BF37" s="627">
        <v>32345703</v>
      </c>
      <c r="BG37" s="627" t="s">
        <v>1086</v>
      </c>
      <c r="BH37" s="661"/>
      <c r="BI37" s="595">
        <v>40800</v>
      </c>
      <c r="BJ37" s="670"/>
      <c r="BK37" s="670"/>
      <c r="BL37" s="663"/>
      <c r="BM37" s="670"/>
      <c r="BN37" s="663"/>
      <c r="BO37" s="659"/>
      <c r="BP37" s="652"/>
      <c r="BQ37" s="659">
        <v>0.38</v>
      </c>
      <c r="BR37" s="664"/>
      <c r="BS37" s="664"/>
      <c r="BT37" s="653"/>
      <c r="BU37" s="652"/>
      <c r="BV37" s="652"/>
      <c r="BW37" s="652"/>
      <c r="BX37" s="668"/>
      <c r="BY37" s="659">
        <v>14</v>
      </c>
      <c r="BZ37" s="665"/>
      <c r="CA37" s="664"/>
      <c r="CB37" s="664"/>
      <c r="CC37" s="668"/>
      <c r="CD37" s="668"/>
      <c r="CE37" s="651"/>
      <c r="CF37" s="654"/>
      <c r="CG37" s="655"/>
      <c r="CH37" s="655"/>
      <c r="CI37" s="612"/>
      <c r="CJ37" s="671"/>
      <c r="CK37" s="661"/>
      <c r="CL37" s="671"/>
      <c r="CM37" s="671"/>
      <c r="CN37" s="671"/>
      <c r="CO37" s="671"/>
      <c r="CP37" s="616"/>
      <c r="CQ37" s="616"/>
      <c r="CR37" s="616"/>
      <c r="CS37" s="616"/>
      <c r="CT37" s="616"/>
      <c r="CU37" s="616"/>
      <c r="CV37" s="616"/>
      <c r="CW37" s="616"/>
      <c r="CX37" s="616"/>
      <c r="CY37" s="616"/>
      <c r="CZ37" s="616"/>
      <c r="DA37" s="616"/>
      <c r="DB37" s="616"/>
      <c r="DC37" s="616"/>
      <c r="DD37" s="616"/>
      <c r="DE37" s="616"/>
      <c r="DF37" s="616"/>
      <c r="DG37" s="616"/>
      <c r="DH37" s="616"/>
      <c r="DI37" s="616"/>
      <c r="DJ37" s="616"/>
    </row>
    <row r="38" spans="1:114" ht="75" hidden="1" customHeight="1" x14ac:dyDescent="0.2">
      <c r="A38" s="678">
        <v>44</v>
      </c>
      <c r="B38" s="661" t="s">
        <v>3972</v>
      </c>
      <c r="C38" s="635" t="s">
        <v>3982</v>
      </c>
      <c r="D38" s="635" t="s">
        <v>614</v>
      </c>
      <c r="E38" s="661" t="s">
        <v>4007</v>
      </c>
      <c r="F38" s="661">
        <v>2012</v>
      </c>
      <c r="G38" s="643" t="s">
        <v>1797</v>
      </c>
      <c r="H38" s="635" t="s">
        <v>4024</v>
      </c>
      <c r="I38" s="673" t="s">
        <v>1597</v>
      </c>
      <c r="J38" s="661" t="s">
        <v>114</v>
      </c>
      <c r="K38" s="661"/>
      <c r="L38" s="661">
        <v>330</v>
      </c>
      <c r="M38" s="661"/>
      <c r="N38" s="634" t="s">
        <v>1866</v>
      </c>
      <c r="O38" s="635" t="s">
        <v>1706</v>
      </c>
      <c r="P38" s="841" t="s">
        <v>3995</v>
      </c>
      <c r="Q38" s="841" t="s">
        <v>2373</v>
      </c>
      <c r="R38" s="841" t="s">
        <v>2373</v>
      </c>
      <c r="S38" s="627" t="s">
        <v>3652</v>
      </c>
      <c r="T38" s="627" t="s">
        <v>3652</v>
      </c>
      <c r="U38" s="666">
        <v>7.0000000000000007E-2</v>
      </c>
      <c r="V38" s="666">
        <v>7.0000000000000007E-2</v>
      </c>
      <c r="W38" s="635" t="s">
        <v>3664</v>
      </c>
      <c r="X38" s="661">
        <v>14.11</v>
      </c>
      <c r="Y38" s="635" t="s">
        <v>3259</v>
      </c>
      <c r="Z38" s="635" t="s">
        <v>3793</v>
      </c>
      <c r="AA38" s="635">
        <v>144</v>
      </c>
      <c r="AB38" s="635" t="s">
        <v>1249</v>
      </c>
      <c r="AC38" s="635" t="s">
        <v>2487</v>
      </c>
      <c r="AD38" s="635" t="s">
        <v>1581</v>
      </c>
      <c r="AE38" s="660" t="s">
        <v>1801</v>
      </c>
      <c r="AF38" s="661">
        <v>38.9</v>
      </c>
      <c r="AG38" s="661">
        <v>45.8</v>
      </c>
      <c r="AH38" s="661" t="s">
        <v>122</v>
      </c>
      <c r="AI38" s="661" t="s">
        <v>122</v>
      </c>
      <c r="AJ38" s="635" t="s">
        <v>1582</v>
      </c>
      <c r="AK38" s="635" t="s">
        <v>3744</v>
      </c>
      <c r="AL38" s="661"/>
      <c r="AM38" s="661"/>
      <c r="AN38" s="661" t="s">
        <v>1784</v>
      </c>
      <c r="AO38" s="661"/>
      <c r="AP38" s="666"/>
      <c r="AQ38" s="666">
        <v>0.57999999999999996</v>
      </c>
      <c r="AR38" s="647">
        <v>4.4452015999999999</v>
      </c>
      <c r="AS38" s="647">
        <v>1.5104613600000001</v>
      </c>
      <c r="AT38" s="647">
        <v>1.30180904</v>
      </c>
      <c r="AU38" s="647">
        <v>1.4968535999999999</v>
      </c>
      <c r="AV38" s="647">
        <v>1.3063449599999999</v>
      </c>
      <c r="AW38" s="664"/>
      <c r="AX38" s="642">
        <v>40340</v>
      </c>
      <c r="AY38" s="661" t="s">
        <v>1669</v>
      </c>
      <c r="AZ38" s="635"/>
      <c r="BA38" s="661" t="s">
        <v>1252</v>
      </c>
      <c r="BB38" s="661" t="s">
        <v>2534</v>
      </c>
      <c r="BC38" s="661">
        <v>17649101</v>
      </c>
      <c r="BD38" s="627">
        <v>17734401</v>
      </c>
      <c r="BE38" s="627">
        <v>17718201</v>
      </c>
      <c r="BF38" s="627">
        <v>32345703</v>
      </c>
      <c r="BG38" s="627" t="s">
        <v>1086</v>
      </c>
      <c r="BH38" s="635"/>
      <c r="BI38" s="595">
        <v>40800</v>
      </c>
      <c r="BJ38" s="670"/>
      <c r="BK38" s="670"/>
      <c r="BL38" s="636"/>
      <c r="BM38" s="670"/>
      <c r="BN38" s="636"/>
      <c r="BO38" s="633"/>
      <c r="BP38" s="639"/>
      <c r="BQ38" s="633">
        <v>0.38</v>
      </c>
      <c r="BR38" s="664"/>
      <c r="BS38" s="664"/>
      <c r="BT38" s="653"/>
      <c r="BU38" s="652"/>
      <c r="BV38" s="639"/>
      <c r="BW38" s="639"/>
      <c r="BX38" s="640"/>
      <c r="BY38" s="659">
        <v>22</v>
      </c>
      <c r="BZ38" s="637"/>
      <c r="CA38" s="664"/>
      <c r="CB38" s="664"/>
      <c r="CC38" s="668"/>
      <c r="CD38" s="640"/>
      <c r="CE38" s="632"/>
      <c r="CF38" s="641"/>
      <c r="CG38" s="655"/>
      <c r="CH38" s="655"/>
      <c r="CI38" s="612"/>
      <c r="CK38" s="183"/>
    </row>
    <row r="39" spans="1:114" s="628" customFormat="1" ht="75" hidden="1" customHeight="1" x14ac:dyDescent="0.2">
      <c r="A39" s="678">
        <v>44</v>
      </c>
      <c r="B39" s="661" t="s">
        <v>3972</v>
      </c>
      <c r="C39" s="635" t="s">
        <v>3982</v>
      </c>
      <c r="D39" s="635" t="s">
        <v>614</v>
      </c>
      <c r="E39" s="661" t="s">
        <v>4007</v>
      </c>
      <c r="F39" s="661">
        <v>2012</v>
      </c>
      <c r="G39" s="643" t="s">
        <v>1797</v>
      </c>
      <c r="H39" s="635" t="s">
        <v>4024</v>
      </c>
      <c r="I39" s="673" t="s">
        <v>1597</v>
      </c>
      <c r="J39" s="661" t="s">
        <v>114</v>
      </c>
      <c r="K39" s="661"/>
      <c r="L39" s="661">
        <v>330</v>
      </c>
      <c r="M39" s="661"/>
      <c r="N39" s="634" t="s">
        <v>1866</v>
      </c>
      <c r="O39" s="635" t="s">
        <v>1706</v>
      </c>
      <c r="P39" s="841" t="s">
        <v>3995</v>
      </c>
      <c r="Q39" s="841" t="s">
        <v>2373</v>
      </c>
      <c r="R39" s="841" t="s">
        <v>2373</v>
      </c>
      <c r="S39" s="627" t="s">
        <v>3652</v>
      </c>
      <c r="T39" s="627" t="s">
        <v>3652</v>
      </c>
      <c r="U39" s="666">
        <v>7.0000000000000007E-2</v>
      </c>
      <c r="V39" s="666">
        <v>7.0000000000000007E-2</v>
      </c>
      <c r="W39" s="635" t="s">
        <v>3664</v>
      </c>
      <c r="X39" s="661">
        <v>14.11</v>
      </c>
      <c r="Y39" s="635" t="s">
        <v>3259</v>
      </c>
      <c r="Z39" s="635" t="s">
        <v>3793</v>
      </c>
      <c r="AA39" s="635">
        <v>144</v>
      </c>
      <c r="AB39" s="635" t="s">
        <v>1250</v>
      </c>
      <c r="AC39" s="635" t="s">
        <v>119</v>
      </c>
      <c r="AD39" s="635" t="s">
        <v>1581</v>
      </c>
      <c r="AE39" s="660" t="s">
        <v>1801</v>
      </c>
      <c r="AF39" s="661">
        <v>38.9</v>
      </c>
      <c r="AG39" s="661">
        <v>45.8</v>
      </c>
      <c r="AH39" s="661" t="s">
        <v>122</v>
      </c>
      <c r="AI39" s="661" t="s">
        <v>122</v>
      </c>
      <c r="AJ39" s="635" t="s">
        <v>1582</v>
      </c>
      <c r="AK39" s="635" t="s">
        <v>3744</v>
      </c>
      <c r="AL39" s="661"/>
      <c r="AM39" s="661"/>
      <c r="AN39" s="661" t="s">
        <v>1784</v>
      </c>
      <c r="AO39" s="661"/>
      <c r="AP39" s="666"/>
      <c r="AQ39" s="666">
        <v>0.57999999999999996</v>
      </c>
      <c r="AR39" s="647">
        <v>4.4452015999999999</v>
      </c>
      <c r="AS39" s="647">
        <v>1.5104613600000001</v>
      </c>
      <c r="AT39" s="647">
        <v>1.30180904</v>
      </c>
      <c r="AU39" s="647">
        <v>1.4968535999999999</v>
      </c>
      <c r="AV39" s="647">
        <v>1.3063449599999999</v>
      </c>
      <c r="AW39" s="664"/>
      <c r="AX39" s="642">
        <v>40340</v>
      </c>
      <c r="AY39" s="661" t="s">
        <v>1669</v>
      </c>
      <c r="AZ39" s="635"/>
      <c r="BA39" s="661" t="s">
        <v>1253</v>
      </c>
      <c r="BB39" s="661" t="s">
        <v>2535</v>
      </c>
      <c r="BC39" s="661">
        <v>17649101</v>
      </c>
      <c r="BD39" s="627">
        <v>17734401</v>
      </c>
      <c r="BE39" s="627">
        <v>17718201</v>
      </c>
      <c r="BF39" s="627">
        <v>32345703</v>
      </c>
      <c r="BG39" s="627" t="s">
        <v>1086</v>
      </c>
      <c r="BH39" s="635"/>
      <c r="BI39" s="595">
        <v>40800</v>
      </c>
      <c r="BJ39" s="670"/>
      <c r="BK39" s="670"/>
      <c r="BL39" s="636"/>
      <c r="BM39" s="670"/>
      <c r="BN39" s="636"/>
      <c r="BO39" s="633"/>
      <c r="BP39" s="639"/>
      <c r="BQ39" s="633">
        <v>0.38</v>
      </c>
      <c r="BR39" s="664"/>
      <c r="BS39" s="664"/>
      <c r="BT39" s="653"/>
      <c r="BU39" s="652"/>
      <c r="BV39" s="639"/>
      <c r="BW39" s="639"/>
      <c r="BX39" s="640"/>
      <c r="BY39" s="659">
        <v>22</v>
      </c>
      <c r="BZ39" s="637"/>
      <c r="CA39" s="664"/>
      <c r="CB39" s="664"/>
      <c r="CC39" s="668"/>
      <c r="CD39" s="640"/>
      <c r="CE39" s="632"/>
      <c r="CF39" s="641"/>
      <c r="CG39" s="655"/>
      <c r="CH39" s="655"/>
      <c r="CI39" s="612"/>
      <c r="CK39" s="619"/>
    </row>
    <row r="40" spans="1:114" ht="75" hidden="1" customHeight="1" x14ac:dyDescent="0.2">
      <c r="A40" s="678">
        <v>44</v>
      </c>
      <c r="B40" s="661" t="s">
        <v>3972</v>
      </c>
      <c r="C40" s="635" t="s">
        <v>3982</v>
      </c>
      <c r="D40" s="635" t="s">
        <v>614</v>
      </c>
      <c r="E40" s="661" t="s">
        <v>4007</v>
      </c>
      <c r="F40" s="661">
        <v>2012</v>
      </c>
      <c r="G40" s="643" t="s">
        <v>1797</v>
      </c>
      <c r="H40" s="635" t="s">
        <v>4025</v>
      </c>
      <c r="I40" s="673" t="s">
        <v>1597</v>
      </c>
      <c r="J40" s="661" t="s">
        <v>114</v>
      </c>
      <c r="K40" s="661"/>
      <c r="L40" s="661">
        <v>330</v>
      </c>
      <c r="M40" s="661"/>
      <c r="N40" s="634" t="s">
        <v>1866</v>
      </c>
      <c r="O40" s="635" t="s">
        <v>1706</v>
      </c>
      <c r="P40" s="841" t="s">
        <v>3995</v>
      </c>
      <c r="Q40" s="841" t="s">
        <v>2373</v>
      </c>
      <c r="R40" s="841" t="s">
        <v>2373</v>
      </c>
      <c r="S40" s="627" t="s">
        <v>3652</v>
      </c>
      <c r="T40" s="627" t="s">
        <v>3652</v>
      </c>
      <c r="U40" s="666">
        <v>7.0000000000000007E-2</v>
      </c>
      <c r="V40" s="666">
        <v>7.0000000000000007E-2</v>
      </c>
      <c r="W40" s="635" t="s">
        <v>3664</v>
      </c>
      <c r="X40" s="661">
        <v>14.11</v>
      </c>
      <c r="Y40" s="635" t="s">
        <v>3259</v>
      </c>
      <c r="Z40" s="635" t="s">
        <v>3793</v>
      </c>
      <c r="AA40" s="635">
        <v>144</v>
      </c>
      <c r="AB40" s="635" t="s">
        <v>1249</v>
      </c>
      <c r="AC40" s="635" t="s">
        <v>2487</v>
      </c>
      <c r="AD40" s="635" t="s">
        <v>1581</v>
      </c>
      <c r="AE40" s="660" t="s">
        <v>1801</v>
      </c>
      <c r="AF40" s="661">
        <v>38.9</v>
      </c>
      <c r="AG40" s="661">
        <v>45.8</v>
      </c>
      <c r="AH40" s="661" t="s">
        <v>122</v>
      </c>
      <c r="AI40" s="661" t="s">
        <v>122</v>
      </c>
      <c r="AJ40" s="635" t="s">
        <v>1582</v>
      </c>
      <c r="AK40" s="635" t="s">
        <v>3744</v>
      </c>
      <c r="AL40" s="661"/>
      <c r="AM40" s="661"/>
      <c r="AN40" s="661" t="s">
        <v>1784</v>
      </c>
      <c r="AO40" s="661"/>
      <c r="AP40" s="666"/>
      <c r="AQ40" s="638">
        <v>0.57999999999999996</v>
      </c>
      <c r="AR40" s="647">
        <v>4.4905607999999999</v>
      </c>
      <c r="AS40" s="647">
        <v>1.5104613600000001</v>
      </c>
      <c r="AT40" s="647">
        <v>1.30180904</v>
      </c>
      <c r="AU40" s="647">
        <v>1.5104613600000001</v>
      </c>
      <c r="AV40" s="647">
        <v>1.3154167999999999</v>
      </c>
      <c r="AW40" s="664"/>
      <c r="AX40" s="656">
        <v>40340</v>
      </c>
      <c r="AY40" s="661" t="s">
        <v>1669</v>
      </c>
      <c r="AZ40" s="635"/>
      <c r="BA40" s="661" t="s">
        <v>1254</v>
      </c>
      <c r="BB40" s="661" t="s">
        <v>2536</v>
      </c>
      <c r="BC40" s="661">
        <v>17720201</v>
      </c>
      <c r="BD40" s="627">
        <v>17720101</v>
      </c>
      <c r="BE40" s="627">
        <v>17718201</v>
      </c>
      <c r="BF40" s="627">
        <v>32345703</v>
      </c>
      <c r="BG40" s="627" t="s">
        <v>1086</v>
      </c>
      <c r="BH40" s="635"/>
      <c r="BI40" s="595">
        <v>40800</v>
      </c>
      <c r="BJ40" s="670"/>
      <c r="BK40" s="670"/>
      <c r="BL40" s="636"/>
      <c r="BM40" s="670"/>
      <c r="BN40" s="636"/>
      <c r="BO40" s="633"/>
      <c r="BP40" s="639"/>
      <c r="BQ40" s="633">
        <v>0.38</v>
      </c>
      <c r="BR40" s="664"/>
      <c r="BS40" s="664"/>
      <c r="BT40" s="653"/>
      <c r="BU40" s="652"/>
      <c r="BV40" s="639"/>
      <c r="BW40" s="639"/>
      <c r="BX40" s="640"/>
      <c r="BY40" s="659">
        <v>22</v>
      </c>
      <c r="BZ40" s="637"/>
      <c r="CA40" s="664"/>
      <c r="CB40" s="664"/>
      <c r="CC40" s="668"/>
      <c r="CD40" s="640"/>
      <c r="CE40" s="632"/>
      <c r="CF40" s="641"/>
      <c r="CG40" s="655"/>
      <c r="CH40" s="655"/>
      <c r="CI40" s="612"/>
      <c r="CK40" s="183"/>
    </row>
    <row r="41" spans="1:114" s="628" customFormat="1" ht="75" hidden="1" customHeight="1" x14ac:dyDescent="0.2">
      <c r="A41" s="678">
        <v>44</v>
      </c>
      <c r="B41" s="661" t="s">
        <v>3972</v>
      </c>
      <c r="C41" s="661" t="s">
        <v>3982</v>
      </c>
      <c r="D41" s="661" t="s">
        <v>614</v>
      </c>
      <c r="E41" s="661" t="s">
        <v>4007</v>
      </c>
      <c r="F41" s="661">
        <v>2012</v>
      </c>
      <c r="G41" s="657" t="s">
        <v>1797</v>
      </c>
      <c r="H41" s="661" t="s">
        <v>4025</v>
      </c>
      <c r="I41" s="673" t="s">
        <v>1597</v>
      </c>
      <c r="J41" s="661" t="s">
        <v>114</v>
      </c>
      <c r="K41" s="661"/>
      <c r="L41" s="661">
        <v>330</v>
      </c>
      <c r="M41" s="661"/>
      <c r="N41" s="660" t="s">
        <v>1866</v>
      </c>
      <c r="O41" s="661" t="s">
        <v>1706</v>
      </c>
      <c r="P41" s="841" t="s">
        <v>3995</v>
      </c>
      <c r="Q41" s="841" t="s">
        <v>2373</v>
      </c>
      <c r="R41" s="841" t="s">
        <v>2373</v>
      </c>
      <c r="S41" s="627" t="s">
        <v>3652</v>
      </c>
      <c r="T41" s="627" t="s">
        <v>3652</v>
      </c>
      <c r="U41" s="666">
        <v>7.0000000000000007E-2</v>
      </c>
      <c r="V41" s="666">
        <v>7.0000000000000007E-2</v>
      </c>
      <c r="W41" s="661" t="s">
        <v>3664</v>
      </c>
      <c r="X41" s="661">
        <v>14.11</v>
      </c>
      <c r="Y41" s="661" t="s">
        <v>3259</v>
      </c>
      <c r="Z41" s="661" t="s">
        <v>3793</v>
      </c>
      <c r="AA41" s="661">
        <v>144</v>
      </c>
      <c r="AB41" s="661" t="s">
        <v>1250</v>
      </c>
      <c r="AC41" s="661" t="s">
        <v>119</v>
      </c>
      <c r="AD41" s="661" t="s">
        <v>1581</v>
      </c>
      <c r="AE41" s="660" t="s">
        <v>1801</v>
      </c>
      <c r="AF41" s="661">
        <v>38.9</v>
      </c>
      <c r="AG41" s="661">
        <v>45.8</v>
      </c>
      <c r="AH41" s="661" t="s">
        <v>122</v>
      </c>
      <c r="AI41" s="661" t="s">
        <v>122</v>
      </c>
      <c r="AJ41" s="661" t="s">
        <v>1582</v>
      </c>
      <c r="AK41" s="661" t="s">
        <v>3744</v>
      </c>
      <c r="AL41" s="661"/>
      <c r="AM41" s="661"/>
      <c r="AN41" s="661" t="s">
        <v>1784</v>
      </c>
      <c r="AO41" s="661"/>
      <c r="AP41" s="666"/>
      <c r="AQ41" s="666">
        <v>0.57999999999999996</v>
      </c>
      <c r="AR41" s="647">
        <v>4.4905607999999999</v>
      </c>
      <c r="AS41" s="647">
        <v>1.5104613600000001</v>
      </c>
      <c r="AT41" s="647">
        <v>1.30180904</v>
      </c>
      <c r="AU41" s="647">
        <v>1.5104613600000001</v>
      </c>
      <c r="AV41" s="647">
        <v>1.3154167999999999</v>
      </c>
      <c r="AW41" s="664"/>
      <c r="AX41" s="656">
        <v>40340</v>
      </c>
      <c r="AY41" s="661" t="s">
        <v>1669</v>
      </c>
      <c r="AZ41" s="661"/>
      <c r="BA41" s="661" t="s">
        <v>1255</v>
      </c>
      <c r="BB41" s="661" t="s">
        <v>2537</v>
      </c>
      <c r="BC41" s="661">
        <v>17720201</v>
      </c>
      <c r="BD41" s="627">
        <v>17720101</v>
      </c>
      <c r="BE41" s="627">
        <v>17718201</v>
      </c>
      <c r="BF41" s="627">
        <v>32345703</v>
      </c>
      <c r="BG41" s="627" t="s">
        <v>1086</v>
      </c>
      <c r="BH41" s="661"/>
      <c r="BI41" s="595">
        <v>40800</v>
      </c>
      <c r="BJ41" s="670"/>
      <c r="BK41" s="670"/>
      <c r="BL41" s="663"/>
      <c r="BM41" s="670"/>
      <c r="BN41" s="663"/>
      <c r="BO41" s="659"/>
      <c r="BP41" s="652"/>
      <c r="BQ41" s="659">
        <v>0.38</v>
      </c>
      <c r="BR41" s="664"/>
      <c r="BS41" s="664"/>
      <c r="BT41" s="653"/>
      <c r="BU41" s="652"/>
      <c r="BV41" s="652"/>
      <c r="BW41" s="652"/>
      <c r="BX41" s="668"/>
      <c r="BY41" s="659">
        <v>22</v>
      </c>
      <c r="BZ41" s="665"/>
      <c r="CA41" s="664"/>
      <c r="CB41" s="664"/>
      <c r="CC41" s="668"/>
      <c r="CD41" s="668"/>
      <c r="CE41" s="651"/>
      <c r="CF41" s="654"/>
      <c r="CG41" s="655"/>
      <c r="CH41" s="655"/>
      <c r="CI41" s="612"/>
      <c r="CK41" s="619"/>
    </row>
    <row r="42" spans="1:114" s="628" customFormat="1" ht="75" hidden="1" customHeight="1" x14ac:dyDescent="0.2">
      <c r="A42" s="678">
        <v>44</v>
      </c>
      <c r="B42" s="661" t="s">
        <v>3972</v>
      </c>
      <c r="C42" s="635" t="s">
        <v>3982</v>
      </c>
      <c r="D42" s="635" t="s">
        <v>614</v>
      </c>
      <c r="E42" s="661" t="s">
        <v>4007</v>
      </c>
      <c r="F42" s="661">
        <v>2012</v>
      </c>
      <c r="G42" s="643" t="s">
        <v>1797</v>
      </c>
      <c r="H42" s="635" t="s">
        <v>4026</v>
      </c>
      <c r="I42" s="673" t="s">
        <v>1597</v>
      </c>
      <c r="J42" s="661" t="s">
        <v>114</v>
      </c>
      <c r="K42" s="661"/>
      <c r="L42" s="661">
        <v>345</v>
      </c>
      <c r="M42" s="661"/>
      <c r="N42" s="634" t="s">
        <v>1256</v>
      </c>
      <c r="O42" s="635" t="s">
        <v>1706</v>
      </c>
      <c r="P42" s="841" t="s">
        <v>3995</v>
      </c>
      <c r="Q42" s="841" t="s">
        <v>2373</v>
      </c>
      <c r="R42" s="841" t="s">
        <v>2373</v>
      </c>
      <c r="S42" s="627" t="s">
        <v>3652</v>
      </c>
      <c r="T42" s="627" t="s">
        <v>3652</v>
      </c>
      <c r="U42" s="666">
        <v>7.0000000000000007E-2</v>
      </c>
      <c r="V42" s="666">
        <v>7.0000000000000007E-2</v>
      </c>
      <c r="W42" s="635" t="s">
        <v>3664</v>
      </c>
      <c r="X42" s="661">
        <v>14.11</v>
      </c>
      <c r="Y42" s="635" t="s">
        <v>3259</v>
      </c>
      <c r="Z42" s="635" t="s">
        <v>3793</v>
      </c>
      <c r="AA42" s="635">
        <v>144</v>
      </c>
      <c r="AB42" s="635" t="s">
        <v>1249</v>
      </c>
      <c r="AC42" s="635" t="s">
        <v>2487</v>
      </c>
      <c r="AD42" s="635" t="s">
        <v>1581</v>
      </c>
      <c r="AE42" s="660" t="s">
        <v>1801</v>
      </c>
      <c r="AF42" s="661">
        <v>38.9</v>
      </c>
      <c r="AG42" s="661">
        <v>45.8</v>
      </c>
      <c r="AH42" s="661" t="s">
        <v>122</v>
      </c>
      <c r="AI42" s="661" t="s">
        <v>122</v>
      </c>
      <c r="AJ42" s="635" t="s">
        <v>1582</v>
      </c>
      <c r="AK42" s="635" t="s">
        <v>3744</v>
      </c>
      <c r="AL42" s="661"/>
      <c r="AM42" s="661"/>
      <c r="AN42" s="661" t="s">
        <v>1784</v>
      </c>
      <c r="AO42" s="661"/>
      <c r="AP42" s="666"/>
      <c r="AQ42" s="666">
        <v>0.41</v>
      </c>
      <c r="AR42" s="647">
        <v>4.4905607999999999</v>
      </c>
      <c r="AS42" s="647">
        <v>1.5830360800000001</v>
      </c>
      <c r="AT42" s="647">
        <v>1.34716824</v>
      </c>
      <c r="AU42" s="647">
        <v>1.4968535999999999</v>
      </c>
      <c r="AV42" s="647">
        <v>1.3063449599999999</v>
      </c>
      <c r="AW42" s="664"/>
      <c r="AX42" s="656">
        <v>40340</v>
      </c>
      <c r="AY42" s="661" t="s">
        <v>1669</v>
      </c>
      <c r="AZ42" s="635"/>
      <c r="BA42" s="661" t="s">
        <v>620</v>
      </c>
      <c r="BB42" s="661" t="s">
        <v>697</v>
      </c>
      <c r="BC42" s="661">
        <v>17649101</v>
      </c>
      <c r="BD42" s="627">
        <v>17734401</v>
      </c>
      <c r="BE42" s="627">
        <v>17718501</v>
      </c>
      <c r="BF42" s="627">
        <v>32345703</v>
      </c>
      <c r="BG42" s="627" t="s">
        <v>1086</v>
      </c>
      <c r="BH42" s="635"/>
      <c r="BI42" s="595">
        <v>40800</v>
      </c>
      <c r="BJ42" s="670"/>
      <c r="BK42" s="670"/>
      <c r="BL42" s="636"/>
      <c r="BM42" s="670"/>
      <c r="BN42" s="636"/>
      <c r="BO42" s="633"/>
      <c r="BP42" s="639"/>
      <c r="BQ42" s="633">
        <v>0.38</v>
      </c>
      <c r="BR42" s="664"/>
      <c r="BS42" s="664"/>
      <c r="BT42" s="653"/>
      <c r="BU42" s="652"/>
      <c r="BV42" s="639"/>
      <c r="BW42" s="639"/>
      <c r="BX42" s="640"/>
      <c r="BY42" s="659">
        <v>22</v>
      </c>
      <c r="BZ42" s="637"/>
      <c r="CA42" s="664"/>
      <c r="CB42" s="664"/>
      <c r="CC42" s="668"/>
      <c r="CD42" s="640"/>
      <c r="CE42" s="632"/>
      <c r="CF42" s="641"/>
      <c r="CG42" s="655"/>
      <c r="CH42" s="655"/>
      <c r="CI42" s="612"/>
      <c r="CK42" s="619"/>
    </row>
    <row r="43" spans="1:114" ht="75" hidden="1" customHeight="1" x14ac:dyDescent="0.2">
      <c r="A43" s="678">
        <v>44</v>
      </c>
      <c r="B43" s="661" t="s">
        <v>3972</v>
      </c>
      <c r="C43" s="661" t="s">
        <v>3982</v>
      </c>
      <c r="D43" s="661" t="s">
        <v>614</v>
      </c>
      <c r="E43" s="661" t="s">
        <v>4007</v>
      </c>
      <c r="F43" s="661">
        <v>2012</v>
      </c>
      <c r="G43" s="657" t="s">
        <v>1797</v>
      </c>
      <c r="H43" s="661" t="s">
        <v>4026</v>
      </c>
      <c r="I43" s="673" t="s">
        <v>1597</v>
      </c>
      <c r="J43" s="661" t="s">
        <v>114</v>
      </c>
      <c r="K43" s="661"/>
      <c r="L43" s="661">
        <v>345</v>
      </c>
      <c r="M43" s="661"/>
      <c r="N43" s="660" t="s">
        <v>1256</v>
      </c>
      <c r="O43" s="661" t="s">
        <v>1706</v>
      </c>
      <c r="P43" s="841" t="s">
        <v>3995</v>
      </c>
      <c r="Q43" s="841" t="s">
        <v>2373</v>
      </c>
      <c r="R43" s="841" t="s">
        <v>2373</v>
      </c>
      <c r="S43" s="627" t="s">
        <v>3652</v>
      </c>
      <c r="T43" s="627" t="s">
        <v>3652</v>
      </c>
      <c r="U43" s="666">
        <v>7.0000000000000007E-2</v>
      </c>
      <c r="V43" s="666">
        <v>7.0000000000000007E-2</v>
      </c>
      <c r="W43" s="661" t="s">
        <v>3664</v>
      </c>
      <c r="X43" s="661">
        <v>14.11</v>
      </c>
      <c r="Y43" s="661" t="s">
        <v>3259</v>
      </c>
      <c r="Z43" s="661" t="s">
        <v>3793</v>
      </c>
      <c r="AA43" s="661">
        <v>144</v>
      </c>
      <c r="AB43" s="661" t="s">
        <v>1250</v>
      </c>
      <c r="AC43" s="661" t="s">
        <v>119</v>
      </c>
      <c r="AD43" s="661" t="s">
        <v>1581</v>
      </c>
      <c r="AE43" s="660" t="s">
        <v>1801</v>
      </c>
      <c r="AF43" s="661">
        <v>38.9</v>
      </c>
      <c r="AG43" s="661">
        <v>45.8</v>
      </c>
      <c r="AH43" s="661" t="s">
        <v>122</v>
      </c>
      <c r="AI43" s="661" t="s">
        <v>122</v>
      </c>
      <c r="AJ43" s="661" t="s">
        <v>1582</v>
      </c>
      <c r="AK43" s="661" t="s">
        <v>3744</v>
      </c>
      <c r="AL43" s="661"/>
      <c r="AM43" s="661"/>
      <c r="AN43" s="661" t="s">
        <v>1784</v>
      </c>
      <c r="AO43" s="661"/>
      <c r="AP43" s="666"/>
      <c r="AQ43" s="666">
        <v>0.41</v>
      </c>
      <c r="AR43" s="347">
        <v>4.4905607999999999</v>
      </c>
      <c r="AS43" s="347">
        <v>1.5830360800000001</v>
      </c>
      <c r="AT43" s="347">
        <v>1.34716824</v>
      </c>
      <c r="AU43" s="347">
        <v>1.4968535999999999</v>
      </c>
      <c r="AV43" s="347">
        <v>1.3063449599999999</v>
      </c>
      <c r="AW43" s="664"/>
      <c r="AX43" s="656">
        <v>40340</v>
      </c>
      <c r="AY43" s="661" t="s">
        <v>1669</v>
      </c>
      <c r="AZ43" s="661"/>
      <c r="BA43" s="661" t="s">
        <v>2015</v>
      </c>
      <c r="BB43" s="661" t="s">
        <v>698</v>
      </c>
      <c r="BC43" s="661">
        <v>17649101</v>
      </c>
      <c r="BD43" s="627">
        <v>17734401</v>
      </c>
      <c r="BE43" s="627">
        <v>17718501</v>
      </c>
      <c r="BF43" s="627">
        <v>32345703</v>
      </c>
      <c r="BG43" s="627" t="s">
        <v>1086</v>
      </c>
      <c r="BH43" s="661"/>
      <c r="BI43" s="595">
        <v>40800</v>
      </c>
      <c r="BJ43" s="670"/>
      <c r="BK43" s="670"/>
      <c r="BL43" s="663"/>
      <c r="BM43" s="670"/>
      <c r="BN43" s="663"/>
      <c r="BO43" s="659"/>
      <c r="BP43" s="652"/>
      <c r="BQ43" s="659">
        <v>0.38</v>
      </c>
      <c r="BR43" s="664"/>
      <c r="BS43" s="664"/>
      <c r="BT43" s="653"/>
      <c r="BU43" s="652"/>
      <c r="BV43" s="652"/>
      <c r="BW43" s="652"/>
      <c r="BX43" s="668"/>
      <c r="BY43" s="659">
        <v>22</v>
      </c>
      <c r="BZ43" s="665"/>
      <c r="CA43" s="664"/>
      <c r="CB43" s="664"/>
      <c r="CC43" s="668"/>
      <c r="CD43" s="668"/>
      <c r="CE43" s="651"/>
      <c r="CF43" s="654"/>
      <c r="CG43" s="655"/>
      <c r="CH43" s="655"/>
      <c r="CI43" s="612"/>
      <c r="CJ43" s="671"/>
      <c r="CK43" s="661"/>
      <c r="CL43" s="671"/>
      <c r="CM43" s="671"/>
      <c r="CN43" s="671"/>
      <c r="CO43" s="671"/>
      <c r="CP43" s="532"/>
      <c r="CQ43" s="532"/>
      <c r="CR43" s="532"/>
      <c r="CS43" s="532"/>
      <c r="CT43" s="532"/>
      <c r="CU43" s="532"/>
      <c r="CV43" s="532"/>
      <c r="CW43" s="532"/>
      <c r="CX43" s="532"/>
      <c r="CY43" s="532"/>
      <c r="CZ43" s="532"/>
      <c r="DA43" s="532"/>
      <c r="DB43" s="532"/>
      <c r="DC43" s="532"/>
      <c r="DD43" s="532"/>
      <c r="DE43" s="532"/>
      <c r="DF43" s="532"/>
      <c r="DG43" s="532"/>
      <c r="DH43" s="532"/>
      <c r="DI43" s="532"/>
      <c r="DJ43" s="532"/>
    </row>
    <row r="44" spans="1:114" s="324" customFormat="1" ht="75" hidden="1" customHeight="1" x14ac:dyDescent="0.2">
      <c r="A44" s="678">
        <v>44</v>
      </c>
      <c r="B44" s="661" t="s">
        <v>3972</v>
      </c>
      <c r="C44" s="661" t="s">
        <v>3982</v>
      </c>
      <c r="D44" s="661" t="s">
        <v>614</v>
      </c>
      <c r="E44" s="661" t="s">
        <v>4007</v>
      </c>
      <c r="F44" s="661">
        <v>2012</v>
      </c>
      <c r="G44" s="657" t="s">
        <v>1797</v>
      </c>
      <c r="H44" s="661" t="s">
        <v>4026</v>
      </c>
      <c r="I44" s="673" t="s">
        <v>1597</v>
      </c>
      <c r="J44" s="661" t="s">
        <v>114</v>
      </c>
      <c r="K44" s="661"/>
      <c r="L44" s="661">
        <v>345</v>
      </c>
      <c r="M44" s="661"/>
      <c r="N44" s="660" t="s">
        <v>1256</v>
      </c>
      <c r="O44" s="661" t="s">
        <v>1706</v>
      </c>
      <c r="P44" s="841" t="s">
        <v>3995</v>
      </c>
      <c r="Q44" s="841" t="s">
        <v>2373</v>
      </c>
      <c r="R44" s="841" t="s">
        <v>2373</v>
      </c>
      <c r="S44" s="627" t="s">
        <v>3652</v>
      </c>
      <c r="T44" s="627" t="s">
        <v>3652</v>
      </c>
      <c r="U44" s="666">
        <v>7.0000000000000007E-2</v>
      </c>
      <c r="V44" s="666">
        <v>7.0000000000000007E-2</v>
      </c>
      <c r="W44" s="661" t="s">
        <v>3664</v>
      </c>
      <c r="X44" s="661">
        <v>14.11</v>
      </c>
      <c r="Y44" s="661" t="s">
        <v>3259</v>
      </c>
      <c r="Z44" s="661" t="s">
        <v>3793</v>
      </c>
      <c r="AA44" s="661">
        <v>144</v>
      </c>
      <c r="AB44" s="661" t="s">
        <v>1249</v>
      </c>
      <c r="AC44" s="661" t="s">
        <v>2487</v>
      </c>
      <c r="AD44" s="661" t="s">
        <v>1581</v>
      </c>
      <c r="AE44" s="660" t="s">
        <v>1801</v>
      </c>
      <c r="AF44" s="661">
        <v>38.9</v>
      </c>
      <c r="AG44" s="661">
        <v>45.8</v>
      </c>
      <c r="AH44" s="661" t="s">
        <v>122</v>
      </c>
      <c r="AI44" s="661" t="s">
        <v>122</v>
      </c>
      <c r="AJ44" s="661" t="s">
        <v>1582</v>
      </c>
      <c r="AK44" s="661" t="s">
        <v>3744</v>
      </c>
      <c r="AL44" s="661"/>
      <c r="AM44" s="661"/>
      <c r="AN44" s="661" t="s">
        <v>1784</v>
      </c>
      <c r="AO44" s="661"/>
      <c r="AP44" s="666"/>
      <c r="AQ44" s="666">
        <v>0.41</v>
      </c>
      <c r="AR44" s="679">
        <v>4.53592</v>
      </c>
      <c r="AS44" s="679">
        <v>1.5830360800000001</v>
      </c>
      <c r="AT44" s="679">
        <v>1.34716824</v>
      </c>
      <c r="AU44" s="679">
        <v>1.5104613600000001</v>
      </c>
      <c r="AV44" s="679">
        <v>1.3154167999999999</v>
      </c>
      <c r="AW44" s="664"/>
      <c r="AX44" s="656">
        <v>40340</v>
      </c>
      <c r="AY44" s="661" t="s">
        <v>1669</v>
      </c>
      <c r="AZ44" s="661"/>
      <c r="BA44" s="661" t="s">
        <v>2016</v>
      </c>
      <c r="BB44" s="661" t="s">
        <v>2538</v>
      </c>
      <c r="BC44" s="661">
        <v>17720201</v>
      </c>
      <c r="BD44" s="627">
        <v>17720101</v>
      </c>
      <c r="BE44" s="627">
        <v>17718501</v>
      </c>
      <c r="BF44" s="627">
        <v>32345703</v>
      </c>
      <c r="BG44" s="627" t="s">
        <v>1086</v>
      </c>
      <c r="BH44" s="661"/>
      <c r="BI44" s="595">
        <v>40800</v>
      </c>
      <c r="BJ44" s="670"/>
      <c r="BK44" s="670"/>
      <c r="BL44" s="663"/>
      <c r="BM44" s="670"/>
      <c r="BN44" s="663"/>
      <c r="BO44" s="659"/>
      <c r="BP44" s="652"/>
      <c r="BQ44" s="659">
        <v>0.38</v>
      </c>
      <c r="BR44" s="664"/>
      <c r="BS44" s="664"/>
      <c r="BT44" s="653"/>
      <c r="BU44" s="652"/>
      <c r="BV44" s="652"/>
      <c r="BW44" s="652"/>
      <c r="BX44" s="668"/>
      <c r="BY44" s="659">
        <v>22</v>
      </c>
      <c r="BZ44" s="665"/>
      <c r="CA44" s="664"/>
      <c r="CB44" s="664"/>
      <c r="CC44" s="668"/>
      <c r="CD44" s="668"/>
      <c r="CE44" s="651"/>
      <c r="CF44" s="654"/>
      <c r="CG44" s="655"/>
      <c r="CH44" s="655"/>
      <c r="CI44" s="198"/>
      <c r="CJ44" s="671"/>
      <c r="CK44" s="661"/>
      <c r="CL44" s="671"/>
      <c r="CM44" s="671"/>
      <c r="CN44" s="671"/>
      <c r="CO44" s="671"/>
    </row>
    <row r="45" spans="1:114" s="324" customFormat="1" ht="75" hidden="1" customHeight="1" x14ac:dyDescent="0.2">
      <c r="A45" s="344">
        <v>44</v>
      </c>
      <c r="B45" s="598" t="s">
        <v>3972</v>
      </c>
      <c r="C45" s="598" t="s">
        <v>3982</v>
      </c>
      <c r="D45" s="598" t="s">
        <v>614</v>
      </c>
      <c r="E45" s="598" t="s">
        <v>4007</v>
      </c>
      <c r="F45" s="598">
        <v>2012</v>
      </c>
      <c r="G45" s="683" t="s">
        <v>1797</v>
      </c>
      <c r="H45" s="598" t="s">
        <v>4026</v>
      </c>
      <c r="I45" s="684" t="s">
        <v>1597</v>
      </c>
      <c r="J45" s="841" t="s">
        <v>114</v>
      </c>
      <c r="K45" s="598"/>
      <c r="L45" s="598">
        <v>345</v>
      </c>
      <c r="M45" s="598"/>
      <c r="N45" s="345" t="s">
        <v>1256</v>
      </c>
      <c r="O45" s="598" t="s">
        <v>1706</v>
      </c>
      <c r="P45" s="598" t="s">
        <v>3995</v>
      </c>
      <c r="Q45" s="841" t="s">
        <v>2373</v>
      </c>
      <c r="R45" s="841" t="s">
        <v>2373</v>
      </c>
      <c r="S45" s="864" t="s">
        <v>3652</v>
      </c>
      <c r="T45" s="864" t="s">
        <v>3652</v>
      </c>
      <c r="U45" s="858">
        <v>7.0000000000000007E-2</v>
      </c>
      <c r="V45" s="858">
        <v>7.0000000000000007E-2</v>
      </c>
      <c r="W45" s="598" t="s">
        <v>3664</v>
      </c>
      <c r="X45" s="598">
        <v>14.11</v>
      </c>
      <c r="Y45" s="598" t="s">
        <v>3259</v>
      </c>
      <c r="Z45" s="598" t="s">
        <v>3793</v>
      </c>
      <c r="AA45" s="598">
        <v>144</v>
      </c>
      <c r="AB45" s="598" t="s">
        <v>1250</v>
      </c>
      <c r="AC45" s="598" t="s">
        <v>119</v>
      </c>
      <c r="AD45" s="598" t="s">
        <v>1581</v>
      </c>
      <c r="AE45" s="345" t="s">
        <v>1801</v>
      </c>
      <c r="AF45" s="598">
        <v>38.9</v>
      </c>
      <c r="AG45" s="598">
        <v>45.8</v>
      </c>
      <c r="AH45" s="598" t="s">
        <v>122</v>
      </c>
      <c r="AI45" s="598" t="s">
        <v>122</v>
      </c>
      <c r="AJ45" s="598" t="s">
        <v>1582</v>
      </c>
      <c r="AK45" s="598" t="s">
        <v>3744</v>
      </c>
      <c r="AL45" s="598"/>
      <c r="AM45" s="598"/>
      <c r="AN45" s="598" t="s">
        <v>1784</v>
      </c>
      <c r="AO45" s="598"/>
      <c r="AP45" s="858"/>
      <c r="AQ45" s="858">
        <v>0.41</v>
      </c>
      <c r="AR45" s="858">
        <v>4.53592</v>
      </c>
      <c r="AS45" s="858">
        <v>1.5830360800000001</v>
      </c>
      <c r="AT45" s="858">
        <v>1.34716824</v>
      </c>
      <c r="AU45" s="858">
        <v>1.5104613600000001</v>
      </c>
      <c r="AV45" s="858">
        <v>1.3154167999999999</v>
      </c>
      <c r="AW45" s="686"/>
      <c r="AX45" s="866">
        <v>40340</v>
      </c>
      <c r="AY45" s="841" t="s">
        <v>1669</v>
      </c>
      <c r="AZ45" s="598"/>
      <c r="BA45" s="598" t="s">
        <v>2017</v>
      </c>
      <c r="BB45" s="598" t="s">
        <v>2539</v>
      </c>
      <c r="BC45" s="598">
        <v>17720201</v>
      </c>
      <c r="BD45" s="864">
        <v>17720101</v>
      </c>
      <c r="BE45" s="864">
        <v>17718501</v>
      </c>
      <c r="BF45" s="864">
        <v>32345703</v>
      </c>
      <c r="BG45" s="864" t="s">
        <v>1086</v>
      </c>
      <c r="BH45" s="598"/>
      <c r="BI45" s="689">
        <v>40800</v>
      </c>
      <c r="BJ45" s="867"/>
      <c r="BK45" s="867"/>
      <c r="BL45" s="690"/>
      <c r="BM45" s="867"/>
      <c r="BN45" s="690"/>
      <c r="BO45" s="346"/>
      <c r="BP45" s="350"/>
      <c r="BQ45" s="346">
        <v>0.38</v>
      </c>
      <c r="BR45" s="686"/>
      <c r="BS45" s="686"/>
      <c r="BT45" s="848"/>
      <c r="BU45" s="350"/>
      <c r="BV45" s="350"/>
      <c r="BW45" s="350"/>
      <c r="BX45" s="351"/>
      <c r="BY45" s="346">
        <v>22</v>
      </c>
      <c r="BZ45" s="691"/>
      <c r="CA45" s="686"/>
      <c r="CB45" s="686"/>
      <c r="CC45" s="351"/>
      <c r="CD45" s="351"/>
      <c r="CE45" s="313"/>
      <c r="CF45" s="692"/>
      <c r="CG45" s="868"/>
      <c r="CH45" s="868"/>
      <c r="CI45" s="869"/>
      <c r="CJ45" s="850"/>
      <c r="CK45" s="841"/>
      <c r="CL45" s="850"/>
      <c r="CM45" s="850"/>
      <c r="CN45" s="850"/>
      <c r="CO45" s="850"/>
    </row>
    <row r="46" spans="1:114" s="324" customFormat="1" ht="75" hidden="1" customHeight="1" x14ac:dyDescent="0.2">
      <c r="A46" s="344">
        <v>44</v>
      </c>
      <c r="B46" s="598" t="s">
        <v>402</v>
      </c>
      <c r="C46" s="598" t="s">
        <v>3982</v>
      </c>
      <c r="D46" s="598" t="s">
        <v>614</v>
      </c>
      <c r="E46" s="598" t="s">
        <v>4007</v>
      </c>
      <c r="F46" s="598">
        <v>2012</v>
      </c>
      <c r="G46" s="683" t="s">
        <v>1797</v>
      </c>
      <c r="H46" s="598" t="s">
        <v>4027</v>
      </c>
      <c r="I46" s="684" t="s">
        <v>1597</v>
      </c>
      <c r="J46" s="841" t="s">
        <v>114</v>
      </c>
      <c r="K46" s="598"/>
      <c r="L46" s="598">
        <v>345</v>
      </c>
      <c r="M46" s="598"/>
      <c r="N46" s="345" t="s">
        <v>1256</v>
      </c>
      <c r="O46" s="598" t="s">
        <v>1706</v>
      </c>
      <c r="P46" s="598" t="s">
        <v>3995</v>
      </c>
      <c r="Q46" s="841" t="s">
        <v>2373</v>
      </c>
      <c r="R46" s="841" t="s">
        <v>2373</v>
      </c>
      <c r="S46" s="864" t="s">
        <v>3652</v>
      </c>
      <c r="T46" s="864" t="s">
        <v>3652</v>
      </c>
      <c r="U46" s="858">
        <v>7.0000000000000007E-2</v>
      </c>
      <c r="V46" s="858">
        <v>7.0000000000000007E-2</v>
      </c>
      <c r="W46" s="598" t="s">
        <v>3664</v>
      </c>
      <c r="X46" s="598">
        <v>14.11</v>
      </c>
      <c r="Y46" s="598" t="s">
        <v>3259</v>
      </c>
      <c r="Z46" s="598" t="s">
        <v>3793</v>
      </c>
      <c r="AA46" s="598">
        <v>144</v>
      </c>
      <c r="AB46" s="598" t="s">
        <v>1249</v>
      </c>
      <c r="AC46" s="598" t="s">
        <v>2487</v>
      </c>
      <c r="AD46" s="598" t="s">
        <v>1581</v>
      </c>
      <c r="AE46" s="345" t="s">
        <v>1801</v>
      </c>
      <c r="AF46" s="598">
        <v>38.9</v>
      </c>
      <c r="AG46" s="598">
        <v>38.9</v>
      </c>
      <c r="AH46" s="598" t="s">
        <v>122</v>
      </c>
      <c r="AI46" s="598" t="s">
        <v>122</v>
      </c>
      <c r="AJ46" s="598" t="s">
        <v>1582</v>
      </c>
      <c r="AK46" s="598" t="s">
        <v>3744</v>
      </c>
      <c r="AL46" s="598"/>
      <c r="AM46" s="598"/>
      <c r="AN46" s="598" t="s">
        <v>1784</v>
      </c>
      <c r="AO46" s="598"/>
      <c r="AP46" s="858"/>
      <c r="AQ46" s="858">
        <v>0.4</v>
      </c>
      <c r="AR46" s="858">
        <v>4.53592</v>
      </c>
      <c r="AS46" s="858">
        <v>1.5830360800000001</v>
      </c>
      <c r="AT46" s="858">
        <v>1.3426323199999999</v>
      </c>
      <c r="AU46" s="858">
        <v>1.5104613600000001</v>
      </c>
      <c r="AV46" s="858">
        <v>1.3154167999999999</v>
      </c>
      <c r="AW46" s="686"/>
      <c r="AX46" s="866">
        <v>40340</v>
      </c>
      <c r="AY46" s="841" t="s">
        <v>1669</v>
      </c>
      <c r="AZ46" s="598"/>
      <c r="BA46" s="598" t="s">
        <v>3804</v>
      </c>
      <c r="BB46" s="598" t="s">
        <v>3805</v>
      </c>
      <c r="BC46" s="598">
        <v>17720201</v>
      </c>
      <c r="BD46" s="864" t="s">
        <v>3807</v>
      </c>
      <c r="BE46" s="864" t="s">
        <v>3806</v>
      </c>
      <c r="BF46" s="864">
        <v>32352564</v>
      </c>
      <c r="BG46" s="864" t="s">
        <v>1086</v>
      </c>
      <c r="BH46" s="598"/>
      <c r="BI46" s="689">
        <v>40800</v>
      </c>
      <c r="BJ46" s="867"/>
      <c r="BK46" s="867"/>
      <c r="BL46" s="690"/>
      <c r="BM46" s="867"/>
      <c r="BN46" s="690"/>
      <c r="BO46" s="346"/>
      <c r="BP46" s="350"/>
      <c r="BQ46" s="346">
        <v>0.38</v>
      </c>
      <c r="BR46" s="686"/>
      <c r="BS46" s="686"/>
      <c r="BT46" s="848"/>
      <c r="BU46" s="350"/>
      <c r="BV46" s="350"/>
      <c r="BW46" s="350"/>
      <c r="BX46" s="351"/>
      <c r="BY46" s="346">
        <v>26</v>
      </c>
      <c r="BZ46" s="691"/>
      <c r="CA46" s="686"/>
      <c r="CB46" s="686"/>
      <c r="CC46" s="351"/>
      <c r="CD46" s="351"/>
      <c r="CE46" s="313"/>
      <c r="CF46" s="692"/>
      <c r="CG46" s="868"/>
      <c r="CH46" s="868"/>
      <c r="CI46" s="869"/>
      <c r="CJ46" s="850"/>
      <c r="CK46" s="841"/>
      <c r="CL46" s="850"/>
      <c r="CM46" s="850"/>
      <c r="CN46" s="850"/>
      <c r="CO46" s="850"/>
    </row>
    <row r="47" spans="1:114" ht="75" hidden="1" customHeight="1" x14ac:dyDescent="0.2">
      <c r="A47" s="678">
        <v>45</v>
      </c>
      <c r="B47" s="840" t="s">
        <v>4061</v>
      </c>
      <c r="C47" s="598" t="s">
        <v>3982</v>
      </c>
      <c r="D47" s="841" t="s">
        <v>616</v>
      </c>
      <c r="E47" s="841" t="s">
        <v>4008</v>
      </c>
      <c r="F47" s="840">
        <v>2019</v>
      </c>
      <c r="G47" s="853" t="s">
        <v>1797</v>
      </c>
      <c r="H47" s="598" t="s">
        <v>4354</v>
      </c>
      <c r="I47" s="673" t="s">
        <v>3217</v>
      </c>
      <c r="J47" s="840" t="s">
        <v>114</v>
      </c>
      <c r="K47" s="841" t="s">
        <v>4355</v>
      </c>
      <c r="L47" s="840">
        <v>350</v>
      </c>
      <c r="M47" s="840">
        <v>147</v>
      </c>
      <c r="N47" s="840">
        <v>18</v>
      </c>
      <c r="O47" s="598" t="s">
        <v>1706</v>
      </c>
      <c r="P47" s="598" t="s">
        <v>4005</v>
      </c>
      <c r="Q47" s="598" t="s">
        <v>2797</v>
      </c>
      <c r="R47" s="598" t="s">
        <v>2797</v>
      </c>
      <c r="S47" s="598" t="s">
        <v>3653</v>
      </c>
      <c r="T47" s="598" t="s">
        <v>3653</v>
      </c>
      <c r="U47" s="598">
        <v>0.2495</v>
      </c>
      <c r="V47" s="598">
        <v>0.2495</v>
      </c>
      <c r="W47" s="598" t="s">
        <v>4340</v>
      </c>
      <c r="X47" s="863">
        <v>0.11</v>
      </c>
      <c r="Y47" s="598" t="s">
        <v>3682</v>
      </c>
      <c r="Z47" s="598" t="s">
        <v>3991</v>
      </c>
      <c r="AA47" s="841">
        <v>159</v>
      </c>
      <c r="AB47" s="598" t="s">
        <v>819</v>
      </c>
      <c r="AC47" s="841" t="s">
        <v>119</v>
      </c>
      <c r="AD47" s="598" t="s">
        <v>819</v>
      </c>
      <c r="AE47" s="598" t="s">
        <v>1668</v>
      </c>
      <c r="AF47" s="840">
        <v>44.3</v>
      </c>
      <c r="AG47" s="840">
        <v>41.5</v>
      </c>
      <c r="AH47" s="345" t="s">
        <v>122</v>
      </c>
      <c r="AI47" s="345" t="s">
        <v>122</v>
      </c>
      <c r="AJ47" s="598" t="s">
        <v>369</v>
      </c>
      <c r="AK47" s="598" t="s">
        <v>4341</v>
      </c>
      <c r="AL47" s="840"/>
      <c r="AM47" s="840"/>
      <c r="AN47" s="345" t="s">
        <v>1784</v>
      </c>
      <c r="AO47" s="840"/>
      <c r="AP47" s="346" t="s">
        <v>819</v>
      </c>
      <c r="AQ47" s="839" t="s">
        <v>4356</v>
      </c>
      <c r="AR47" s="858">
        <v>6.15</v>
      </c>
      <c r="AS47" s="858">
        <v>2.08</v>
      </c>
      <c r="AT47" s="858">
        <v>1.81</v>
      </c>
      <c r="AU47" s="858">
        <v>2.71</v>
      </c>
      <c r="AV47" s="858">
        <v>2.36</v>
      </c>
      <c r="AW47" s="843">
        <v>33.9</v>
      </c>
      <c r="AX47" s="597">
        <v>43549</v>
      </c>
      <c r="AY47" s="841" t="s">
        <v>1669</v>
      </c>
      <c r="AZ47" s="841"/>
      <c r="BA47" s="841" t="s">
        <v>4357</v>
      </c>
      <c r="BB47" s="841" t="s">
        <v>4358</v>
      </c>
      <c r="BC47" s="841" t="s">
        <v>4359</v>
      </c>
      <c r="BD47" s="841" t="s">
        <v>4360</v>
      </c>
      <c r="BE47" s="841" t="s">
        <v>4361</v>
      </c>
      <c r="BF47" s="598" t="s">
        <v>4348</v>
      </c>
      <c r="BG47" s="598" t="s">
        <v>4349</v>
      </c>
      <c r="BH47" s="839"/>
      <c r="BI47" s="688">
        <v>42496</v>
      </c>
      <c r="BJ47" s="690">
        <v>3058</v>
      </c>
      <c r="BK47" s="690">
        <v>3567</v>
      </c>
      <c r="BL47" s="350">
        <v>6625</v>
      </c>
      <c r="BM47" s="690">
        <v>720</v>
      </c>
      <c r="BN47" s="690">
        <v>3025</v>
      </c>
      <c r="BO47" s="346">
        <v>383</v>
      </c>
      <c r="BP47" s="846"/>
      <c r="BQ47" s="839">
        <v>0.38</v>
      </c>
      <c r="BR47" s="839"/>
      <c r="BS47" s="839"/>
      <c r="BT47" s="594">
        <v>228</v>
      </c>
      <c r="BU47" s="839">
        <v>2050</v>
      </c>
      <c r="BV47" s="846"/>
      <c r="BW47" s="846"/>
      <c r="BX47" s="847">
        <v>57.1</v>
      </c>
      <c r="BY47" s="839">
        <v>26</v>
      </c>
      <c r="BZ47" s="844"/>
      <c r="CA47" s="346" t="s">
        <v>819</v>
      </c>
      <c r="CB47" s="346" t="s">
        <v>819</v>
      </c>
      <c r="CC47" s="839"/>
      <c r="CD47" s="847"/>
      <c r="CE47" s="838"/>
      <c r="CF47" s="849"/>
      <c r="CG47" s="839"/>
      <c r="CH47" s="839"/>
      <c r="CI47" s="677"/>
      <c r="CJ47" s="850"/>
      <c r="CK47" s="841"/>
      <c r="CL47" s="850"/>
      <c r="CM47" s="850"/>
      <c r="CN47" s="850"/>
      <c r="CO47" s="850"/>
    </row>
    <row r="48" spans="1:114" s="532" customFormat="1" ht="75" hidden="1" customHeight="1" x14ac:dyDescent="0.2">
      <c r="A48" s="678">
        <v>45</v>
      </c>
      <c r="B48" s="840" t="s">
        <v>4061</v>
      </c>
      <c r="C48" s="598" t="s">
        <v>3982</v>
      </c>
      <c r="D48" s="841" t="s">
        <v>616</v>
      </c>
      <c r="E48" s="841" t="s">
        <v>4008</v>
      </c>
      <c r="F48" s="840">
        <v>2019</v>
      </c>
      <c r="G48" s="853" t="s">
        <v>1797</v>
      </c>
      <c r="H48" s="598" t="s">
        <v>4362</v>
      </c>
      <c r="I48" s="673" t="s">
        <v>3217</v>
      </c>
      <c r="J48" s="840" t="s">
        <v>114</v>
      </c>
      <c r="K48" s="841" t="s">
        <v>4355</v>
      </c>
      <c r="L48" s="840">
        <v>350</v>
      </c>
      <c r="M48" s="840">
        <v>147</v>
      </c>
      <c r="N48" s="840">
        <v>18</v>
      </c>
      <c r="O48" s="598" t="s">
        <v>1706</v>
      </c>
      <c r="P48" s="598" t="s">
        <v>4005</v>
      </c>
      <c r="Q48" s="598" t="s">
        <v>2797</v>
      </c>
      <c r="R48" s="598" t="s">
        <v>2797</v>
      </c>
      <c r="S48" s="598" t="s">
        <v>3653</v>
      </c>
      <c r="T48" s="598" t="s">
        <v>3653</v>
      </c>
      <c r="U48" s="598">
        <v>0.2495</v>
      </c>
      <c r="V48" s="598">
        <v>0.2495</v>
      </c>
      <c r="W48" s="598" t="s">
        <v>4340</v>
      </c>
      <c r="X48" s="863">
        <v>0.11</v>
      </c>
      <c r="Y48" s="598" t="s">
        <v>3682</v>
      </c>
      <c r="Z48" s="598" t="s">
        <v>3991</v>
      </c>
      <c r="AA48" s="841">
        <v>159</v>
      </c>
      <c r="AB48" s="598" t="s">
        <v>819</v>
      </c>
      <c r="AC48" s="841" t="s">
        <v>4363</v>
      </c>
      <c r="AD48" s="598" t="s">
        <v>819</v>
      </c>
      <c r="AE48" s="598" t="s">
        <v>1668</v>
      </c>
      <c r="AF48" s="840">
        <v>44.3</v>
      </c>
      <c r="AG48" s="840">
        <v>41.5</v>
      </c>
      <c r="AH48" s="345" t="s">
        <v>122</v>
      </c>
      <c r="AI48" s="345" t="s">
        <v>122</v>
      </c>
      <c r="AJ48" s="598" t="s">
        <v>369</v>
      </c>
      <c r="AK48" s="598" t="s">
        <v>4341</v>
      </c>
      <c r="AL48" s="840"/>
      <c r="AM48" s="840"/>
      <c r="AN48" s="345" t="s">
        <v>1784</v>
      </c>
      <c r="AO48" s="840"/>
      <c r="AP48" s="346" t="s">
        <v>819</v>
      </c>
      <c r="AQ48" s="839" t="s">
        <v>4356</v>
      </c>
      <c r="AR48" s="858">
        <v>6.15</v>
      </c>
      <c r="AS48" s="858">
        <v>2.08</v>
      </c>
      <c r="AT48" s="858">
        <v>1.81</v>
      </c>
      <c r="AU48" s="858">
        <v>2.71</v>
      </c>
      <c r="AV48" s="858">
        <v>2.36</v>
      </c>
      <c r="AW48" s="843">
        <v>33.9</v>
      </c>
      <c r="AX48" s="597">
        <v>43472</v>
      </c>
      <c r="AY48" s="841" t="s">
        <v>1669</v>
      </c>
      <c r="AZ48" s="841"/>
      <c r="BA48" s="841" t="s">
        <v>4364</v>
      </c>
      <c r="BB48" s="841" t="s">
        <v>4365</v>
      </c>
      <c r="BC48" s="841" t="s">
        <v>4359</v>
      </c>
      <c r="BD48" s="841" t="s">
        <v>4360</v>
      </c>
      <c r="BE48" s="841" t="s">
        <v>4361</v>
      </c>
      <c r="BF48" s="598" t="s">
        <v>4348</v>
      </c>
      <c r="BG48" s="598" t="s">
        <v>4349</v>
      </c>
      <c r="BH48" s="839"/>
      <c r="BI48" s="688">
        <v>42496</v>
      </c>
      <c r="BJ48" s="690">
        <v>3058</v>
      </c>
      <c r="BK48" s="690">
        <v>3567</v>
      </c>
      <c r="BL48" s="350">
        <v>6625</v>
      </c>
      <c r="BM48" s="690">
        <v>720</v>
      </c>
      <c r="BN48" s="690">
        <v>3025</v>
      </c>
      <c r="BO48" s="346">
        <v>383</v>
      </c>
      <c r="BP48" s="846"/>
      <c r="BQ48" s="839">
        <v>0.38</v>
      </c>
      <c r="BR48" s="839"/>
      <c r="BS48" s="839"/>
      <c r="BT48" s="594">
        <v>228</v>
      </c>
      <c r="BU48" s="839">
        <v>2050</v>
      </c>
      <c r="BV48" s="846"/>
      <c r="BW48" s="846"/>
      <c r="BX48" s="847">
        <v>57.1</v>
      </c>
      <c r="BY48" s="839">
        <v>26</v>
      </c>
      <c r="BZ48" s="844"/>
      <c r="CA48" s="346" t="s">
        <v>819</v>
      </c>
      <c r="CB48" s="346" t="s">
        <v>819</v>
      </c>
      <c r="CC48" s="839"/>
      <c r="CD48" s="847"/>
      <c r="CE48" s="838"/>
      <c r="CF48" s="849"/>
      <c r="CG48" s="839"/>
      <c r="CH48" s="839"/>
      <c r="CI48" s="677"/>
      <c r="CJ48" s="850"/>
      <c r="CK48" s="841"/>
      <c r="CL48" s="850"/>
      <c r="CM48" s="850"/>
      <c r="CN48" s="850"/>
      <c r="CO48" s="850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13"/>
      <c r="DB48" s="213"/>
      <c r="DC48" s="213"/>
      <c r="DD48" s="213"/>
      <c r="DE48" s="213"/>
      <c r="DF48" s="213"/>
      <c r="DG48" s="213"/>
      <c r="DH48" s="213"/>
      <c r="DI48" s="213"/>
      <c r="DJ48" s="213"/>
    </row>
    <row r="49" spans="1:115" s="532" customFormat="1" ht="75" hidden="1" customHeight="1" x14ac:dyDescent="0.2">
      <c r="A49" s="678">
        <v>45</v>
      </c>
      <c r="B49" s="841" t="s">
        <v>4166</v>
      </c>
      <c r="C49" s="841" t="s">
        <v>3983</v>
      </c>
      <c r="D49" s="841" t="s">
        <v>4137</v>
      </c>
      <c r="E49" s="841" t="s">
        <v>4008</v>
      </c>
      <c r="F49" s="841">
        <v>2018</v>
      </c>
      <c r="G49" s="853" t="s">
        <v>1797</v>
      </c>
      <c r="H49" s="841" t="s">
        <v>4028</v>
      </c>
      <c r="I49" s="673" t="s">
        <v>669</v>
      </c>
      <c r="J49" s="840" t="s">
        <v>114</v>
      </c>
      <c r="K49" s="841" t="s">
        <v>4167</v>
      </c>
      <c r="L49" s="840">
        <v>328</v>
      </c>
      <c r="M49" s="840">
        <v>140</v>
      </c>
      <c r="N49" s="840" t="s">
        <v>197</v>
      </c>
      <c r="O49" s="841" t="s">
        <v>1741</v>
      </c>
      <c r="P49" s="841" t="s">
        <v>3997</v>
      </c>
      <c r="Q49" s="841" t="s">
        <v>2797</v>
      </c>
      <c r="R49" s="841" t="s">
        <v>4000</v>
      </c>
      <c r="S49" s="841" t="s">
        <v>3653</v>
      </c>
      <c r="T49" s="841" t="s">
        <v>3652</v>
      </c>
      <c r="U49" s="841">
        <v>0.14949999999999999</v>
      </c>
      <c r="V49" s="841">
        <v>0.14949999999999999</v>
      </c>
      <c r="W49" s="841" t="s">
        <v>3660</v>
      </c>
      <c r="X49" s="680">
        <v>0.1171</v>
      </c>
      <c r="Y49" s="841" t="s">
        <v>3676</v>
      </c>
      <c r="Z49" s="841" t="s">
        <v>3990</v>
      </c>
      <c r="AA49" s="841">
        <v>174</v>
      </c>
      <c r="AB49" s="841" t="s">
        <v>4152</v>
      </c>
      <c r="AC49" s="841" t="s">
        <v>119</v>
      </c>
      <c r="AD49" s="841" t="s">
        <v>889</v>
      </c>
      <c r="AE49" s="841" t="s">
        <v>3725</v>
      </c>
      <c r="AF49" s="669">
        <v>40.07</v>
      </c>
      <c r="AG49" s="669">
        <v>40.659999999999997</v>
      </c>
      <c r="AH49" s="840" t="s">
        <v>1744</v>
      </c>
      <c r="AI49" s="840" t="s">
        <v>1744</v>
      </c>
      <c r="AJ49" s="841" t="s">
        <v>1582</v>
      </c>
      <c r="AK49" s="841" t="s">
        <v>3744</v>
      </c>
      <c r="AL49" s="840"/>
      <c r="AM49" s="840"/>
      <c r="AN49" s="840" t="s">
        <v>1784</v>
      </c>
      <c r="AO49" s="840">
        <v>0.27800000000000002</v>
      </c>
      <c r="AP49" s="841" t="s">
        <v>819</v>
      </c>
      <c r="AQ49" s="840" t="s">
        <v>4168</v>
      </c>
      <c r="AR49" s="858">
        <v>3.43</v>
      </c>
      <c r="AS49" s="858">
        <v>1.5860000000000001</v>
      </c>
      <c r="AT49" s="858">
        <v>1.2629999999999999</v>
      </c>
      <c r="AU49" s="858">
        <v>1.177</v>
      </c>
      <c r="AV49" s="858">
        <v>1.05</v>
      </c>
      <c r="AW49" s="843" t="s">
        <v>819</v>
      </c>
      <c r="AX49" s="656">
        <v>43051</v>
      </c>
      <c r="AY49" s="840" t="s">
        <v>1669</v>
      </c>
      <c r="AZ49" s="841" t="s">
        <v>819</v>
      </c>
      <c r="BA49" s="676" t="s">
        <v>4169</v>
      </c>
      <c r="BB49" s="676" t="s">
        <v>4170</v>
      </c>
      <c r="BC49" s="675" t="s">
        <v>4171</v>
      </c>
      <c r="BD49" s="676" t="s">
        <v>4172</v>
      </c>
      <c r="BE49" s="676" t="s">
        <v>4173</v>
      </c>
      <c r="BF49" s="841" t="s">
        <v>157</v>
      </c>
      <c r="BG49" s="841" t="s">
        <v>157</v>
      </c>
      <c r="BH49" s="841" t="s">
        <v>1796</v>
      </c>
      <c r="BI49" s="688">
        <v>42475</v>
      </c>
      <c r="BJ49" s="842">
        <v>2458.1128747799999</v>
      </c>
      <c r="BK49" s="842">
        <v>2841.7107583799998</v>
      </c>
      <c r="BL49" s="842">
        <v>5299.8236331600001</v>
      </c>
      <c r="BM49" s="842">
        <v>690.9</v>
      </c>
      <c r="BN49" s="842">
        <v>3007</v>
      </c>
      <c r="BO49" s="839">
        <v>376</v>
      </c>
      <c r="BP49" s="846">
        <v>2963</v>
      </c>
      <c r="BQ49" s="839">
        <v>0.35</v>
      </c>
      <c r="BR49" s="649">
        <v>0.29409999999999997</v>
      </c>
      <c r="BS49" s="649">
        <v>0.29409999999999997</v>
      </c>
      <c r="BT49" s="839">
        <v>179</v>
      </c>
      <c r="BU49" s="839" t="s">
        <v>819</v>
      </c>
      <c r="BV49" s="846" t="s">
        <v>819</v>
      </c>
      <c r="BW49" s="846">
        <v>11789.555555555555</v>
      </c>
      <c r="BX49" s="847">
        <v>36.878160459999997</v>
      </c>
      <c r="BY49" s="645">
        <v>12</v>
      </c>
      <c r="BZ49" s="844">
        <v>9.3694513363821123E-3</v>
      </c>
      <c r="CA49" s="839" t="s">
        <v>819</v>
      </c>
      <c r="CB49" s="839" t="s">
        <v>819</v>
      </c>
      <c r="CC49" s="839" t="s">
        <v>819</v>
      </c>
      <c r="CD49" s="847" t="s">
        <v>819</v>
      </c>
      <c r="CE49" s="838" t="s">
        <v>819</v>
      </c>
      <c r="CF49" s="849" t="s">
        <v>819</v>
      </c>
      <c r="CG49" s="839" t="s">
        <v>819</v>
      </c>
      <c r="CH49" s="839" t="s">
        <v>819</v>
      </c>
      <c r="CI49" s="677" t="s">
        <v>819</v>
      </c>
      <c r="CJ49" s="213"/>
      <c r="CK49" s="183"/>
      <c r="CL49" s="213"/>
      <c r="CM49" s="651"/>
      <c r="CN49" s="651"/>
      <c r="CO49" s="651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13"/>
      <c r="DB49" s="213"/>
      <c r="DC49" s="213"/>
      <c r="DD49" s="213"/>
      <c r="DE49" s="213"/>
      <c r="DF49" s="213"/>
      <c r="DG49" s="213"/>
      <c r="DH49" s="213"/>
      <c r="DI49" s="213"/>
      <c r="DJ49" s="213"/>
    </row>
    <row r="50" spans="1:115" s="532" customFormat="1" ht="75" hidden="1" customHeight="1" x14ac:dyDescent="0.2">
      <c r="A50" s="678">
        <v>45.4</v>
      </c>
      <c r="B50" s="840" t="s">
        <v>2237</v>
      </c>
      <c r="C50" s="841" t="s">
        <v>3980</v>
      </c>
      <c r="D50" s="841" t="s">
        <v>788</v>
      </c>
      <c r="E50" s="841" t="s">
        <v>4007</v>
      </c>
      <c r="F50" s="840">
        <v>2014</v>
      </c>
      <c r="G50" s="853" t="s">
        <v>1797</v>
      </c>
      <c r="H50" s="841" t="s">
        <v>3850</v>
      </c>
      <c r="I50" s="854" t="s">
        <v>3217</v>
      </c>
      <c r="J50" s="840" t="s">
        <v>114</v>
      </c>
      <c r="K50" s="840" t="s">
        <v>3854</v>
      </c>
      <c r="L50" s="840">
        <v>345</v>
      </c>
      <c r="M50" s="840">
        <v>151</v>
      </c>
      <c r="N50" s="840" t="s">
        <v>197</v>
      </c>
      <c r="O50" s="841" t="s">
        <v>1706</v>
      </c>
      <c r="P50" s="841" t="s">
        <v>4001</v>
      </c>
      <c r="Q50" s="841" t="s">
        <v>2373</v>
      </c>
      <c r="R50" s="841" t="s">
        <v>2373</v>
      </c>
      <c r="S50" s="841" t="s">
        <v>3653</v>
      </c>
      <c r="T50" s="841" t="s">
        <v>3653</v>
      </c>
      <c r="U50" s="841">
        <v>0.14949999999999999</v>
      </c>
      <c r="V50" s="841">
        <v>0.14949999999999999</v>
      </c>
      <c r="W50" s="841" t="s">
        <v>4367</v>
      </c>
      <c r="X50" s="514">
        <v>0.18160000000000001</v>
      </c>
      <c r="Y50" s="841" t="s">
        <v>3261</v>
      </c>
      <c r="Z50" s="841" t="s">
        <v>3845</v>
      </c>
      <c r="AA50" s="841">
        <v>144</v>
      </c>
      <c r="AB50" s="841" t="s">
        <v>3855</v>
      </c>
      <c r="AC50" s="841" t="s">
        <v>119</v>
      </c>
      <c r="AD50" s="841" t="s">
        <v>3842</v>
      </c>
      <c r="AE50" s="841" t="s">
        <v>1668</v>
      </c>
      <c r="AF50" s="840">
        <v>37.9</v>
      </c>
      <c r="AG50" s="840">
        <v>30.4</v>
      </c>
      <c r="AH50" s="840" t="s">
        <v>122</v>
      </c>
      <c r="AI50" s="840" t="s">
        <v>122</v>
      </c>
      <c r="AJ50" s="841" t="s">
        <v>369</v>
      </c>
      <c r="AK50" s="841" t="s">
        <v>1372</v>
      </c>
      <c r="AL50" s="840"/>
      <c r="AM50" s="840"/>
      <c r="AN50" s="840" t="s">
        <v>1784</v>
      </c>
      <c r="AO50" s="840">
        <v>0.15</v>
      </c>
      <c r="AP50" s="840"/>
      <c r="AQ50" s="840"/>
      <c r="AR50" s="858">
        <v>5.6245408000000001</v>
      </c>
      <c r="AS50" s="858">
        <v>1.4514944000000001</v>
      </c>
      <c r="AT50" s="858">
        <v>1.1793392</v>
      </c>
      <c r="AU50" s="858">
        <v>2.721552</v>
      </c>
      <c r="AV50" s="858">
        <v>2.4040376000000001</v>
      </c>
      <c r="AW50" s="843"/>
      <c r="AX50" s="851"/>
      <c r="AY50" s="841" t="s">
        <v>1669</v>
      </c>
      <c r="AZ50" s="841"/>
      <c r="BA50" s="841" t="s">
        <v>4368</v>
      </c>
      <c r="BB50" s="841" t="s">
        <v>4369</v>
      </c>
      <c r="BC50" s="840" t="s">
        <v>3866</v>
      </c>
      <c r="BD50" s="841" t="s">
        <v>4370</v>
      </c>
      <c r="BE50" s="841">
        <v>17751311</v>
      </c>
      <c r="BF50" s="841">
        <v>17410613</v>
      </c>
      <c r="BG50" s="841" t="s">
        <v>243</v>
      </c>
      <c r="BH50" s="839" t="s">
        <v>1380</v>
      </c>
      <c r="BI50" s="688">
        <v>42496</v>
      </c>
      <c r="BJ50" s="842"/>
      <c r="BK50" s="842"/>
      <c r="BL50" s="842">
        <v>6349</v>
      </c>
      <c r="BM50" s="842"/>
      <c r="BN50" s="842"/>
      <c r="BO50" s="839">
        <v>346</v>
      </c>
      <c r="BP50" s="846"/>
      <c r="BQ50" s="839"/>
      <c r="BR50" s="843"/>
      <c r="BS50" s="843"/>
      <c r="BT50" s="839"/>
      <c r="BU50" s="839"/>
      <c r="BV50" s="846"/>
      <c r="BW50" s="846"/>
      <c r="BX50" s="847">
        <v>37.299999999999997</v>
      </c>
      <c r="BY50" s="839">
        <v>19</v>
      </c>
      <c r="BZ50" s="844">
        <v>5.7000000000000002E-3</v>
      </c>
      <c r="CA50" s="839" t="s">
        <v>2952</v>
      </c>
      <c r="CB50" s="839"/>
      <c r="CC50" s="839"/>
      <c r="CD50" s="847"/>
      <c r="CE50" s="838"/>
      <c r="CF50" s="849"/>
      <c r="CG50" s="839"/>
      <c r="CH50" s="839"/>
      <c r="CI50" s="677"/>
      <c r="CJ50" s="213"/>
      <c r="CK50" s="183"/>
      <c r="CL50" s="213"/>
      <c r="CM50" s="651"/>
      <c r="CN50" s="651"/>
      <c r="CO50" s="651"/>
      <c r="CP50" s="213"/>
      <c r="CQ50" s="213"/>
      <c r="CR50" s="213"/>
      <c r="CS50" s="213"/>
      <c r="CT50" s="213"/>
      <c r="CU50" s="213"/>
      <c r="CV50" s="213"/>
      <c r="CW50" s="213"/>
      <c r="CX50" s="213"/>
      <c r="CY50" s="213"/>
      <c r="CZ50" s="213"/>
      <c r="DA50" s="213"/>
      <c r="DB50" s="213"/>
      <c r="DC50" s="213"/>
      <c r="DD50" s="213"/>
      <c r="DE50" s="213"/>
      <c r="DF50" s="213"/>
      <c r="DG50" s="213"/>
      <c r="DH50" s="213"/>
      <c r="DI50" s="213"/>
      <c r="DJ50" s="213"/>
    </row>
    <row r="51" spans="1:115" ht="75" hidden="1" customHeight="1" x14ac:dyDescent="0.2">
      <c r="A51" s="678">
        <v>45.4</v>
      </c>
      <c r="B51" s="840" t="s">
        <v>2237</v>
      </c>
      <c r="C51" s="841" t="s">
        <v>3980</v>
      </c>
      <c r="D51" s="841" t="s">
        <v>788</v>
      </c>
      <c r="E51" s="841" t="s">
        <v>4007</v>
      </c>
      <c r="F51" s="840">
        <v>2014</v>
      </c>
      <c r="G51" s="853" t="s">
        <v>1797</v>
      </c>
      <c r="H51" s="841" t="s">
        <v>3851</v>
      </c>
      <c r="I51" s="854" t="s">
        <v>3217</v>
      </c>
      <c r="J51" s="840" t="s">
        <v>114</v>
      </c>
      <c r="K51" s="840" t="s">
        <v>3854</v>
      </c>
      <c r="L51" s="840">
        <v>345</v>
      </c>
      <c r="M51" s="840">
        <v>151</v>
      </c>
      <c r="N51" s="840" t="s">
        <v>197</v>
      </c>
      <c r="O51" s="841" t="s">
        <v>1706</v>
      </c>
      <c r="P51" s="841" t="s">
        <v>4001</v>
      </c>
      <c r="Q51" s="841" t="s">
        <v>2373</v>
      </c>
      <c r="R51" s="841" t="s">
        <v>2373</v>
      </c>
      <c r="S51" s="841" t="s">
        <v>3653</v>
      </c>
      <c r="T51" s="841" t="s">
        <v>3653</v>
      </c>
      <c r="U51" s="841">
        <v>0.14949999999999999</v>
      </c>
      <c r="V51" s="841">
        <v>0.14949999999999999</v>
      </c>
      <c r="W51" s="841" t="s">
        <v>4367</v>
      </c>
      <c r="X51" s="514">
        <v>0.18160000000000001</v>
      </c>
      <c r="Y51" s="841" t="s">
        <v>3261</v>
      </c>
      <c r="Z51" s="841" t="s">
        <v>3845</v>
      </c>
      <c r="AA51" s="841">
        <v>144</v>
      </c>
      <c r="AB51" s="841" t="s">
        <v>3856</v>
      </c>
      <c r="AC51" s="841" t="s">
        <v>3810</v>
      </c>
      <c r="AD51" s="841" t="s">
        <v>3857</v>
      </c>
      <c r="AE51" s="841" t="s">
        <v>1668</v>
      </c>
      <c r="AF51" s="840">
        <v>37.9</v>
      </c>
      <c r="AG51" s="840">
        <v>30.3</v>
      </c>
      <c r="AH51" s="840" t="s">
        <v>122</v>
      </c>
      <c r="AI51" s="840" t="s">
        <v>122</v>
      </c>
      <c r="AJ51" s="841" t="s">
        <v>369</v>
      </c>
      <c r="AK51" s="841" t="s">
        <v>1372</v>
      </c>
      <c r="AL51" s="840"/>
      <c r="AM51" s="840"/>
      <c r="AN51" s="840" t="s">
        <v>1784</v>
      </c>
      <c r="AO51" s="840">
        <v>0.15</v>
      </c>
      <c r="AP51" s="840"/>
      <c r="AQ51" s="840"/>
      <c r="AR51" s="858">
        <v>5.6245408000000001</v>
      </c>
      <c r="AS51" s="858">
        <v>1.4514944000000001</v>
      </c>
      <c r="AT51" s="858">
        <v>1.1793392</v>
      </c>
      <c r="AU51" s="858">
        <v>2.721552</v>
      </c>
      <c r="AV51" s="858">
        <v>2.4040376000000001</v>
      </c>
      <c r="AW51" s="843"/>
      <c r="AX51" s="851"/>
      <c r="AY51" s="841" t="s">
        <v>1669</v>
      </c>
      <c r="AZ51" s="841"/>
      <c r="BA51" s="841" t="s">
        <v>4371</v>
      </c>
      <c r="BB51" s="841" t="s">
        <v>4372</v>
      </c>
      <c r="BC51" s="840" t="s">
        <v>3866</v>
      </c>
      <c r="BD51" s="841" t="s">
        <v>4370</v>
      </c>
      <c r="BE51" s="841">
        <v>17751311</v>
      </c>
      <c r="BF51" s="841">
        <v>17410613</v>
      </c>
      <c r="BG51" s="841" t="s">
        <v>243</v>
      </c>
      <c r="BH51" s="839" t="s">
        <v>1380</v>
      </c>
      <c r="BI51" s="688">
        <v>42496</v>
      </c>
      <c r="BJ51" s="842"/>
      <c r="BK51" s="842"/>
      <c r="BL51" s="842">
        <v>6349</v>
      </c>
      <c r="BM51" s="842"/>
      <c r="BN51" s="842"/>
      <c r="BO51" s="839">
        <v>346</v>
      </c>
      <c r="BP51" s="846"/>
      <c r="BQ51" s="839"/>
      <c r="BR51" s="843"/>
      <c r="BS51" s="843"/>
      <c r="BT51" s="839"/>
      <c r="BU51" s="839"/>
      <c r="BV51" s="846"/>
      <c r="BW51" s="846"/>
      <c r="BX51" s="847">
        <v>37.299999999999997</v>
      </c>
      <c r="BY51" s="839">
        <v>19</v>
      </c>
      <c r="BZ51" s="844">
        <v>5.7000000000000002E-3</v>
      </c>
      <c r="CA51" s="839" t="s">
        <v>2952</v>
      </c>
      <c r="CB51" s="839"/>
      <c r="CC51" s="839"/>
      <c r="CD51" s="847"/>
      <c r="CE51" s="838"/>
      <c r="CF51" s="849"/>
      <c r="CG51" s="839"/>
      <c r="CH51" s="839"/>
      <c r="CI51" s="677"/>
      <c r="CK51" s="183"/>
    </row>
    <row r="52" spans="1:115" s="532" customFormat="1" ht="75" hidden="1" customHeight="1" x14ac:dyDescent="0.2">
      <c r="A52" s="678">
        <v>45.4</v>
      </c>
      <c r="B52" s="840" t="s">
        <v>2237</v>
      </c>
      <c r="C52" s="841" t="s">
        <v>3980</v>
      </c>
      <c r="D52" s="841" t="s">
        <v>788</v>
      </c>
      <c r="E52" s="841" t="s">
        <v>4007</v>
      </c>
      <c r="F52" s="840">
        <v>2014</v>
      </c>
      <c r="G52" s="853" t="s">
        <v>1797</v>
      </c>
      <c r="H52" s="841" t="s">
        <v>3852</v>
      </c>
      <c r="I52" s="854" t="s">
        <v>3217</v>
      </c>
      <c r="J52" s="840" t="s">
        <v>114</v>
      </c>
      <c r="K52" s="840" t="s">
        <v>3854</v>
      </c>
      <c r="L52" s="840">
        <v>345</v>
      </c>
      <c r="M52" s="840">
        <v>151</v>
      </c>
      <c r="N52" s="840" t="s">
        <v>197</v>
      </c>
      <c r="O52" s="841" t="s">
        <v>1706</v>
      </c>
      <c r="P52" s="841" t="s">
        <v>4001</v>
      </c>
      <c r="Q52" s="841" t="s">
        <v>2373</v>
      </c>
      <c r="R52" s="841" t="s">
        <v>2373</v>
      </c>
      <c r="S52" s="841" t="s">
        <v>3653</v>
      </c>
      <c r="T52" s="841" t="s">
        <v>3653</v>
      </c>
      <c r="U52" s="841">
        <v>0.14949999999999999</v>
      </c>
      <c r="V52" s="841">
        <v>0.14949999999999999</v>
      </c>
      <c r="W52" s="841" t="s">
        <v>4367</v>
      </c>
      <c r="X52" s="514">
        <v>0.18160000000000001</v>
      </c>
      <c r="Y52" s="841" t="s">
        <v>3261</v>
      </c>
      <c r="Z52" s="841" t="s">
        <v>3845</v>
      </c>
      <c r="AA52" s="841">
        <v>144</v>
      </c>
      <c r="AB52" s="841" t="s">
        <v>3856</v>
      </c>
      <c r="AC52" s="841" t="s">
        <v>3810</v>
      </c>
      <c r="AD52" s="841" t="s">
        <v>3857</v>
      </c>
      <c r="AE52" s="841" t="s">
        <v>1668</v>
      </c>
      <c r="AF52" s="840">
        <v>37.9</v>
      </c>
      <c r="AG52" s="840">
        <v>30.3</v>
      </c>
      <c r="AH52" s="840" t="s">
        <v>1744</v>
      </c>
      <c r="AI52" s="840" t="s">
        <v>1744</v>
      </c>
      <c r="AJ52" s="841" t="s">
        <v>369</v>
      </c>
      <c r="AK52" s="841" t="s">
        <v>1372</v>
      </c>
      <c r="AL52" s="840"/>
      <c r="AM52" s="840"/>
      <c r="AN52" s="840" t="s">
        <v>1784</v>
      </c>
      <c r="AO52" s="840">
        <v>0.15</v>
      </c>
      <c r="AP52" s="840"/>
      <c r="AQ52" s="840"/>
      <c r="AR52" s="858">
        <v>5.6245408000000001</v>
      </c>
      <c r="AS52" s="858">
        <v>1.4514944000000001</v>
      </c>
      <c r="AT52" s="858">
        <v>1.1793392</v>
      </c>
      <c r="AU52" s="858">
        <v>2.721552</v>
      </c>
      <c r="AV52" s="858">
        <v>2.4040376000000001</v>
      </c>
      <c r="AW52" s="843"/>
      <c r="AX52" s="851"/>
      <c r="AY52" s="841" t="s">
        <v>1669</v>
      </c>
      <c r="AZ52" s="841"/>
      <c r="BA52" s="841" t="s">
        <v>4373</v>
      </c>
      <c r="BB52" s="841" t="s">
        <v>4374</v>
      </c>
      <c r="BC52" s="840" t="s">
        <v>3866</v>
      </c>
      <c r="BD52" s="841" t="s">
        <v>4370</v>
      </c>
      <c r="BE52" s="841">
        <v>17751311</v>
      </c>
      <c r="BF52" s="841">
        <v>17410613</v>
      </c>
      <c r="BG52" s="841" t="s">
        <v>243</v>
      </c>
      <c r="BH52" s="839" t="s">
        <v>1380</v>
      </c>
      <c r="BI52" s="688">
        <v>42496</v>
      </c>
      <c r="BJ52" s="842"/>
      <c r="BK52" s="842"/>
      <c r="BL52" s="842">
        <v>6349</v>
      </c>
      <c r="BM52" s="842"/>
      <c r="BN52" s="842"/>
      <c r="BO52" s="839">
        <v>346</v>
      </c>
      <c r="BP52" s="846"/>
      <c r="BQ52" s="839"/>
      <c r="BR52" s="843"/>
      <c r="BS52" s="843"/>
      <c r="BT52" s="839"/>
      <c r="BU52" s="839"/>
      <c r="BV52" s="846"/>
      <c r="BW52" s="846"/>
      <c r="BX52" s="847">
        <v>37.299999999999997</v>
      </c>
      <c r="BY52" s="839">
        <v>19</v>
      </c>
      <c r="BZ52" s="844">
        <v>5.7000000000000002E-3</v>
      </c>
      <c r="CA52" s="839" t="s">
        <v>2952</v>
      </c>
      <c r="CB52" s="839"/>
      <c r="CC52" s="839"/>
      <c r="CD52" s="847"/>
      <c r="CE52" s="838"/>
      <c r="CF52" s="849"/>
      <c r="CG52" s="839"/>
      <c r="CH52" s="839"/>
      <c r="CI52" s="677"/>
      <c r="CJ52" s="213"/>
      <c r="CK52" s="183"/>
      <c r="CL52" s="213"/>
      <c r="CM52" s="213"/>
      <c r="CN52" s="213"/>
      <c r="CO52" s="213"/>
      <c r="CP52" s="213"/>
      <c r="CQ52" s="213"/>
      <c r="CR52" s="213"/>
      <c r="CS52" s="213"/>
      <c r="CT52" s="213"/>
      <c r="CU52" s="213"/>
      <c r="CV52" s="213"/>
      <c r="CW52" s="213"/>
      <c r="CX52" s="213"/>
      <c r="CY52" s="213"/>
      <c r="CZ52" s="213"/>
      <c r="DA52" s="213"/>
      <c r="DB52" s="213"/>
      <c r="DC52" s="213"/>
      <c r="DD52" s="213"/>
      <c r="DE52" s="213"/>
      <c r="DF52" s="213"/>
      <c r="DG52" s="213"/>
      <c r="DH52" s="213"/>
      <c r="DI52" s="213"/>
      <c r="DJ52" s="213"/>
    </row>
    <row r="53" spans="1:115" s="532" customFormat="1" ht="75" hidden="1" customHeight="1" x14ac:dyDescent="0.2">
      <c r="A53" s="678">
        <v>45.4</v>
      </c>
      <c r="B53" s="840" t="s">
        <v>3849</v>
      </c>
      <c r="C53" s="598" t="s">
        <v>3980</v>
      </c>
      <c r="D53" s="661" t="s">
        <v>788</v>
      </c>
      <c r="E53" s="661" t="s">
        <v>4007</v>
      </c>
      <c r="F53" s="840">
        <v>2014</v>
      </c>
      <c r="G53" s="657" t="s">
        <v>1797</v>
      </c>
      <c r="H53" s="661" t="s">
        <v>3853</v>
      </c>
      <c r="I53" s="854" t="s">
        <v>3217</v>
      </c>
      <c r="J53" s="660" t="s">
        <v>114</v>
      </c>
      <c r="K53" s="840" t="s">
        <v>2170</v>
      </c>
      <c r="L53" s="660">
        <v>330</v>
      </c>
      <c r="M53" s="660">
        <v>144</v>
      </c>
      <c r="N53" s="660" t="s">
        <v>197</v>
      </c>
      <c r="O53" s="661" t="s">
        <v>1706</v>
      </c>
      <c r="P53" s="661" t="s">
        <v>4001</v>
      </c>
      <c r="Q53" s="841" t="s">
        <v>2373</v>
      </c>
      <c r="R53" s="661" t="s">
        <v>2373</v>
      </c>
      <c r="S53" s="661" t="s">
        <v>3652</v>
      </c>
      <c r="T53" s="661" t="s">
        <v>3652</v>
      </c>
      <c r="U53" s="661">
        <v>0.14499999999999999</v>
      </c>
      <c r="V53" s="661">
        <v>0.14499999999999999</v>
      </c>
      <c r="W53" s="661" t="s">
        <v>3868</v>
      </c>
      <c r="X53" s="514">
        <v>0.1128</v>
      </c>
      <c r="Y53" s="661" t="s">
        <v>3682</v>
      </c>
      <c r="Z53" s="661" t="s">
        <v>3845</v>
      </c>
      <c r="AA53" s="661">
        <v>144</v>
      </c>
      <c r="AB53" s="661" t="s">
        <v>3855</v>
      </c>
      <c r="AC53" s="661" t="s">
        <v>119</v>
      </c>
      <c r="AD53" s="661" t="s">
        <v>3842</v>
      </c>
      <c r="AE53" s="661" t="s">
        <v>1668</v>
      </c>
      <c r="AF53" s="840">
        <v>37.9</v>
      </c>
      <c r="AG53" s="840">
        <v>30.4</v>
      </c>
      <c r="AH53" s="660" t="s">
        <v>122</v>
      </c>
      <c r="AI53" s="660" t="s">
        <v>122</v>
      </c>
      <c r="AJ53" s="661" t="s">
        <v>369</v>
      </c>
      <c r="AK53" s="661" t="s">
        <v>1372</v>
      </c>
      <c r="AL53" s="660"/>
      <c r="AM53" s="660"/>
      <c r="AN53" s="660" t="s">
        <v>1784</v>
      </c>
      <c r="AO53" s="660">
        <v>0.15</v>
      </c>
      <c r="AP53" s="840"/>
      <c r="AQ53" s="660"/>
      <c r="AR53" s="347">
        <v>4.5673992847999996</v>
      </c>
      <c r="AS53" s="347">
        <v>1.4968535999999999</v>
      </c>
      <c r="AT53" s="347">
        <v>1.2246984000000001</v>
      </c>
      <c r="AU53" s="347">
        <v>2.1318823999999998</v>
      </c>
      <c r="AV53" s="347">
        <v>1.7690087999999999</v>
      </c>
      <c r="AW53" s="664"/>
      <c r="AX53" s="851"/>
      <c r="AY53" s="841" t="s">
        <v>540</v>
      </c>
      <c r="AZ53" s="661"/>
      <c r="BA53" s="841" t="s">
        <v>4375</v>
      </c>
      <c r="BB53" s="841" t="s">
        <v>4376</v>
      </c>
      <c r="BC53" s="840" t="s">
        <v>205</v>
      </c>
      <c r="BD53" s="841" t="s">
        <v>206</v>
      </c>
      <c r="BE53" s="841">
        <v>18889801</v>
      </c>
      <c r="BF53" s="661">
        <v>16411301</v>
      </c>
      <c r="BG53" s="661" t="s">
        <v>243</v>
      </c>
      <c r="BH53" s="839" t="s">
        <v>1380</v>
      </c>
      <c r="BI53" s="667">
        <v>42496</v>
      </c>
      <c r="BJ53" s="663"/>
      <c r="BK53" s="663"/>
      <c r="BL53" s="663">
        <v>6349</v>
      </c>
      <c r="BM53" s="663"/>
      <c r="BN53" s="663"/>
      <c r="BO53" s="659">
        <v>346</v>
      </c>
      <c r="BP53" s="652"/>
      <c r="BQ53" s="659"/>
      <c r="BR53" s="843"/>
      <c r="BS53" s="843"/>
      <c r="BT53" s="659"/>
      <c r="BU53" s="659"/>
      <c r="BV53" s="652"/>
      <c r="BW53" s="652"/>
      <c r="BX53" s="668">
        <v>38.1</v>
      </c>
      <c r="BY53" s="839">
        <v>11</v>
      </c>
      <c r="BZ53" s="665">
        <v>1.0500000000000001E-2</v>
      </c>
      <c r="CA53" s="659" t="s">
        <v>2952</v>
      </c>
      <c r="CB53" s="659"/>
      <c r="CC53" s="659"/>
      <c r="CD53" s="668"/>
      <c r="CE53" s="651"/>
      <c r="CF53" s="654"/>
      <c r="CG53" s="659"/>
      <c r="CH53" s="659"/>
      <c r="CI53" s="677"/>
      <c r="CJ53" s="213"/>
      <c r="CK53" s="183"/>
      <c r="CL53" s="213"/>
      <c r="CM53" s="213"/>
      <c r="CN53" s="213"/>
      <c r="CO53" s="213"/>
      <c r="CP53" s="213"/>
      <c r="CQ53" s="213"/>
      <c r="CR53" s="213"/>
      <c r="CS53" s="213"/>
      <c r="CT53" s="213"/>
      <c r="CU53" s="213"/>
      <c r="CV53" s="213"/>
      <c r="CW53" s="213"/>
      <c r="CX53" s="213"/>
      <c r="CY53" s="213"/>
      <c r="CZ53" s="213"/>
      <c r="DA53" s="213"/>
      <c r="DB53" s="213"/>
      <c r="DC53" s="213"/>
      <c r="DD53" s="213"/>
      <c r="DE53" s="213"/>
      <c r="DF53" s="213"/>
      <c r="DG53" s="213"/>
      <c r="DH53" s="213"/>
      <c r="DI53" s="213"/>
      <c r="DJ53" s="213"/>
    </row>
    <row r="54" spans="1:115" s="324" customFormat="1" ht="75" hidden="1" customHeight="1" x14ac:dyDescent="0.2">
      <c r="A54" s="678">
        <v>45.4</v>
      </c>
      <c r="B54" s="660" t="s">
        <v>461</v>
      </c>
      <c r="C54" s="273" t="s">
        <v>3980</v>
      </c>
      <c r="D54" s="661" t="s">
        <v>1296</v>
      </c>
      <c r="E54" s="661" t="s">
        <v>4007</v>
      </c>
      <c r="F54" s="660">
        <v>2012</v>
      </c>
      <c r="G54" s="657" t="s">
        <v>1797</v>
      </c>
      <c r="H54" s="661" t="s">
        <v>4029</v>
      </c>
      <c r="I54" s="644" t="s">
        <v>669</v>
      </c>
      <c r="J54" s="660" t="s">
        <v>114</v>
      </c>
      <c r="K54" s="660" t="s">
        <v>887</v>
      </c>
      <c r="L54" s="660">
        <v>328</v>
      </c>
      <c r="M54" s="660">
        <v>139.5</v>
      </c>
      <c r="N54" s="660" t="s">
        <v>197</v>
      </c>
      <c r="O54" s="661" t="s">
        <v>1706</v>
      </c>
      <c r="P54" s="661" t="s">
        <v>3997</v>
      </c>
      <c r="Q54" s="661" t="s">
        <v>2797</v>
      </c>
      <c r="R54" s="661" t="s">
        <v>4000</v>
      </c>
      <c r="S54" s="661" t="s">
        <v>3653</v>
      </c>
      <c r="T54" s="661" t="s">
        <v>3652</v>
      </c>
      <c r="U54" s="661">
        <v>0.44950000000000045</v>
      </c>
      <c r="V54" s="661">
        <v>0.10650000000000048</v>
      </c>
      <c r="W54" s="661" t="s">
        <v>3684</v>
      </c>
      <c r="X54" s="680">
        <v>0.1055</v>
      </c>
      <c r="Y54" s="661" t="s">
        <v>3259</v>
      </c>
      <c r="Z54" s="661" t="s">
        <v>4174</v>
      </c>
      <c r="AA54" s="661">
        <v>171</v>
      </c>
      <c r="AB54" s="661" t="s">
        <v>269</v>
      </c>
      <c r="AC54" s="661" t="s">
        <v>119</v>
      </c>
      <c r="AD54" s="661" t="s">
        <v>270</v>
      </c>
      <c r="AE54" s="661" t="s">
        <v>1016</v>
      </c>
      <c r="AF54" s="660">
        <v>47.6</v>
      </c>
      <c r="AG54" s="660">
        <v>34.799999999999997</v>
      </c>
      <c r="AH54" s="660" t="s">
        <v>1744</v>
      </c>
      <c r="AI54" s="660" t="s">
        <v>1744</v>
      </c>
      <c r="AJ54" s="661" t="s">
        <v>369</v>
      </c>
      <c r="AK54" s="661" t="s">
        <v>4175</v>
      </c>
      <c r="AL54" s="660"/>
      <c r="AM54" s="660"/>
      <c r="AN54" s="660" t="s">
        <v>1784</v>
      </c>
      <c r="AO54" s="660">
        <v>0.193</v>
      </c>
      <c r="AP54" s="660">
        <v>0.19</v>
      </c>
      <c r="AQ54" s="660" t="s">
        <v>819</v>
      </c>
      <c r="AR54" s="347">
        <v>5.3977447999999999</v>
      </c>
      <c r="AS54" s="347">
        <v>1.4514944000000001</v>
      </c>
      <c r="AT54" s="347">
        <v>1.1793392</v>
      </c>
      <c r="AU54" s="347">
        <v>2.7669112</v>
      </c>
      <c r="AV54" s="347">
        <v>2.4493968000000002</v>
      </c>
      <c r="AW54" s="664" t="s">
        <v>819</v>
      </c>
      <c r="AX54" s="672">
        <v>40756</v>
      </c>
      <c r="AY54" s="660" t="s">
        <v>1669</v>
      </c>
      <c r="AZ54" s="661" t="s">
        <v>819</v>
      </c>
      <c r="BA54" s="676" t="s">
        <v>4176</v>
      </c>
      <c r="BB54" s="676" t="s">
        <v>4177</v>
      </c>
      <c r="BC54" s="675">
        <v>17991301</v>
      </c>
      <c r="BD54" s="676" t="s">
        <v>3683</v>
      </c>
      <c r="BE54" s="676">
        <v>17991104</v>
      </c>
      <c r="BF54" s="661">
        <v>17410607</v>
      </c>
      <c r="BG54" s="661" t="s">
        <v>447</v>
      </c>
      <c r="BH54" s="661" t="s">
        <v>1796</v>
      </c>
      <c r="BI54" s="667">
        <v>42475</v>
      </c>
      <c r="BJ54" s="663">
        <v>3075</v>
      </c>
      <c r="BK54" s="663">
        <v>3075</v>
      </c>
      <c r="BL54" s="663">
        <v>6151</v>
      </c>
      <c r="BM54" s="663">
        <v>708.7</v>
      </c>
      <c r="BN54" s="663">
        <v>3076</v>
      </c>
      <c r="BO54" s="659">
        <v>334</v>
      </c>
      <c r="BP54" s="659">
        <v>2910</v>
      </c>
      <c r="BQ54" s="659">
        <v>0.35</v>
      </c>
      <c r="BR54" s="649">
        <v>0.24819999999999998</v>
      </c>
      <c r="BS54" s="649">
        <v>0.24819999999999998</v>
      </c>
      <c r="BT54" s="659">
        <v>112</v>
      </c>
      <c r="BU54" s="659" t="s">
        <v>819</v>
      </c>
      <c r="BV54" s="652" t="s">
        <v>819</v>
      </c>
      <c r="BW54" s="652">
        <v>9192.4</v>
      </c>
      <c r="BX54" s="668">
        <v>28.027000000000001</v>
      </c>
      <c r="BY54" s="645">
        <v>12</v>
      </c>
      <c r="BZ54" s="665">
        <v>7.1206808943089436E-3</v>
      </c>
      <c r="CA54" s="659" t="s">
        <v>819</v>
      </c>
      <c r="CB54" s="659" t="s">
        <v>819</v>
      </c>
      <c r="CC54" s="659" t="s">
        <v>819</v>
      </c>
      <c r="CD54" s="668" t="s">
        <v>819</v>
      </c>
      <c r="CE54" s="651" t="s">
        <v>819</v>
      </c>
      <c r="CF54" s="654" t="s">
        <v>819</v>
      </c>
      <c r="CG54" s="659">
        <v>1.53</v>
      </c>
      <c r="CH54" s="659"/>
      <c r="CI54" s="677"/>
      <c r="CK54" s="317"/>
      <c r="CP54" s="213"/>
      <c r="CQ54" s="213"/>
      <c r="CR54" s="213"/>
      <c r="CS54" s="213"/>
      <c r="CT54" s="213"/>
      <c r="CU54" s="213"/>
      <c r="CV54" s="213"/>
      <c r="CW54" s="213"/>
      <c r="CX54" s="213"/>
      <c r="CY54" s="213"/>
      <c r="CZ54" s="213"/>
      <c r="DA54" s="213"/>
      <c r="DB54" s="213"/>
      <c r="DC54" s="213"/>
      <c r="DD54" s="213"/>
      <c r="DE54" s="213"/>
      <c r="DF54" s="213"/>
      <c r="DG54" s="213"/>
      <c r="DH54" s="213"/>
      <c r="DI54" s="213"/>
      <c r="DJ54" s="213"/>
    </row>
    <row r="55" spans="1:115" ht="75" hidden="1" customHeight="1" x14ac:dyDescent="0.2">
      <c r="A55" s="678">
        <v>45.4</v>
      </c>
      <c r="B55" s="660" t="s">
        <v>462</v>
      </c>
      <c r="C55" s="598" t="s">
        <v>3980</v>
      </c>
      <c r="D55" s="183" t="s">
        <v>1296</v>
      </c>
      <c r="E55" s="661" t="s">
        <v>4007</v>
      </c>
      <c r="F55" s="660">
        <v>2012</v>
      </c>
      <c r="G55" s="271" t="s">
        <v>1797</v>
      </c>
      <c r="H55" s="183" t="s">
        <v>4030</v>
      </c>
      <c r="I55" s="644" t="s">
        <v>669</v>
      </c>
      <c r="J55" s="660" t="s">
        <v>114</v>
      </c>
      <c r="K55" s="660" t="s">
        <v>888</v>
      </c>
      <c r="L55" s="660">
        <v>328</v>
      </c>
      <c r="M55" s="660">
        <v>139.5</v>
      </c>
      <c r="N55" s="660" t="s">
        <v>197</v>
      </c>
      <c r="O55" s="183" t="s">
        <v>1706</v>
      </c>
      <c r="P55" s="661" t="s">
        <v>3997</v>
      </c>
      <c r="Q55" s="661" t="s">
        <v>2797</v>
      </c>
      <c r="R55" s="661" t="s">
        <v>4000</v>
      </c>
      <c r="S55" s="183" t="s">
        <v>3653</v>
      </c>
      <c r="T55" s="183" t="s">
        <v>3652</v>
      </c>
      <c r="U55" s="183">
        <v>0.44950000000000045</v>
      </c>
      <c r="V55" s="183">
        <v>0.10650000000000048</v>
      </c>
      <c r="W55" s="183" t="s">
        <v>3684</v>
      </c>
      <c r="X55" s="680">
        <v>0.1055</v>
      </c>
      <c r="Y55" s="183" t="s">
        <v>3259</v>
      </c>
      <c r="Z55" s="183" t="s">
        <v>4174</v>
      </c>
      <c r="AA55" s="183">
        <v>171</v>
      </c>
      <c r="AB55" s="183" t="s">
        <v>269</v>
      </c>
      <c r="AC55" s="183" t="s">
        <v>119</v>
      </c>
      <c r="AD55" s="183" t="s">
        <v>270</v>
      </c>
      <c r="AE55" s="183" t="s">
        <v>1016</v>
      </c>
      <c r="AF55" s="660">
        <v>47.6</v>
      </c>
      <c r="AG55" s="660">
        <v>34.799999999999997</v>
      </c>
      <c r="AH55" s="660" t="s">
        <v>1744</v>
      </c>
      <c r="AI55" s="660" t="s">
        <v>1744</v>
      </c>
      <c r="AJ55" s="183" t="s">
        <v>369</v>
      </c>
      <c r="AK55" s="183" t="s">
        <v>4175</v>
      </c>
      <c r="AL55" s="660"/>
      <c r="AM55" s="660"/>
      <c r="AN55" s="660" t="s">
        <v>1784</v>
      </c>
      <c r="AO55" s="660">
        <v>0.193</v>
      </c>
      <c r="AP55" s="660">
        <v>0.19</v>
      </c>
      <c r="AQ55" s="660" t="s">
        <v>819</v>
      </c>
      <c r="AR55" s="347">
        <v>5.388672960000001</v>
      </c>
      <c r="AS55" s="347">
        <v>1.4514944000000001</v>
      </c>
      <c r="AT55" s="347">
        <v>1.1793392</v>
      </c>
      <c r="AU55" s="347">
        <v>2.7669112</v>
      </c>
      <c r="AV55" s="347">
        <v>2.4493968000000002</v>
      </c>
      <c r="AW55" s="664" t="s">
        <v>819</v>
      </c>
      <c r="AX55" s="656">
        <v>40917</v>
      </c>
      <c r="AY55" s="660" t="s">
        <v>1669</v>
      </c>
      <c r="AZ55" s="183" t="s">
        <v>819</v>
      </c>
      <c r="BA55" s="676" t="s">
        <v>4178</v>
      </c>
      <c r="BB55" s="676" t="s">
        <v>4179</v>
      </c>
      <c r="BC55" s="675">
        <v>17991301</v>
      </c>
      <c r="BD55" s="676" t="s">
        <v>3685</v>
      </c>
      <c r="BE55" s="676">
        <v>17991104</v>
      </c>
      <c r="BF55" s="183">
        <v>17410607</v>
      </c>
      <c r="BG55" s="183" t="s">
        <v>447</v>
      </c>
      <c r="BH55" s="661" t="s">
        <v>1796</v>
      </c>
      <c r="BI55" s="667">
        <v>42475</v>
      </c>
      <c r="BJ55" s="184">
        <v>2743.4</v>
      </c>
      <c r="BK55" s="184">
        <v>2893.0000000000005</v>
      </c>
      <c r="BL55" s="184">
        <v>5636.4000000000005</v>
      </c>
      <c r="BM55" s="184">
        <v>636.29999999999995</v>
      </c>
      <c r="BN55" s="184">
        <v>2889.8</v>
      </c>
      <c r="BO55" s="181">
        <v>351.8</v>
      </c>
      <c r="BP55" s="652">
        <v>2852</v>
      </c>
      <c r="BQ55" s="181">
        <v>0.35</v>
      </c>
      <c r="BR55" s="649">
        <v>0.24819999999999998</v>
      </c>
      <c r="BS55" s="649">
        <v>0.24819999999999998</v>
      </c>
      <c r="BT55" s="659">
        <v>112</v>
      </c>
      <c r="BU55" s="181" t="s">
        <v>819</v>
      </c>
      <c r="BV55" s="652" t="s">
        <v>819</v>
      </c>
      <c r="BW55" s="652">
        <v>9192.4</v>
      </c>
      <c r="BX55" s="668">
        <v>29.797000000000001</v>
      </c>
      <c r="BY55" s="645">
        <v>12</v>
      </c>
      <c r="BZ55" s="665">
        <v>7.5703760162601627E-3</v>
      </c>
      <c r="CA55" s="181" t="s">
        <v>819</v>
      </c>
      <c r="CB55" s="181" t="s">
        <v>819</v>
      </c>
      <c r="CC55" s="181" t="s">
        <v>819</v>
      </c>
      <c r="CD55" s="668" t="s">
        <v>819</v>
      </c>
      <c r="CE55" s="651" t="s">
        <v>819</v>
      </c>
      <c r="CF55" s="654" t="s">
        <v>819</v>
      </c>
      <c r="CG55" s="181">
        <v>1.53</v>
      </c>
      <c r="CH55" s="181"/>
      <c r="CI55" s="277"/>
      <c r="CJ55" s="770"/>
      <c r="CK55" s="761" t="s">
        <v>1127</v>
      </c>
      <c r="CL55" s="770"/>
      <c r="CM55" s="770"/>
      <c r="CN55" s="770"/>
      <c r="CO55" s="770"/>
      <c r="CP55" s="770"/>
      <c r="CQ55" s="770"/>
      <c r="CR55" s="770"/>
      <c r="CS55" s="770"/>
      <c r="CT55" s="770"/>
      <c r="CU55" s="770"/>
      <c r="CV55" s="770"/>
      <c r="CW55" s="770"/>
      <c r="CX55" s="770"/>
      <c r="CY55" s="770"/>
      <c r="CZ55" s="770"/>
      <c r="DA55" s="770"/>
      <c r="DB55" s="770"/>
      <c r="DC55" s="770"/>
      <c r="DD55" s="770"/>
      <c r="DE55" s="770"/>
      <c r="DF55" s="770"/>
      <c r="DG55" s="770"/>
      <c r="DH55" s="770"/>
      <c r="DI55" s="770"/>
      <c r="DJ55" s="770"/>
      <c r="DK55" s="748"/>
    </row>
    <row r="56" spans="1:115" ht="75" hidden="1" customHeight="1" x14ac:dyDescent="0.2">
      <c r="A56" s="280">
        <v>48</v>
      </c>
      <c r="B56" s="183" t="s">
        <v>4180</v>
      </c>
      <c r="C56" s="183" t="s">
        <v>3983</v>
      </c>
      <c r="D56" s="183" t="s">
        <v>3989</v>
      </c>
      <c r="E56" s="661" t="s">
        <v>4008</v>
      </c>
      <c r="F56" s="183">
        <v>2018</v>
      </c>
      <c r="G56" s="271" t="s">
        <v>1797</v>
      </c>
      <c r="H56" s="183" t="s">
        <v>4032</v>
      </c>
      <c r="I56" s="264" t="s">
        <v>669</v>
      </c>
      <c r="J56" s="660" t="s">
        <v>114</v>
      </c>
      <c r="K56" s="183" t="s">
        <v>4181</v>
      </c>
      <c r="L56" s="183">
        <v>342</v>
      </c>
      <c r="M56" s="183">
        <v>147</v>
      </c>
      <c r="N56" s="182" t="s">
        <v>197</v>
      </c>
      <c r="O56" s="183" t="s">
        <v>1741</v>
      </c>
      <c r="P56" s="661" t="s">
        <v>3997</v>
      </c>
      <c r="Q56" s="661" t="s">
        <v>2797</v>
      </c>
      <c r="R56" s="661" t="s">
        <v>4000</v>
      </c>
      <c r="S56" s="661" t="s">
        <v>3653</v>
      </c>
      <c r="T56" s="661" t="s">
        <v>3652</v>
      </c>
      <c r="U56" s="661">
        <v>0.14949999999999999</v>
      </c>
      <c r="V56" s="661">
        <v>0.14949999999999999</v>
      </c>
      <c r="W56" s="183" t="s">
        <v>3664</v>
      </c>
      <c r="X56" s="680">
        <v>0.1082</v>
      </c>
      <c r="Y56" s="183" t="s">
        <v>3676</v>
      </c>
      <c r="Z56" s="183" t="s">
        <v>3990</v>
      </c>
      <c r="AA56" s="183">
        <v>190</v>
      </c>
      <c r="AB56" s="183" t="s">
        <v>4152</v>
      </c>
      <c r="AC56" s="183" t="s">
        <v>119</v>
      </c>
      <c r="AD56" s="183" t="s">
        <v>889</v>
      </c>
      <c r="AE56" s="661" t="s">
        <v>3725</v>
      </c>
      <c r="AF56" s="662">
        <v>47.78</v>
      </c>
      <c r="AG56" s="662">
        <v>48.57</v>
      </c>
      <c r="AH56" s="660" t="s">
        <v>1744</v>
      </c>
      <c r="AI56" s="660" t="s">
        <v>1744</v>
      </c>
      <c r="AJ56" s="183" t="s">
        <v>369</v>
      </c>
      <c r="AK56" s="183" t="s">
        <v>4142</v>
      </c>
      <c r="AL56" s="183"/>
      <c r="AM56" s="183"/>
      <c r="AN56" s="183" t="s">
        <v>1784</v>
      </c>
      <c r="AO56" s="183">
        <v>0.27</v>
      </c>
      <c r="AP56" s="661" t="s">
        <v>819</v>
      </c>
      <c r="AQ56" s="188" t="s">
        <v>4182</v>
      </c>
      <c r="AR56" s="347">
        <v>4.83</v>
      </c>
      <c r="AS56" s="347">
        <v>1.746</v>
      </c>
      <c r="AT56" s="347">
        <v>1.4259999999999999</v>
      </c>
      <c r="AU56" s="347">
        <v>2.4510000000000001</v>
      </c>
      <c r="AV56" s="347">
        <v>2.15</v>
      </c>
      <c r="AW56" s="185" t="s">
        <v>819</v>
      </c>
      <c r="AX56" s="262">
        <v>43051</v>
      </c>
      <c r="AY56" s="660" t="s">
        <v>1669</v>
      </c>
      <c r="AZ56" s="183" t="s">
        <v>819</v>
      </c>
      <c r="BA56" s="676" t="s">
        <v>4183</v>
      </c>
      <c r="BB56" s="676" t="s">
        <v>4184</v>
      </c>
      <c r="BC56" s="676" t="s">
        <v>4185</v>
      </c>
      <c r="BD56" s="676" t="s">
        <v>4186</v>
      </c>
      <c r="BE56" s="676" t="s">
        <v>4187</v>
      </c>
      <c r="BF56" s="661" t="s">
        <v>157</v>
      </c>
      <c r="BG56" s="661" t="s">
        <v>157</v>
      </c>
      <c r="BH56" s="183" t="s">
        <v>1796</v>
      </c>
      <c r="BI56" s="667">
        <v>42475</v>
      </c>
      <c r="BJ56" s="663">
        <v>2702.8218694900002</v>
      </c>
      <c r="BK56" s="663">
        <v>3121.6931216900002</v>
      </c>
      <c r="BL56" s="184">
        <v>5824.5149911799999</v>
      </c>
      <c r="BM56" s="199">
        <v>716</v>
      </c>
      <c r="BN56" s="184">
        <v>3007</v>
      </c>
      <c r="BO56" s="661">
        <v>384</v>
      </c>
      <c r="BP56" s="191">
        <v>3359</v>
      </c>
      <c r="BQ56" s="181">
        <v>0.35</v>
      </c>
      <c r="BR56" s="185">
        <v>29.91</v>
      </c>
      <c r="BS56" s="185">
        <v>29.91</v>
      </c>
      <c r="BT56" s="195">
        <v>158</v>
      </c>
      <c r="BU56" s="191" t="s">
        <v>819</v>
      </c>
      <c r="BV56" s="191" t="s">
        <v>819</v>
      </c>
      <c r="BW56" s="191">
        <v>13415.111111111111</v>
      </c>
      <c r="BX56" s="192">
        <v>42.999935090000001</v>
      </c>
      <c r="BY56" s="181">
        <v>14</v>
      </c>
      <c r="BZ56" s="187">
        <v>8.980771739766082E-3</v>
      </c>
      <c r="CA56" s="659" t="s">
        <v>819</v>
      </c>
      <c r="CB56" s="659" t="s">
        <v>819</v>
      </c>
      <c r="CC56" s="192" t="s">
        <v>819</v>
      </c>
      <c r="CD56" s="192" t="s">
        <v>819</v>
      </c>
      <c r="CE56" s="180" t="s">
        <v>819</v>
      </c>
      <c r="CF56" s="196" t="s">
        <v>819</v>
      </c>
      <c r="CG56" s="197" t="s">
        <v>819</v>
      </c>
      <c r="CH56" s="197" t="s">
        <v>819</v>
      </c>
      <c r="CI56" s="278" t="s">
        <v>819</v>
      </c>
      <c r="CJ56" s="785"/>
      <c r="CK56" s="778"/>
      <c r="CL56" s="785"/>
      <c r="CM56" s="785"/>
      <c r="CN56" s="785"/>
      <c r="CO56" s="785"/>
      <c r="CP56" s="785"/>
      <c r="CQ56" s="785"/>
      <c r="CR56" s="785"/>
      <c r="CS56" s="785"/>
      <c r="CT56" s="785"/>
      <c r="CU56" s="785"/>
      <c r="CV56" s="785"/>
      <c r="CW56" s="785"/>
      <c r="CX56" s="785"/>
      <c r="CY56" s="785"/>
      <c r="CZ56" s="785"/>
      <c r="DA56" s="785"/>
      <c r="DB56" s="785"/>
      <c r="DC56" s="785"/>
      <c r="DD56" s="785"/>
      <c r="DE56" s="785"/>
      <c r="DF56" s="785"/>
      <c r="DG56" s="785"/>
      <c r="DH56" s="785"/>
      <c r="DI56" s="785"/>
      <c r="DJ56" s="785"/>
      <c r="DK56" s="785"/>
    </row>
    <row r="57" spans="1:115" s="532" customFormat="1" ht="75" hidden="1" customHeight="1" x14ac:dyDescent="0.2">
      <c r="A57" s="280">
        <v>48</v>
      </c>
      <c r="B57" s="183" t="s">
        <v>2443</v>
      </c>
      <c r="C57" s="183" t="s">
        <v>3983</v>
      </c>
      <c r="D57" s="183" t="s">
        <v>1296</v>
      </c>
      <c r="E57" s="661" t="s">
        <v>4007</v>
      </c>
      <c r="F57" s="183" t="s">
        <v>3043</v>
      </c>
      <c r="G57" s="271" t="s">
        <v>1797</v>
      </c>
      <c r="H57" s="183" t="s">
        <v>4031</v>
      </c>
      <c r="I57" s="264" t="s">
        <v>669</v>
      </c>
      <c r="J57" s="183" t="s">
        <v>114</v>
      </c>
      <c r="K57" s="183" t="s">
        <v>945</v>
      </c>
      <c r="L57" s="183">
        <v>316</v>
      </c>
      <c r="M57" s="183">
        <v>139.30000000000001</v>
      </c>
      <c r="N57" s="182" t="s">
        <v>2119</v>
      </c>
      <c r="O57" s="183" t="s">
        <v>1741</v>
      </c>
      <c r="P57" s="661" t="s">
        <v>4002</v>
      </c>
      <c r="Q57" s="841" t="s">
        <v>2373</v>
      </c>
      <c r="R57" s="841" t="s">
        <v>2373</v>
      </c>
      <c r="S57" s="661" t="s">
        <v>3652</v>
      </c>
      <c r="T57" s="661" t="s">
        <v>3652</v>
      </c>
      <c r="U57" s="661">
        <v>0.14500000000000135</v>
      </c>
      <c r="V57" s="661">
        <v>0.14500000000000135</v>
      </c>
      <c r="W57" s="183" t="s">
        <v>3681</v>
      </c>
      <c r="X57" s="680">
        <v>0.1406</v>
      </c>
      <c r="Y57" s="183" t="s">
        <v>3689</v>
      </c>
      <c r="Z57" s="183" t="s">
        <v>4219</v>
      </c>
      <c r="AA57" s="183">
        <v>144</v>
      </c>
      <c r="AB57" s="183" t="s">
        <v>956</v>
      </c>
      <c r="AC57" s="183" t="s">
        <v>2487</v>
      </c>
      <c r="AD57" s="183" t="s">
        <v>947</v>
      </c>
      <c r="AE57" s="661" t="s">
        <v>1016</v>
      </c>
      <c r="AF57" s="183">
        <v>33.5</v>
      </c>
      <c r="AG57" s="183">
        <v>23.6</v>
      </c>
      <c r="AH57" s="183" t="s">
        <v>1744</v>
      </c>
      <c r="AI57" s="183" t="s">
        <v>122</v>
      </c>
      <c r="AJ57" s="183" t="s">
        <v>4220</v>
      </c>
      <c r="AK57" s="183" t="s">
        <v>4175</v>
      </c>
      <c r="AL57" s="183"/>
      <c r="AM57" s="183"/>
      <c r="AN57" s="183" t="s">
        <v>1784</v>
      </c>
      <c r="AO57" s="183">
        <v>0.23</v>
      </c>
      <c r="AP57" s="188">
        <v>0.24349999999999997</v>
      </c>
      <c r="AQ57" s="188" t="s">
        <v>819</v>
      </c>
      <c r="AR57" s="347">
        <v>4.0823280000000004</v>
      </c>
      <c r="AS57" s="347">
        <v>1.4061352</v>
      </c>
      <c r="AT57" s="347">
        <v>1.1689065839999999</v>
      </c>
      <c r="AU57" s="347">
        <v>2.5401151999999998</v>
      </c>
      <c r="AV57" s="347">
        <v>2.1772415999999999</v>
      </c>
      <c r="AW57" s="185">
        <v>39.577290140913078</v>
      </c>
      <c r="AX57" s="262">
        <v>38174</v>
      </c>
      <c r="AY57" s="183" t="s">
        <v>1669</v>
      </c>
      <c r="AZ57" s="183">
        <v>700</v>
      </c>
      <c r="BA57" s="676" t="s">
        <v>3686</v>
      </c>
      <c r="BB57" s="676" t="s">
        <v>3687</v>
      </c>
      <c r="BC57" s="676">
        <v>16018501</v>
      </c>
      <c r="BD57" s="676" t="s">
        <v>3688</v>
      </c>
      <c r="BE57" s="676">
        <v>15953901</v>
      </c>
      <c r="BF57" s="661" t="s">
        <v>157</v>
      </c>
      <c r="BG57" s="661" t="s">
        <v>157</v>
      </c>
      <c r="BH57" s="183" t="s">
        <v>1796</v>
      </c>
      <c r="BI57" s="667">
        <v>42475</v>
      </c>
      <c r="BJ57" s="663">
        <v>2655.4</v>
      </c>
      <c r="BK57" s="663">
        <v>2921.6000000000004</v>
      </c>
      <c r="BL57" s="184">
        <v>5577</v>
      </c>
      <c r="BM57" s="199">
        <v>730</v>
      </c>
      <c r="BN57" s="184" t="s">
        <v>476</v>
      </c>
      <c r="BO57" s="661" t="s">
        <v>2665</v>
      </c>
      <c r="BP57" s="191">
        <v>3212.8512795410275</v>
      </c>
      <c r="BQ57" s="181">
        <v>0.35</v>
      </c>
      <c r="BR57" s="185">
        <v>23</v>
      </c>
      <c r="BS57" s="185">
        <v>30</v>
      </c>
      <c r="BT57" s="195">
        <v>191</v>
      </c>
      <c r="BU57" s="191">
        <v>903.63604031067939</v>
      </c>
      <c r="BV57" s="191">
        <v>344.24267173190339</v>
      </c>
      <c r="BW57" s="191">
        <v>481.93974042466471</v>
      </c>
      <c r="BX57" s="192">
        <v>35.827492587950346</v>
      </c>
      <c r="BY57" s="181">
        <v>12</v>
      </c>
      <c r="BZ57" s="187">
        <v>9.4481784250923899E-3</v>
      </c>
      <c r="CA57" s="659" t="s">
        <v>2556</v>
      </c>
      <c r="CB57" s="185" t="s">
        <v>1814</v>
      </c>
      <c r="CC57" s="192">
        <v>18.919879594004851</v>
      </c>
      <c r="CD57" s="192">
        <v>46.128518012075055</v>
      </c>
      <c r="CE57" s="180" t="s">
        <v>1049</v>
      </c>
      <c r="CF57" s="196">
        <v>-0.27376812775058779</v>
      </c>
      <c r="CG57" s="197">
        <v>1.61</v>
      </c>
      <c r="CH57" s="197">
        <v>1.04</v>
      </c>
      <c r="CI57" s="587">
        <v>0.57000000000000006</v>
      </c>
      <c r="CJ57" s="801"/>
      <c r="CK57" s="794" t="s">
        <v>1127</v>
      </c>
      <c r="CL57" s="801"/>
      <c r="CM57" s="801"/>
      <c r="CN57" s="801"/>
      <c r="CO57" s="801"/>
      <c r="CP57" s="801"/>
      <c r="CQ57" s="801"/>
      <c r="CR57" s="801"/>
      <c r="CS57" s="801"/>
      <c r="CT57" s="801"/>
      <c r="CU57" s="801"/>
      <c r="CV57" s="801"/>
      <c r="CW57" s="801"/>
      <c r="CX57" s="801"/>
      <c r="CY57" s="801"/>
      <c r="CZ57" s="801"/>
      <c r="DA57" s="801"/>
      <c r="DB57" s="801"/>
      <c r="DC57" s="801"/>
      <c r="DD57" s="801"/>
      <c r="DE57" s="801"/>
      <c r="DF57" s="801"/>
      <c r="DG57" s="801"/>
      <c r="DH57" s="801"/>
      <c r="DI57" s="801"/>
      <c r="DJ57" s="801"/>
      <c r="DK57" s="801"/>
    </row>
    <row r="58" spans="1:115" ht="75" hidden="1" customHeight="1" x14ac:dyDescent="0.2">
      <c r="A58" s="281">
        <v>54</v>
      </c>
      <c r="B58" s="183" t="s">
        <v>4078</v>
      </c>
      <c r="C58" s="183" t="s">
        <v>3984</v>
      </c>
      <c r="D58" s="183" t="s">
        <v>4006</v>
      </c>
      <c r="E58" s="661" t="s">
        <v>4008</v>
      </c>
      <c r="F58" s="660">
        <v>2019</v>
      </c>
      <c r="G58" s="271" t="s">
        <v>1738</v>
      </c>
      <c r="H58" s="183" t="s">
        <v>4057</v>
      </c>
      <c r="I58" s="644" t="s">
        <v>3838</v>
      </c>
      <c r="J58" s="660" t="s">
        <v>114</v>
      </c>
      <c r="K58" s="660" t="s">
        <v>4082</v>
      </c>
      <c r="L58" s="183">
        <v>292</v>
      </c>
      <c r="M58" s="660">
        <v>101</v>
      </c>
      <c r="N58" s="661" t="s">
        <v>115</v>
      </c>
      <c r="O58" s="183" t="s">
        <v>1741</v>
      </c>
      <c r="P58" s="661" t="s">
        <v>4005</v>
      </c>
      <c r="Q58" s="661" t="s">
        <v>2797</v>
      </c>
      <c r="R58" s="841" t="s">
        <v>2373</v>
      </c>
      <c r="S58" s="661" t="s">
        <v>3653</v>
      </c>
      <c r="T58" s="661" t="s">
        <v>3652</v>
      </c>
      <c r="U58" s="661">
        <v>0.14949999999999999</v>
      </c>
      <c r="V58" s="661">
        <v>0.14949999999999999</v>
      </c>
      <c r="W58" s="183" t="s">
        <v>3660</v>
      </c>
      <c r="X58" s="514">
        <v>0.10970000000000001</v>
      </c>
      <c r="Y58" s="183" t="s">
        <v>3676</v>
      </c>
      <c r="Z58" s="183" t="s">
        <v>4083</v>
      </c>
      <c r="AA58" s="183">
        <v>174</v>
      </c>
      <c r="AB58" s="183" t="s">
        <v>4084</v>
      </c>
      <c r="AC58" s="183" t="s">
        <v>119</v>
      </c>
      <c r="AD58" s="183" t="s">
        <v>819</v>
      </c>
      <c r="AE58" s="182" t="s">
        <v>1016</v>
      </c>
      <c r="AF58" s="660">
        <v>46.2</v>
      </c>
      <c r="AG58" s="660">
        <v>45</v>
      </c>
      <c r="AH58" s="660" t="s">
        <v>1744</v>
      </c>
      <c r="AI58" s="660" t="s">
        <v>122</v>
      </c>
      <c r="AJ58" s="183" t="s">
        <v>4085</v>
      </c>
      <c r="AK58" s="183" t="s">
        <v>4086</v>
      </c>
      <c r="AL58" s="660"/>
      <c r="AM58" s="660"/>
      <c r="AN58" s="660" t="s">
        <v>1784</v>
      </c>
      <c r="AO58" s="660">
        <v>0.20599999999999999</v>
      </c>
      <c r="AP58" s="660" t="s">
        <v>819</v>
      </c>
      <c r="AQ58" s="661" t="s">
        <v>4087</v>
      </c>
      <c r="AR58" s="347">
        <v>4.9649999999999999</v>
      </c>
      <c r="AS58" s="347">
        <v>1.3169999999999999</v>
      </c>
      <c r="AT58" s="347">
        <v>1.0469999999999999</v>
      </c>
      <c r="AU58" s="347">
        <v>3.0209999999999999</v>
      </c>
      <c r="AV58" s="347">
        <v>2.75</v>
      </c>
      <c r="AW58" s="185">
        <f>(100*PI()*(A58^2))/(40*AO58*AV58*453.5924)</f>
        <v>89.127498494739399</v>
      </c>
      <c r="AX58" s="597" t="s">
        <v>4088</v>
      </c>
      <c r="AY58" s="183" t="s">
        <v>4089</v>
      </c>
      <c r="AZ58" s="183"/>
      <c r="BA58" s="183" t="s">
        <v>4090</v>
      </c>
      <c r="BB58" s="183" t="s">
        <v>4097</v>
      </c>
      <c r="BC58" s="183" t="s">
        <v>4091</v>
      </c>
      <c r="BD58" s="661" t="s">
        <v>4092</v>
      </c>
      <c r="BE58" s="661" t="s">
        <v>4093</v>
      </c>
      <c r="BF58" s="661" t="s">
        <v>157</v>
      </c>
      <c r="BG58" s="661" t="s">
        <v>157</v>
      </c>
      <c r="BH58" s="659" t="s">
        <v>4094</v>
      </c>
      <c r="BI58" s="667">
        <v>42464</v>
      </c>
      <c r="BJ58" s="663">
        <f>880*2.20462262</f>
        <v>1940.0679055999999</v>
      </c>
      <c r="BK58" s="663">
        <f>770*2.20462262</f>
        <v>1697.5594173999998</v>
      </c>
      <c r="BL58" s="184">
        <f>1650*2.20462262</f>
        <v>3637.6273229999997</v>
      </c>
      <c r="BM58" s="663">
        <v>533</v>
      </c>
      <c r="BN58" s="184">
        <v>2600</v>
      </c>
      <c r="BO58" s="181">
        <v>306</v>
      </c>
      <c r="BP58" s="191">
        <v>2066</v>
      </c>
      <c r="BQ58" s="181">
        <v>0.35</v>
      </c>
      <c r="BR58" s="185">
        <v>71.599999999999994</v>
      </c>
      <c r="BS58" s="185" t="s">
        <v>819</v>
      </c>
      <c r="BT58" s="195">
        <v>210</v>
      </c>
      <c r="BU58" s="659" t="s">
        <v>819</v>
      </c>
      <c r="BV58" s="659" t="s">
        <v>819</v>
      </c>
      <c r="BW58" s="659" t="s">
        <v>819</v>
      </c>
      <c r="BX58" s="192">
        <v>40.78</v>
      </c>
      <c r="BY58" s="181">
        <v>22</v>
      </c>
      <c r="BZ58" s="187">
        <f>BX58/(L58*BY58)</f>
        <v>6.3480697384806972E-3</v>
      </c>
      <c r="CA58" s="659" t="s">
        <v>2952</v>
      </c>
      <c r="CB58" s="659" t="s">
        <v>2952</v>
      </c>
      <c r="CC58" s="659" t="s">
        <v>2952</v>
      </c>
      <c r="CD58" s="192" t="s">
        <v>819</v>
      </c>
      <c r="CE58" s="668" t="s">
        <v>819</v>
      </c>
      <c r="CF58" s="668" t="s">
        <v>819</v>
      </c>
      <c r="CG58" s="651"/>
      <c r="CH58" s="651"/>
      <c r="CI58" s="279"/>
      <c r="CK58" s="512"/>
    </row>
    <row r="59" spans="1:115" ht="75" hidden="1" customHeight="1" x14ac:dyDescent="0.2">
      <c r="A59" s="281">
        <v>54</v>
      </c>
      <c r="B59" s="661" t="s">
        <v>4078</v>
      </c>
      <c r="C59" s="661" t="s">
        <v>3984</v>
      </c>
      <c r="D59" s="661" t="s">
        <v>4006</v>
      </c>
      <c r="E59" s="661" t="s">
        <v>4008</v>
      </c>
      <c r="F59" s="660">
        <v>2019</v>
      </c>
      <c r="G59" s="657" t="s">
        <v>1738</v>
      </c>
      <c r="H59" s="661" t="s">
        <v>4057</v>
      </c>
      <c r="I59" s="644" t="s">
        <v>3838</v>
      </c>
      <c r="J59" s="660" t="s">
        <v>114</v>
      </c>
      <c r="K59" s="660" t="s">
        <v>4082</v>
      </c>
      <c r="L59" s="661">
        <v>292</v>
      </c>
      <c r="M59" s="660">
        <v>101</v>
      </c>
      <c r="N59" s="661" t="s">
        <v>115</v>
      </c>
      <c r="O59" s="661" t="s">
        <v>1741</v>
      </c>
      <c r="P59" s="661" t="s">
        <v>4005</v>
      </c>
      <c r="Q59" s="661" t="s">
        <v>2797</v>
      </c>
      <c r="R59" s="841" t="s">
        <v>2373</v>
      </c>
      <c r="S59" s="661" t="s">
        <v>3653</v>
      </c>
      <c r="T59" s="661" t="s">
        <v>3652</v>
      </c>
      <c r="U59" s="661">
        <v>0.14949999999999999</v>
      </c>
      <c r="V59" s="661">
        <v>0.14949999999999999</v>
      </c>
      <c r="W59" s="661" t="s">
        <v>3660</v>
      </c>
      <c r="X59" s="514">
        <v>0.10970000000000001</v>
      </c>
      <c r="Y59" s="661" t="s">
        <v>3676</v>
      </c>
      <c r="Z59" s="661" t="s">
        <v>4083</v>
      </c>
      <c r="AA59" s="661">
        <v>174</v>
      </c>
      <c r="AB59" s="661" t="s">
        <v>4095</v>
      </c>
      <c r="AC59" s="661" t="s">
        <v>3014</v>
      </c>
      <c r="AD59" s="661" t="s">
        <v>819</v>
      </c>
      <c r="AE59" s="660" t="s">
        <v>1016</v>
      </c>
      <c r="AF59" s="660">
        <v>46.2</v>
      </c>
      <c r="AG59" s="660">
        <v>45</v>
      </c>
      <c r="AH59" s="660" t="s">
        <v>1744</v>
      </c>
      <c r="AI59" s="660" t="s">
        <v>122</v>
      </c>
      <c r="AJ59" s="661" t="s">
        <v>4085</v>
      </c>
      <c r="AK59" s="661" t="s">
        <v>4086</v>
      </c>
      <c r="AL59" s="660"/>
      <c r="AM59" s="660"/>
      <c r="AN59" s="660" t="s">
        <v>1784</v>
      </c>
      <c r="AO59" s="660">
        <v>0.20599999999999999</v>
      </c>
      <c r="AP59" s="660" t="s">
        <v>819</v>
      </c>
      <c r="AQ59" s="661" t="s">
        <v>4087</v>
      </c>
      <c r="AR59" s="347">
        <v>4.9649999999999999</v>
      </c>
      <c r="AS59" s="347">
        <v>1.3169999999999999</v>
      </c>
      <c r="AT59" s="347">
        <v>1.0469999999999999</v>
      </c>
      <c r="AU59" s="347">
        <v>3.0209999999999999</v>
      </c>
      <c r="AV59" s="347">
        <v>2.75</v>
      </c>
      <c r="AW59" s="664">
        <f>(100*PI()*(A59^2))/(40*AO59*AV59*453.5924)</f>
        <v>89.127498494739399</v>
      </c>
      <c r="AX59" s="597" t="s">
        <v>4088</v>
      </c>
      <c r="AY59" s="661" t="s">
        <v>4089</v>
      </c>
      <c r="AZ59" s="661"/>
      <c r="BA59" s="661" t="s">
        <v>4096</v>
      </c>
      <c r="BB59" s="661" t="s">
        <v>4098</v>
      </c>
      <c r="BC59" s="661" t="s">
        <v>4091</v>
      </c>
      <c r="BD59" s="661" t="s">
        <v>4092</v>
      </c>
      <c r="BE59" s="661" t="s">
        <v>4093</v>
      </c>
      <c r="BF59" s="661" t="s">
        <v>157</v>
      </c>
      <c r="BG59" s="661" t="s">
        <v>157</v>
      </c>
      <c r="BH59" s="659" t="s">
        <v>4094</v>
      </c>
      <c r="BI59" s="667">
        <v>42464</v>
      </c>
      <c r="BJ59" s="663">
        <f>880*2.20462262</f>
        <v>1940.0679055999999</v>
      </c>
      <c r="BK59" s="663">
        <f>770*2.20462262</f>
        <v>1697.5594173999998</v>
      </c>
      <c r="BL59" s="663">
        <f>1650*2.20462262</f>
        <v>3637.6273229999997</v>
      </c>
      <c r="BM59" s="663">
        <v>533</v>
      </c>
      <c r="BN59" s="663">
        <v>2600</v>
      </c>
      <c r="BO59" s="659">
        <v>306</v>
      </c>
      <c r="BP59" s="652">
        <v>2066</v>
      </c>
      <c r="BQ59" s="659">
        <v>0.35</v>
      </c>
      <c r="BR59" s="664">
        <v>71.599999999999994</v>
      </c>
      <c r="BS59" s="664" t="s">
        <v>819</v>
      </c>
      <c r="BT59" s="195">
        <v>210</v>
      </c>
      <c r="BU59" s="659" t="s">
        <v>819</v>
      </c>
      <c r="BV59" s="659" t="s">
        <v>819</v>
      </c>
      <c r="BW59" s="659" t="s">
        <v>819</v>
      </c>
      <c r="BX59" s="668">
        <v>40.78</v>
      </c>
      <c r="BY59" s="659">
        <v>22</v>
      </c>
      <c r="BZ59" s="665">
        <f>BX59/(L59*BY59)</f>
        <v>6.3480697384806972E-3</v>
      </c>
      <c r="CA59" s="659" t="s">
        <v>2952</v>
      </c>
      <c r="CB59" s="659" t="s">
        <v>2952</v>
      </c>
      <c r="CC59" s="659" t="s">
        <v>2952</v>
      </c>
      <c r="CD59" s="668" t="s">
        <v>819</v>
      </c>
      <c r="CE59" s="668" t="s">
        <v>819</v>
      </c>
      <c r="CF59" s="668" t="s">
        <v>819</v>
      </c>
      <c r="CG59" s="651"/>
      <c r="CH59" s="651"/>
      <c r="CI59" s="279"/>
      <c r="CK59" s="512"/>
    </row>
    <row r="60" spans="1:115" ht="75" hidden="1" customHeight="1" x14ac:dyDescent="0.2">
      <c r="A60" s="280">
        <v>54</v>
      </c>
      <c r="B60" s="317" t="s">
        <v>1773</v>
      </c>
      <c r="C60" s="183" t="s">
        <v>3984</v>
      </c>
      <c r="D60" s="317" t="s">
        <v>702</v>
      </c>
      <c r="E60" s="661" t="s">
        <v>4007</v>
      </c>
      <c r="F60" s="317">
        <v>2011</v>
      </c>
      <c r="G60" s="352" t="s">
        <v>1738</v>
      </c>
      <c r="H60" s="317" t="s">
        <v>4033</v>
      </c>
      <c r="I60" s="354" t="s">
        <v>1324</v>
      </c>
      <c r="J60" s="317" t="s">
        <v>1690</v>
      </c>
      <c r="K60" s="317"/>
      <c r="L60" s="317">
        <v>258</v>
      </c>
      <c r="M60" s="317">
        <v>109.5</v>
      </c>
      <c r="N60" s="325"/>
      <c r="O60" s="317"/>
      <c r="P60" s="841" t="s">
        <v>4003</v>
      </c>
      <c r="Q60" s="841"/>
      <c r="R60" s="841"/>
      <c r="S60" s="317" t="s">
        <v>3652</v>
      </c>
      <c r="T60" s="317" t="s">
        <v>3653</v>
      </c>
      <c r="U60" s="317">
        <v>0.13</v>
      </c>
      <c r="V60" s="317">
        <v>0.33</v>
      </c>
      <c r="W60" s="183" t="s">
        <v>3667</v>
      </c>
      <c r="X60" s="317"/>
      <c r="Y60" s="183"/>
      <c r="Z60" s="183"/>
      <c r="AA60" s="317">
        <v>142</v>
      </c>
      <c r="AB60" s="317"/>
      <c r="AC60" s="317"/>
      <c r="AD60" s="317"/>
      <c r="AE60" s="317"/>
      <c r="AF60" s="317"/>
      <c r="AG60" s="317"/>
      <c r="AH60" s="317"/>
      <c r="AI60" s="317"/>
      <c r="AJ60" s="183" t="s">
        <v>3023</v>
      </c>
      <c r="AK60" s="317"/>
      <c r="AL60" s="317"/>
      <c r="AM60" s="317"/>
      <c r="AN60" s="317"/>
      <c r="AO60" s="317"/>
      <c r="AP60" s="331"/>
      <c r="AQ60" s="331"/>
      <c r="AR60" s="347">
        <v>0</v>
      </c>
      <c r="AS60" s="347">
        <v>0</v>
      </c>
      <c r="AT60" s="347">
        <v>0</v>
      </c>
      <c r="AU60" s="347">
        <v>0</v>
      </c>
      <c r="AV60" s="347">
        <v>0</v>
      </c>
      <c r="AW60" s="319"/>
      <c r="AX60" s="332"/>
      <c r="AY60" s="317" t="s">
        <v>1669</v>
      </c>
      <c r="AZ60" s="317"/>
      <c r="BA60" s="317" t="s">
        <v>1774</v>
      </c>
      <c r="BB60" s="317" t="s">
        <v>1288</v>
      </c>
      <c r="BC60" s="317">
        <v>67323736</v>
      </c>
      <c r="BD60" s="317" t="s">
        <v>1289</v>
      </c>
      <c r="BE60" s="317"/>
      <c r="BF60" s="317"/>
      <c r="BG60" s="317"/>
      <c r="BH60" s="317"/>
      <c r="BI60" s="318">
        <v>40800</v>
      </c>
      <c r="BJ60" s="321">
        <f>823*2.2</f>
        <v>1810.6000000000001</v>
      </c>
      <c r="BK60" s="321">
        <f>2.2*1474</f>
        <v>3242.8</v>
      </c>
      <c r="BL60" s="321">
        <f>BJ60+BK60</f>
        <v>5053.4000000000005</v>
      </c>
      <c r="BM60" s="333">
        <v>570</v>
      </c>
      <c r="BN60" s="321"/>
      <c r="BO60" s="317">
        <v>272</v>
      </c>
      <c r="BP60" s="328"/>
      <c r="BQ60" s="320"/>
      <c r="BR60" s="319"/>
      <c r="BS60" s="319"/>
      <c r="BT60" s="334"/>
      <c r="BU60" s="328"/>
      <c r="BV60" s="328"/>
      <c r="BW60" s="328"/>
      <c r="BX60" s="329"/>
      <c r="BY60" s="320">
        <v>23</v>
      </c>
      <c r="BZ60" s="322"/>
      <c r="CA60" s="320"/>
      <c r="CB60" s="319"/>
      <c r="CC60" s="329"/>
      <c r="CD60" s="329"/>
      <c r="CE60" s="326"/>
      <c r="CF60" s="330"/>
      <c r="CG60" s="335"/>
      <c r="CH60" s="335"/>
      <c r="CI60" s="695"/>
      <c r="CK60" s="512"/>
    </row>
    <row r="61" spans="1:115" s="324" customFormat="1" ht="75" hidden="1" customHeight="1" x14ac:dyDescent="0.2">
      <c r="A61" s="678">
        <v>54</v>
      </c>
      <c r="B61" s="840" t="s">
        <v>2098</v>
      </c>
      <c r="C61" s="841" t="s">
        <v>3983</v>
      </c>
      <c r="D61" s="841" t="s">
        <v>791</v>
      </c>
      <c r="E61" s="317" t="s">
        <v>4007</v>
      </c>
      <c r="F61" s="840">
        <v>2012</v>
      </c>
      <c r="G61" s="852" t="s">
        <v>1797</v>
      </c>
      <c r="H61" s="841" t="s">
        <v>4010</v>
      </c>
      <c r="I61" s="673" t="s">
        <v>2226</v>
      </c>
      <c r="J61" s="840" t="s">
        <v>114</v>
      </c>
      <c r="K61" s="840" t="s">
        <v>2664</v>
      </c>
      <c r="L61" s="840">
        <v>352</v>
      </c>
      <c r="M61" s="840">
        <v>154</v>
      </c>
      <c r="N61" s="840">
        <v>17</v>
      </c>
      <c r="O61" s="841" t="s">
        <v>1741</v>
      </c>
      <c r="P61" s="841" t="s">
        <v>4004</v>
      </c>
      <c r="Q61" s="841" t="s">
        <v>2373</v>
      </c>
      <c r="R61" s="841" t="s">
        <v>2373</v>
      </c>
      <c r="S61" s="840" t="s">
        <v>3655</v>
      </c>
      <c r="T61" s="840" t="s">
        <v>3655</v>
      </c>
      <c r="U61" s="840" t="s">
        <v>157</v>
      </c>
      <c r="V61" s="840" t="s">
        <v>157</v>
      </c>
      <c r="W61" s="841" t="s">
        <v>157</v>
      </c>
      <c r="X61" s="841">
        <v>14.21</v>
      </c>
      <c r="Y61" s="841" t="s">
        <v>3261</v>
      </c>
      <c r="Z61" s="841" t="s">
        <v>3890</v>
      </c>
      <c r="AA61" s="841" t="s">
        <v>157</v>
      </c>
      <c r="AB61" s="841" t="s">
        <v>3260</v>
      </c>
      <c r="AC61" s="841" t="s">
        <v>710</v>
      </c>
      <c r="AD61" s="841" t="s">
        <v>948</v>
      </c>
      <c r="AE61" s="841" t="s">
        <v>1668</v>
      </c>
      <c r="AF61" s="840">
        <v>47.8</v>
      </c>
      <c r="AG61" s="840">
        <v>39.9</v>
      </c>
      <c r="AH61" s="840" t="s">
        <v>122</v>
      </c>
      <c r="AI61" s="840" t="s">
        <v>122</v>
      </c>
      <c r="AJ61" s="841" t="s">
        <v>369</v>
      </c>
      <c r="AK61" s="841" t="s">
        <v>978</v>
      </c>
      <c r="AL61" s="840"/>
      <c r="AM61" s="840"/>
      <c r="AN61" s="840" t="s">
        <v>1784</v>
      </c>
      <c r="AO61" s="840">
        <v>0.27</v>
      </c>
      <c r="AP61" s="200">
        <v>0.23</v>
      </c>
      <c r="AQ61" s="200" t="s">
        <v>157</v>
      </c>
      <c r="AR61" s="858">
        <v>5.3523855999999999</v>
      </c>
      <c r="AS61" s="858">
        <v>1.5422127999999999</v>
      </c>
      <c r="AT61" s="858">
        <v>1.360776</v>
      </c>
      <c r="AU61" s="858">
        <v>3.0844255999999999</v>
      </c>
      <c r="AV61" s="858">
        <v>2.6308335999999999</v>
      </c>
      <c r="AW61" s="843">
        <v>32.241844123416264</v>
      </c>
      <c r="AX61" s="656">
        <v>41091</v>
      </c>
      <c r="AY61" s="841" t="s">
        <v>1669</v>
      </c>
      <c r="AZ61" s="841">
        <v>98</v>
      </c>
      <c r="BA61" s="841" t="s">
        <v>4222</v>
      </c>
      <c r="BB61" s="274" t="s">
        <v>4223</v>
      </c>
      <c r="BC61" s="840">
        <v>14518401</v>
      </c>
      <c r="BD61" s="841" t="s">
        <v>1775</v>
      </c>
      <c r="BE61" s="841">
        <v>13536401</v>
      </c>
      <c r="BF61" s="841" t="s">
        <v>157</v>
      </c>
      <c r="BG61" s="841" t="s">
        <v>157</v>
      </c>
      <c r="BH61" s="839" t="s">
        <v>1796</v>
      </c>
      <c r="BI61" s="845">
        <v>42474</v>
      </c>
      <c r="BJ61" s="846">
        <v>2773</v>
      </c>
      <c r="BK61" s="846">
        <v>3578</v>
      </c>
      <c r="BL61" s="846">
        <v>6350</v>
      </c>
      <c r="BM61" s="846">
        <v>777.24</v>
      </c>
      <c r="BN61" s="846">
        <v>3060.7</v>
      </c>
      <c r="BO61" s="838">
        <v>405.4</v>
      </c>
      <c r="BP61" s="846">
        <v>3788.5006859904133</v>
      </c>
      <c r="BQ61" s="838">
        <v>0.35</v>
      </c>
      <c r="BR61" s="847">
        <v>35</v>
      </c>
      <c r="BS61" s="847">
        <v>32</v>
      </c>
      <c r="BT61" s="201">
        <v>161</v>
      </c>
      <c r="BU61" s="846">
        <v>961.70579988263603</v>
      </c>
      <c r="BV61" s="846">
        <v>257.32901469803932</v>
      </c>
      <c r="BW61" s="846">
        <v>360.26062057725494</v>
      </c>
      <c r="BX61" s="847">
        <v>63.4</v>
      </c>
      <c r="BY61" s="839">
        <v>22</v>
      </c>
      <c r="BZ61" s="844">
        <v>8.287959070262434E-3</v>
      </c>
      <c r="CA61" s="839">
        <v>179</v>
      </c>
      <c r="CB61" s="839">
        <v>215</v>
      </c>
      <c r="CC61" s="847">
        <v>28.730960771493752</v>
      </c>
      <c r="CD61" s="847">
        <v>49.201307610265118</v>
      </c>
      <c r="CE61" s="838" t="s">
        <v>1049</v>
      </c>
      <c r="CF61" s="849">
        <v>-2.8481105042272525E-2</v>
      </c>
      <c r="CG61" s="579" t="s">
        <v>819</v>
      </c>
      <c r="CH61" s="579" t="s">
        <v>819</v>
      </c>
      <c r="CI61" s="681" t="s">
        <v>819</v>
      </c>
      <c r="CK61" s="317"/>
      <c r="CM61" s="326"/>
      <c r="CN61" s="326"/>
      <c r="CO61" s="326"/>
    </row>
    <row r="62" spans="1:115" ht="75" hidden="1" customHeight="1" x14ac:dyDescent="0.2">
      <c r="A62" s="280">
        <v>54</v>
      </c>
      <c r="B62" s="325" t="s">
        <v>1601</v>
      </c>
      <c r="C62" s="183" t="s">
        <v>3984</v>
      </c>
      <c r="D62" s="317" t="s">
        <v>792</v>
      </c>
      <c r="E62" s="661" t="s">
        <v>4007</v>
      </c>
      <c r="F62" s="325">
        <v>2011</v>
      </c>
      <c r="G62" s="352" t="s">
        <v>1738</v>
      </c>
      <c r="H62" s="317" t="s">
        <v>4034</v>
      </c>
      <c r="I62" s="355" t="s">
        <v>1324</v>
      </c>
      <c r="J62" s="325" t="s">
        <v>114</v>
      </c>
      <c r="K62" s="325"/>
      <c r="L62" s="317">
        <v>260</v>
      </c>
      <c r="M62" s="317">
        <v>108.5</v>
      </c>
      <c r="N62" s="317"/>
      <c r="O62" s="317" t="s">
        <v>1706</v>
      </c>
      <c r="P62" s="841" t="s">
        <v>4003</v>
      </c>
      <c r="Q62" s="841"/>
      <c r="R62" s="841"/>
      <c r="S62" s="317" t="s">
        <v>3652</v>
      </c>
      <c r="T62" s="317" t="s">
        <v>3653</v>
      </c>
      <c r="U62" s="317"/>
      <c r="V62" s="317"/>
      <c r="W62" s="183" t="s">
        <v>3668</v>
      </c>
      <c r="X62" s="317">
        <v>15.48</v>
      </c>
      <c r="Y62" s="183" t="s">
        <v>3689</v>
      </c>
      <c r="Z62" s="183" t="s">
        <v>3793</v>
      </c>
      <c r="AA62" s="317">
        <v>160</v>
      </c>
      <c r="AB62" s="317" t="s">
        <v>1602</v>
      </c>
      <c r="AC62" s="317" t="s">
        <v>119</v>
      </c>
      <c r="AD62" s="317" t="s">
        <v>1603</v>
      </c>
      <c r="AE62" s="317" t="s">
        <v>1668</v>
      </c>
      <c r="AF62" s="325">
        <v>38.4</v>
      </c>
      <c r="AG62" s="325">
        <v>18.899999999999999</v>
      </c>
      <c r="AH62" s="325" t="s">
        <v>1744</v>
      </c>
      <c r="AI62" s="325"/>
      <c r="AJ62" s="183" t="s">
        <v>3022</v>
      </c>
      <c r="AK62" s="317" t="s">
        <v>1372</v>
      </c>
      <c r="AL62" s="325"/>
      <c r="AM62" s="325"/>
      <c r="AN62" s="325" t="s">
        <v>1784</v>
      </c>
      <c r="AO62" s="336">
        <v>0.31</v>
      </c>
      <c r="AP62" s="325"/>
      <c r="AQ62" s="325"/>
      <c r="AR62" s="347">
        <v>4.2184056000000005</v>
      </c>
      <c r="AS62" s="347">
        <v>1.1793392</v>
      </c>
      <c r="AT62" s="347">
        <v>0.95254320000000003</v>
      </c>
      <c r="AU62" s="347">
        <v>2.4040376000000001</v>
      </c>
      <c r="AV62" s="347">
        <v>2.0865231999999998</v>
      </c>
      <c r="AW62" s="319"/>
      <c r="AX62" s="327"/>
      <c r="AY62" s="325" t="s">
        <v>3803</v>
      </c>
      <c r="AZ62" s="337"/>
      <c r="BA62" s="317" t="s">
        <v>2012</v>
      </c>
      <c r="BB62" s="317" t="s">
        <v>2531</v>
      </c>
      <c r="BC62" s="325">
        <v>17659901</v>
      </c>
      <c r="BD62" s="317" t="s">
        <v>2013</v>
      </c>
      <c r="BE62" s="317">
        <v>17659401</v>
      </c>
      <c r="BF62" s="317"/>
      <c r="BG62" s="317"/>
      <c r="BH62" s="659" t="s">
        <v>1796</v>
      </c>
      <c r="BI62" s="318">
        <v>40800</v>
      </c>
      <c r="BJ62" s="321"/>
      <c r="BK62" s="321"/>
      <c r="BL62" s="328"/>
      <c r="BM62" s="321"/>
      <c r="BN62" s="321"/>
      <c r="BO62" s="320"/>
      <c r="BP62" s="328"/>
      <c r="BQ62" s="320"/>
      <c r="BR62" s="320"/>
      <c r="BS62" s="320"/>
      <c r="BT62" s="338"/>
      <c r="BU62" s="320"/>
      <c r="BV62" s="328"/>
      <c r="BW62" s="328"/>
      <c r="BX62" s="329"/>
      <c r="BY62" s="320">
        <v>22</v>
      </c>
      <c r="BZ62" s="322"/>
      <c r="CA62" s="320"/>
      <c r="CB62" s="320"/>
      <c r="CC62" s="329"/>
      <c r="CD62" s="329"/>
      <c r="CE62" s="326"/>
      <c r="CF62" s="330"/>
      <c r="CG62" s="320"/>
      <c r="CH62" s="320"/>
      <c r="CI62" s="323"/>
      <c r="CJ62" s="216"/>
      <c r="CK62" s="661"/>
      <c r="CL62" s="671"/>
      <c r="CM62" s="671"/>
      <c r="CN62" s="671"/>
      <c r="CO62" s="671"/>
    </row>
    <row r="63" spans="1:115" s="850" customFormat="1" ht="75" hidden="1" customHeight="1" x14ac:dyDescent="0.2">
      <c r="A63" s="856">
        <v>54</v>
      </c>
      <c r="B63" s="841" t="s">
        <v>2313</v>
      </c>
      <c r="C63" s="761" t="s">
        <v>3984</v>
      </c>
      <c r="D63" s="761" t="s">
        <v>793</v>
      </c>
      <c r="E63" s="761" t="s">
        <v>4007</v>
      </c>
      <c r="F63" s="760">
        <v>2015</v>
      </c>
      <c r="G63" s="853" t="s">
        <v>1797</v>
      </c>
      <c r="H63" s="761" t="s">
        <v>4226</v>
      </c>
      <c r="I63" s="772" t="s">
        <v>2908</v>
      </c>
      <c r="J63" s="760" t="s">
        <v>114</v>
      </c>
      <c r="K63" s="760" t="s">
        <v>4247</v>
      </c>
      <c r="L63" s="761">
        <v>348</v>
      </c>
      <c r="M63" s="760">
        <v>153.25</v>
      </c>
      <c r="N63" s="761" t="s">
        <v>2011</v>
      </c>
      <c r="O63" s="761" t="s">
        <v>2249</v>
      </c>
      <c r="P63" s="841" t="s">
        <v>4004</v>
      </c>
      <c r="Q63" s="841" t="s">
        <v>2373</v>
      </c>
      <c r="R63" s="841" t="s">
        <v>2373</v>
      </c>
      <c r="S63" s="761" t="s">
        <v>3653</v>
      </c>
      <c r="T63" s="761" t="s">
        <v>3653</v>
      </c>
      <c r="U63" s="761">
        <v>0.14949999999999999</v>
      </c>
      <c r="V63" s="761">
        <v>0.14949999999999999</v>
      </c>
      <c r="W63" s="841" t="s">
        <v>4295</v>
      </c>
      <c r="X63" s="761">
        <v>14.29</v>
      </c>
      <c r="Y63" s="761" t="s">
        <v>3676</v>
      </c>
      <c r="Z63" s="761" t="s">
        <v>4248</v>
      </c>
      <c r="AA63" s="761">
        <v>180</v>
      </c>
      <c r="AB63" s="761" t="s">
        <v>4249</v>
      </c>
      <c r="AC63" s="841" t="s">
        <v>119</v>
      </c>
      <c r="AD63" s="841" t="s">
        <v>4250</v>
      </c>
      <c r="AE63" s="760" t="s">
        <v>1668</v>
      </c>
      <c r="AF63" s="840">
        <v>37.1</v>
      </c>
      <c r="AG63" s="840">
        <v>23.7</v>
      </c>
      <c r="AH63" s="760" t="s">
        <v>122</v>
      </c>
      <c r="AI63" s="760" t="s">
        <v>122</v>
      </c>
      <c r="AJ63" s="760" t="s">
        <v>2871</v>
      </c>
      <c r="AK63" s="761" t="s">
        <v>4251</v>
      </c>
      <c r="AL63" s="760"/>
      <c r="AM63" s="760"/>
      <c r="AN63" s="760" t="s">
        <v>1784</v>
      </c>
      <c r="AO63" s="760"/>
      <c r="AP63" s="760"/>
      <c r="AQ63" s="760"/>
      <c r="AR63" s="774">
        <v>5.3</v>
      </c>
      <c r="AS63" s="774">
        <v>1.9470000000000001</v>
      </c>
      <c r="AT63" s="774">
        <v>1.7</v>
      </c>
      <c r="AU63" s="774">
        <v>2.6779999999999999</v>
      </c>
      <c r="AV63" s="774">
        <v>2.4</v>
      </c>
      <c r="AW63" s="763"/>
      <c r="AX63" s="771"/>
      <c r="AY63" s="760"/>
      <c r="AZ63" s="761"/>
      <c r="BA63" s="761" t="s">
        <v>4252</v>
      </c>
      <c r="BB63" s="761" t="s">
        <v>4253</v>
      </c>
      <c r="BC63" s="760">
        <v>17801703</v>
      </c>
      <c r="BD63" s="761" t="s">
        <v>4254</v>
      </c>
      <c r="BE63" s="761">
        <v>17802203</v>
      </c>
      <c r="BF63" s="761" t="s">
        <v>1127</v>
      </c>
      <c r="BG63" s="761" t="s">
        <v>1127</v>
      </c>
      <c r="BH63" s="759" t="s">
        <v>1121</v>
      </c>
      <c r="BI63" s="765">
        <v>42482</v>
      </c>
      <c r="BJ63" s="762"/>
      <c r="BK63" s="762"/>
      <c r="BL63" s="762"/>
      <c r="BM63" s="762"/>
      <c r="BN63" s="762"/>
      <c r="BO63" s="759"/>
      <c r="BP63" s="766"/>
      <c r="BQ63" s="759"/>
      <c r="BR63" s="763"/>
      <c r="BS63" s="763"/>
      <c r="BT63" s="768"/>
      <c r="BU63" s="766"/>
      <c r="BV63" s="766"/>
      <c r="BW63" s="766"/>
      <c r="BX63" s="767"/>
      <c r="BY63" s="759">
        <v>25</v>
      </c>
      <c r="BZ63" s="764"/>
      <c r="CA63" s="759"/>
      <c r="CB63" s="759"/>
      <c r="CC63" s="767"/>
      <c r="CD63" s="767"/>
      <c r="CE63" s="758"/>
      <c r="CF63" s="769"/>
      <c r="CG63" s="758"/>
      <c r="CH63" s="758"/>
      <c r="CI63" s="773"/>
      <c r="CJ63" s="216"/>
      <c r="CK63" s="841"/>
    </row>
    <row r="64" spans="1:115" s="850" customFormat="1" ht="75" hidden="1" customHeight="1" x14ac:dyDescent="0.2">
      <c r="A64" s="789">
        <v>54</v>
      </c>
      <c r="B64" s="325" t="s">
        <v>1601</v>
      </c>
      <c r="C64" s="841" t="s">
        <v>3984</v>
      </c>
      <c r="D64" s="676" t="s">
        <v>4104</v>
      </c>
      <c r="E64" s="676" t="s">
        <v>4007</v>
      </c>
      <c r="F64" s="777">
        <v>2017</v>
      </c>
      <c r="G64" s="787" t="s">
        <v>1738</v>
      </c>
      <c r="H64" s="676" t="s">
        <v>4105</v>
      </c>
      <c r="I64" s="356" t="s">
        <v>1324</v>
      </c>
      <c r="J64" s="777" t="s">
        <v>114</v>
      </c>
      <c r="K64" s="777" t="s">
        <v>3938</v>
      </c>
      <c r="L64" s="840">
        <v>391</v>
      </c>
      <c r="M64" s="777">
        <v>164.5</v>
      </c>
      <c r="N64" s="675" t="s">
        <v>3933</v>
      </c>
      <c r="O64" s="676" t="s">
        <v>1706</v>
      </c>
      <c r="P64" s="676" t="s">
        <v>4003</v>
      </c>
      <c r="Q64" s="676" t="s">
        <v>2797</v>
      </c>
      <c r="R64" s="841"/>
      <c r="S64" s="778"/>
      <c r="T64" s="778"/>
      <c r="U64" s="778"/>
      <c r="V64" s="778"/>
      <c r="W64" s="841"/>
      <c r="X64" s="778"/>
      <c r="Y64" s="778"/>
      <c r="Z64" s="778"/>
      <c r="AA64" s="778"/>
      <c r="AB64" s="778"/>
      <c r="AC64" s="840"/>
      <c r="AD64" s="840"/>
      <c r="AE64" s="777"/>
      <c r="AF64" s="841"/>
      <c r="AG64" s="841"/>
      <c r="AH64" s="777"/>
      <c r="AI64" s="777"/>
      <c r="AJ64" s="777"/>
      <c r="AK64" s="778"/>
      <c r="AL64" s="777"/>
      <c r="AM64" s="777"/>
      <c r="AN64" s="777"/>
      <c r="AO64" s="777"/>
      <c r="AP64" s="777"/>
      <c r="AQ64" s="777"/>
      <c r="AR64" s="790"/>
      <c r="AS64" s="790"/>
      <c r="AT64" s="790"/>
      <c r="AU64" s="790"/>
      <c r="AV64" s="790"/>
      <c r="AW64" s="779"/>
      <c r="AX64" s="786"/>
      <c r="AY64" s="777"/>
      <c r="AZ64" s="778"/>
      <c r="BA64" s="778"/>
      <c r="BB64" s="840"/>
      <c r="BC64" s="777"/>
      <c r="BD64" s="778"/>
      <c r="BE64" s="778"/>
      <c r="BF64" s="778"/>
      <c r="BG64" s="778"/>
      <c r="BH64" s="776"/>
      <c r="BI64" s="667"/>
      <c r="BJ64" s="846"/>
      <c r="BK64" s="846"/>
      <c r="BL64" s="846"/>
      <c r="BM64" s="846"/>
      <c r="BN64" s="846"/>
      <c r="BO64" s="201"/>
      <c r="BP64" s="781"/>
      <c r="BQ64" s="655"/>
      <c r="BR64" s="847"/>
      <c r="BS64" s="847"/>
      <c r="BT64" s="783"/>
      <c r="BU64" s="781"/>
      <c r="BV64" s="781"/>
      <c r="BW64" s="781"/>
      <c r="BX64" s="782"/>
      <c r="BY64" s="776"/>
      <c r="BZ64" s="780"/>
      <c r="CA64" s="844"/>
      <c r="CB64" s="844"/>
      <c r="CC64" s="782"/>
      <c r="CD64" s="782"/>
      <c r="CE64" s="775"/>
      <c r="CF64" s="784"/>
      <c r="CG64" s="775"/>
      <c r="CH64" s="775"/>
      <c r="CI64" s="788"/>
      <c r="CK64" s="512" t="s">
        <v>3020</v>
      </c>
    </row>
    <row r="65" spans="1:251" ht="75" hidden="1" customHeight="1" x14ac:dyDescent="0.2">
      <c r="A65" s="856">
        <v>54</v>
      </c>
      <c r="B65" s="325" t="s">
        <v>1601</v>
      </c>
      <c r="C65" s="794" t="s">
        <v>3984</v>
      </c>
      <c r="D65" s="676" t="s">
        <v>4104</v>
      </c>
      <c r="E65" s="676" t="s">
        <v>4007</v>
      </c>
      <c r="F65" s="793">
        <v>2018</v>
      </c>
      <c r="G65" s="853" t="s">
        <v>1738</v>
      </c>
      <c r="H65" s="676" t="s">
        <v>4106</v>
      </c>
      <c r="I65" s="356" t="s">
        <v>1324</v>
      </c>
      <c r="J65" s="793" t="s">
        <v>114</v>
      </c>
      <c r="K65" s="676"/>
      <c r="L65" s="676"/>
      <c r="M65" s="676"/>
      <c r="N65" s="675"/>
      <c r="O65" s="676"/>
      <c r="P65" s="676" t="s">
        <v>4003</v>
      </c>
      <c r="Q65" s="676" t="s">
        <v>2797</v>
      </c>
      <c r="R65" s="841"/>
      <c r="S65" s="794"/>
      <c r="T65" s="794"/>
      <c r="U65" s="794"/>
      <c r="V65" s="794"/>
      <c r="W65" s="841"/>
      <c r="X65" s="794"/>
      <c r="Y65" s="794"/>
      <c r="Z65" s="794"/>
      <c r="AA65" s="794"/>
      <c r="AB65" s="794"/>
      <c r="AC65" s="793"/>
      <c r="AD65" s="840"/>
      <c r="AE65" s="793"/>
      <c r="AF65" s="794"/>
      <c r="AG65" s="794"/>
      <c r="AH65" s="793"/>
      <c r="AI65" s="793"/>
      <c r="AJ65" s="793"/>
      <c r="AK65" s="794"/>
      <c r="AL65" s="793"/>
      <c r="AM65" s="793"/>
      <c r="AN65" s="793"/>
      <c r="AO65" s="793"/>
      <c r="AP65" s="793"/>
      <c r="AQ65" s="793"/>
      <c r="AR65" s="804"/>
      <c r="AS65" s="804"/>
      <c r="AT65" s="804"/>
      <c r="AU65" s="804"/>
      <c r="AV65" s="804"/>
      <c r="AW65" s="795"/>
      <c r="AX65" s="802"/>
      <c r="AY65" s="793"/>
      <c r="AZ65" s="794"/>
      <c r="BA65" s="794"/>
      <c r="BB65" s="840"/>
      <c r="BC65" s="793"/>
      <c r="BD65" s="794"/>
      <c r="BE65" s="794"/>
      <c r="BF65" s="794"/>
      <c r="BG65" s="794"/>
      <c r="BH65" s="792"/>
      <c r="BI65" s="667"/>
      <c r="BJ65" s="846"/>
      <c r="BK65" s="846"/>
      <c r="BL65" s="846"/>
      <c r="BM65" s="846"/>
      <c r="BN65" s="846"/>
      <c r="BO65" s="201"/>
      <c r="BP65" s="797"/>
      <c r="BQ65" s="655"/>
      <c r="BR65" s="847"/>
      <c r="BS65" s="847"/>
      <c r="BT65" s="799"/>
      <c r="BU65" s="797"/>
      <c r="BV65" s="797"/>
      <c r="BW65" s="797"/>
      <c r="BX65" s="798"/>
      <c r="BY65" s="792"/>
      <c r="BZ65" s="796"/>
      <c r="CA65" s="844"/>
      <c r="CB65" s="844"/>
      <c r="CC65" s="798"/>
      <c r="CD65" s="798"/>
      <c r="CE65" s="791"/>
      <c r="CF65" s="800"/>
      <c r="CG65" s="791"/>
      <c r="CH65" s="791"/>
      <c r="CI65" s="803"/>
      <c r="CJ65" s="671"/>
      <c r="CK65" s="512" t="s">
        <v>3020</v>
      </c>
      <c r="CL65" s="671"/>
      <c r="CM65" s="671"/>
      <c r="CN65" s="671"/>
      <c r="CO65" s="671"/>
      <c r="CP65" s="324"/>
      <c r="CQ65" s="324"/>
      <c r="CR65" s="324"/>
      <c r="CS65" s="324"/>
      <c r="CT65" s="324"/>
      <c r="CU65" s="324"/>
      <c r="CV65" s="324"/>
      <c r="CW65" s="324"/>
      <c r="CX65" s="324"/>
      <c r="CY65" s="324"/>
      <c r="CZ65" s="324"/>
      <c r="DA65" s="324"/>
      <c r="DB65" s="324"/>
      <c r="DC65" s="324"/>
      <c r="DD65" s="324"/>
      <c r="DE65" s="324"/>
      <c r="DF65" s="324"/>
      <c r="DG65" s="324"/>
      <c r="DH65" s="324"/>
      <c r="DI65" s="324"/>
      <c r="DJ65" s="324"/>
    </row>
    <row r="66" spans="1:251" ht="75" hidden="1" customHeight="1" x14ac:dyDescent="0.2">
      <c r="A66" s="678">
        <v>54</v>
      </c>
      <c r="B66" s="325" t="s">
        <v>1601</v>
      </c>
      <c r="C66" s="661" t="s">
        <v>3984</v>
      </c>
      <c r="D66" s="317" t="s">
        <v>792</v>
      </c>
      <c r="E66" s="841" t="s">
        <v>4007</v>
      </c>
      <c r="F66" s="325">
        <v>2014</v>
      </c>
      <c r="G66" s="352" t="s">
        <v>1738</v>
      </c>
      <c r="H66" s="317" t="s">
        <v>4107</v>
      </c>
      <c r="I66" s="355" t="s">
        <v>1324</v>
      </c>
      <c r="J66" s="325" t="s">
        <v>114</v>
      </c>
      <c r="K66" s="841"/>
      <c r="L66" s="841"/>
      <c r="M66" s="841"/>
      <c r="N66" s="675" t="s">
        <v>3933</v>
      </c>
      <c r="O66" s="676" t="s">
        <v>1706</v>
      </c>
      <c r="P66" s="676" t="s">
        <v>4003</v>
      </c>
      <c r="Q66" s="676" t="s">
        <v>2797</v>
      </c>
      <c r="R66" s="841"/>
      <c r="S66" s="661"/>
      <c r="T66" s="661"/>
      <c r="U66" s="661"/>
      <c r="V66" s="661"/>
      <c r="W66" s="661"/>
      <c r="X66" s="661"/>
      <c r="Y66" s="661"/>
      <c r="Z66" s="661"/>
      <c r="AA66" s="661"/>
      <c r="AB66" s="661"/>
      <c r="AC66" s="660"/>
      <c r="AD66" s="660"/>
      <c r="AE66" s="660"/>
      <c r="AF66" s="661"/>
      <c r="AG66" s="661"/>
      <c r="AH66" s="660"/>
      <c r="AI66" s="660"/>
      <c r="AJ66" s="660"/>
      <c r="AK66" s="661"/>
      <c r="AL66" s="660"/>
      <c r="AM66" s="660"/>
      <c r="AN66" s="660"/>
      <c r="AO66" s="660"/>
      <c r="AP66" s="660"/>
      <c r="AQ66" s="660"/>
      <c r="AR66" s="347"/>
      <c r="AS66" s="347"/>
      <c r="AT66" s="347"/>
      <c r="AU66" s="347"/>
      <c r="AV66" s="347"/>
      <c r="AW66" s="664"/>
      <c r="AX66" s="672"/>
      <c r="AY66" s="660"/>
      <c r="AZ66" s="661"/>
      <c r="BA66" s="661"/>
      <c r="BB66" s="660"/>
      <c r="BC66" s="660"/>
      <c r="BD66" s="661"/>
      <c r="BE66" s="661"/>
      <c r="BF66" s="661"/>
      <c r="BG66" s="661"/>
      <c r="BH66" s="659"/>
      <c r="BI66" s="667"/>
      <c r="BJ66" s="652"/>
      <c r="BK66" s="652"/>
      <c r="BL66" s="652"/>
      <c r="BM66" s="652"/>
      <c r="BN66" s="652"/>
      <c r="BO66" s="201"/>
      <c r="BP66" s="652"/>
      <c r="BQ66" s="655"/>
      <c r="BR66" s="668"/>
      <c r="BS66" s="668"/>
      <c r="BT66" s="195"/>
      <c r="BU66" s="652"/>
      <c r="BV66" s="652"/>
      <c r="BW66" s="652"/>
      <c r="BX66" s="668"/>
      <c r="BY66" s="659"/>
      <c r="BZ66" s="665"/>
      <c r="CA66" s="665"/>
      <c r="CB66" s="665"/>
      <c r="CC66" s="668"/>
      <c r="CD66" s="668"/>
      <c r="CE66" s="651"/>
      <c r="CF66" s="654"/>
      <c r="CG66" s="651"/>
      <c r="CH66" s="651"/>
      <c r="CI66" s="279"/>
      <c r="CK66" s="841"/>
      <c r="CM66" s="671"/>
      <c r="CN66" s="671"/>
      <c r="CO66" s="671"/>
    </row>
    <row r="67" spans="1:251" s="532" customFormat="1" ht="75" hidden="1" customHeight="1" x14ac:dyDescent="0.2">
      <c r="A67" s="281">
        <v>54</v>
      </c>
      <c r="B67" s="841" t="s">
        <v>3973</v>
      </c>
      <c r="C67" s="661" t="s">
        <v>3982</v>
      </c>
      <c r="D67" s="841" t="s">
        <v>655</v>
      </c>
      <c r="E67" s="841" t="s">
        <v>4007</v>
      </c>
      <c r="F67" s="660">
        <v>2015</v>
      </c>
      <c r="G67" s="657" t="s">
        <v>1797</v>
      </c>
      <c r="H67" s="841" t="s">
        <v>4035</v>
      </c>
      <c r="I67" s="854" t="s">
        <v>2908</v>
      </c>
      <c r="J67" s="660" t="s">
        <v>114</v>
      </c>
      <c r="K67" s="840" t="s">
        <v>3071</v>
      </c>
      <c r="L67" s="841">
        <v>336</v>
      </c>
      <c r="M67" s="840">
        <v>147.25</v>
      </c>
      <c r="N67" s="841" t="s">
        <v>2011</v>
      </c>
      <c r="O67" s="841" t="s">
        <v>1706</v>
      </c>
      <c r="P67" s="841" t="s">
        <v>4004</v>
      </c>
      <c r="Q67" s="841" t="s">
        <v>2373</v>
      </c>
      <c r="R67" s="841" t="s">
        <v>2373</v>
      </c>
      <c r="S67" s="661" t="s">
        <v>3653</v>
      </c>
      <c r="T67" s="661" t="s">
        <v>3653</v>
      </c>
      <c r="U67" s="661">
        <v>0.14949999999999999</v>
      </c>
      <c r="V67" s="661">
        <v>0.14949999999999999</v>
      </c>
      <c r="W67" s="661" t="s">
        <v>4295</v>
      </c>
      <c r="X67" s="661">
        <v>11</v>
      </c>
      <c r="Y67" s="661" t="s">
        <v>3676</v>
      </c>
      <c r="Z67" s="661" t="s">
        <v>4248</v>
      </c>
      <c r="AA67" s="661">
        <v>180</v>
      </c>
      <c r="AB67" s="661" t="s">
        <v>4261</v>
      </c>
      <c r="AC67" s="841" t="s">
        <v>119</v>
      </c>
      <c r="AD67" s="841" t="s">
        <v>4262</v>
      </c>
      <c r="AE67" s="660" t="s">
        <v>1668</v>
      </c>
      <c r="AF67" s="661">
        <v>44.6</v>
      </c>
      <c r="AG67" s="661">
        <v>33.200000000000003</v>
      </c>
      <c r="AH67" s="660" t="s">
        <v>122</v>
      </c>
      <c r="AI67" s="660" t="s">
        <v>122</v>
      </c>
      <c r="AJ67" s="841" t="s">
        <v>369</v>
      </c>
      <c r="AK67" s="661" t="s">
        <v>4251</v>
      </c>
      <c r="AL67" s="660"/>
      <c r="AM67" s="660" t="s">
        <v>1784</v>
      </c>
      <c r="AN67" s="660"/>
      <c r="AO67" s="660"/>
      <c r="AP67" s="660"/>
      <c r="AQ67" s="660"/>
      <c r="AR67" s="347">
        <v>6.9989245599999999</v>
      </c>
      <c r="AS67" s="347">
        <v>2.601</v>
      </c>
      <c r="AT67" s="347">
        <v>2.3490000000000002</v>
      </c>
      <c r="AU67" s="347">
        <v>2.9590000000000001</v>
      </c>
      <c r="AV67" s="347">
        <v>2.5339999999999998</v>
      </c>
      <c r="AW67" s="664"/>
      <c r="AX67" s="672"/>
      <c r="AY67" s="660"/>
      <c r="AZ67" s="661"/>
      <c r="BA67" s="661" t="s">
        <v>4263</v>
      </c>
      <c r="BB67" s="841" t="s">
        <v>4264</v>
      </c>
      <c r="BC67" s="841" t="s">
        <v>4265</v>
      </c>
      <c r="BD67" s="661" t="s">
        <v>4266</v>
      </c>
      <c r="BE67" s="661">
        <v>18334402</v>
      </c>
      <c r="BF67" s="661">
        <v>32351957</v>
      </c>
      <c r="BG67" s="661" t="s">
        <v>4267</v>
      </c>
      <c r="BH67" s="659" t="s">
        <v>1796</v>
      </c>
      <c r="BI67" s="845">
        <v>42481</v>
      </c>
      <c r="BJ67" s="842"/>
      <c r="BK67" s="842"/>
      <c r="BL67" s="842"/>
      <c r="BM67" s="842"/>
      <c r="BN67" s="842"/>
      <c r="BO67" s="839"/>
      <c r="BP67" s="652"/>
      <c r="BQ67" s="839"/>
      <c r="BR67" s="843"/>
      <c r="BS67" s="843"/>
      <c r="BT67" s="653"/>
      <c r="BU67" s="652"/>
      <c r="BV67" s="652"/>
      <c r="BW67" s="652"/>
      <c r="BX67" s="668"/>
      <c r="BY67" s="659">
        <v>22</v>
      </c>
      <c r="BZ67" s="665"/>
      <c r="CA67" s="839"/>
      <c r="CB67" s="839"/>
      <c r="CC67" s="668"/>
      <c r="CD67" s="668"/>
      <c r="CE67" s="651"/>
      <c r="CF67" s="654"/>
      <c r="CG67" s="651"/>
      <c r="CH67" s="651"/>
      <c r="CI67" s="279"/>
      <c r="CJ67" s="850"/>
      <c r="CK67" s="841"/>
      <c r="CL67" s="850"/>
      <c r="CM67" s="850"/>
      <c r="CN67" s="850"/>
      <c r="CO67" s="850"/>
      <c r="CP67" s="850"/>
      <c r="CQ67" s="850"/>
      <c r="CR67" s="850"/>
      <c r="CS67" s="850"/>
      <c r="CT67" s="850"/>
      <c r="CU67" s="850"/>
      <c r="CV67" s="850"/>
      <c r="CW67" s="850"/>
      <c r="CX67" s="850"/>
      <c r="CY67" s="850"/>
      <c r="CZ67" s="850"/>
      <c r="DA67" s="850"/>
      <c r="DB67" s="850"/>
      <c r="DC67" s="850"/>
      <c r="DD67" s="850"/>
      <c r="DE67" s="850"/>
      <c r="DF67" s="850"/>
      <c r="DG67" s="850"/>
      <c r="DH67" s="850"/>
      <c r="DI67" s="850"/>
      <c r="DJ67" s="850"/>
      <c r="DK67" s="850"/>
      <c r="DL67" s="850"/>
      <c r="DM67" s="850"/>
      <c r="DN67" s="850"/>
      <c r="DO67" s="850"/>
      <c r="DP67" s="850"/>
      <c r="DQ67" s="850"/>
      <c r="DR67" s="850"/>
      <c r="DS67" s="850"/>
      <c r="DT67" s="850"/>
      <c r="DU67" s="850"/>
      <c r="DV67" s="850"/>
      <c r="DW67" s="850"/>
      <c r="DX67" s="850"/>
      <c r="DY67" s="850"/>
      <c r="DZ67" s="850"/>
      <c r="EA67" s="850"/>
      <c r="EB67" s="850"/>
      <c r="EC67" s="850"/>
      <c r="ED67" s="850"/>
      <c r="EE67" s="850"/>
      <c r="EF67" s="850"/>
      <c r="EG67" s="850"/>
      <c r="EH67" s="850"/>
      <c r="EI67" s="850"/>
      <c r="EJ67" s="850"/>
      <c r="EK67" s="850"/>
      <c r="EL67" s="850"/>
      <c r="EM67" s="850"/>
      <c r="EN67" s="850"/>
      <c r="EO67" s="850"/>
      <c r="EP67" s="850"/>
      <c r="EQ67" s="850"/>
      <c r="ER67" s="850"/>
      <c r="ES67" s="850"/>
      <c r="ET67" s="850"/>
      <c r="EU67" s="850"/>
      <c r="EV67" s="850"/>
      <c r="EW67" s="850"/>
      <c r="EX67" s="850"/>
      <c r="EY67" s="850"/>
      <c r="EZ67" s="850"/>
      <c r="FA67" s="850"/>
      <c r="FB67" s="850"/>
      <c r="FC67" s="850"/>
      <c r="FD67" s="850"/>
      <c r="FE67" s="850"/>
      <c r="FF67" s="850"/>
      <c r="FG67" s="850"/>
      <c r="FH67" s="850"/>
      <c r="FI67" s="850"/>
      <c r="FJ67" s="850"/>
      <c r="FK67" s="850"/>
      <c r="FL67" s="850"/>
      <c r="FM67" s="850"/>
      <c r="FN67" s="850"/>
      <c r="FO67" s="850"/>
      <c r="FP67" s="850"/>
      <c r="FQ67" s="850"/>
      <c r="FR67" s="850"/>
      <c r="FS67" s="850"/>
      <c r="FT67" s="850"/>
      <c r="FU67" s="850"/>
      <c r="FV67" s="850"/>
      <c r="FW67" s="850"/>
      <c r="FX67" s="850"/>
      <c r="FY67" s="850"/>
      <c r="FZ67" s="850"/>
      <c r="GA67" s="850"/>
      <c r="GB67" s="850"/>
      <c r="GC67" s="850"/>
      <c r="GD67" s="850"/>
      <c r="GE67" s="850"/>
      <c r="GF67" s="850"/>
      <c r="GG67" s="850"/>
      <c r="GH67" s="850"/>
      <c r="GI67" s="850"/>
      <c r="GJ67" s="850"/>
      <c r="GK67" s="850"/>
      <c r="GL67" s="850"/>
      <c r="GM67" s="850"/>
      <c r="GN67" s="850"/>
      <c r="GO67" s="850"/>
      <c r="GP67" s="850"/>
      <c r="GQ67" s="850"/>
      <c r="GR67" s="850"/>
      <c r="GS67" s="850"/>
      <c r="GT67" s="850"/>
      <c r="GU67" s="850"/>
      <c r="GV67" s="850"/>
      <c r="GW67" s="850"/>
      <c r="GX67" s="850"/>
      <c r="GY67" s="850"/>
      <c r="GZ67" s="850"/>
      <c r="HA67" s="850"/>
      <c r="HB67" s="850"/>
      <c r="HC67" s="850"/>
      <c r="HD67" s="850"/>
      <c r="HE67" s="850"/>
      <c r="HF67" s="850"/>
      <c r="HG67" s="850"/>
      <c r="HH67" s="850"/>
      <c r="HI67" s="850"/>
      <c r="HJ67" s="850"/>
      <c r="HK67" s="850"/>
      <c r="HL67" s="850"/>
      <c r="HM67" s="850"/>
      <c r="HN67" s="850"/>
      <c r="HO67" s="850"/>
      <c r="HP67" s="850"/>
      <c r="HQ67" s="850"/>
      <c r="HR67" s="850"/>
      <c r="HS67" s="850"/>
      <c r="HT67" s="850"/>
      <c r="HU67" s="850"/>
      <c r="HV67" s="850"/>
      <c r="HW67" s="850"/>
      <c r="HX67" s="850"/>
      <c r="HY67" s="850"/>
      <c r="HZ67" s="850"/>
      <c r="IA67" s="850"/>
      <c r="IB67" s="850"/>
      <c r="IC67" s="850"/>
      <c r="ID67" s="850"/>
      <c r="IE67" s="850"/>
      <c r="IF67" s="850"/>
      <c r="IG67" s="850"/>
      <c r="IH67" s="850"/>
      <c r="II67" s="850"/>
      <c r="IJ67" s="850"/>
      <c r="IK67" s="850"/>
      <c r="IL67" s="850"/>
      <c r="IM67" s="850"/>
      <c r="IN67" s="850"/>
      <c r="IO67" s="850"/>
      <c r="IP67" s="850"/>
      <c r="IQ67" s="850"/>
    </row>
    <row r="68" spans="1:251" ht="75" hidden="1" customHeight="1" x14ac:dyDescent="0.2">
      <c r="A68" s="856">
        <v>54</v>
      </c>
      <c r="B68" s="841" t="s">
        <v>4268</v>
      </c>
      <c r="C68" s="183" t="s">
        <v>3982</v>
      </c>
      <c r="D68" s="841" t="s">
        <v>655</v>
      </c>
      <c r="E68" s="661" t="s">
        <v>4008</v>
      </c>
      <c r="F68" s="840">
        <v>2018</v>
      </c>
      <c r="G68" s="853" t="s">
        <v>1797</v>
      </c>
      <c r="H68" s="841" t="s">
        <v>4035</v>
      </c>
      <c r="I68" s="854" t="s">
        <v>2908</v>
      </c>
      <c r="J68" s="840" t="s">
        <v>114</v>
      </c>
      <c r="K68" s="840" t="s">
        <v>3071</v>
      </c>
      <c r="L68" s="841">
        <v>336</v>
      </c>
      <c r="M68" s="840">
        <v>147.25</v>
      </c>
      <c r="N68" s="841" t="s">
        <v>2011</v>
      </c>
      <c r="O68" s="841" t="s">
        <v>1706</v>
      </c>
      <c r="P68" s="841" t="s">
        <v>4004</v>
      </c>
      <c r="Q68" s="841" t="s">
        <v>2373</v>
      </c>
      <c r="R68" s="841" t="s">
        <v>2373</v>
      </c>
      <c r="S68" s="183" t="s">
        <v>3653</v>
      </c>
      <c r="T68" s="183" t="s">
        <v>3653</v>
      </c>
      <c r="U68" s="183">
        <v>0.14949999999999999</v>
      </c>
      <c r="V68" s="183">
        <v>0.14949999999999999</v>
      </c>
      <c r="W68" s="183" t="s">
        <v>4295</v>
      </c>
      <c r="X68" s="661">
        <v>11</v>
      </c>
      <c r="Y68" s="183" t="s">
        <v>3676</v>
      </c>
      <c r="Z68" s="183" t="s">
        <v>4248</v>
      </c>
      <c r="AA68" s="183">
        <v>180</v>
      </c>
      <c r="AB68" s="183" t="s">
        <v>4261</v>
      </c>
      <c r="AC68" s="841" t="s">
        <v>119</v>
      </c>
      <c r="AD68" s="841" t="s">
        <v>4262</v>
      </c>
      <c r="AE68" s="660" t="s">
        <v>1668</v>
      </c>
      <c r="AF68" s="840">
        <v>44.6</v>
      </c>
      <c r="AG68" s="840">
        <v>29.6</v>
      </c>
      <c r="AH68" s="182" t="s">
        <v>122</v>
      </c>
      <c r="AI68" s="182" t="s">
        <v>122</v>
      </c>
      <c r="AJ68" s="841" t="s">
        <v>369</v>
      </c>
      <c r="AK68" s="183" t="s">
        <v>4251</v>
      </c>
      <c r="AL68" s="182"/>
      <c r="AM68" s="182" t="s">
        <v>1784</v>
      </c>
      <c r="AN68" s="182"/>
      <c r="AO68" s="182"/>
      <c r="AP68" s="182"/>
      <c r="AQ68" s="182"/>
      <c r="AR68" s="347">
        <v>6.9989245599999999</v>
      </c>
      <c r="AS68" s="347">
        <v>2.601</v>
      </c>
      <c r="AT68" s="347">
        <v>2.3490000000000002</v>
      </c>
      <c r="AU68" s="347">
        <v>2.9590000000000001</v>
      </c>
      <c r="AV68" s="347">
        <v>2.5339999999999998</v>
      </c>
      <c r="AW68" s="185"/>
      <c r="AX68" s="261"/>
      <c r="AY68" s="660"/>
      <c r="AZ68" s="183"/>
      <c r="BA68" s="183" t="s">
        <v>4269</v>
      </c>
      <c r="BB68" s="841" t="s">
        <v>4270</v>
      </c>
      <c r="BC68" s="841" t="s">
        <v>4265</v>
      </c>
      <c r="BD68" s="183" t="s">
        <v>4266</v>
      </c>
      <c r="BE68" s="183">
        <v>18334402</v>
      </c>
      <c r="BF68" s="183">
        <v>32351957</v>
      </c>
      <c r="BG68" s="183" t="s">
        <v>4267</v>
      </c>
      <c r="BH68" s="181" t="s">
        <v>1796</v>
      </c>
      <c r="BI68" s="845">
        <v>42485</v>
      </c>
      <c r="BJ68" s="842"/>
      <c r="BK68" s="842"/>
      <c r="BL68" s="842"/>
      <c r="BM68" s="842"/>
      <c r="BN68" s="842"/>
      <c r="BO68" s="839"/>
      <c r="BP68" s="191"/>
      <c r="BQ68" s="839"/>
      <c r="BR68" s="843"/>
      <c r="BS68" s="843"/>
      <c r="BT68" s="653"/>
      <c r="BU68" s="652"/>
      <c r="BV68" s="191"/>
      <c r="BW68" s="191"/>
      <c r="BX68" s="192"/>
      <c r="BY68" s="181">
        <v>24</v>
      </c>
      <c r="BZ68" s="187"/>
      <c r="CA68" s="839"/>
      <c r="CB68" s="839"/>
      <c r="CC68" s="668"/>
      <c r="CD68" s="192"/>
      <c r="CE68" s="180"/>
      <c r="CF68" s="196"/>
      <c r="CG68" s="651"/>
      <c r="CH68" s="651"/>
      <c r="CI68" s="279"/>
      <c r="CJ68" s="850"/>
      <c r="CK68" s="512" t="s">
        <v>3020</v>
      </c>
      <c r="CL68" s="850"/>
      <c r="CM68" s="850"/>
      <c r="CN68" s="850"/>
      <c r="CO68" s="850"/>
      <c r="CP68" s="850"/>
      <c r="CQ68" s="850"/>
      <c r="CR68" s="850"/>
      <c r="CS68" s="850"/>
      <c r="CT68" s="850"/>
      <c r="CU68" s="850"/>
      <c r="CV68" s="850"/>
      <c r="CW68" s="850"/>
      <c r="CX68" s="850"/>
      <c r="CY68" s="850"/>
      <c r="CZ68" s="850"/>
      <c r="DA68" s="850"/>
      <c r="DB68" s="850"/>
      <c r="DC68" s="850"/>
      <c r="DD68" s="850"/>
      <c r="DE68" s="850"/>
      <c r="DF68" s="850"/>
      <c r="DG68" s="850"/>
      <c r="DH68" s="850"/>
      <c r="DI68" s="850"/>
      <c r="DJ68" s="850"/>
      <c r="DK68" s="850"/>
      <c r="DL68" s="850"/>
      <c r="DM68" s="850"/>
      <c r="DN68" s="850"/>
      <c r="DO68" s="850"/>
      <c r="DP68" s="850"/>
      <c r="DQ68" s="850"/>
      <c r="DR68" s="850"/>
      <c r="DS68" s="850"/>
      <c r="DT68" s="850"/>
      <c r="DU68" s="850"/>
      <c r="DV68" s="850"/>
      <c r="DW68" s="850"/>
      <c r="DX68" s="850"/>
      <c r="DY68" s="850"/>
      <c r="DZ68" s="850"/>
      <c r="EA68" s="850"/>
      <c r="EB68" s="850"/>
      <c r="EC68" s="850"/>
      <c r="ED68" s="850"/>
      <c r="EE68" s="850"/>
      <c r="EF68" s="850"/>
      <c r="EG68" s="850"/>
      <c r="EH68" s="850"/>
      <c r="EI68" s="850"/>
      <c r="EJ68" s="850"/>
      <c r="EK68" s="850"/>
      <c r="EL68" s="850"/>
      <c r="EM68" s="850"/>
      <c r="EN68" s="850"/>
      <c r="EO68" s="850"/>
      <c r="EP68" s="850"/>
      <c r="EQ68" s="850"/>
      <c r="ER68" s="850"/>
      <c r="ES68" s="850"/>
      <c r="ET68" s="850"/>
      <c r="EU68" s="850"/>
      <c r="EV68" s="850"/>
      <c r="EW68" s="850"/>
      <c r="EX68" s="850"/>
      <c r="EY68" s="850"/>
      <c r="EZ68" s="850"/>
      <c r="FA68" s="850"/>
      <c r="FB68" s="850"/>
      <c r="FC68" s="850"/>
      <c r="FD68" s="850"/>
      <c r="FE68" s="850"/>
      <c r="FF68" s="850"/>
      <c r="FG68" s="850"/>
      <c r="FH68" s="850"/>
      <c r="FI68" s="850"/>
      <c r="FJ68" s="850"/>
      <c r="FK68" s="850"/>
      <c r="FL68" s="850"/>
      <c r="FM68" s="850"/>
      <c r="FN68" s="850"/>
      <c r="FO68" s="850"/>
      <c r="FP68" s="850"/>
      <c r="FQ68" s="850"/>
      <c r="FR68" s="850"/>
      <c r="FS68" s="850"/>
      <c r="FT68" s="850"/>
      <c r="FU68" s="850"/>
      <c r="FV68" s="850"/>
      <c r="FW68" s="850"/>
      <c r="FX68" s="850"/>
      <c r="FY68" s="850"/>
      <c r="FZ68" s="850"/>
      <c r="GA68" s="850"/>
      <c r="GB68" s="850"/>
      <c r="GC68" s="850"/>
      <c r="GD68" s="850"/>
      <c r="GE68" s="850"/>
      <c r="GF68" s="850"/>
      <c r="GG68" s="850"/>
      <c r="GH68" s="850"/>
      <c r="GI68" s="850"/>
      <c r="GJ68" s="850"/>
      <c r="GK68" s="850"/>
      <c r="GL68" s="850"/>
      <c r="GM68" s="850"/>
      <c r="GN68" s="850"/>
      <c r="GO68" s="850"/>
      <c r="GP68" s="850"/>
      <c r="GQ68" s="850"/>
      <c r="GR68" s="850"/>
      <c r="GS68" s="850"/>
      <c r="GT68" s="850"/>
      <c r="GU68" s="850"/>
      <c r="GV68" s="850"/>
      <c r="GW68" s="850"/>
      <c r="GX68" s="850"/>
      <c r="GY68" s="850"/>
      <c r="GZ68" s="850"/>
      <c r="HA68" s="850"/>
      <c r="HB68" s="850"/>
      <c r="HC68" s="850"/>
      <c r="HD68" s="850"/>
      <c r="HE68" s="850"/>
      <c r="HF68" s="850"/>
      <c r="HG68" s="850"/>
      <c r="HH68" s="850"/>
      <c r="HI68" s="850"/>
      <c r="HJ68" s="850"/>
      <c r="HK68" s="850"/>
      <c r="HL68" s="850"/>
      <c r="HM68" s="850"/>
      <c r="HN68" s="850"/>
      <c r="HO68" s="850"/>
      <c r="HP68" s="850"/>
      <c r="HQ68" s="850"/>
      <c r="HR68" s="850"/>
      <c r="HS68" s="850"/>
      <c r="HT68" s="850"/>
      <c r="HU68" s="850"/>
      <c r="HV68" s="850"/>
      <c r="HW68" s="850"/>
      <c r="HX68" s="850"/>
      <c r="HY68" s="850"/>
      <c r="HZ68" s="850"/>
      <c r="IA68" s="850"/>
      <c r="IB68" s="850"/>
      <c r="IC68" s="850"/>
      <c r="ID68" s="850"/>
      <c r="IE68" s="850"/>
      <c r="IF68" s="850"/>
      <c r="IG68" s="850"/>
      <c r="IH68" s="850"/>
      <c r="II68" s="850"/>
      <c r="IJ68" s="850"/>
      <c r="IK68" s="850"/>
      <c r="IL68" s="850"/>
      <c r="IM68" s="850"/>
      <c r="IN68" s="850"/>
      <c r="IO68" s="850"/>
      <c r="IP68" s="850"/>
      <c r="IQ68" s="850"/>
    </row>
    <row r="69" spans="1:251" ht="75" hidden="1" customHeight="1" x14ac:dyDescent="0.2">
      <c r="A69" s="856">
        <v>54</v>
      </c>
      <c r="B69" s="841" t="s">
        <v>4268</v>
      </c>
      <c r="C69" s="841" t="s">
        <v>3982</v>
      </c>
      <c r="D69" s="841" t="s">
        <v>655</v>
      </c>
      <c r="E69" s="841" t="s">
        <v>4008</v>
      </c>
      <c r="F69" s="840">
        <v>2018</v>
      </c>
      <c r="G69" s="853" t="s">
        <v>1797</v>
      </c>
      <c r="H69" s="841" t="s">
        <v>4036</v>
      </c>
      <c r="I69" s="854" t="s">
        <v>2908</v>
      </c>
      <c r="J69" s="840" t="s">
        <v>114</v>
      </c>
      <c r="K69" s="840" t="s">
        <v>4271</v>
      </c>
      <c r="L69" s="841">
        <v>336</v>
      </c>
      <c r="M69" s="840">
        <v>147.25</v>
      </c>
      <c r="N69" s="841" t="s">
        <v>2011</v>
      </c>
      <c r="O69" s="841" t="s">
        <v>1706</v>
      </c>
      <c r="P69" s="841" t="s">
        <v>4004</v>
      </c>
      <c r="Q69" s="841" t="s">
        <v>2373</v>
      </c>
      <c r="R69" s="841" t="s">
        <v>2373</v>
      </c>
      <c r="S69" s="841" t="s">
        <v>3653</v>
      </c>
      <c r="T69" s="841" t="s">
        <v>3653</v>
      </c>
      <c r="U69" s="841">
        <v>0.14949999999999999</v>
      </c>
      <c r="V69" s="841">
        <v>0.14949999999999999</v>
      </c>
      <c r="W69" s="841" t="s">
        <v>4295</v>
      </c>
      <c r="X69" s="841">
        <v>11.09</v>
      </c>
      <c r="Y69" s="841" t="s">
        <v>3676</v>
      </c>
      <c r="Z69" s="841" t="s">
        <v>3991</v>
      </c>
      <c r="AA69" s="841">
        <v>180</v>
      </c>
      <c r="AB69" s="841" t="s">
        <v>4261</v>
      </c>
      <c r="AC69" s="841" t="s">
        <v>119</v>
      </c>
      <c r="AD69" s="841" t="s">
        <v>4262</v>
      </c>
      <c r="AE69" s="840" t="s">
        <v>1668</v>
      </c>
      <c r="AF69" s="840">
        <v>44.6</v>
      </c>
      <c r="AG69" s="840">
        <v>29.6</v>
      </c>
      <c r="AH69" s="840" t="s">
        <v>122</v>
      </c>
      <c r="AI69" s="840" t="s">
        <v>122</v>
      </c>
      <c r="AJ69" s="841" t="s">
        <v>369</v>
      </c>
      <c r="AK69" s="841" t="s">
        <v>4251</v>
      </c>
      <c r="AL69" s="840"/>
      <c r="AM69" s="840" t="s">
        <v>1784</v>
      </c>
      <c r="AN69" s="840"/>
      <c r="AO69" s="840"/>
      <c r="AP69" s="840"/>
      <c r="AQ69" s="840"/>
      <c r="AR69" s="858">
        <v>8</v>
      </c>
      <c r="AS69" s="858">
        <v>2.7010000000000001</v>
      </c>
      <c r="AT69" s="858">
        <v>2.4079999999999999</v>
      </c>
      <c r="AU69" s="858">
        <v>3.6640000000000001</v>
      </c>
      <c r="AV69" s="858">
        <v>3.13</v>
      </c>
      <c r="AW69" s="843"/>
      <c r="AX69" s="851"/>
      <c r="AY69" s="840"/>
      <c r="AZ69" s="841"/>
      <c r="BA69" s="841" t="s">
        <v>4272</v>
      </c>
      <c r="BB69" s="841" t="s">
        <v>4273</v>
      </c>
      <c r="BC69" s="841" t="s">
        <v>4274</v>
      </c>
      <c r="BD69" s="841" t="s">
        <v>4275</v>
      </c>
      <c r="BE69" s="841" t="s">
        <v>4276</v>
      </c>
      <c r="BF69" s="841">
        <v>32358680</v>
      </c>
      <c r="BG69" s="841" t="s">
        <v>4277</v>
      </c>
      <c r="BH69" s="839" t="s">
        <v>1796</v>
      </c>
      <c r="BI69" s="845">
        <v>42482</v>
      </c>
      <c r="BJ69" s="842"/>
      <c r="BK69" s="842"/>
      <c r="BL69" s="842"/>
      <c r="BM69" s="842"/>
      <c r="BN69" s="842"/>
      <c r="BO69" s="839"/>
      <c r="BP69" s="846"/>
      <c r="BQ69" s="839"/>
      <c r="BR69" s="843"/>
      <c r="BS69" s="843"/>
      <c r="BT69" s="848"/>
      <c r="BU69" s="846"/>
      <c r="BV69" s="846"/>
      <c r="BW69" s="846"/>
      <c r="BX69" s="847"/>
      <c r="BY69" s="839">
        <v>24</v>
      </c>
      <c r="BZ69" s="844"/>
      <c r="CA69" s="839"/>
      <c r="CB69" s="839"/>
      <c r="CC69" s="847"/>
      <c r="CD69" s="847"/>
      <c r="CE69" s="838"/>
      <c r="CF69" s="849"/>
      <c r="CG69" s="838"/>
      <c r="CH69" s="838"/>
      <c r="CI69" s="855"/>
      <c r="CJ69" s="850"/>
      <c r="CK69" s="512" t="s">
        <v>3020</v>
      </c>
      <c r="CL69" s="850"/>
      <c r="CM69" s="850"/>
      <c r="CN69" s="850"/>
      <c r="CO69" s="850"/>
      <c r="CP69" s="850"/>
      <c r="CQ69" s="850"/>
      <c r="CR69" s="850"/>
      <c r="CS69" s="850"/>
      <c r="CT69" s="850"/>
      <c r="CU69" s="850"/>
      <c r="CV69" s="850"/>
      <c r="CW69" s="850"/>
      <c r="CX69" s="850"/>
      <c r="CY69" s="850"/>
      <c r="CZ69" s="850"/>
      <c r="DA69" s="850"/>
      <c r="DB69" s="850"/>
      <c r="DC69" s="850"/>
      <c r="DD69" s="850"/>
      <c r="DE69" s="850"/>
      <c r="DF69" s="850"/>
      <c r="DG69" s="850"/>
      <c r="DH69" s="850"/>
      <c r="DI69" s="850"/>
      <c r="DJ69" s="850"/>
      <c r="DK69" s="850"/>
      <c r="DL69" s="850"/>
      <c r="DM69" s="850"/>
      <c r="DN69" s="850"/>
      <c r="DO69" s="850"/>
      <c r="DP69" s="850"/>
      <c r="DQ69" s="850"/>
      <c r="DR69" s="850"/>
      <c r="DS69" s="850"/>
      <c r="DT69" s="850"/>
      <c r="DU69" s="850"/>
      <c r="DV69" s="850"/>
      <c r="DW69" s="850"/>
      <c r="DX69" s="850"/>
      <c r="DY69" s="850"/>
      <c r="DZ69" s="850"/>
      <c r="EA69" s="850"/>
      <c r="EB69" s="850"/>
      <c r="EC69" s="850"/>
      <c r="ED69" s="850"/>
      <c r="EE69" s="850"/>
      <c r="EF69" s="850"/>
      <c r="EG69" s="850"/>
      <c r="EH69" s="850"/>
      <c r="EI69" s="850"/>
      <c r="EJ69" s="850"/>
      <c r="EK69" s="850"/>
      <c r="EL69" s="850"/>
      <c r="EM69" s="850"/>
      <c r="EN69" s="850"/>
      <c r="EO69" s="850"/>
      <c r="EP69" s="850"/>
      <c r="EQ69" s="850"/>
      <c r="ER69" s="850"/>
      <c r="ES69" s="850"/>
      <c r="ET69" s="850"/>
      <c r="EU69" s="850"/>
      <c r="EV69" s="850"/>
      <c r="EW69" s="850"/>
      <c r="EX69" s="850"/>
      <c r="EY69" s="850"/>
      <c r="EZ69" s="850"/>
      <c r="FA69" s="850"/>
      <c r="FB69" s="850"/>
      <c r="FC69" s="850"/>
      <c r="FD69" s="850"/>
      <c r="FE69" s="850"/>
      <c r="FF69" s="850"/>
      <c r="FG69" s="850"/>
      <c r="FH69" s="850"/>
      <c r="FI69" s="850"/>
      <c r="FJ69" s="850"/>
      <c r="FK69" s="850"/>
      <c r="FL69" s="850"/>
      <c r="FM69" s="850"/>
      <c r="FN69" s="850"/>
      <c r="FO69" s="850"/>
      <c r="FP69" s="850"/>
      <c r="FQ69" s="850"/>
      <c r="FR69" s="850"/>
      <c r="FS69" s="850"/>
      <c r="FT69" s="850"/>
      <c r="FU69" s="850"/>
      <c r="FV69" s="850"/>
      <c r="FW69" s="850"/>
      <c r="FX69" s="850"/>
      <c r="FY69" s="850"/>
      <c r="FZ69" s="850"/>
      <c r="GA69" s="850"/>
      <c r="GB69" s="850"/>
      <c r="GC69" s="850"/>
      <c r="GD69" s="850"/>
      <c r="GE69" s="850"/>
      <c r="GF69" s="850"/>
      <c r="GG69" s="850"/>
      <c r="GH69" s="850"/>
      <c r="GI69" s="850"/>
      <c r="GJ69" s="850"/>
      <c r="GK69" s="850"/>
      <c r="GL69" s="850"/>
      <c r="GM69" s="850"/>
      <c r="GN69" s="850"/>
      <c r="GO69" s="850"/>
      <c r="GP69" s="850"/>
      <c r="GQ69" s="850"/>
      <c r="GR69" s="850"/>
      <c r="GS69" s="850"/>
      <c r="GT69" s="850"/>
      <c r="GU69" s="850"/>
      <c r="GV69" s="850"/>
      <c r="GW69" s="850"/>
      <c r="GX69" s="850"/>
      <c r="GY69" s="850"/>
      <c r="GZ69" s="850"/>
      <c r="HA69" s="850"/>
      <c r="HB69" s="850"/>
      <c r="HC69" s="850"/>
      <c r="HD69" s="850"/>
      <c r="HE69" s="850"/>
      <c r="HF69" s="850"/>
      <c r="HG69" s="850"/>
      <c r="HH69" s="850"/>
      <c r="HI69" s="850"/>
      <c r="HJ69" s="850"/>
      <c r="HK69" s="850"/>
      <c r="HL69" s="850"/>
      <c r="HM69" s="850"/>
      <c r="HN69" s="850"/>
      <c r="HO69" s="850"/>
      <c r="HP69" s="850"/>
      <c r="HQ69" s="850"/>
      <c r="HR69" s="850"/>
      <c r="HS69" s="850"/>
      <c r="HT69" s="850"/>
      <c r="HU69" s="850"/>
      <c r="HV69" s="850"/>
      <c r="HW69" s="850"/>
      <c r="HX69" s="850"/>
      <c r="HY69" s="850"/>
      <c r="HZ69" s="850"/>
      <c r="IA69" s="850"/>
      <c r="IB69" s="850"/>
      <c r="IC69" s="850"/>
      <c r="ID69" s="850"/>
      <c r="IE69" s="850"/>
      <c r="IF69" s="850"/>
      <c r="IG69" s="850"/>
      <c r="IH69" s="850"/>
      <c r="II69" s="850"/>
      <c r="IJ69" s="850"/>
      <c r="IK69" s="850"/>
      <c r="IL69" s="850"/>
      <c r="IM69" s="850"/>
      <c r="IN69" s="850"/>
      <c r="IO69" s="850"/>
      <c r="IP69" s="850"/>
      <c r="IQ69" s="850"/>
    </row>
    <row r="70" spans="1:251" ht="75" hidden="1" customHeight="1" x14ac:dyDescent="0.2">
      <c r="A70" s="856">
        <v>54</v>
      </c>
      <c r="B70" s="841" t="s">
        <v>4268</v>
      </c>
      <c r="C70" s="661" t="s">
        <v>3982</v>
      </c>
      <c r="D70" s="661" t="s">
        <v>655</v>
      </c>
      <c r="E70" s="661" t="s">
        <v>4008</v>
      </c>
      <c r="F70" s="660">
        <v>2018</v>
      </c>
      <c r="G70" s="657" t="s">
        <v>1797</v>
      </c>
      <c r="H70" s="661" t="s">
        <v>4278</v>
      </c>
      <c r="I70" s="644" t="s">
        <v>2908</v>
      </c>
      <c r="J70" s="660" t="s">
        <v>114</v>
      </c>
      <c r="K70" s="660" t="s">
        <v>4284</v>
      </c>
      <c r="L70" s="661">
        <v>336</v>
      </c>
      <c r="M70" s="840">
        <v>147.25</v>
      </c>
      <c r="N70" s="661" t="s">
        <v>2011</v>
      </c>
      <c r="O70" s="661" t="s">
        <v>1706</v>
      </c>
      <c r="P70" s="661" t="s">
        <v>4004</v>
      </c>
      <c r="Q70" s="841" t="s">
        <v>2373</v>
      </c>
      <c r="R70" s="841" t="s">
        <v>2373</v>
      </c>
      <c r="S70" s="661" t="s">
        <v>3653</v>
      </c>
      <c r="T70" s="661" t="s">
        <v>3653</v>
      </c>
      <c r="U70" s="661">
        <v>0.14949999999999999</v>
      </c>
      <c r="V70" s="661">
        <v>0.14949999999999999</v>
      </c>
      <c r="W70" s="661" t="s">
        <v>4295</v>
      </c>
      <c r="X70" s="661">
        <v>11.09</v>
      </c>
      <c r="Y70" s="661" t="s">
        <v>3676</v>
      </c>
      <c r="Z70" s="661" t="s">
        <v>3991</v>
      </c>
      <c r="AA70" s="661">
        <v>180</v>
      </c>
      <c r="AB70" s="661" t="s">
        <v>4261</v>
      </c>
      <c r="AC70" s="661" t="s">
        <v>119</v>
      </c>
      <c r="AD70" s="661" t="s">
        <v>4262</v>
      </c>
      <c r="AE70" s="840" t="s">
        <v>1668</v>
      </c>
      <c r="AF70" s="660">
        <v>44.6</v>
      </c>
      <c r="AG70" s="660">
        <v>29.6</v>
      </c>
      <c r="AH70" s="660" t="s">
        <v>122</v>
      </c>
      <c r="AI70" s="660" t="s">
        <v>122</v>
      </c>
      <c r="AJ70" s="841" t="s">
        <v>369</v>
      </c>
      <c r="AK70" s="661" t="s">
        <v>4251</v>
      </c>
      <c r="AL70" s="660"/>
      <c r="AM70" s="660" t="s">
        <v>1784</v>
      </c>
      <c r="AN70" s="660"/>
      <c r="AO70" s="840"/>
      <c r="AP70" s="660"/>
      <c r="AQ70" s="660"/>
      <c r="AR70" s="347">
        <v>8</v>
      </c>
      <c r="AS70" s="347">
        <v>2.37</v>
      </c>
      <c r="AT70" s="347">
        <v>2.08</v>
      </c>
      <c r="AU70" s="347">
        <v>3.68</v>
      </c>
      <c r="AV70" s="347">
        <v>3.22</v>
      </c>
      <c r="AW70" s="664"/>
      <c r="AX70" s="672"/>
      <c r="AY70" s="660"/>
      <c r="AZ70" s="841"/>
      <c r="BA70" s="661" t="s">
        <v>4285</v>
      </c>
      <c r="BB70" s="661" t="s">
        <v>4286</v>
      </c>
      <c r="BC70" s="841" t="s">
        <v>4287</v>
      </c>
      <c r="BD70" s="661" t="s">
        <v>4288</v>
      </c>
      <c r="BE70" s="661" t="s">
        <v>4289</v>
      </c>
      <c r="BF70" s="661">
        <v>32358680</v>
      </c>
      <c r="BG70" s="661" t="s">
        <v>4277</v>
      </c>
      <c r="BH70" s="659" t="s">
        <v>4283</v>
      </c>
      <c r="BI70" s="845">
        <v>42485</v>
      </c>
      <c r="BJ70" s="663"/>
      <c r="BK70" s="663"/>
      <c r="BL70" s="842"/>
      <c r="BM70" s="663"/>
      <c r="BN70" s="663"/>
      <c r="BO70" s="659"/>
      <c r="BP70" s="652"/>
      <c r="BQ70" s="659"/>
      <c r="BR70" s="843"/>
      <c r="BS70" s="843"/>
      <c r="BT70" s="848"/>
      <c r="BU70" s="846"/>
      <c r="BV70" s="652"/>
      <c r="BW70" s="652"/>
      <c r="BX70" s="668"/>
      <c r="BY70" s="659">
        <v>24</v>
      </c>
      <c r="BZ70" s="665"/>
      <c r="CA70" s="659"/>
      <c r="CB70" s="659"/>
      <c r="CC70" s="668"/>
      <c r="CD70" s="668"/>
      <c r="CE70" s="838"/>
      <c r="CF70" s="849"/>
      <c r="CG70" s="651"/>
      <c r="CH70" s="651"/>
      <c r="CI70" s="279"/>
      <c r="CJ70" s="850"/>
      <c r="CK70" s="838"/>
      <c r="CL70" s="850"/>
      <c r="CM70" s="850"/>
      <c r="CN70" s="850"/>
      <c r="CO70" s="850"/>
      <c r="CP70" s="850"/>
      <c r="CQ70" s="850"/>
      <c r="CR70" s="850"/>
      <c r="CS70" s="850"/>
      <c r="CT70" s="850"/>
      <c r="CU70" s="850"/>
      <c r="CV70" s="850"/>
      <c r="CW70" s="850"/>
      <c r="CX70" s="850"/>
      <c r="CY70" s="850"/>
      <c r="CZ70" s="850"/>
      <c r="DA70" s="850"/>
      <c r="DB70" s="850"/>
      <c r="DC70" s="850"/>
      <c r="DD70" s="850"/>
      <c r="DE70" s="850"/>
      <c r="DF70" s="850"/>
      <c r="DG70" s="850"/>
      <c r="DH70" s="850"/>
      <c r="DI70" s="850"/>
      <c r="DJ70" s="850"/>
      <c r="DK70" s="850"/>
      <c r="DL70" s="850"/>
      <c r="DM70" s="850"/>
      <c r="DN70" s="850"/>
      <c r="DO70" s="850"/>
      <c r="DP70" s="850"/>
      <c r="DQ70" s="850"/>
      <c r="DR70" s="850"/>
      <c r="DS70" s="850"/>
      <c r="DT70" s="850"/>
      <c r="DU70" s="850"/>
      <c r="DV70" s="850"/>
      <c r="DW70" s="850"/>
      <c r="DX70" s="850"/>
      <c r="DY70" s="850"/>
      <c r="DZ70" s="850"/>
      <c r="EA70" s="850"/>
      <c r="EB70" s="850"/>
      <c r="EC70" s="850"/>
      <c r="ED70" s="850"/>
      <c r="EE70" s="850"/>
      <c r="EF70" s="850"/>
      <c r="EG70" s="850"/>
      <c r="EH70" s="850"/>
      <c r="EI70" s="850"/>
      <c r="EJ70" s="850"/>
      <c r="EK70" s="850"/>
      <c r="EL70" s="850"/>
      <c r="EM70" s="850"/>
      <c r="EN70" s="850"/>
      <c r="EO70" s="850"/>
      <c r="EP70" s="850"/>
      <c r="EQ70" s="850"/>
      <c r="ER70" s="850"/>
      <c r="ES70" s="850"/>
      <c r="ET70" s="850"/>
      <c r="EU70" s="850"/>
      <c r="EV70" s="850"/>
      <c r="EW70" s="850"/>
      <c r="EX70" s="850"/>
      <c r="EY70" s="850"/>
      <c r="EZ70" s="850"/>
      <c r="FA70" s="850"/>
      <c r="FB70" s="850"/>
      <c r="FC70" s="850"/>
      <c r="FD70" s="850"/>
      <c r="FE70" s="850"/>
      <c r="FF70" s="850"/>
      <c r="FG70" s="850"/>
      <c r="FH70" s="850"/>
      <c r="FI70" s="850"/>
      <c r="FJ70" s="850"/>
      <c r="FK70" s="850"/>
      <c r="FL70" s="850"/>
      <c r="FM70" s="850"/>
      <c r="FN70" s="850"/>
      <c r="FO70" s="850"/>
      <c r="FP70" s="850"/>
      <c r="FQ70" s="850"/>
      <c r="FR70" s="850"/>
      <c r="FS70" s="850"/>
      <c r="FT70" s="850"/>
      <c r="FU70" s="850"/>
      <c r="FV70" s="850"/>
      <c r="FW70" s="850"/>
      <c r="FX70" s="850"/>
      <c r="FY70" s="850"/>
      <c r="FZ70" s="850"/>
      <c r="GA70" s="850"/>
      <c r="GB70" s="850"/>
      <c r="GC70" s="850"/>
      <c r="GD70" s="850"/>
      <c r="GE70" s="850"/>
      <c r="GF70" s="850"/>
      <c r="GG70" s="850"/>
      <c r="GH70" s="850"/>
      <c r="GI70" s="850"/>
      <c r="GJ70" s="850"/>
      <c r="GK70" s="850"/>
      <c r="GL70" s="850"/>
      <c r="GM70" s="850"/>
      <c r="GN70" s="850"/>
      <c r="GO70" s="850"/>
      <c r="GP70" s="850"/>
      <c r="GQ70" s="850"/>
      <c r="GR70" s="850"/>
      <c r="GS70" s="850"/>
      <c r="GT70" s="850"/>
      <c r="GU70" s="850"/>
      <c r="GV70" s="850"/>
      <c r="GW70" s="850"/>
      <c r="GX70" s="850"/>
      <c r="GY70" s="850"/>
      <c r="GZ70" s="850"/>
      <c r="HA70" s="850"/>
      <c r="HB70" s="850"/>
      <c r="HC70" s="850"/>
      <c r="HD70" s="850"/>
      <c r="HE70" s="850"/>
      <c r="HF70" s="850"/>
      <c r="HG70" s="850"/>
      <c r="HH70" s="850"/>
      <c r="HI70" s="850"/>
      <c r="HJ70" s="850"/>
      <c r="HK70" s="850"/>
      <c r="HL70" s="850"/>
      <c r="HM70" s="850"/>
      <c r="HN70" s="850"/>
      <c r="HO70" s="850"/>
      <c r="HP70" s="850"/>
      <c r="HQ70" s="850"/>
      <c r="HR70" s="850"/>
      <c r="HS70" s="850"/>
      <c r="HT70" s="850"/>
      <c r="HU70" s="850"/>
      <c r="HV70" s="850"/>
      <c r="HW70" s="850"/>
      <c r="HX70" s="850"/>
      <c r="HY70" s="850"/>
      <c r="HZ70" s="850"/>
      <c r="IA70" s="850"/>
      <c r="IB70" s="850"/>
      <c r="IC70" s="850"/>
      <c r="ID70" s="850"/>
      <c r="IE70" s="850"/>
      <c r="IF70" s="850"/>
      <c r="IG70" s="850"/>
      <c r="IH70" s="850"/>
      <c r="II70" s="850"/>
      <c r="IJ70" s="850"/>
      <c r="IK70" s="850"/>
      <c r="IL70" s="850"/>
      <c r="IM70" s="850"/>
      <c r="IN70" s="850"/>
      <c r="IO70" s="850"/>
      <c r="IP70" s="850"/>
      <c r="IQ70" s="850"/>
    </row>
    <row r="71" spans="1:251" ht="75" hidden="1" customHeight="1" x14ac:dyDescent="0.2">
      <c r="A71" s="678">
        <v>57</v>
      </c>
      <c r="B71" s="325" t="s">
        <v>4377</v>
      </c>
      <c r="C71" s="317" t="s">
        <v>3982</v>
      </c>
      <c r="D71" s="317" t="s">
        <v>2879</v>
      </c>
      <c r="E71" s="317" t="s">
        <v>4008</v>
      </c>
      <c r="F71" s="325">
        <v>2019</v>
      </c>
      <c r="G71" s="859" t="s">
        <v>1797</v>
      </c>
      <c r="H71" s="317" t="s">
        <v>4011</v>
      </c>
      <c r="I71" s="354" t="s">
        <v>2226</v>
      </c>
      <c r="J71" s="325"/>
      <c r="K71" s="325"/>
      <c r="L71" s="325"/>
      <c r="M71" s="325"/>
      <c r="N71" s="325"/>
      <c r="O71" s="317"/>
      <c r="P71" s="317" t="s">
        <v>4004</v>
      </c>
      <c r="Q71" s="317"/>
      <c r="R71" s="317"/>
      <c r="S71" s="325"/>
      <c r="T71" s="325"/>
      <c r="U71" s="325"/>
      <c r="V71" s="325"/>
      <c r="W71" s="317"/>
      <c r="X71" s="317"/>
      <c r="Y71" s="317"/>
      <c r="Z71" s="317"/>
      <c r="AA71" s="317"/>
      <c r="AB71" s="317"/>
      <c r="AC71" s="317"/>
      <c r="AD71" s="317"/>
      <c r="AE71" s="317"/>
      <c r="AF71" s="325"/>
      <c r="AG71" s="325"/>
      <c r="AH71" s="325"/>
      <c r="AI71" s="325"/>
      <c r="AJ71" s="317"/>
      <c r="AK71" s="317"/>
      <c r="AL71" s="325"/>
      <c r="AM71" s="325"/>
      <c r="AN71" s="325"/>
      <c r="AO71" s="325"/>
      <c r="AP71" s="860"/>
      <c r="AQ71" s="860"/>
      <c r="AR71" s="575">
        <v>0</v>
      </c>
      <c r="AS71" s="575">
        <v>0</v>
      </c>
      <c r="AT71" s="575">
        <v>0</v>
      </c>
      <c r="AU71" s="575">
        <v>0</v>
      </c>
      <c r="AV71" s="575">
        <v>0</v>
      </c>
      <c r="AW71" s="319"/>
      <c r="AX71" s="332"/>
      <c r="AY71" s="317"/>
      <c r="AZ71" s="317"/>
      <c r="BA71" s="317"/>
      <c r="BB71" s="861"/>
      <c r="BC71" s="325"/>
      <c r="BD71" s="317"/>
      <c r="BE71" s="317"/>
      <c r="BF71" s="317"/>
      <c r="BG71" s="317"/>
      <c r="BH71" s="320"/>
      <c r="BI71" s="318"/>
      <c r="BJ71" s="328"/>
      <c r="BK71" s="328"/>
      <c r="BL71" s="328"/>
      <c r="BM71" s="328"/>
      <c r="BN71" s="328"/>
      <c r="BO71" s="326"/>
      <c r="BP71" s="328"/>
      <c r="BQ71" s="326"/>
      <c r="BR71" s="329"/>
      <c r="BS71" s="329"/>
      <c r="BT71" s="862"/>
      <c r="BU71" s="328"/>
      <c r="BV71" s="328"/>
      <c r="BW71" s="328"/>
      <c r="BX71" s="329"/>
      <c r="BY71" s="320"/>
      <c r="BZ71" s="322"/>
      <c r="CA71" s="320"/>
      <c r="CB71" s="320"/>
      <c r="CC71" s="329"/>
      <c r="CD71" s="329"/>
      <c r="CE71" s="326"/>
      <c r="CF71" s="330"/>
      <c r="CG71" s="320"/>
      <c r="CH71" s="320"/>
      <c r="CI71" s="320"/>
      <c r="CJ71" s="850"/>
      <c r="CK71" s="841"/>
      <c r="CL71" s="850"/>
      <c r="CM71" s="850"/>
      <c r="CN71" s="850"/>
      <c r="CO71" s="850"/>
      <c r="CP71" s="850"/>
      <c r="CQ71" s="850"/>
      <c r="CR71" s="850"/>
      <c r="CS71" s="850"/>
      <c r="CT71" s="850"/>
      <c r="CU71" s="850"/>
      <c r="CV71" s="850"/>
      <c r="CW71" s="850"/>
      <c r="CX71" s="850"/>
      <c r="CY71" s="850"/>
      <c r="CZ71" s="850"/>
      <c r="DA71" s="850"/>
      <c r="DB71" s="850"/>
      <c r="DC71" s="850"/>
      <c r="DD71" s="850"/>
      <c r="DE71" s="850"/>
      <c r="DF71" s="850"/>
      <c r="DG71" s="850"/>
      <c r="DH71" s="850"/>
      <c r="DI71" s="850"/>
      <c r="DJ71" s="850"/>
      <c r="DK71" s="850"/>
      <c r="DL71" s="850"/>
      <c r="DM71" s="850"/>
      <c r="DN71" s="850"/>
      <c r="DO71" s="850"/>
      <c r="DP71" s="850"/>
      <c r="DQ71" s="850"/>
      <c r="DR71" s="850"/>
      <c r="DS71" s="850"/>
      <c r="DT71" s="850"/>
      <c r="DU71" s="850"/>
      <c r="DV71" s="850"/>
      <c r="DW71" s="850"/>
      <c r="DX71" s="850"/>
      <c r="DY71" s="850"/>
      <c r="DZ71" s="850"/>
      <c r="EA71" s="850"/>
      <c r="EB71" s="850"/>
      <c r="EC71" s="850"/>
      <c r="ED71" s="850"/>
      <c r="EE71" s="850"/>
      <c r="EF71" s="850"/>
      <c r="EG71" s="850"/>
      <c r="EH71" s="850"/>
      <c r="EI71" s="850"/>
      <c r="EJ71" s="850"/>
      <c r="EK71" s="850"/>
      <c r="EL71" s="850"/>
      <c r="EM71" s="850"/>
      <c r="EN71" s="850"/>
      <c r="EO71" s="850"/>
      <c r="EP71" s="850"/>
      <c r="EQ71" s="850"/>
      <c r="ER71" s="850"/>
      <c r="ES71" s="850"/>
      <c r="ET71" s="850"/>
      <c r="EU71" s="850"/>
      <c r="EV71" s="850"/>
      <c r="EW71" s="850"/>
      <c r="EX71" s="850"/>
      <c r="EY71" s="850"/>
      <c r="EZ71" s="850"/>
      <c r="FA71" s="850"/>
      <c r="FB71" s="850"/>
      <c r="FC71" s="850"/>
      <c r="FD71" s="850"/>
      <c r="FE71" s="850"/>
      <c r="FF71" s="850"/>
      <c r="FG71" s="850"/>
      <c r="FH71" s="850"/>
      <c r="FI71" s="850"/>
      <c r="FJ71" s="850"/>
      <c r="FK71" s="850"/>
      <c r="FL71" s="850"/>
      <c r="FM71" s="850"/>
      <c r="FN71" s="850"/>
      <c r="FO71" s="850"/>
      <c r="FP71" s="850"/>
      <c r="FQ71" s="850"/>
      <c r="FR71" s="850"/>
      <c r="FS71" s="850"/>
      <c r="FT71" s="850"/>
      <c r="FU71" s="850"/>
      <c r="FV71" s="850"/>
      <c r="FW71" s="850"/>
      <c r="FX71" s="850"/>
      <c r="FY71" s="850"/>
      <c r="FZ71" s="850"/>
      <c r="GA71" s="850"/>
      <c r="GB71" s="850"/>
      <c r="GC71" s="850"/>
      <c r="GD71" s="850"/>
      <c r="GE71" s="850"/>
      <c r="GF71" s="850"/>
      <c r="GG71" s="850"/>
      <c r="GH71" s="850"/>
      <c r="GI71" s="850"/>
      <c r="GJ71" s="850"/>
      <c r="GK71" s="850"/>
      <c r="GL71" s="850"/>
      <c r="GM71" s="850"/>
      <c r="GN71" s="850"/>
      <c r="GO71" s="850"/>
      <c r="GP71" s="850"/>
      <c r="GQ71" s="850"/>
      <c r="GR71" s="850"/>
      <c r="GS71" s="850"/>
      <c r="GT71" s="850"/>
      <c r="GU71" s="850"/>
      <c r="GV71" s="850"/>
      <c r="GW71" s="850"/>
      <c r="GX71" s="850"/>
      <c r="GY71" s="850"/>
      <c r="GZ71" s="850"/>
      <c r="HA71" s="850"/>
      <c r="HB71" s="850"/>
      <c r="HC71" s="850"/>
      <c r="HD71" s="850"/>
      <c r="HE71" s="850"/>
      <c r="HF71" s="850"/>
      <c r="HG71" s="850"/>
      <c r="HH71" s="850"/>
      <c r="HI71" s="850"/>
      <c r="HJ71" s="850"/>
      <c r="HK71" s="850"/>
      <c r="HL71" s="850"/>
      <c r="HM71" s="850"/>
      <c r="HN71" s="850"/>
      <c r="HO71" s="850"/>
      <c r="HP71" s="850"/>
      <c r="HQ71" s="850"/>
      <c r="HR71" s="850"/>
      <c r="HS71" s="850"/>
      <c r="HT71" s="850"/>
      <c r="HU71" s="850"/>
      <c r="HV71" s="850"/>
      <c r="HW71" s="850"/>
      <c r="HX71" s="850"/>
      <c r="HY71" s="850"/>
      <c r="HZ71" s="850"/>
      <c r="IA71" s="850"/>
      <c r="IB71" s="850"/>
      <c r="IC71" s="850"/>
      <c r="ID71" s="850"/>
      <c r="IE71" s="850"/>
      <c r="IF71" s="850"/>
      <c r="IG71" s="850"/>
      <c r="IH71" s="850"/>
      <c r="II71" s="850"/>
      <c r="IJ71" s="850"/>
      <c r="IK71" s="850"/>
      <c r="IL71" s="850"/>
      <c r="IM71" s="850"/>
      <c r="IN71" s="850"/>
      <c r="IO71" s="850"/>
      <c r="IP71" s="850"/>
      <c r="IQ71" s="850"/>
    </row>
    <row r="72" spans="1:251" ht="75" hidden="1" customHeight="1" x14ac:dyDescent="0.2">
      <c r="A72" s="856">
        <v>57</v>
      </c>
      <c r="B72" s="840" t="s">
        <v>4328</v>
      </c>
      <c r="C72" s="841" t="s">
        <v>4056</v>
      </c>
      <c r="D72" s="841" t="s">
        <v>4006</v>
      </c>
      <c r="E72" s="841" t="s">
        <v>4058</v>
      </c>
      <c r="F72" s="840">
        <v>2020</v>
      </c>
      <c r="G72" s="853" t="s">
        <v>1738</v>
      </c>
      <c r="H72" s="841" t="s">
        <v>4329</v>
      </c>
      <c r="I72" s="854" t="s">
        <v>3988</v>
      </c>
      <c r="J72" s="840" t="s">
        <v>114</v>
      </c>
      <c r="K72" s="840" t="s">
        <v>4330</v>
      </c>
      <c r="L72" s="841">
        <v>300</v>
      </c>
      <c r="M72" s="841">
        <v>119</v>
      </c>
      <c r="N72" s="841" t="s">
        <v>1361</v>
      </c>
      <c r="O72" s="841" t="s">
        <v>1706</v>
      </c>
      <c r="P72" s="841" t="s">
        <v>4005</v>
      </c>
      <c r="Q72" s="841" t="s">
        <v>2797</v>
      </c>
      <c r="R72" s="841" t="s">
        <v>2373</v>
      </c>
      <c r="S72" s="841" t="s">
        <v>3653</v>
      </c>
      <c r="T72" s="841" t="s">
        <v>3652</v>
      </c>
      <c r="U72" s="841">
        <f>0.122*2</f>
        <v>0.24399999999999999</v>
      </c>
      <c r="V72" s="841">
        <f>0.122*2</f>
        <v>0.24399999999999999</v>
      </c>
      <c r="W72" s="841" t="s">
        <v>3660</v>
      </c>
      <c r="X72" s="517">
        <v>0.11</v>
      </c>
      <c r="Y72" s="841" t="s">
        <v>3682</v>
      </c>
      <c r="Z72" s="841" t="s">
        <v>3990</v>
      </c>
      <c r="AA72" s="841">
        <v>190</v>
      </c>
      <c r="AB72" s="841" t="s">
        <v>819</v>
      </c>
      <c r="AC72" s="841" t="s">
        <v>2548</v>
      </c>
      <c r="AD72" s="841" t="s">
        <v>819</v>
      </c>
      <c r="AE72" s="841" t="s">
        <v>819</v>
      </c>
      <c r="AF72" s="840">
        <v>59.1</v>
      </c>
      <c r="AG72" s="840">
        <v>68</v>
      </c>
      <c r="AH72" s="840" t="s">
        <v>1744</v>
      </c>
      <c r="AI72" s="840" t="s">
        <v>122</v>
      </c>
      <c r="AJ72" s="841" t="s">
        <v>4085</v>
      </c>
      <c r="AK72" s="841" t="s">
        <v>4102</v>
      </c>
      <c r="AL72" s="840"/>
      <c r="AM72" s="840"/>
      <c r="AN72" s="840" t="s">
        <v>1784</v>
      </c>
      <c r="AO72" s="193">
        <v>0.22</v>
      </c>
      <c r="AP72" s="840"/>
      <c r="AQ72" s="840">
        <v>0.4</v>
      </c>
      <c r="AR72" s="858">
        <v>8.4</v>
      </c>
      <c r="AS72" s="858">
        <v>2.2400000000000002</v>
      </c>
      <c r="AT72" s="858">
        <v>1.94</v>
      </c>
      <c r="AU72" s="858">
        <v>4.3499999999999996</v>
      </c>
      <c r="AV72" s="858">
        <v>3.8</v>
      </c>
      <c r="AW72" s="843">
        <f>(100*PI()*(A72^2))/(40*AO72*AV72*453.5924)</f>
        <v>67.29263678788773</v>
      </c>
      <c r="AX72" s="851">
        <v>43584</v>
      </c>
      <c r="AY72" s="840" t="s">
        <v>4331</v>
      </c>
      <c r="AZ72" s="194">
        <v>1486</v>
      </c>
      <c r="BA72" s="841" t="s">
        <v>4332</v>
      </c>
      <c r="BB72" s="841" t="s">
        <v>4333</v>
      </c>
      <c r="BC72" s="841" t="s">
        <v>4334</v>
      </c>
      <c r="BD72" s="841" t="s">
        <v>4335</v>
      </c>
      <c r="BE72" s="841" t="s">
        <v>4324</v>
      </c>
      <c r="BF72" s="841" t="s">
        <v>4325</v>
      </c>
      <c r="BG72" s="841" t="s">
        <v>4326</v>
      </c>
      <c r="BH72" s="839" t="s">
        <v>4327</v>
      </c>
      <c r="BI72" s="845">
        <v>42496</v>
      </c>
      <c r="BJ72" s="842">
        <v>2337</v>
      </c>
      <c r="BK72" s="842">
        <v>2337</v>
      </c>
      <c r="BL72" s="846">
        <v>4475</v>
      </c>
      <c r="BM72" s="842">
        <v>671</v>
      </c>
      <c r="BN72" s="842">
        <v>2595</v>
      </c>
      <c r="BO72" s="839">
        <v>331</v>
      </c>
      <c r="BP72" s="846">
        <v>2969</v>
      </c>
      <c r="BQ72" s="839">
        <v>0.37</v>
      </c>
      <c r="BR72" s="839">
        <v>72</v>
      </c>
      <c r="BS72" s="839"/>
      <c r="BT72" s="594">
        <v>185</v>
      </c>
      <c r="BU72" s="839"/>
      <c r="BV72" s="846"/>
      <c r="BW72" s="846"/>
      <c r="BX72" s="847">
        <v>61.8</v>
      </c>
      <c r="BY72" s="839">
        <v>26</v>
      </c>
      <c r="BZ72" s="844"/>
      <c r="CA72" s="839" t="s">
        <v>157</v>
      </c>
      <c r="CB72" s="839"/>
      <c r="CC72" s="847"/>
      <c r="CD72" s="847"/>
      <c r="CE72" s="839"/>
      <c r="CF72" s="839"/>
      <c r="CG72" s="838"/>
      <c r="CH72" s="838"/>
      <c r="CI72" s="838"/>
      <c r="CJ72" s="850"/>
      <c r="CK72" s="841"/>
      <c r="CL72" s="850"/>
      <c r="CM72" s="850"/>
      <c r="CN72" s="850"/>
      <c r="CO72" s="850"/>
      <c r="CP72" s="850"/>
      <c r="CQ72" s="850"/>
      <c r="CR72" s="850"/>
      <c r="CS72" s="850"/>
      <c r="CT72" s="850"/>
      <c r="CU72" s="850"/>
      <c r="CV72" s="850"/>
      <c r="CW72" s="850"/>
      <c r="CX72" s="850"/>
      <c r="CY72" s="850"/>
      <c r="CZ72" s="850"/>
      <c r="DA72" s="850"/>
      <c r="DB72" s="850"/>
      <c r="DC72" s="850"/>
      <c r="DD72" s="850"/>
      <c r="DE72" s="850"/>
      <c r="DF72" s="850"/>
      <c r="DG72" s="850"/>
      <c r="DH72" s="850"/>
      <c r="DI72" s="850"/>
      <c r="DJ72" s="850"/>
      <c r="DK72" s="850"/>
      <c r="DL72" s="850"/>
      <c r="DM72" s="850"/>
      <c r="DN72" s="850"/>
      <c r="DO72" s="850"/>
      <c r="DP72" s="850"/>
      <c r="DQ72" s="850"/>
      <c r="DR72" s="850"/>
      <c r="DS72" s="850"/>
      <c r="DT72" s="850"/>
      <c r="DU72" s="850"/>
      <c r="DV72" s="850"/>
      <c r="DW72" s="850"/>
      <c r="DX72" s="850"/>
      <c r="DY72" s="850"/>
      <c r="DZ72" s="850"/>
      <c r="EA72" s="850"/>
      <c r="EB72" s="850"/>
      <c r="EC72" s="850"/>
      <c r="ED72" s="850"/>
      <c r="EE72" s="850"/>
      <c r="EF72" s="850"/>
      <c r="EG72" s="850"/>
      <c r="EH72" s="850"/>
      <c r="EI72" s="850"/>
      <c r="EJ72" s="850"/>
      <c r="EK72" s="850"/>
      <c r="EL72" s="850"/>
      <c r="EM72" s="850"/>
      <c r="EN72" s="850"/>
      <c r="EO72" s="850"/>
      <c r="EP72" s="850"/>
      <c r="EQ72" s="850"/>
      <c r="ER72" s="850"/>
      <c r="ES72" s="850"/>
      <c r="ET72" s="850"/>
      <c r="EU72" s="850"/>
      <c r="EV72" s="850"/>
      <c r="EW72" s="850"/>
      <c r="EX72" s="850"/>
      <c r="EY72" s="850"/>
      <c r="EZ72" s="850"/>
      <c r="FA72" s="850"/>
      <c r="FB72" s="850"/>
      <c r="FC72" s="850"/>
      <c r="FD72" s="850"/>
      <c r="FE72" s="850"/>
      <c r="FF72" s="850"/>
      <c r="FG72" s="850"/>
      <c r="FH72" s="850"/>
      <c r="FI72" s="850"/>
      <c r="FJ72" s="850"/>
      <c r="FK72" s="850"/>
      <c r="FL72" s="850"/>
      <c r="FM72" s="850"/>
      <c r="FN72" s="850"/>
      <c r="FO72" s="850"/>
      <c r="FP72" s="850"/>
      <c r="FQ72" s="850"/>
      <c r="FR72" s="850"/>
      <c r="FS72" s="850"/>
      <c r="FT72" s="850"/>
      <c r="FU72" s="850"/>
      <c r="FV72" s="850"/>
      <c r="FW72" s="850"/>
      <c r="FX72" s="850"/>
      <c r="FY72" s="850"/>
      <c r="FZ72" s="850"/>
      <c r="GA72" s="850"/>
      <c r="GB72" s="850"/>
      <c r="GC72" s="850"/>
      <c r="GD72" s="850"/>
      <c r="GE72" s="850"/>
      <c r="GF72" s="850"/>
      <c r="GG72" s="850"/>
      <c r="GH72" s="850"/>
      <c r="GI72" s="850"/>
      <c r="GJ72" s="850"/>
      <c r="GK72" s="850"/>
      <c r="GL72" s="850"/>
      <c r="GM72" s="850"/>
      <c r="GN72" s="850"/>
      <c r="GO72" s="850"/>
      <c r="GP72" s="850"/>
      <c r="GQ72" s="850"/>
      <c r="GR72" s="850"/>
      <c r="GS72" s="850"/>
      <c r="GT72" s="850"/>
      <c r="GU72" s="850"/>
      <c r="GV72" s="850"/>
      <c r="GW72" s="850"/>
      <c r="GX72" s="850"/>
      <c r="GY72" s="850"/>
      <c r="GZ72" s="850"/>
      <c r="HA72" s="850"/>
      <c r="HB72" s="850"/>
      <c r="HC72" s="850"/>
      <c r="HD72" s="850"/>
      <c r="HE72" s="850"/>
      <c r="HF72" s="850"/>
      <c r="HG72" s="850"/>
      <c r="HH72" s="850"/>
      <c r="HI72" s="850"/>
      <c r="HJ72" s="850"/>
      <c r="HK72" s="850"/>
      <c r="HL72" s="850"/>
      <c r="HM72" s="850"/>
      <c r="HN72" s="850"/>
      <c r="HO72" s="850"/>
      <c r="HP72" s="850"/>
      <c r="HQ72" s="850"/>
      <c r="HR72" s="850"/>
      <c r="HS72" s="850"/>
      <c r="HT72" s="850"/>
      <c r="HU72" s="850"/>
      <c r="HV72" s="850"/>
      <c r="HW72" s="850"/>
      <c r="HX72" s="850"/>
      <c r="HY72" s="850"/>
      <c r="HZ72" s="850"/>
      <c r="IA72" s="850"/>
      <c r="IB72" s="850"/>
      <c r="IC72" s="850"/>
      <c r="ID72" s="850"/>
      <c r="IE72" s="850"/>
      <c r="IF72" s="850"/>
      <c r="IG72" s="850"/>
      <c r="IH72" s="850"/>
      <c r="II72" s="850"/>
      <c r="IJ72" s="850"/>
      <c r="IK72" s="850"/>
      <c r="IL72" s="850"/>
      <c r="IM72" s="850"/>
      <c r="IN72" s="850"/>
      <c r="IO72" s="850"/>
      <c r="IP72" s="850"/>
      <c r="IQ72" s="850"/>
    </row>
    <row r="73" spans="1:251" ht="75" hidden="1" customHeight="1" x14ac:dyDescent="0.2">
      <c r="A73" s="857">
        <f>SQRT(2*42^2)</f>
        <v>59.396969619669989</v>
      </c>
      <c r="B73" s="840" t="s">
        <v>330</v>
      </c>
      <c r="C73" s="841" t="s">
        <v>3984</v>
      </c>
      <c r="D73" s="841" t="s">
        <v>790</v>
      </c>
      <c r="E73" s="841" t="s">
        <v>4007</v>
      </c>
      <c r="F73" s="840">
        <v>2009</v>
      </c>
      <c r="G73" s="853" t="s">
        <v>1738</v>
      </c>
      <c r="H73" s="841" t="s">
        <v>2888</v>
      </c>
      <c r="I73" s="854" t="s">
        <v>3838</v>
      </c>
      <c r="J73" s="840" t="s">
        <v>114</v>
      </c>
      <c r="K73" s="840" t="s">
        <v>2663</v>
      </c>
      <c r="L73" s="841">
        <v>337</v>
      </c>
      <c r="M73" s="841">
        <v>140.5</v>
      </c>
      <c r="N73" s="841" t="s">
        <v>197</v>
      </c>
      <c r="O73" s="841" t="s">
        <v>88</v>
      </c>
      <c r="P73" s="841" t="s">
        <v>4099</v>
      </c>
      <c r="Q73" s="841" t="s">
        <v>2373</v>
      </c>
      <c r="R73" s="841" t="s">
        <v>2373</v>
      </c>
      <c r="S73" s="841"/>
      <c r="T73" s="841"/>
      <c r="U73" s="841"/>
      <c r="V73" s="841"/>
      <c r="W73" s="841" t="s">
        <v>3660</v>
      </c>
      <c r="X73" s="841"/>
      <c r="Y73" s="841"/>
      <c r="Z73" s="841"/>
      <c r="AA73" s="841">
        <v>220</v>
      </c>
      <c r="AB73" s="841" t="s">
        <v>896</v>
      </c>
      <c r="AC73" s="841" t="s">
        <v>119</v>
      </c>
      <c r="AD73" s="841" t="s">
        <v>897</v>
      </c>
      <c r="AE73" s="841" t="s">
        <v>1668</v>
      </c>
      <c r="AF73" s="840">
        <v>80</v>
      </c>
      <c r="AG73" s="840">
        <v>68</v>
      </c>
      <c r="AH73" s="840" t="s">
        <v>1744</v>
      </c>
      <c r="AI73" s="840" t="s">
        <v>122</v>
      </c>
      <c r="AJ73" s="840" t="s">
        <v>234</v>
      </c>
      <c r="AK73" s="841" t="s">
        <v>898</v>
      </c>
      <c r="AL73" s="840"/>
      <c r="AM73" s="840"/>
      <c r="AN73" s="840" t="s">
        <v>1784</v>
      </c>
      <c r="AO73" s="193">
        <v>0.18</v>
      </c>
      <c r="AP73" s="840">
        <v>0.2</v>
      </c>
      <c r="AQ73" s="840"/>
      <c r="AR73" s="858">
        <v>8.323413200000001</v>
      </c>
      <c r="AS73" s="858">
        <v>2.9619557599999999</v>
      </c>
      <c r="AT73" s="858">
        <v>2.7079442399999998</v>
      </c>
      <c r="AU73" s="858">
        <v>4.2274774400000004</v>
      </c>
      <c r="AV73" s="858">
        <v>3.8782116000000002</v>
      </c>
      <c r="AW73" s="843">
        <f>(100*PI()*(A73^2))/(40*AO73*AV73*453.5924)</f>
        <v>87.508186236751413</v>
      </c>
      <c r="AX73" s="851">
        <v>39668</v>
      </c>
      <c r="AY73" s="840" t="s">
        <v>899</v>
      </c>
      <c r="AZ73" s="194">
        <v>117</v>
      </c>
      <c r="BA73" s="841" t="s">
        <v>1290</v>
      </c>
      <c r="BB73" s="841" t="s">
        <v>2234</v>
      </c>
      <c r="BC73" s="840">
        <v>16915501</v>
      </c>
      <c r="BD73" s="841" t="s">
        <v>2235</v>
      </c>
      <c r="BE73" s="841"/>
      <c r="BF73" s="841"/>
      <c r="BG73" s="841"/>
      <c r="BH73" s="839" t="s">
        <v>1796</v>
      </c>
      <c r="BI73" s="667">
        <v>42464</v>
      </c>
      <c r="BJ73" s="842">
        <v>3498</v>
      </c>
      <c r="BK73" s="842">
        <v>2564</v>
      </c>
      <c r="BL73" s="846">
        <v>6062</v>
      </c>
      <c r="BM73" s="842">
        <v>671</v>
      </c>
      <c r="BN73" s="842">
        <v>2707</v>
      </c>
      <c r="BO73" s="839">
        <v>353</v>
      </c>
      <c r="BP73" s="846">
        <f>IF(G73="Front",0.5*9.81*0.4535924*(BJ73+BL73*(BM73/BN73)*1.1)*1.1*(BO73/1000),IF(G73="Rear",0.5*9.81*0.4535924*(BK73+BL73*(BM73/BN73)*0.9)*0.9*(BO73/1000),"TBD"))</f>
        <v>4449.9394682282118</v>
      </c>
      <c r="BQ73" s="839">
        <v>0.41</v>
      </c>
      <c r="BR73" s="839"/>
      <c r="BS73" s="839"/>
      <c r="BT73" s="594">
        <v>180</v>
      </c>
      <c r="BU73" s="839"/>
      <c r="BV73" s="846">
        <f>(BP73/(M73/1000))/(2*AF73)</f>
        <v>197.95104396032968</v>
      </c>
      <c r="BW73" s="846">
        <f>(1.4*BP73/(M73/1000))/(2*AF73)</f>
        <v>277.13146154446156</v>
      </c>
      <c r="BX73" s="847">
        <v>80.91</v>
      </c>
      <c r="BY73" s="839">
        <v>30</v>
      </c>
      <c r="BZ73" s="844">
        <f>BX73/(L73*BY73)</f>
        <v>8.0029673590504453E-3</v>
      </c>
      <c r="CA73" s="839"/>
      <c r="CB73" s="839"/>
      <c r="CC73" s="847"/>
      <c r="CD73" s="847">
        <f>BV73*(2*AF73)/(2*250)</f>
        <v>63.344334067305496</v>
      </c>
      <c r="CE73" s="839"/>
      <c r="CF73" s="839"/>
      <c r="CG73" s="838">
        <v>2.9</v>
      </c>
      <c r="CH73" s="838">
        <v>2.1</v>
      </c>
      <c r="CI73" s="855">
        <f>(CG73-CH73)/50</f>
        <v>1.5999999999999997E-2</v>
      </c>
      <c r="CJ73" s="850"/>
      <c r="CK73" s="841"/>
      <c r="CL73" s="850"/>
      <c r="CM73" s="850"/>
      <c r="CN73" s="850"/>
      <c r="CO73" s="850"/>
      <c r="CP73" s="850"/>
      <c r="CQ73" s="850"/>
      <c r="CR73" s="850"/>
      <c r="CS73" s="850"/>
      <c r="CT73" s="850"/>
      <c r="CU73" s="850"/>
      <c r="CV73" s="850"/>
      <c r="CW73" s="850"/>
      <c r="CX73" s="850"/>
      <c r="CY73" s="850"/>
      <c r="CZ73" s="850"/>
      <c r="DA73" s="850"/>
      <c r="DB73" s="850"/>
      <c r="DC73" s="850"/>
      <c r="DD73" s="850"/>
      <c r="DE73" s="850"/>
      <c r="DF73" s="850"/>
      <c r="DG73" s="850"/>
      <c r="DH73" s="850"/>
      <c r="DI73" s="850"/>
      <c r="DJ73" s="850"/>
      <c r="DK73" s="850"/>
      <c r="DL73" s="850"/>
      <c r="DM73" s="850"/>
      <c r="DN73" s="850"/>
      <c r="DO73" s="850"/>
      <c r="DP73" s="850"/>
      <c r="DQ73" s="850"/>
      <c r="DR73" s="850"/>
      <c r="DS73" s="850"/>
      <c r="DT73" s="850"/>
      <c r="DU73" s="850"/>
      <c r="DV73" s="850"/>
      <c r="DW73" s="850"/>
      <c r="DX73" s="850"/>
      <c r="DY73" s="850"/>
      <c r="DZ73" s="850"/>
      <c r="EA73" s="850"/>
      <c r="EB73" s="850"/>
      <c r="EC73" s="850"/>
      <c r="ED73" s="850"/>
      <c r="EE73" s="850"/>
      <c r="EF73" s="850"/>
      <c r="EG73" s="850"/>
      <c r="EH73" s="850"/>
      <c r="EI73" s="850"/>
      <c r="EJ73" s="850"/>
      <c r="EK73" s="850"/>
      <c r="EL73" s="850"/>
      <c r="EM73" s="850"/>
      <c r="EN73" s="850"/>
      <c r="EO73" s="850"/>
      <c r="EP73" s="850"/>
      <c r="EQ73" s="850"/>
      <c r="ER73" s="850"/>
      <c r="ES73" s="850"/>
      <c r="ET73" s="850"/>
      <c r="EU73" s="850"/>
      <c r="EV73" s="850"/>
      <c r="EW73" s="850"/>
      <c r="EX73" s="850"/>
      <c r="EY73" s="850"/>
      <c r="EZ73" s="850"/>
      <c r="FA73" s="850"/>
      <c r="FB73" s="850"/>
      <c r="FC73" s="850"/>
      <c r="FD73" s="850"/>
      <c r="FE73" s="850"/>
      <c r="FF73" s="850"/>
      <c r="FG73" s="850"/>
      <c r="FH73" s="850"/>
      <c r="FI73" s="850"/>
      <c r="FJ73" s="850"/>
      <c r="FK73" s="850"/>
      <c r="FL73" s="850"/>
      <c r="FM73" s="850"/>
      <c r="FN73" s="850"/>
      <c r="FO73" s="850"/>
      <c r="FP73" s="850"/>
      <c r="FQ73" s="850"/>
      <c r="FR73" s="850"/>
      <c r="FS73" s="850"/>
      <c r="FT73" s="850"/>
      <c r="FU73" s="850"/>
      <c r="FV73" s="850"/>
      <c r="FW73" s="850"/>
      <c r="FX73" s="850"/>
      <c r="FY73" s="850"/>
      <c r="FZ73" s="850"/>
      <c r="GA73" s="850"/>
      <c r="GB73" s="850"/>
      <c r="GC73" s="850"/>
      <c r="GD73" s="850"/>
      <c r="GE73" s="850"/>
      <c r="GF73" s="850"/>
      <c r="GG73" s="850"/>
      <c r="GH73" s="850"/>
      <c r="GI73" s="850"/>
      <c r="GJ73" s="850"/>
      <c r="GK73" s="850"/>
      <c r="GL73" s="850"/>
      <c r="GM73" s="850"/>
      <c r="GN73" s="850"/>
      <c r="GO73" s="850"/>
      <c r="GP73" s="850"/>
      <c r="GQ73" s="850"/>
      <c r="GR73" s="850"/>
      <c r="GS73" s="850"/>
      <c r="GT73" s="850"/>
      <c r="GU73" s="850"/>
      <c r="GV73" s="850"/>
      <c r="GW73" s="850"/>
      <c r="GX73" s="850"/>
      <c r="GY73" s="850"/>
      <c r="GZ73" s="850"/>
      <c r="HA73" s="850"/>
      <c r="HB73" s="850"/>
      <c r="HC73" s="850"/>
      <c r="HD73" s="850"/>
      <c r="HE73" s="850"/>
      <c r="HF73" s="850"/>
      <c r="HG73" s="850"/>
      <c r="HH73" s="850"/>
      <c r="HI73" s="850"/>
      <c r="HJ73" s="850"/>
      <c r="HK73" s="850"/>
      <c r="HL73" s="850"/>
      <c r="HM73" s="850"/>
      <c r="HN73" s="850"/>
      <c r="HO73" s="850"/>
      <c r="HP73" s="850"/>
      <c r="HQ73" s="850"/>
      <c r="HR73" s="850"/>
      <c r="HS73" s="850"/>
      <c r="HT73" s="850"/>
      <c r="HU73" s="850"/>
      <c r="HV73" s="850"/>
      <c r="HW73" s="850"/>
      <c r="HX73" s="850"/>
      <c r="HY73" s="850"/>
      <c r="HZ73" s="850"/>
      <c r="IA73" s="850"/>
      <c r="IB73" s="850"/>
      <c r="IC73" s="850"/>
      <c r="ID73" s="850"/>
      <c r="IE73" s="850"/>
      <c r="IF73" s="850"/>
      <c r="IG73" s="850"/>
      <c r="IH73" s="850"/>
      <c r="II73" s="850"/>
      <c r="IJ73" s="850"/>
      <c r="IK73" s="850"/>
      <c r="IL73" s="850"/>
      <c r="IM73" s="850"/>
      <c r="IN73" s="850"/>
      <c r="IO73" s="850"/>
      <c r="IP73" s="850"/>
      <c r="IQ73" s="850"/>
    </row>
    <row r="74" spans="1:251" s="532" customFormat="1" ht="75" hidden="1" customHeight="1" x14ac:dyDescent="0.2">
      <c r="A74" s="856">
        <v>60</v>
      </c>
      <c r="B74" s="182" t="s">
        <v>4316</v>
      </c>
      <c r="C74" s="183" t="s">
        <v>4056</v>
      </c>
      <c r="D74" s="183" t="s">
        <v>4006</v>
      </c>
      <c r="E74" s="661" t="s">
        <v>4058</v>
      </c>
      <c r="F74" s="182">
        <v>2020</v>
      </c>
      <c r="G74" s="853" t="s">
        <v>1738</v>
      </c>
      <c r="H74" s="183" t="s">
        <v>4317</v>
      </c>
      <c r="I74" s="644" t="s">
        <v>3988</v>
      </c>
      <c r="J74" s="182" t="s">
        <v>114</v>
      </c>
      <c r="K74" s="182" t="s">
        <v>4318</v>
      </c>
      <c r="L74" s="661">
        <v>300</v>
      </c>
      <c r="M74" s="841">
        <v>119</v>
      </c>
      <c r="N74" s="841" t="s">
        <v>1361</v>
      </c>
      <c r="O74" s="183" t="s">
        <v>1706</v>
      </c>
      <c r="P74" s="841" t="s">
        <v>4005</v>
      </c>
      <c r="Q74" s="841" t="s">
        <v>2797</v>
      </c>
      <c r="R74" s="841" t="s">
        <v>2373</v>
      </c>
      <c r="S74" s="661" t="s">
        <v>3653</v>
      </c>
      <c r="T74" s="661" t="s">
        <v>3652</v>
      </c>
      <c r="U74" s="661">
        <f>0.122*2</f>
        <v>0.24399999999999999</v>
      </c>
      <c r="V74" s="661">
        <f>0.122*2</f>
        <v>0.24399999999999999</v>
      </c>
      <c r="W74" s="183" t="s">
        <v>3660</v>
      </c>
      <c r="X74" s="517">
        <v>0.11</v>
      </c>
      <c r="Y74" s="183" t="s">
        <v>3682</v>
      </c>
      <c r="Z74" s="183" t="s">
        <v>3990</v>
      </c>
      <c r="AA74" s="183">
        <v>190</v>
      </c>
      <c r="AB74" s="183" t="s">
        <v>819</v>
      </c>
      <c r="AC74" s="183" t="s">
        <v>119</v>
      </c>
      <c r="AD74" s="183" t="s">
        <v>819</v>
      </c>
      <c r="AE74" s="183" t="s">
        <v>819</v>
      </c>
      <c r="AF74" s="840">
        <v>58</v>
      </c>
      <c r="AG74" s="840">
        <v>60.9</v>
      </c>
      <c r="AH74" s="840" t="s">
        <v>1744</v>
      </c>
      <c r="AI74" s="840" t="s">
        <v>122</v>
      </c>
      <c r="AJ74" s="841" t="s">
        <v>4085</v>
      </c>
      <c r="AK74" s="183" t="s">
        <v>4102</v>
      </c>
      <c r="AL74" s="182"/>
      <c r="AM74" s="182"/>
      <c r="AN74" s="182" t="s">
        <v>1784</v>
      </c>
      <c r="AO74" s="193">
        <v>0.23</v>
      </c>
      <c r="AP74" s="660"/>
      <c r="AQ74" s="840">
        <v>0.4</v>
      </c>
      <c r="AR74" s="347">
        <v>8.4600000000000009</v>
      </c>
      <c r="AS74" s="347">
        <v>2.2400000000000002</v>
      </c>
      <c r="AT74" s="347">
        <v>1.94</v>
      </c>
      <c r="AU74" s="347">
        <v>4.5199999999999996</v>
      </c>
      <c r="AV74" s="347">
        <v>3.92</v>
      </c>
      <c r="AW74" s="843">
        <f>(100*PI()*(A74^2))/(40*AO74*AV74*453.5924)</f>
        <v>69.137346907650965</v>
      </c>
      <c r="AX74" s="672">
        <v>43584</v>
      </c>
      <c r="AY74" s="840" t="s">
        <v>4319</v>
      </c>
      <c r="AZ74" s="194">
        <v>5176</v>
      </c>
      <c r="BA74" s="661" t="s">
        <v>4320</v>
      </c>
      <c r="BB74" s="661" t="s">
        <v>4321</v>
      </c>
      <c r="BC74" s="841" t="s">
        <v>4322</v>
      </c>
      <c r="BD74" s="183" t="s">
        <v>4323</v>
      </c>
      <c r="BE74" s="183" t="s">
        <v>4324</v>
      </c>
      <c r="BF74" s="183" t="s">
        <v>4325</v>
      </c>
      <c r="BG74" s="183" t="s">
        <v>4326</v>
      </c>
      <c r="BH74" s="181" t="s">
        <v>4327</v>
      </c>
      <c r="BI74" s="845">
        <v>42496</v>
      </c>
      <c r="BJ74" s="842">
        <v>2315</v>
      </c>
      <c r="BK74" s="842">
        <v>2315</v>
      </c>
      <c r="BL74" s="846">
        <v>4542</v>
      </c>
      <c r="BM74" s="842">
        <v>671</v>
      </c>
      <c r="BN74" s="842">
        <v>2595</v>
      </c>
      <c r="BO74" s="839">
        <v>331</v>
      </c>
      <c r="BP74" s="191">
        <v>2941</v>
      </c>
      <c r="BQ74" s="839">
        <v>0.35</v>
      </c>
      <c r="BR74" s="839">
        <v>73</v>
      </c>
      <c r="BS74" s="839"/>
      <c r="BT74" s="594">
        <v>185</v>
      </c>
      <c r="BU74" s="839"/>
      <c r="BV74" s="191"/>
      <c r="BW74" s="191"/>
      <c r="BX74" s="192">
        <v>62</v>
      </c>
      <c r="BY74" s="181">
        <v>26</v>
      </c>
      <c r="BZ74" s="187"/>
      <c r="CA74" s="839" t="s">
        <v>157</v>
      </c>
      <c r="CB74" s="839"/>
      <c r="CC74" s="192"/>
      <c r="CD74" s="192"/>
      <c r="CE74" s="839"/>
      <c r="CF74" s="839"/>
      <c r="CG74" s="651"/>
      <c r="CH74" s="651"/>
      <c r="CI74" s="279"/>
      <c r="CJ74" s="850"/>
      <c r="CK74" s="841"/>
      <c r="CL74" s="850"/>
      <c r="CM74" s="850"/>
      <c r="CN74" s="850"/>
      <c r="CO74" s="850"/>
      <c r="CP74" s="850"/>
      <c r="CQ74" s="850"/>
      <c r="CR74" s="850"/>
      <c r="CS74" s="850"/>
      <c r="CT74" s="850"/>
      <c r="CU74" s="850"/>
      <c r="CV74" s="850"/>
      <c r="CW74" s="850"/>
      <c r="CX74" s="850"/>
      <c r="CY74" s="850"/>
      <c r="CZ74" s="850"/>
      <c r="DA74" s="850"/>
      <c r="DB74" s="850"/>
      <c r="DC74" s="850"/>
      <c r="DD74" s="850"/>
      <c r="DE74" s="850"/>
      <c r="DF74" s="850"/>
      <c r="DG74" s="850"/>
      <c r="DH74" s="850"/>
      <c r="DI74" s="850"/>
      <c r="DJ74" s="850"/>
      <c r="DK74" s="850"/>
      <c r="DL74" s="850"/>
      <c r="DM74" s="850"/>
      <c r="DN74" s="850"/>
      <c r="DO74" s="850"/>
      <c r="DP74" s="850"/>
      <c r="DQ74" s="850"/>
      <c r="DR74" s="850"/>
      <c r="DS74" s="850"/>
      <c r="DT74" s="850"/>
      <c r="DU74" s="850"/>
      <c r="DV74" s="850"/>
      <c r="DW74" s="850"/>
      <c r="DX74" s="850"/>
      <c r="DY74" s="850"/>
      <c r="DZ74" s="850"/>
      <c r="EA74" s="850"/>
      <c r="EB74" s="850"/>
      <c r="EC74" s="850"/>
      <c r="ED74" s="850"/>
      <c r="EE74" s="850"/>
      <c r="EF74" s="850"/>
      <c r="EG74" s="850"/>
      <c r="EH74" s="850"/>
      <c r="EI74" s="850"/>
      <c r="EJ74" s="850"/>
      <c r="EK74" s="850"/>
      <c r="EL74" s="850"/>
      <c r="EM74" s="850"/>
      <c r="EN74" s="850"/>
      <c r="EO74" s="850"/>
      <c r="EP74" s="850"/>
      <c r="EQ74" s="850"/>
      <c r="ER74" s="850"/>
      <c r="ES74" s="850"/>
      <c r="ET74" s="850"/>
      <c r="EU74" s="850"/>
      <c r="EV74" s="850"/>
      <c r="EW74" s="850"/>
      <c r="EX74" s="850"/>
      <c r="EY74" s="850"/>
      <c r="EZ74" s="850"/>
      <c r="FA74" s="850"/>
      <c r="FB74" s="850"/>
      <c r="FC74" s="850"/>
      <c r="FD74" s="850"/>
      <c r="FE74" s="850"/>
      <c r="FF74" s="850"/>
      <c r="FG74" s="850"/>
      <c r="FH74" s="850"/>
      <c r="FI74" s="850"/>
      <c r="FJ74" s="850"/>
      <c r="FK74" s="850"/>
      <c r="FL74" s="850"/>
      <c r="FM74" s="850"/>
      <c r="FN74" s="850"/>
      <c r="FO74" s="850"/>
      <c r="FP74" s="850"/>
      <c r="FQ74" s="850"/>
      <c r="FR74" s="850"/>
      <c r="FS74" s="850"/>
      <c r="FT74" s="850"/>
      <c r="FU74" s="850"/>
      <c r="FV74" s="850"/>
      <c r="FW74" s="850"/>
      <c r="FX74" s="850"/>
      <c r="FY74" s="850"/>
      <c r="FZ74" s="850"/>
      <c r="GA74" s="850"/>
      <c r="GB74" s="850"/>
      <c r="GC74" s="850"/>
      <c r="GD74" s="850"/>
      <c r="GE74" s="850"/>
      <c r="GF74" s="850"/>
      <c r="GG74" s="850"/>
      <c r="GH74" s="850"/>
      <c r="GI74" s="850"/>
      <c r="GJ74" s="850"/>
      <c r="GK74" s="850"/>
      <c r="GL74" s="850"/>
      <c r="GM74" s="850"/>
      <c r="GN74" s="850"/>
      <c r="GO74" s="850"/>
      <c r="GP74" s="850"/>
      <c r="GQ74" s="850"/>
      <c r="GR74" s="850"/>
      <c r="GS74" s="850"/>
      <c r="GT74" s="850"/>
      <c r="GU74" s="850"/>
      <c r="GV74" s="850"/>
      <c r="GW74" s="850"/>
      <c r="GX74" s="850"/>
      <c r="GY74" s="850"/>
      <c r="GZ74" s="850"/>
      <c r="HA74" s="850"/>
      <c r="HB74" s="850"/>
      <c r="HC74" s="850"/>
      <c r="HD74" s="850"/>
      <c r="HE74" s="850"/>
      <c r="HF74" s="850"/>
      <c r="HG74" s="850"/>
      <c r="HH74" s="850"/>
      <c r="HI74" s="850"/>
      <c r="HJ74" s="850"/>
      <c r="HK74" s="850"/>
      <c r="HL74" s="850"/>
      <c r="HM74" s="850"/>
      <c r="HN74" s="850"/>
      <c r="HO74" s="850"/>
      <c r="HP74" s="850"/>
      <c r="HQ74" s="850"/>
      <c r="HR74" s="850"/>
      <c r="HS74" s="850"/>
      <c r="HT74" s="850"/>
      <c r="HU74" s="850"/>
      <c r="HV74" s="850"/>
      <c r="HW74" s="850"/>
      <c r="HX74" s="850"/>
      <c r="HY74" s="850"/>
      <c r="HZ74" s="850"/>
      <c r="IA74" s="850"/>
      <c r="IB74" s="850"/>
      <c r="IC74" s="850"/>
      <c r="ID74" s="850"/>
      <c r="IE74" s="850"/>
      <c r="IF74" s="850"/>
      <c r="IG74" s="850"/>
      <c r="IH74" s="850"/>
      <c r="II74" s="850"/>
      <c r="IJ74" s="850"/>
      <c r="IK74" s="850"/>
      <c r="IL74" s="850"/>
      <c r="IM74" s="850"/>
      <c r="IN74" s="850"/>
      <c r="IO74" s="850"/>
      <c r="IP74" s="850"/>
      <c r="IQ74" s="850"/>
    </row>
    <row r="75" spans="1:251" s="671" customFormat="1" ht="75" hidden="1" customHeight="1" x14ac:dyDescent="0.2">
      <c r="A75" s="646">
        <f>SQRT(2*45^2)</f>
        <v>63.63961030678928</v>
      </c>
      <c r="B75" s="660" t="s">
        <v>2178</v>
      </c>
      <c r="C75" s="661" t="s">
        <v>3984</v>
      </c>
      <c r="D75" s="661" t="s">
        <v>791</v>
      </c>
      <c r="E75" s="661" t="s">
        <v>4007</v>
      </c>
      <c r="F75" s="660">
        <v>2012</v>
      </c>
      <c r="G75" s="853" t="s">
        <v>1797</v>
      </c>
      <c r="H75" s="661" t="s">
        <v>4038</v>
      </c>
      <c r="I75" s="673" t="s">
        <v>2226</v>
      </c>
      <c r="J75" s="660" t="s">
        <v>114</v>
      </c>
      <c r="K75" s="660" t="s">
        <v>2179</v>
      </c>
      <c r="L75" s="840">
        <v>358</v>
      </c>
      <c r="M75" s="660">
        <v>156.5</v>
      </c>
      <c r="N75" s="660" t="s">
        <v>197</v>
      </c>
      <c r="O75" s="661" t="s">
        <v>4299</v>
      </c>
      <c r="P75" s="841" t="s">
        <v>4002</v>
      </c>
      <c r="Q75" s="841" t="s">
        <v>2797</v>
      </c>
      <c r="R75" s="841" t="s">
        <v>2373</v>
      </c>
      <c r="S75" s="839" t="s">
        <v>3652</v>
      </c>
      <c r="T75" s="839" t="s">
        <v>3652</v>
      </c>
      <c r="U75" s="839">
        <v>0.1065</v>
      </c>
      <c r="V75" s="839">
        <v>0.1065</v>
      </c>
      <c r="W75" s="661" t="s">
        <v>3663</v>
      </c>
      <c r="X75" s="839">
        <v>14.84</v>
      </c>
      <c r="Y75" s="661" t="s">
        <v>3261</v>
      </c>
      <c r="Z75" s="661" t="s">
        <v>4300</v>
      </c>
      <c r="AA75" s="839">
        <v>234</v>
      </c>
      <c r="AB75" s="661" t="s">
        <v>2180</v>
      </c>
      <c r="AC75" s="661" t="s">
        <v>710</v>
      </c>
      <c r="AD75" s="661" t="s">
        <v>3262</v>
      </c>
      <c r="AE75" s="840" t="s">
        <v>91</v>
      </c>
      <c r="AF75" s="840">
        <v>78.400000000000006</v>
      </c>
      <c r="AG75" s="325">
        <v>83.3</v>
      </c>
      <c r="AH75" s="840" t="s">
        <v>1744</v>
      </c>
      <c r="AI75" s="840" t="s">
        <v>1744</v>
      </c>
      <c r="AJ75" s="841" t="s">
        <v>369</v>
      </c>
      <c r="AK75" s="661" t="s">
        <v>4301</v>
      </c>
      <c r="AL75" s="660"/>
      <c r="AM75" s="660"/>
      <c r="AN75" s="660" t="s">
        <v>1784</v>
      </c>
      <c r="AO75" s="576" t="s">
        <v>819</v>
      </c>
      <c r="AP75" s="660">
        <v>0.28699999999999998</v>
      </c>
      <c r="AQ75" s="576" t="s">
        <v>819</v>
      </c>
      <c r="AR75" s="679">
        <v>8.3000000000000007</v>
      </c>
      <c r="AS75" s="679">
        <v>2.2599999999999998</v>
      </c>
      <c r="AT75" s="679">
        <v>1.96</v>
      </c>
      <c r="AU75" s="679">
        <v>4.68</v>
      </c>
      <c r="AV75" s="679">
        <v>4.2699999999999996</v>
      </c>
      <c r="AW75" s="843">
        <v>26.643621188613363</v>
      </c>
      <c r="AX75" s="672">
        <v>40756</v>
      </c>
      <c r="AY75" s="840" t="s">
        <v>1669</v>
      </c>
      <c r="AZ75" s="661">
        <v>170</v>
      </c>
      <c r="BA75" s="661" t="s">
        <v>4302</v>
      </c>
      <c r="BB75" s="661" t="s">
        <v>4303</v>
      </c>
      <c r="BC75" s="660">
        <v>15884101</v>
      </c>
      <c r="BD75" s="661" t="s">
        <v>4304</v>
      </c>
      <c r="BE75" s="661">
        <v>16277603</v>
      </c>
      <c r="BF75" s="661" t="s">
        <v>157</v>
      </c>
      <c r="BG75" s="661" t="s">
        <v>157</v>
      </c>
      <c r="BH75" s="659"/>
      <c r="BI75" s="845">
        <v>42493</v>
      </c>
      <c r="BJ75" s="842">
        <v>4652</v>
      </c>
      <c r="BK75" s="842">
        <v>5549</v>
      </c>
      <c r="BL75" s="846">
        <v>10200</v>
      </c>
      <c r="BM75" s="275">
        <v>787.4</v>
      </c>
      <c r="BN75" s="842">
        <v>3644.9</v>
      </c>
      <c r="BO75" s="843">
        <v>390</v>
      </c>
      <c r="BP75" s="652">
        <f>IF(G75="Front",0.5*9.81*0.4535924*(BJ75+BL75*(BM75/BN75)*1.1)*1.1*(BO75/1000),IF(G75="Rear",0.5*9.81*0.4535924*(BK75+BL75*(BM75/BN75)*0.9)*0.9*(BO75/1000),"TBD"))</f>
        <v>5882.0680429709982</v>
      </c>
      <c r="BQ75" s="839">
        <v>0.28000000000000003</v>
      </c>
      <c r="BR75" s="843">
        <v>28</v>
      </c>
      <c r="BS75" s="843">
        <v>28</v>
      </c>
      <c r="BT75" s="848">
        <v>168.84</v>
      </c>
      <c r="BU75" s="652">
        <f>(2.4525*(BL75*0.4535924)*(0.8*(1000/3600)*BT75)*(BR75/100))/(AF75*2)</f>
        <v>760.23832570740012</v>
      </c>
      <c r="BV75" s="652">
        <f>(BP75/(M75/1000))/(2*AF75)</f>
        <v>239.70088849559065</v>
      </c>
      <c r="BW75" s="652">
        <f>(1.4*BP75/(M75/1000))/(2*AF75)</f>
        <v>335.58124389382687</v>
      </c>
      <c r="BX75" s="668">
        <f>0.5*(BL75/32.2)*((BO75*0.00328084)^2)*(BS75/100)</f>
        <v>72.60585638021719</v>
      </c>
      <c r="BY75" s="659">
        <v>34</v>
      </c>
      <c r="BZ75" s="665">
        <f>BX75/(L75*BY75)</f>
        <v>5.9649898439218859E-3</v>
      </c>
      <c r="CA75" s="839" t="s">
        <v>819</v>
      </c>
      <c r="CB75" s="839" t="s">
        <v>157</v>
      </c>
      <c r="CC75" s="668">
        <f>BU75*(2*AF75)/(2*1600)</f>
        <v>37.251677959662608</v>
      </c>
      <c r="CD75" s="668">
        <f>BV75*(2*AF75)/(2*250)</f>
        <v>75.170198632217236</v>
      </c>
      <c r="CE75" s="651" t="str">
        <f>IF((CD75-CC75)&gt;0, "Shear","Power")</f>
        <v>Shear</v>
      </c>
      <c r="CF75" s="654">
        <f>(AF75/MAX(CC75,CD75))-1</f>
        <v>4.2966513678979634E-2</v>
      </c>
      <c r="CG75" s="651">
        <v>2.68</v>
      </c>
      <c r="CH75" s="651">
        <v>1.71</v>
      </c>
      <c r="CI75" s="279">
        <f>CG75-CH75</f>
        <v>0.9700000000000002</v>
      </c>
      <c r="CK75" s="661"/>
    </row>
    <row r="76" spans="1:251" s="671" customFormat="1" ht="75" hidden="1" customHeight="1" x14ac:dyDescent="0.2">
      <c r="A76" s="857">
        <f>SQRT(2*45^2)</f>
        <v>63.63961030678928</v>
      </c>
      <c r="B76" s="660" t="s">
        <v>332</v>
      </c>
      <c r="C76" s="183" t="s">
        <v>3984</v>
      </c>
      <c r="D76" s="661" t="s">
        <v>793</v>
      </c>
      <c r="E76" s="661" t="s">
        <v>4007</v>
      </c>
      <c r="F76" s="840">
        <v>2013</v>
      </c>
      <c r="G76" s="852" t="s">
        <v>1797</v>
      </c>
      <c r="H76" s="661" t="s">
        <v>4040</v>
      </c>
      <c r="I76" s="854" t="s">
        <v>4059</v>
      </c>
      <c r="J76" s="660" t="s">
        <v>114</v>
      </c>
      <c r="K76" s="840" t="s">
        <v>2112</v>
      </c>
      <c r="L76" s="841">
        <v>363</v>
      </c>
      <c r="M76" s="660">
        <v>158.5</v>
      </c>
      <c r="N76" s="660" t="s">
        <v>197</v>
      </c>
      <c r="O76" s="661" t="s">
        <v>1706</v>
      </c>
      <c r="P76" s="841" t="s">
        <v>3997</v>
      </c>
      <c r="Q76" s="841" t="s">
        <v>2373</v>
      </c>
      <c r="R76" s="841" t="s">
        <v>2373</v>
      </c>
      <c r="S76" s="661" t="s">
        <v>3652</v>
      </c>
      <c r="T76" s="661" t="s">
        <v>3652</v>
      </c>
      <c r="U76" s="661">
        <v>0.20499999999999999</v>
      </c>
      <c r="V76" s="661">
        <v>0.20499999999999999</v>
      </c>
      <c r="W76" s="183" t="s">
        <v>3659</v>
      </c>
      <c r="X76" s="517">
        <v>0.11</v>
      </c>
      <c r="Y76" s="183" t="s">
        <v>3676</v>
      </c>
      <c r="Z76" s="183" t="s">
        <v>3884</v>
      </c>
      <c r="AA76" s="661">
        <v>233.85</v>
      </c>
      <c r="AB76" s="661" t="s">
        <v>3910</v>
      </c>
      <c r="AC76" s="661" t="s">
        <v>710</v>
      </c>
      <c r="AD76" s="661" t="s">
        <v>3882</v>
      </c>
      <c r="AE76" s="661" t="s">
        <v>91</v>
      </c>
      <c r="AF76" s="841">
        <v>83.9</v>
      </c>
      <c r="AG76" s="841">
        <v>77.2</v>
      </c>
      <c r="AH76" s="841" t="s">
        <v>122</v>
      </c>
      <c r="AI76" s="841" t="s">
        <v>122</v>
      </c>
      <c r="AJ76" s="840" t="s">
        <v>2871</v>
      </c>
      <c r="AK76" s="661" t="s">
        <v>1747</v>
      </c>
      <c r="AL76" s="660"/>
      <c r="AM76" s="660"/>
      <c r="AN76" s="660" t="s">
        <v>1784</v>
      </c>
      <c r="AO76" s="841">
        <v>0.27</v>
      </c>
      <c r="AP76" s="840" t="s">
        <v>157</v>
      </c>
      <c r="AQ76" s="841">
        <v>0.59</v>
      </c>
      <c r="AR76" s="858">
        <v>9.0718399999999999</v>
      </c>
      <c r="AS76" s="858">
        <v>2.5925504352000002</v>
      </c>
      <c r="AT76" s="858">
        <v>2.2498163199999999</v>
      </c>
      <c r="AU76" s="858">
        <v>4.4795838736000002</v>
      </c>
      <c r="AV76" s="858">
        <v>4.1276871999999996</v>
      </c>
      <c r="AW76" s="189">
        <f>(100*PI()*(A76^2))/(40*AO76*AV76*453.5924)</f>
        <v>62.922880045208402</v>
      </c>
      <c r="AX76" s="672">
        <v>41183</v>
      </c>
      <c r="AY76" s="838" t="s">
        <v>2093</v>
      </c>
      <c r="AZ76" s="661">
        <v>400</v>
      </c>
      <c r="BA76" s="841" t="s">
        <v>3917</v>
      </c>
      <c r="BB76" s="841" t="s">
        <v>3919</v>
      </c>
      <c r="BC76" s="840">
        <v>18097702</v>
      </c>
      <c r="BD76" s="841" t="s">
        <v>2111</v>
      </c>
      <c r="BE76" s="841">
        <v>17946002</v>
      </c>
      <c r="BF76" s="661" t="s">
        <v>2205</v>
      </c>
      <c r="BG76" s="661" t="s">
        <v>2205</v>
      </c>
      <c r="BH76" s="839"/>
      <c r="BI76" s="667">
        <v>42475</v>
      </c>
      <c r="BJ76" s="839">
        <f>2826*2.2</f>
        <v>6217.2000000000007</v>
      </c>
      <c r="BK76" s="839">
        <f>2930*2.2</f>
        <v>6446.0000000000009</v>
      </c>
      <c r="BL76" s="839">
        <f>BJ76+BK76</f>
        <v>12663.2</v>
      </c>
      <c r="BM76" s="839"/>
      <c r="BN76" s="839"/>
      <c r="BO76" s="838">
        <v>417</v>
      </c>
      <c r="BP76" s="846"/>
      <c r="BQ76" s="838">
        <v>0.34</v>
      </c>
      <c r="BR76" s="662"/>
      <c r="BS76" s="847"/>
      <c r="BT76" s="659"/>
      <c r="BU76" s="846"/>
      <c r="BV76" s="846"/>
      <c r="BW76" s="846"/>
      <c r="BX76" s="668"/>
      <c r="BY76" s="659"/>
      <c r="BZ76" s="665"/>
      <c r="CA76" s="843"/>
      <c r="CB76" s="664"/>
      <c r="CC76" s="847"/>
      <c r="CD76" s="847"/>
      <c r="CE76" s="838"/>
      <c r="CF76" s="849"/>
      <c r="CG76" s="838"/>
      <c r="CH76" s="838"/>
      <c r="CI76" s="855"/>
      <c r="CK76" s="661"/>
    </row>
    <row r="77" spans="1:251" ht="75" hidden="1" customHeight="1" x14ac:dyDescent="0.2">
      <c r="A77" s="857">
        <f>SQRT(2*45^2)</f>
        <v>63.63961030678928</v>
      </c>
      <c r="B77" s="660" t="s">
        <v>332</v>
      </c>
      <c r="C77" s="661" t="s">
        <v>3984</v>
      </c>
      <c r="D77" s="661" t="s">
        <v>793</v>
      </c>
      <c r="E77" s="661" t="s">
        <v>4125</v>
      </c>
      <c r="F77" s="840">
        <v>2017</v>
      </c>
      <c r="G77" s="852" t="s">
        <v>1797</v>
      </c>
      <c r="H77" s="661" t="s">
        <v>4041</v>
      </c>
      <c r="I77" s="854" t="s">
        <v>4059</v>
      </c>
      <c r="J77" s="660" t="s">
        <v>114</v>
      </c>
      <c r="K77" s="840" t="s">
        <v>2112</v>
      </c>
      <c r="L77" s="841">
        <v>363</v>
      </c>
      <c r="M77" s="660">
        <v>158.5</v>
      </c>
      <c r="N77" s="660" t="s">
        <v>197</v>
      </c>
      <c r="O77" s="661" t="s">
        <v>1706</v>
      </c>
      <c r="P77" s="841" t="s">
        <v>3997</v>
      </c>
      <c r="Q77" s="841" t="s">
        <v>2373</v>
      </c>
      <c r="R77" s="841" t="s">
        <v>2373</v>
      </c>
      <c r="S77" s="661" t="s">
        <v>3652</v>
      </c>
      <c r="T77" s="661" t="s">
        <v>3652</v>
      </c>
      <c r="U77" s="661">
        <v>0.20499999999999999</v>
      </c>
      <c r="V77" s="661">
        <v>0.20499999999999999</v>
      </c>
      <c r="W77" s="661" t="s">
        <v>3659</v>
      </c>
      <c r="X77" s="517">
        <v>0.11</v>
      </c>
      <c r="Y77" s="661" t="s">
        <v>3676</v>
      </c>
      <c r="Z77" s="661" t="s">
        <v>3884</v>
      </c>
      <c r="AA77" s="661">
        <v>233.85</v>
      </c>
      <c r="AB77" s="661" t="s">
        <v>3910</v>
      </c>
      <c r="AC77" s="661" t="s">
        <v>710</v>
      </c>
      <c r="AD77" s="661" t="s">
        <v>3882</v>
      </c>
      <c r="AE77" s="661" t="s">
        <v>91</v>
      </c>
      <c r="AF77" s="841">
        <v>83.9</v>
      </c>
      <c r="AG77" s="841">
        <v>77.2</v>
      </c>
      <c r="AH77" s="841" t="s">
        <v>122</v>
      </c>
      <c r="AI77" s="841" t="s">
        <v>122</v>
      </c>
      <c r="AJ77" s="840" t="s">
        <v>2871</v>
      </c>
      <c r="AK77" s="661" t="s">
        <v>3911</v>
      </c>
      <c r="AL77" s="660"/>
      <c r="AM77" s="660"/>
      <c r="AN77" s="660" t="s">
        <v>1784</v>
      </c>
      <c r="AO77" s="841">
        <v>0.27</v>
      </c>
      <c r="AP77" s="840" t="s">
        <v>157</v>
      </c>
      <c r="AQ77" s="841">
        <v>0.59</v>
      </c>
      <c r="AR77" s="679">
        <v>9.0718399999999999</v>
      </c>
      <c r="AS77" s="679">
        <v>2.5854743999999998</v>
      </c>
      <c r="AT77" s="679">
        <v>2.26796</v>
      </c>
      <c r="AU77" s="679">
        <v>4.4905607999999999</v>
      </c>
      <c r="AV77" s="347">
        <v>4.1276871999999996</v>
      </c>
      <c r="AW77" s="189">
        <v>28.5</v>
      </c>
      <c r="AX77" s="672" t="s">
        <v>3912</v>
      </c>
      <c r="AY77" s="838" t="s">
        <v>2093</v>
      </c>
      <c r="AZ77" s="841">
        <v>400</v>
      </c>
      <c r="BA77" s="841" t="s">
        <v>3913</v>
      </c>
      <c r="BB77" s="841" t="s">
        <v>3920</v>
      </c>
      <c r="BC77" s="840">
        <v>18097701</v>
      </c>
      <c r="BD77" s="841" t="s">
        <v>3914</v>
      </c>
      <c r="BE77" s="841">
        <v>17946002</v>
      </c>
      <c r="BF77" s="661" t="s">
        <v>2205</v>
      </c>
      <c r="BG77" s="661" t="s">
        <v>2205</v>
      </c>
      <c r="BH77" s="839"/>
      <c r="BI77" s="667">
        <v>42475</v>
      </c>
      <c r="BJ77" s="839">
        <f>2826*2.2</f>
        <v>6217.2000000000007</v>
      </c>
      <c r="BK77" s="839">
        <f>2930*2.2</f>
        <v>6446.0000000000009</v>
      </c>
      <c r="BL77" s="839">
        <f>BJ77+BK77</f>
        <v>12663.2</v>
      </c>
      <c r="BM77" s="839"/>
      <c r="BN77" s="839"/>
      <c r="BO77" s="838">
        <v>417</v>
      </c>
      <c r="BP77" s="846"/>
      <c r="BQ77" s="838">
        <v>0.34</v>
      </c>
      <c r="BR77" s="662"/>
      <c r="BS77" s="847"/>
      <c r="BT77" s="659"/>
      <c r="BU77" s="846"/>
      <c r="BV77" s="846"/>
      <c r="BW77" s="846"/>
      <c r="BX77" s="668"/>
      <c r="BY77" s="659"/>
      <c r="BZ77" s="665"/>
      <c r="CA77" s="843"/>
      <c r="CB77" s="664"/>
      <c r="CC77" s="847"/>
      <c r="CD77" s="847"/>
      <c r="CE77" s="838"/>
      <c r="CF77" s="849"/>
      <c r="CG77" s="838"/>
      <c r="CH77" s="838"/>
      <c r="CI77" s="855"/>
      <c r="CK77" s="183"/>
      <c r="CM77" s="671"/>
      <c r="CN77" s="671"/>
      <c r="CO77" s="671"/>
    </row>
    <row r="78" spans="1:251" s="532" customFormat="1" ht="75" hidden="1" customHeight="1" x14ac:dyDescent="0.2">
      <c r="A78" s="678">
        <v>66</v>
      </c>
      <c r="B78" s="660" t="s">
        <v>836</v>
      </c>
      <c r="C78" s="183" t="s">
        <v>3984</v>
      </c>
      <c r="D78" s="183" t="s">
        <v>4137</v>
      </c>
      <c r="E78" s="661" t="s">
        <v>4007</v>
      </c>
      <c r="F78" s="661" t="s">
        <v>835</v>
      </c>
      <c r="G78" s="674" t="s">
        <v>1738</v>
      </c>
      <c r="H78" s="183" t="s">
        <v>3693</v>
      </c>
      <c r="I78" s="673" t="s">
        <v>669</v>
      </c>
      <c r="J78" s="182" t="s">
        <v>114</v>
      </c>
      <c r="K78" s="841" t="s">
        <v>2118</v>
      </c>
      <c r="L78" s="660">
        <v>302</v>
      </c>
      <c r="M78" s="840">
        <v>128.6</v>
      </c>
      <c r="N78" s="660" t="s">
        <v>2119</v>
      </c>
      <c r="O78" s="183" t="s">
        <v>1741</v>
      </c>
      <c r="P78" s="661" t="s">
        <v>4002</v>
      </c>
      <c r="Q78" s="841" t="s">
        <v>2373</v>
      </c>
      <c r="R78" s="841" t="s">
        <v>2373</v>
      </c>
      <c r="S78" s="841" t="s">
        <v>3652</v>
      </c>
      <c r="T78" s="841" t="s">
        <v>3652</v>
      </c>
      <c r="U78" s="841">
        <v>0.14500000000000135</v>
      </c>
      <c r="V78" s="841">
        <v>0.14500000000000135</v>
      </c>
      <c r="W78" s="841" t="s">
        <v>3681</v>
      </c>
      <c r="X78" s="680">
        <v>0.14349999999999999</v>
      </c>
      <c r="Y78" s="841" t="s">
        <v>3259</v>
      </c>
      <c r="Z78" s="841" t="s">
        <v>4219</v>
      </c>
      <c r="AA78" s="841">
        <v>174</v>
      </c>
      <c r="AB78" s="841" t="s">
        <v>4221</v>
      </c>
      <c r="AC78" s="841" t="s">
        <v>119</v>
      </c>
      <c r="AD78" s="841" t="s">
        <v>948</v>
      </c>
      <c r="AE78" s="841" t="s">
        <v>1016</v>
      </c>
      <c r="AF78" s="840">
        <v>57.8</v>
      </c>
      <c r="AG78" s="840">
        <v>53.4</v>
      </c>
      <c r="AH78" s="840" t="s">
        <v>1744</v>
      </c>
      <c r="AI78" s="840" t="s">
        <v>122</v>
      </c>
      <c r="AJ78" s="841" t="s">
        <v>4220</v>
      </c>
      <c r="AK78" s="841" t="s">
        <v>4175</v>
      </c>
      <c r="AL78" s="840"/>
      <c r="AM78" s="840"/>
      <c r="AN78" s="840" t="s">
        <v>1784</v>
      </c>
      <c r="AO78" s="840">
        <v>0.32900000000000001</v>
      </c>
      <c r="AP78" s="841">
        <v>0.3</v>
      </c>
      <c r="AQ78" s="666" t="s">
        <v>819</v>
      </c>
      <c r="AR78" s="348">
        <v>12.8</v>
      </c>
      <c r="AS78" s="348">
        <v>3.6</v>
      </c>
      <c r="AT78" s="349">
        <v>3.3</v>
      </c>
      <c r="AU78" s="348">
        <v>7.35</v>
      </c>
      <c r="AV78" s="348">
        <v>6.45</v>
      </c>
      <c r="AW78" s="843">
        <v>35.543187335852167</v>
      </c>
      <c r="AX78" s="672"/>
      <c r="AY78" s="182" t="s">
        <v>1669</v>
      </c>
      <c r="AZ78" s="841" t="s">
        <v>819</v>
      </c>
      <c r="BA78" s="676" t="s">
        <v>3694</v>
      </c>
      <c r="BB78" s="658" t="s">
        <v>3695</v>
      </c>
      <c r="BC78" s="675">
        <v>16018401</v>
      </c>
      <c r="BD78" s="676" t="s">
        <v>3692</v>
      </c>
      <c r="BE78" s="676">
        <v>15868601</v>
      </c>
      <c r="BF78" s="841" t="s">
        <v>157</v>
      </c>
      <c r="BG78" s="841" t="s">
        <v>157</v>
      </c>
      <c r="BH78" s="841" t="s">
        <v>1796</v>
      </c>
      <c r="BI78" s="667">
        <v>42475</v>
      </c>
      <c r="BJ78" s="670" t="s">
        <v>839</v>
      </c>
      <c r="BK78" s="670" t="s">
        <v>838</v>
      </c>
      <c r="BL78" s="842" t="s">
        <v>837</v>
      </c>
      <c r="BM78" s="670" t="s">
        <v>477</v>
      </c>
      <c r="BN78" s="670" t="s">
        <v>476</v>
      </c>
      <c r="BO78" s="841" t="s">
        <v>475</v>
      </c>
      <c r="BP78" s="839" t="s">
        <v>819</v>
      </c>
      <c r="BQ78" s="841">
        <v>0.35</v>
      </c>
      <c r="BR78" s="839" t="s">
        <v>819</v>
      </c>
      <c r="BS78" s="839" t="s">
        <v>819</v>
      </c>
      <c r="BT78" s="839" t="s">
        <v>819</v>
      </c>
      <c r="BU78" s="839" t="s">
        <v>819</v>
      </c>
      <c r="BV78" s="839" t="s">
        <v>819</v>
      </c>
      <c r="BW78" s="839" t="s">
        <v>819</v>
      </c>
      <c r="BX78" s="847">
        <v>91.3</v>
      </c>
      <c r="BY78" s="839">
        <v>28</v>
      </c>
      <c r="BZ78" s="844">
        <v>1.0797067171239356E-2</v>
      </c>
      <c r="CA78" s="839" t="s">
        <v>819</v>
      </c>
      <c r="CB78" s="843" t="s">
        <v>1814</v>
      </c>
      <c r="CC78" s="839" t="s">
        <v>819</v>
      </c>
      <c r="CD78" s="839" t="s">
        <v>819</v>
      </c>
      <c r="CE78" s="839" t="s">
        <v>819</v>
      </c>
      <c r="CF78" s="839" t="s">
        <v>819</v>
      </c>
      <c r="CG78" s="590">
        <v>3.37</v>
      </c>
      <c r="CH78" s="590">
        <v>2.2799999999999998</v>
      </c>
      <c r="CI78" s="587">
        <v>1.0900000000000003</v>
      </c>
      <c r="CJ78" s="213"/>
      <c r="CK78" s="661"/>
      <c r="CL78" s="213"/>
      <c r="CM78" s="671"/>
      <c r="CN78" s="671"/>
      <c r="CO78" s="671"/>
      <c r="CP78" s="213"/>
      <c r="CQ78" s="213"/>
      <c r="CR78" s="213"/>
      <c r="CS78" s="213"/>
      <c r="CT78" s="213"/>
      <c r="CU78" s="213"/>
      <c r="CV78" s="213"/>
      <c r="CW78" s="213"/>
      <c r="CX78" s="213"/>
      <c r="CY78" s="213"/>
      <c r="CZ78" s="213"/>
      <c r="DA78" s="213"/>
      <c r="DB78" s="213"/>
      <c r="DC78" s="213"/>
      <c r="DD78" s="213"/>
      <c r="DE78" s="213"/>
      <c r="DF78" s="213"/>
      <c r="DG78" s="213"/>
      <c r="DH78" s="213"/>
      <c r="DI78" s="213"/>
      <c r="DJ78" s="213"/>
    </row>
    <row r="79" spans="1:251" s="324" customFormat="1" ht="75" hidden="1" customHeight="1" x14ac:dyDescent="0.2">
      <c r="A79" s="678">
        <v>66</v>
      </c>
      <c r="B79" s="660" t="s">
        <v>836</v>
      </c>
      <c r="C79" s="661" t="s">
        <v>3984</v>
      </c>
      <c r="D79" s="661" t="s">
        <v>4137</v>
      </c>
      <c r="E79" s="661" t="s">
        <v>4007</v>
      </c>
      <c r="F79" s="661" t="s">
        <v>835</v>
      </c>
      <c r="G79" s="674" t="s">
        <v>1738</v>
      </c>
      <c r="H79" s="661" t="s">
        <v>4037</v>
      </c>
      <c r="I79" s="673" t="s">
        <v>669</v>
      </c>
      <c r="J79" s="660" t="s">
        <v>114</v>
      </c>
      <c r="K79" s="661" t="s">
        <v>2118</v>
      </c>
      <c r="L79" s="660">
        <v>332</v>
      </c>
      <c r="M79" s="660">
        <v>143.6</v>
      </c>
      <c r="N79" s="660" t="s">
        <v>197</v>
      </c>
      <c r="O79" s="661" t="s">
        <v>1741</v>
      </c>
      <c r="P79" s="661" t="s">
        <v>4002</v>
      </c>
      <c r="Q79" s="841" t="s">
        <v>2373</v>
      </c>
      <c r="R79" s="841" t="s">
        <v>2373</v>
      </c>
      <c r="S79" s="661" t="s">
        <v>3652</v>
      </c>
      <c r="T79" s="661" t="s">
        <v>3652</v>
      </c>
      <c r="U79" s="661">
        <v>0.10650000000000048</v>
      </c>
      <c r="V79" s="661">
        <v>0.10650000000000048</v>
      </c>
      <c r="W79" s="661" t="s">
        <v>3699</v>
      </c>
      <c r="X79" s="680">
        <v>0.14349999999999999</v>
      </c>
      <c r="Y79" s="661" t="s">
        <v>3259</v>
      </c>
      <c r="Z79" s="661" t="s">
        <v>4219</v>
      </c>
      <c r="AA79" s="661">
        <v>174</v>
      </c>
      <c r="AB79" s="661" t="s">
        <v>4221</v>
      </c>
      <c r="AC79" s="661" t="s">
        <v>119</v>
      </c>
      <c r="AD79" s="661" t="s">
        <v>948</v>
      </c>
      <c r="AE79" s="661" t="s">
        <v>1016</v>
      </c>
      <c r="AF79" s="840">
        <v>57.8</v>
      </c>
      <c r="AG79" s="840">
        <v>53.4</v>
      </c>
      <c r="AH79" s="660" t="s">
        <v>1744</v>
      </c>
      <c r="AI79" s="660" t="s">
        <v>122</v>
      </c>
      <c r="AJ79" s="661" t="s">
        <v>4220</v>
      </c>
      <c r="AK79" s="661" t="s">
        <v>4175</v>
      </c>
      <c r="AL79" s="840"/>
      <c r="AM79" s="840"/>
      <c r="AN79" s="840" t="s">
        <v>1784</v>
      </c>
      <c r="AO79" s="660">
        <v>0.26400000000000001</v>
      </c>
      <c r="AP79" s="666">
        <v>0.25533333333333336</v>
      </c>
      <c r="AQ79" s="666" t="s">
        <v>819</v>
      </c>
      <c r="AR79" s="347">
        <v>6.79934408</v>
      </c>
      <c r="AS79" s="347">
        <v>1.962996037048</v>
      </c>
      <c r="AT79" s="347">
        <v>1.6763853136</v>
      </c>
      <c r="AU79" s="347">
        <v>4.1079559479999999</v>
      </c>
      <c r="AV79" s="347">
        <v>3.76934952</v>
      </c>
      <c r="AW79" s="664">
        <v>34.380091841722773</v>
      </c>
      <c r="AX79" s="851" t="s">
        <v>1921</v>
      </c>
      <c r="AY79" s="660" t="s">
        <v>1669</v>
      </c>
      <c r="AZ79" s="839" t="s">
        <v>819</v>
      </c>
      <c r="BA79" s="676" t="s">
        <v>3696</v>
      </c>
      <c r="BB79" s="676" t="s">
        <v>3697</v>
      </c>
      <c r="BC79" s="675">
        <v>16834501</v>
      </c>
      <c r="BD79" s="676" t="s">
        <v>3698</v>
      </c>
      <c r="BE79" s="676">
        <v>16834302</v>
      </c>
      <c r="BF79" s="661" t="s">
        <v>157</v>
      </c>
      <c r="BG79" s="661" t="s">
        <v>157</v>
      </c>
      <c r="BH79" s="661" t="s">
        <v>1796</v>
      </c>
      <c r="BI79" s="667">
        <v>42475</v>
      </c>
      <c r="BJ79" s="670">
        <v>2655.4</v>
      </c>
      <c r="BK79" s="670">
        <v>2921.6000000000004</v>
      </c>
      <c r="BL79" s="663">
        <v>5577</v>
      </c>
      <c r="BM79" s="670">
        <v>730</v>
      </c>
      <c r="BN79" s="670">
        <v>2946</v>
      </c>
      <c r="BO79" s="661">
        <v>391</v>
      </c>
      <c r="BP79" s="839" t="s">
        <v>819</v>
      </c>
      <c r="BQ79" s="661">
        <v>0.35</v>
      </c>
      <c r="BR79" s="839" t="s">
        <v>819</v>
      </c>
      <c r="BS79" s="839" t="s">
        <v>819</v>
      </c>
      <c r="BT79" s="839" t="s">
        <v>819</v>
      </c>
      <c r="BU79" s="839" t="s">
        <v>819</v>
      </c>
      <c r="BV79" s="839" t="s">
        <v>819</v>
      </c>
      <c r="BW79" s="839" t="s">
        <v>819</v>
      </c>
      <c r="BX79" s="668">
        <v>89.9</v>
      </c>
      <c r="BY79" s="659">
        <v>28</v>
      </c>
      <c r="BZ79" s="665">
        <v>9.6708261617900176E-3</v>
      </c>
      <c r="CA79" s="839" t="s">
        <v>819</v>
      </c>
      <c r="CB79" s="843" t="s">
        <v>1814</v>
      </c>
      <c r="CC79" s="839" t="s">
        <v>819</v>
      </c>
      <c r="CD79" s="839" t="s">
        <v>819</v>
      </c>
      <c r="CE79" s="839" t="s">
        <v>819</v>
      </c>
      <c r="CF79" s="839" t="s">
        <v>819</v>
      </c>
      <c r="CG79" s="592">
        <v>3.13</v>
      </c>
      <c r="CH79" s="839" t="s">
        <v>819</v>
      </c>
      <c r="CI79" s="677" t="s">
        <v>819</v>
      </c>
      <c r="CJ79" s="213"/>
      <c r="CK79" s="841"/>
      <c r="CL79" s="213"/>
      <c r="CM79" s="671"/>
      <c r="CN79" s="671"/>
      <c r="CO79" s="671"/>
      <c r="CP79" s="213"/>
      <c r="CQ79" s="213"/>
      <c r="CR79" s="213"/>
      <c r="CS79" s="213"/>
      <c r="CT79" s="213"/>
      <c r="CU79" s="213"/>
      <c r="CV79" s="213"/>
      <c r="CW79" s="213"/>
      <c r="CX79" s="213"/>
      <c r="CY79" s="213"/>
      <c r="CZ79" s="213"/>
      <c r="DA79" s="213"/>
      <c r="DB79" s="213"/>
      <c r="DC79" s="213"/>
      <c r="DD79" s="213"/>
      <c r="DE79" s="213"/>
      <c r="DF79" s="213"/>
      <c r="DG79" s="213"/>
      <c r="DH79" s="213"/>
      <c r="DI79" s="213"/>
      <c r="DJ79" s="213"/>
    </row>
    <row r="80" spans="1:251" s="532" customFormat="1" ht="75" hidden="1" customHeight="1" x14ac:dyDescent="0.2">
      <c r="A80" s="282">
        <f>SQRT(2*48^2)</f>
        <v>67.882250993908556</v>
      </c>
      <c r="B80" s="182" t="s">
        <v>4079</v>
      </c>
      <c r="C80" s="183" t="s">
        <v>3984</v>
      </c>
      <c r="D80" s="183" t="s">
        <v>2877</v>
      </c>
      <c r="E80" s="661" t="s">
        <v>4058</v>
      </c>
      <c r="F80" s="661">
        <v>2020</v>
      </c>
      <c r="G80" s="674" t="s">
        <v>1797</v>
      </c>
      <c r="H80" s="183" t="s">
        <v>4062</v>
      </c>
      <c r="I80" s="673" t="s">
        <v>3838</v>
      </c>
      <c r="J80" s="182" t="s">
        <v>114</v>
      </c>
      <c r="K80" s="614"/>
      <c r="L80" s="182">
        <v>360</v>
      </c>
      <c r="M80" s="519"/>
      <c r="N80" s="182" t="s">
        <v>197</v>
      </c>
      <c r="O80" s="183" t="s">
        <v>4100</v>
      </c>
      <c r="P80" s="661" t="s">
        <v>3997</v>
      </c>
      <c r="Q80" s="661" t="s">
        <v>2797</v>
      </c>
      <c r="R80" s="661" t="s">
        <v>4069</v>
      </c>
      <c r="S80" s="614"/>
      <c r="T80" s="614"/>
      <c r="U80" s="614"/>
      <c r="V80" s="614"/>
      <c r="W80" s="614"/>
      <c r="X80" s="558"/>
      <c r="Y80" s="614"/>
      <c r="Z80" s="614"/>
      <c r="AA80" s="614"/>
      <c r="AB80" s="614"/>
      <c r="AC80" s="614"/>
      <c r="AD80" s="614"/>
      <c r="AE80" s="614"/>
      <c r="AF80" s="519"/>
      <c r="AG80" s="519"/>
      <c r="AH80" s="519"/>
      <c r="AI80" s="519"/>
      <c r="AJ80" s="614"/>
      <c r="AK80" s="559"/>
      <c r="AL80" s="519"/>
      <c r="AM80" s="519"/>
      <c r="AN80" s="519"/>
      <c r="AO80" s="519"/>
      <c r="AP80" s="560"/>
      <c r="AQ80" s="560"/>
      <c r="AR80" s="574">
        <v>0</v>
      </c>
      <c r="AS80" s="574">
        <v>0</v>
      </c>
      <c r="AT80" s="574">
        <v>0</v>
      </c>
      <c r="AU80" s="574">
        <v>0</v>
      </c>
      <c r="AV80" s="347">
        <v>0</v>
      </c>
      <c r="AW80" s="529"/>
      <c r="AX80" s="851" t="s">
        <v>4103</v>
      </c>
      <c r="AY80" s="182" t="s">
        <v>1669</v>
      </c>
      <c r="AZ80" s="614"/>
      <c r="BA80" s="561"/>
      <c r="BB80" s="561"/>
      <c r="BC80" s="562"/>
      <c r="BD80" s="563"/>
      <c r="BE80" s="561"/>
      <c r="BF80" s="614"/>
      <c r="BG80" s="614"/>
      <c r="BH80" s="614"/>
      <c r="BI80" s="525">
        <v>42464</v>
      </c>
      <c r="BJ80" s="564"/>
      <c r="BK80" s="564"/>
      <c r="BL80" s="533"/>
      <c r="BM80" s="564"/>
      <c r="BN80" s="564"/>
      <c r="BO80" s="614"/>
      <c r="BP80" s="526"/>
      <c r="BQ80" s="614"/>
      <c r="BR80" s="521"/>
      <c r="BS80" s="527"/>
      <c r="BT80" s="565"/>
      <c r="BU80" s="526"/>
      <c r="BV80" s="566"/>
      <c r="BW80" s="566"/>
      <c r="BX80" s="527"/>
      <c r="BY80" s="524"/>
      <c r="BZ80" s="528"/>
      <c r="CA80" s="567"/>
      <c r="CB80" s="529"/>
      <c r="CC80" s="568"/>
      <c r="CD80" s="568"/>
      <c r="CE80" s="569"/>
      <c r="CF80" s="570"/>
      <c r="CG80" s="567"/>
      <c r="CH80" s="567"/>
      <c r="CI80" s="571"/>
      <c r="CJ80" s="671"/>
      <c r="CK80" s="841"/>
      <c r="CL80" s="671"/>
      <c r="CM80" s="671"/>
      <c r="CN80" s="671"/>
      <c r="CO80" s="671"/>
    </row>
    <row r="81" spans="1:115" ht="75" hidden="1" customHeight="1" x14ac:dyDescent="0.2">
      <c r="A81" s="857">
        <v>67.882250993908556</v>
      </c>
      <c r="B81" s="182" t="s">
        <v>4188</v>
      </c>
      <c r="C81" s="183" t="s">
        <v>3984</v>
      </c>
      <c r="D81" s="183" t="s">
        <v>3989</v>
      </c>
      <c r="E81" s="661" t="s">
        <v>4008</v>
      </c>
      <c r="F81" s="841">
        <v>2018</v>
      </c>
      <c r="G81" s="674" t="s">
        <v>1738</v>
      </c>
      <c r="H81" s="183" t="s">
        <v>4028</v>
      </c>
      <c r="I81" s="673" t="s">
        <v>2864</v>
      </c>
      <c r="J81" s="182" t="s">
        <v>114</v>
      </c>
      <c r="K81" s="841" t="s">
        <v>4189</v>
      </c>
      <c r="L81" s="660">
        <v>330</v>
      </c>
      <c r="M81" s="182">
        <v>136</v>
      </c>
      <c r="N81" s="182" t="s">
        <v>197</v>
      </c>
      <c r="O81" s="183" t="s">
        <v>1741</v>
      </c>
      <c r="P81" s="661" t="s">
        <v>3997</v>
      </c>
      <c r="Q81" s="661" t="s">
        <v>2797</v>
      </c>
      <c r="R81" s="661" t="s">
        <v>4000</v>
      </c>
      <c r="S81" s="183" t="s">
        <v>3653</v>
      </c>
      <c r="T81" s="183" t="s">
        <v>3653</v>
      </c>
      <c r="U81" s="183">
        <v>0.14949999999999999</v>
      </c>
      <c r="V81" s="183">
        <v>0.14949999999999999</v>
      </c>
      <c r="W81" s="183" t="s">
        <v>3684</v>
      </c>
      <c r="X81" s="680">
        <v>0.1082</v>
      </c>
      <c r="Y81" s="183" t="s">
        <v>3676</v>
      </c>
      <c r="Z81" s="183" t="s">
        <v>3990</v>
      </c>
      <c r="AA81" s="183">
        <v>224</v>
      </c>
      <c r="AB81" s="183" t="s">
        <v>4190</v>
      </c>
      <c r="AC81" s="183" t="s">
        <v>119</v>
      </c>
      <c r="AD81" s="183" t="s">
        <v>889</v>
      </c>
      <c r="AE81" s="183" t="s">
        <v>3725</v>
      </c>
      <c r="AF81" s="669">
        <v>80.13</v>
      </c>
      <c r="AG81" s="669">
        <v>81.209999999999994</v>
      </c>
      <c r="AH81" s="660" t="s">
        <v>1744</v>
      </c>
      <c r="AI81" s="660" t="s">
        <v>1744</v>
      </c>
      <c r="AJ81" s="661" t="s">
        <v>1582</v>
      </c>
      <c r="AK81" s="183" t="s">
        <v>3744</v>
      </c>
      <c r="AL81" s="841"/>
      <c r="AM81" s="841"/>
      <c r="AN81" s="841" t="s">
        <v>1784</v>
      </c>
      <c r="AO81" s="660" t="s">
        <v>819</v>
      </c>
      <c r="AP81" s="841" t="s">
        <v>819</v>
      </c>
      <c r="AQ81" s="666" t="s">
        <v>4191</v>
      </c>
      <c r="AR81" s="347">
        <v>6.91</v>
      </c>
      <c r="AS81" s="347">
        <v>2.2422840000000002</v>
      </c>
      <c r="AT81" s="347">
        <v>1.9232629999999999</v>
      </c>
      <c r="AU81" s="347">
        <v>3.1010599999999999</v>
      </c>
      <c r="AV81" s="347">
        <v>2.86</v>
      </c>
      <c r="AW81" s="843" t="s">
        <v>819</v>
      </c>
      <c r="AX81" s="656">
        <v>43051</v>
      </c>
      <c r="AY81" s="660" t="s">
        <v>1669</v>
      </c>
      <c r="AZ81" s="183" t="s">
        <v>819</v>
      </c>
      <c r="BA81" s="676" t="s">
        <v>4192</v>
      </c>
      <c r="BB81" s="676" t="s">
        <v>4193</v>
      </c>
      <c r="BC81" s="675" t="s">
        <v>4194</v>
      </c>
      <c r="BD81" s="676" t="s">
        <v>4195</v>
      </c>
      <c r="BE81" s="676" t="s">
        <v>4196</v>
      </c>
      <c r="BF81" s="183" t="s">
        <v>157</v>
      </c>
      <c r="BG81" s="183" t="s">
        <v>157</v>
      </c>
      <c r="BH81" s="661" t="s">
        <v>1796</v>
      </c>
      <c r="BI81" s="190">
        <v>42475</v>
      </c>
      <c r="BJ81" s="670">
        <v>2458.1128747799999</v>
      </c>
      <c r="BK81" s="670">
        <v>2841.7107583799998</v>
      </c>
      <c r="BL81" s="663">
        <v>5299.8236331600001</v>
      </c>
      <c r="BM81" s="670">
        <v>690.9</v>
      </c>
      <c r="BN81" s="663">
        <v>3007</v>
      </c>
      <c r="BO81" s="841">
        <v>376</v>
      </c>
      <c r="BP81" s="191">
        <v>3494</v>
      </c>
      <c r="BQ81" s="841">
        <v>0.38</v>
      </c>
      <c r="BR81" s="662">
        <v>70.59</v>
      </c>
      <c r="BS81" s="662">
        <v>70.59</v>
      </c>
      <c r="BT81" s="627">
        <v>179</v>
      </c>
      <c r="BU81" s="846" t="s">
        <v>819</v>
      </c>
      <c r="BV81" s="593" t="s">
        <v>819</v>
      </c>
      <c r="BW81" s="191">
        <v>15826.3</v>
      </c>
      <c r="BX81" s="192">
        <v>88.5075851</v>
      </c>
      <c r="BY81" s="839">
        <v>24</v>
      </c>
      <c r="BZ81" s="187">
        <v>1.117520013888889E-2</v>
      </c>
      <c r="CA81" s="592" t="s">
        <v>819</v>
      </c>
      <c r="CB81" s="659" t="s">
        <v>819</v>
      </c>
      <c r="CC81" s="591" t="s">
        <v>819</v>
      </c>
      <c r="CD81" s="591" t="s">
        <v>819</v>
      </c>
      <c r="CE81" s="590" t="s">
        <v>819</v>
      </c>
      <c r="CF81" s="589" t="s">
        <v>819</v>
      </c>
      <c r="CG81" s="592" t="s">
        <v>819</v>
      </c>
      <c r="CH81" s="592" t="s">
        <v>819</v>
      </c>
      <c r="CI81" s="588" t="s">
        <v>819</v>
      </c>
      <c r="CJ81" s="850"/>
      <c r="CK81" s="512" t="s">
        <v>3020</v>
      </c>
      <c r="CL81" s="616"/>
      <c r="CM81" s="616"/>
      <c r="CN81" s="616"/>
      <c r="CO81" s="616"/>
    </row>
    <row r="82" spans="1:115" ht="75" hidden="1" customHeight="1" x14ac:dyDescent="0.2">
      <c r="A82" s="857">
        <f t="shared" ref="A82:A91" si="1">SQRT(2*51^2)</f>
        <v>72.124891681027847</v>
      </c>
      <c r="B82" s="182" t="s">
        <v>1248</v>
      </c>
      <c r="C82" s="183" t="s">
        <v>3984</v>
      </c>
      <c r="D82" s="183" t="s">
        <v>4137</v>
      </c>
      <c r="E82" s="661" t="s">
        <v>4008</v>
      </c>
      <c r="F82" s="841">
        <v>2018</v>
      </c>
      <c r="G82" s="657" t="s">
        <v>1738</v>
      </c>
      <c r="H82" s="183" t="s">
        <v>4032</v>
      </c>
      <c r="I82" s="272" t="s">
        <v>669</v>
      </c>
      <c r="J82" s="182" t="s">
        <v>114</v>
      </c>
      <c r="K82" s="841" t="s">
        <v>4197</v>
      </c>
      <c r="L82" s="660">
        <v>330</v>
      </c>
      <c r="M82" s="182">
        <v>140.5</v>
      </c>
      <c r="N82" s="182" t="s">
        <v>197</v>
      </c>
      <c r="O82" s="183" t="s">
        <v>1741</v>
      </c>
      <c r="P82" s="661" t="s">
        <v>3997</v>
      </c>
      <c r="Q82" s="661" t="s">
        <v>2797</v>
      </c>
      <c r="R82" s="661" t="s">
        <v>4000</v>
      </c>
      <c r="S82" s="183" t="s">
        <v>3653</v>
      </c>
      <c r="T82" s="183" t="s">
        <v>3653</v>
      </c>
      <c r="U82" s="183">
        <v>0.14949999999999999</v>
      </c>
      <c r="V82" s="183">
        <v>0.14949999999999999</v>
      </c>
      <c r="W82" s="183" t="s">
        <v>3684</v>
      </c>
      <c r="X82" s="680">
        <v>0.14610000000000001</v>
      </c>
      <c r="Y82" s="183" t="s">
        <v>3259</v>
      </c>
      <c r="Z82" s="183" t="s">
        <v>4174</v>
      </c>
      <c r="AA82" s="183">
        <v>224</v>
      </c>
      <c r="AB82" s="183" t="s">
        <v>4190</v>
      </c>
      <c r="AC82" s="183" t="s">
        <v>119</v>
      </c>
      <c r="AD82" s="183" t="s">
        <v>889</v>
      </c>
      <c r="AE82" s="183" t="s">
        <v>3725</v>
      </c>
      <c r="AF82" s="669">
        <v>80.13</v>
      </c>
      <c r="AG82" s="669">
        <v>81.209999999999994</v>
      </c>
      <c r="AH82" s="660" t="s">
        <v>1744</v>
      </c>
      <c r="AI82" s="660" t="s">
        <v>1744</v>
      </c>
      <c r="AJ82" s="661" t="s">
        <v>369</v>
      </c>
      <c r="AK82" s="183" t="s">
        <v>4175</v>
      </c>
      <c r="AL82" s="841"/>
      <c r="AM82" s="841"/>
      <c r="AN82" s="841" t="s">
        <v>1784</v>
      </c>
      <c r="AO82" s="660">
        <v>0.35399999999999998</v>
      </c>
      <c r="AP82" s="182">
        <v>0.38</v>
      </c>
      <c r="AQ82" s="666" t="s">
        <v>4198</v>
      </c>
      <c r="AR82" s="347">
        <v>8.2100152000000008</v>
      </c>
      <c r="AS82" s="347">
        <v>2.2197369999999998</v>
      </c>
      <c r="AT82" s="347">
        <v>1.89</v>
      </c>
      <c r="AU82" s="347">
        <v>4.67408</v>
      </c>
      <c r="AV82" s="347">
        <v>4.3499999999999996</v>
      </c>
      <c r="AW82" s="672" t="s">
        <v>819</v>
      </c>
      <c r="AX82" s="656">
        <v>43051</v>
      </c>
      <c r="AY82" s="660" t="s">
        <v>2093</v>
      </c>
      <c r="AZ82" s="183" t="s">
        <v>819</v>
      </c>
      <c r="BA82" s="676" t="s">
        <v>4199</v>
      </c>
      <c r="BB82" s="676" t="s">
        <v>4200</v>
      </c>
      <c r="BC82" s="675">
        <v>17986801</v>
      </c>
      <c r="BD82" s="676" t="s">
        <v>3701</v>
      </c>
      <c r="BE82" s="676">
        <v>17986606</v>
      </c>
      <c r="BF82" s="183" t="s">
        <v>157</v>
      </c>
      <c r="BG82" s="183" t="s">
        <v>157</v>
      </c>
      <c r="BH82" s="661" t="s">
        <v>1796</v>
      </c>
      <c r="BI82" s="190">
        <v>42475</v>
      </c>
      <c r="BJ82" s="663">
        <v>2702.8218694900002</v>
      </c>
      <c r="BK82" s="663">
        <v>3121.6931216900002</v>
      </c>
      <c r="BL82" s="663">
        <v>5824.5149911799999</v>
      </c>
      <c r="BM82" s="663">
        <v>716</v>
      </c>
      <c r="BN82" s="663">
        <v>3007</v>
      </c>
      <c r="BO82" s="659">
        <v>384</v>
      </c>
      <c r="BP82" s="191">
        <v>3973</v>
      </c>
      <c r="BQ82" s="841">
        <v>0.38</v>
      </c>
      <c r="BR82" s="649">
        <v>0.70089999999999997</v>
      </c>
      <c r="BS82" s="649">
        <v>0.70089999999999997</v>
      </c>
      <c r="BT82" s="181">
        <v>158</v>
      </c>
      <c r="BU82" s="659" t="s">
        <v>819</v>
      </c>
      <c r="BV82" s="191" t="s">
        <v>819</v>
      </c>
      <c r="BW82" s="191">
        <v>17402.699999999997</v>
      </c>
      <c r="BX82" s="192">
        <v>100.67737805</v>
      </c>
      <c r="BY82" s="645">
        <v>28</v>
      </c>
      <c r="BZ82" s="187">
        <v>1.0895820135281386E-2</v>
      </c>
      <c r="CA82" s="659" t="s">
        <v>819</v>
      </c>
      <c r="CB82" s="659" t="s">
        <v>819</v>
      </c>
      <c r="CC82" s="659" t="s">
        <v>819</v>
      </c>
      <c r="CD82" s="192" t="s">
        <v>819</v>
      </c>
      <c r="CE82" s="180" t="s">
        <v>819</v>
      </c>
      <c r="CF82" s="196" t="s">
        <v>819</v>
      </c>
      <c r="CG82" s="659" t="s">
        <v>819</v>
      </c>
      <c r="CH82" s="659" t="s">
        <v>819</v>
      </c>
      <c r="CI82" s="677" t="s">
        <v>819</v>
      </c>
      <c r="CJ82" s="813"/>
      <c r="CK82" s="512" t="s">
        <v>3020</v>
      </c>
      <c r="CL82" s="813"/>
      <c r="CM82" s="813"/>
      <c r="CN82" s="813"/>
      <c r="CO82" s="813"/>
      <c r="CP82" s="813"/>
      <c r="CQ82" s="813"/>
      <c r="CR82" s="813"/>
      <c r="CS82" s="813"/>
      <c r="CT82" s="813"/>
      <c r="CU82" s="813"/>
      <c r="CV82" s="813"/>
      <c r="CW82" s="813"/>
      <c r="CX82" s="813"/>
      <c r="CY82" s="813"/>
      <c r="CZ82" s="813"/>
      <c r="DA82" s="813"/>
      <c r="DB82" s="813"/>
      <c r="DC82" s="813"/>
      <c r="DD82" s="813"/>
      <c r="DE82" s="813"/>
      <c r="DF82" s="813"/>
      <c r="DG82" s="813"/>
      <c r="DH82" s="813"/>
      <c r="DI82" s="813"/>
      <c r="DJ82" s="813"/>
      <c r="DK82" s="801"/>
    </row>
    <row r="83" spans="1:115" ht="75" hidden="1" customHeight="1" x14ac:dyDescent="0.2">
      <c r="A83" s="857">
        <f t="shared" si="1"/>
        <v>72.124891681027847</v>
      </c>
      <c r="B83" s="660" t="s">
        <v>1248</v>
      </c>
      <c r="C83" s="661" t="s">
        <v>3984</v>
      </c>
      <c r="D83" s="661" t="s">
        <v>1296</v>
      </c>
      <c r="E83" s="661" t="s">
        <v>4007</v>
      </c>
      <c r="F83" s="660">
        <v>2012</v>
      </c>
      <c r="G83" s="657" t="s">
        <v>1738</v>
      </c>
      <c r="H83" s="661" t="s">
        <v>4201</v>
      </c>
      <c r="I83" s="644" t="s">
        <v>669</v>
      </c>
      <c r="J83" s="660" t="s">
        <v>114</v>
      </c>
      <c r="K83" s="660" t="s">
        <v>885</v>
      </c>
      <c r="L83" s="660">
        <v>330</v>
      </c>
      <c r="M83" s="660">
        <v>140.5</v>
      </c>
      <c r="N83" s="660" t="s">
        <v>197</v>
      </c>
      <c r="O83" s="661" t="s">
        <v>1741</v>
      </c>
      <c r="P83" s="661" t="s">
        <v>3997</v>
      </c>
      <c r="Q83" s="661" t="s">
        <v>2797</v>
      </c>
      <c r="R83" s="661" t="s">
        <v>4000</v>
      </c>
      <c r="S83" s="661" t="s">
        <v>3653</v>
      </c>
      <c r="T83" s="661" t="s">
        <v>3652</v>
      </c>
      <c r="U83" s="661">
        <v>0.44950000000000045</v>
      </c>
      <c r="V83" s="661">
        <v>0.10650000000000048</v>
      </c>
      <c r="W83" s="661" t="s">
        <v>3684</v>
      </c>
      <c r="X83" s="680">
        <v>0.14610000000000001</v>
      </c>
      <c r="Y83" s="661" t="s">
        <v>3259</v>
      </c>
      <c r="Z83" s="661" t="s">
        <v>4174</v>
      </c>
      <c r="AA83" s="661">
        <v>224</v>
      </c>
      <c r="AB83" s="661" t="s">
        <v>3700</v>
      </c>
      <c r="AC83" s="661" t="s">
        <v>119</v>
      </c>
      <c r="AD83" s="661" t="s">
        <v>889</v>
      </c>
      <c r="AE83" s="661" t="s">
        <v>3725</v>
      </c>
      <c r="AF83" s="660">
        <v>80</v>
      </c>
      <c r="AG83" s="660">
        <v>85.6</v>
      </c>
      <c r="AH83" s="660" t="s">
        <v>1744</v>
      </c>
      <c r="AI83" s="660" t="s">
        <v>1744</v>
      </c>
      <c r="AJ83" s="661" t="s">
        <v>369</v>
      </c>
      <c r="AK83" s="661" t="s">
        <v>4175</v>
      </c>
      <c r="AL83" s="660"/>
      <c r="AM83" s="660"/>
      <c r="AN83" s="660" t="s">
        <v>1784</v>
      </c>
      <c r="AO83" s="660">
        <v>0.35399999999999998</v>
      </c>
      <c r="AP83" s="660">
        <v>0.38</v>
      </c>
      <c r="AQ83" s="840" t="s">
        <v>819</v>
      </c>
      <c r="AR83" s="666">
        <v>8.4821703999999993</v>
      </c>
      <c r="AS83" s="666">
        <v>2.5401151999999998</v>
      </c>
      <c r="AT83" s="666">
        <v>2.3133192</v>
      </c>
      <c r="AU83" s="666">
        <v>4.67408</v>
      </c>
      <c r="AV83" s="666">
        <v>4.3499999999999996</v>
      </c>
      <c r="AW83" s="672" t="s">
        <v>819</v>
      </c>
      <c r="AX83" s="656">
        <v>40917</v>
      </c>
      <c r="AY83" s="660" t="s">
        <v>2093</v>
      </c>
      <c r="AZ83" s="661" t="s">
        <v>819</v>
      </c>
      <c r="BA83" s="648" t="s">
        <v>4202</v>
      </c>
      <c r="BB83" s="648" t="s">
        <v>4203</v>
      </c>
      <c r="BC83" s="650">
        <v>17986801</v>
      </c>
      <c r="BD83" s="648" t="s">
        <v>3701</v>
      </c>
      <c r="BE83" s="648">
        <v>18083404</v>
      </c>
      <c r="BF83" s="661" t="s">
        <v>157</v>
      </c>
      <c r="BG83" s="661" t="s">
        <v>157</v>
      </c>
      <c r="BH83" s="661" t="s">
        <v>1796</v>
      </c>
      <c r="BI83" s="667">
        <v>42475</v>
      </c>
      <c r="BJ83" s="663">
        <v>2719.2000000000003</v>
      </c>
      <c r="BK83" s="663">
        <v>2868.8</v>
      </c>
      <c r="BL83" s="663">
        <v>5588</v>
      </c>
      <c r="BM83" s="663">
        <v>636.29999999999995</v>
      </c>
      <c r="BN83" s="663">
        <v>2889.8</v>
      </c>
      <c r="BO83" s="659">
        <v>351.8</v>
      </c>
      <c r="BP83" s="652">
        <v>3705</v>
      </c>
      <c r="BQ83" s="659">
        <v>0.35</v>
      </c>
      <c r="BR83" s="649">
        <v>0.75180000000000002</v>
      </c>
      <c r="BS83" s="649">
        <v>0.75180000000000002</v>
      </c>
      <c r="BT83" s="659">
        <v>112</v>
      </c>
      <c r="BU83" s="659" t="s">
        <v>819</v>
      </c>
      <c r="BV83" s="652" t="s">
        <v>819</v>
      </c>
      <c r="BW83" s="652">
        <v>16555</v>
      </c>
      <c r="BX83" s="668">
        <v>90.277000000000001</v>
      </c>
      <c r="BY83" s="515">
        <v>28</v>
      </c>
      <c r="BZ83" s="665">
        <v>9.7702380952380957E-3</v>
      </c>
      <c r="CA83" s="659" t="s">
        <v>819</v>
      </c>
      <c r="CB83" s="659" t="s">
        <v>819</v>
      </c>
      <c r="CC83" s="659" t="s">
        <v>819</v>
      </c>
      <c r="CD83" s="668" t="s">
        <v>819</v>
      </c>
      <c r="CE83" s="651" t="s">
        <v>819</v>
      </c>
      <c r="CF83" s="654" t="s">
        <v>819</v>
      </c>
      <c r="CG83" s="659">
        <v>4.1100000000000003</v>
      </c>
      <c r="CH83" s="659" t="s">
        <v>819</v>
      </c>
      <c r="CI83" s="677" t="s">
        <v>819</v>
      </c>
      <c r="CJ83" s="616"/>
      <c r="CK83" s="614"/>
      <c r="CL83" s="819"/>
      <c r="CM83" s="819"/>
      <c r="CN83" s="819"/>
      <c r="CO83" s="819"/>
      <c r="CP83" s="819"/>
      <c r="CQ83" s="819"/>
      <c r="CR83" s="819"/>
      <c r="CS83" s="819"/>
      <c r="CT83" s="819"/>
      <c r="CU83" s="819"/>
      <c r="CV83" s="819"/>
      <c r="CW83" s="819"/>
      <c r="CX83" s="819"/>
      <c r="CY83" s="819"/>
      <c r="CZ83" s="819"/>
      <c r="DA83" s="819"/>
      <c r="DB83" s="819"/>
      <c r="DC83" s="819"/>
      <c r="DD83" s="819"/>
      <c r="DE83" s="819"/>
      <c r="DF83" s="819"/>
      <c r="DG83" s="819"/>
      <c r="DH83" s="819"/>
      <c r="DI83" s="819"/>
      <c r="DJ83" s="819"/>
      <c r="DK83" s="813"/>
    </row>
    <row r="84" spans="1:115" ht="75" hidden="1" customHeight="1" x14ac:dyDescent="0.2">
      <c r="A84" s="857">
        <f t="shared" si="1"/>
        <v>72.124891681027847</v>
      </c>
      <c r="B84" s="660" t="s">
        <v>1248</v>
      </c>
      <c r="C84" s="661" t="s">
        <v>3984</v>
      </c>
      <c r="D84" s="661" t="s">
        <v>1296</v>
      </c>
      <c r="E84" s="661" t="s">
        <v>4007</v>
      </c>
      <c r="F84" s="660">
        <v>2012</v>
      </c>
      <c r="G84" s="657" t="s">
        <v>1738</v>
      </c>
      <c r="H84" s="661" t="s">
        <v>4204</v>
      </c>
      <c r="I84" s="644" t="s">
        <v>669</v>
      </c>
      <c r="J84" s="660" t="s">
        <v>114</v>
      </c>
      <c r="K84" s="660" t="s">
        <v>885</v>
      </c>
      <c r="L84" s="660">
        <v>330</v>
      </c>
      <c r="M84" s="660">
        <v>140.5</v>
      </c>
      <c r="N84" s="660" t="s">
        <v>197</v>
      </c>
      <c r="O84" s="661" t="s">
        <v>1741</v>
      </c>
      <c r="P84" s="661" t="s">
        <v>3997</v>
      </c>
      <c r="Q84" s="661" t="s">
        <v>2797</v>
      </c>
      <c r="R84" s="661" t="s">
        <v>4000</v>
      </c>
      <c r="S84" s="661" t="s">
        <v>3653</v>
      </c>
      <c r="T84" s="661" t="s">
        <v>3652</v>
      </c>
      <c r="U84" s="661">
        <v>0.44950000000000045</v>
      </c>
      <c r="V84" s="661">
        <v>0.10650000000000048</v>
      </c>
      <c r="W84" s="661" t="s">
        <v>3684</v>
      </c>
      <c r="X84" s="680">
        <v>0.14610000000000001</v>
      </c>
      <c r="Y84" s="661" t="s">
        <v>3259</v>
      </c>
      <c r="Z84" s="661" t="s">
        <v>4174</v>
      </c>
      <c r="AA84" s="661">
        <v>224</v>
      </c>
      <c r="AB84" s="661" t="s">
        <v>3700</v>
      </c>
      <c r="AC84" s="661" t="s">
        <v>119</v>
      </c>
      <c r="AD84" s="661" t="s">
        <v>889</v>
      </c>
      <c r="AE84" s="661" t="s">
        <v>3725</v>
      </c>
      <c r="AF84" s="660">
        <v>73.7</v>
      </c>
      <c r="AG84" s="660">
        <v>72.5</v>
      </c>
      <c r="AH84" s="660" t="s">
        <v>1744</v>
      </c>
      <c r="AI84" s="660" t="s">
        <v>1744</v>
      </c>
      <c r="AJ84" s="661" t="s">
        <v>369</v>
      </c>
      <c r="AK84" s="661" t="s">
        <v>4175</v>
      </c>
      <c r="AL84" s="660"/>
      <c r="AM84" s="660"/>
      <c r="AN84" s="660" t="s">
        <v>1784</v>
      </c>
      <c r="AO84" s="660">
        <v>0.35399999999999998</v>
      </c>
      <c r="AP84" s="660">
        <v>0.38</v>
      </c>
      <c r="AQ84" s="840" t="s">
        <v>819</v>
      </c>
      <c r="AR84" s="679">
        <v>8.4821703999999993</v>
      </c>
      <c r="AS84" s="679">
        <v>2.5401151999999998</v>
      </c>
      <c r="AT84" s="679">
        <v>2.3133192</v>
      </c>
      <c r="AU84" s="679">
        <v>4.67408</v>
      </c>
      <c r="AV84" s="679">
        <v>4.3499999999999996</v>
      </c>
      <c r="AW84" s="672" t="s">
        <v>819</v>
      </c>
      <c r="AX84" s="656"/>
      <c r="AY84" s="660" t="s">
        <v>2093</v>
      </c>
      <c r="AZ84" s="661" t="s">
        <v>819</v>
      </c>
      <c r="BA84" s="648" t="s">
        <v>4205</v>
      </c>
      <c r="BB84" s="648" t="s">
        <v>4206</v>
      </c>
      <c r="BC84" s="650">
        <v>17986801</v>
      </c>
      <c r="BD84" s="648" t="s">
        <v>3701</v>
      </c>
      <c r="BE84" s="648">
        <v>18083404</v>
      </c>
      <c r="BF84" s="661" t="s">
        <v>157</v>
      </c>
      <c r="BG84" s="661" t="s">
        <v>157</v>
      </c>
      <c r="BH84" s="661" t="s">
        <v>1796</v>
      </c>
      <c r="BI84" s="667">
        <v>42475</v>
      </c>
      <c r="BJ84" s="663">
        <v>2719.2000000000003</v>
      </c>
      <c r="BK84" s="663">
        <v>2868.8</v>
      </c>
      <c r="BL84" s="663">
        <v>5588</v>
      </c>
      <c r="BM84" s="663">
        <v>636.29999999999995</v>
      </c>
      <c r="BN84" s="663">
        <v>2889.8</v>
      </c>
      <c r="BO84" s="659">
        <v>351.8</v>
      </c>
      <c r="BP84" s="652">
        <v>3705</v>
      </c>
      <c r="BQ84" s="659">
        <v>0.35</v>
      </c>
      <c r="BR84" s="649">
        <v>0.75180000000000002</v>
      </c>
      <c r="BS84" s="649">
        <v>0.75180000000000002</v>
      </c>
      <c r="BT84" s="659">
        <v>112</v>
      </c>
      <c r="BU84" s="659" t="s">
        <v>819</v>
      </c>
      <c r="BV84" s="652" t="s">
        <v>819</v>
      </c>
      <c r="BW84" s="652">
        <v>16555</v>
      </c>
      <c r="BX84" s="668">
        <v>90.277000000000001</v>
      </c>
      <c r="BY84" s="515">
        <v>28</v>
      </c>
      <c r="BZ84" s="665">
        <v>9.7702380952380957E-3</v>
      </c>
      <c r="CA84" s="659" t="s">
        <v>819</v>
      </c>
      <c r="CB84" s="659" t="s">
        <v>819</v>
      </c>
      <c r="CC84" s="659" t="s">
        <v>819</v>
      </c>
      <c r="CD84" s="668" t="s">
        <v>819</v>
      </c>
      <c r="CE84" s="651" t="s">
        <v>819</v>
      </c>
      <c r="CF84" s="654" t="s">
        <v>819</v>
      </c>
      <c r="CG84" s="659">
        <v>4.29</v>
      </c>
      <c r="CH84" s="659" t="s">
        <v>819</v>
      </c>
      <c r="CI84" s="677" t="s">
        <v>819</v>
      </c>
      <c r="CJ84" s="833"/>
      <c r="CK84" s="824"/>
      <c r="CL84" s="833"/>
      <c r="CM84" s="833"/>
      <c r="CN84" s="833"/>
      <c r="CO84" s="833"/>
      <c r="CP84" s="833"/>
      <c r="CQ84" s="833"/>
      <c r="CR84" s="833"/>
      <c r="CS84" s="833"/>
      <c r="CT84" s="833"/>
      <c r="CU84" s="833"/>
      <c r="CV84" s="833"/>
      <c r="CW84" s="833"/>
      <c r="CX84" s="833"/>
      <c r="CY84" s="833"/>
      <c r="CZ84" s="833"/>
      <c r="DA84" s="833"/>
      <c r="DB84" s="833"/>
      <c r="DC84" s="833"/>
      <c r="DD84" s="833"/>
      <c r="DE84" s="833"/>
      <c r="DF84" s="833"/>
      <c r="DG84" s="833"/>
      <c r="DH84" s="833"/>
      <c r="DI84" s="833"/>
      <c r="DJ84" s="833"/>
    </row>
    <row r="85" spans="1:115" s="324" customFormat="1" ht="75" hidden="1" customHeight="1" x14ac:dyDescent="0.2">
      <c r="A85" s="857">
        <f t="shared" si="1"/>
        <v>72.124891681027847</v>
      </c>
      <c r="B85" s="182" t="s">
        <v>1248</v>
      </c>
      <c r="C85" s="183" t="s">
        <v>3984</v>
      </c>
      <c r="D85" s="183" t="s">
        <v>1296</v>
      </c>
      <c r="E85" s="661" t="s">
        <v>4007</v>
      </c>
      <c r="F85" s="182">
        <v>2012</v>
      </c>
      <c r="G85" s="271" t="s">
        <v>1738</v>
      </c>
      <c r="H85" s="183" t="s">
        <v>4207</v>
      </c>
      <c r="I85" s="644" t="s">
        <v>669</v>
      </c>
      <c r="J85" s="182" t="s">
        <v>114</v>
      </c>
      <c r="K85" s="182" t="s">
        <v>886</v>
      </c>
      <c r="L85" s="182">
        <v>330</v>
      </c>
      <c r="M85" s="182">
        <v>140.5</v>
      </c>
      <c r="N85" s="182" t="s">
        <v>197</v>
      </c>
      <c r="O85" s="183" t="s">
        <v>1741</v>
      </c>
      <c r="P85" s="661" t="s">
        <v>3997</v>
      </c>
      <c r="Q85" s="661" t="s">
        <v>2797</v>
      </c>
      <c r="R85" s="661" t="s">
        <v>4000</v>
      </c>
      <c r="S85" s="661" t="s">
        <v>3653</v>
      </c>
      <c r="T85" s="661" t="s">
        <v>3652</v>
      </c>
      <c r="U85" s="661">
        <v>0.44950000000000045</v>
      </c>
      <c r="V85" s="661">
        <v>0.10650000000000048</v>
      </c>
      <c r="W85" s="183" t="s">
        <v>3684</v>
      </c>
      <c r="X85" s="680">
        <v>0.14610000000000001</v>
      </c>
      <c r="Y85" s="183" t="s">
        <v>3259</v>
      </c>
      <c r="Z85" s="183" t="s">
        <v>4174</v>
      </c>
      <c r="AA85" s="661">
        <v>224</v>
      </c>
      <c r="AB85" s="183" t="s">
        <v>3700</v>
      </c>
      <c r="AC85" s="183" t="s">
        <v>119</v>
      </c>
      <c r="AD85" s="183" t="s">
        <v>889</v>
      </c>
      <c r="AE85" s="661" t="s">
        <v>3725</v>
      </c>
      <c r="AF85" s="182">
        <v>80</v>
      </c>
      <c r="AG85" s="182">
        <v>85.6</v>
      </c>
      <c r="AH85" s="182" t="s">
        <v>1744</v>
      </c>
      <c r="AI85" s="182" t="s">
        <v>1744</v>
      </c>
      <c r="AJ85" s="183" t="s">
        <v>369</v>
      </c>
      <c r="AK85" s="183" t="s">
        <v>4175</v>
      </c>
      <c r="AL85" s="182"/>
      <c r="AM85" s="182"/>
      <c r="AN85" s="182" t="s">
        <v>1784</v>
      </c>
      <c r="AO85" s="182">
        <v>0.35399999999999998</v>
      </c>
      <c r="AP85" s="182">
        <v>0.38</v>
      </c>
      <c r="AQ85" s="666" t="s">
        <v>4208</v>
      </c>
      <c r="AR85" s="347">
        <v>8.2100152000000008</v>
      </c>
      <c r="AS85" s="347">
        <v>2.2197369999999998</v>
      </c>
      <c r="AT85" s="347">
        <v>1.89</v>
      </c>
      <c r="AU85" s="347">
        <v>4.67408</v>
      </c>
      <c r="AV85" s="347">
        <v>4.3499999999999996</v>
      </c>
      <c r="AW85" s="672" t="s">
        <v>819</v>
      </c>
      <c r="AX85" s="261">
        <v>40756</v>
      </c>
      <c r="AY85" s="182" t="s">
        <v>2093</v>
      </c>
      <c r="AZ85" s="183" t="s">
        <v>819</v>
      </c>
      <c r="BA85" s="648" t="s">
        <v>4209</v>
      </c>
      <c r="BB85" s="648" t="s">
        <v>4210</v>
      </c>
      <c r="BC85" s="650">
        <v>17986801</v>
      </c>
      <c r="BD85" s="648" t="s">
        <v>3701</v>
      </c>
      <c r="BE85" s="648">
        <v>17986604</v>
      </c>
      <c r="BF85" s="183" t="s">
        <v>2205</v>
      </c>
      <c r="BG85" s="661" t="s">
        <v>2205</v>
      </c>
      <c r="BH85" s="661" t="s">
        <v>1796</v>
      </c>
      <c r="BI85" s="667">
        <v>42475</v>
      </c>
      <c r="BJ85" s="184">
        <v>3069.0000000000005</v>
      </c>
      <c r="BK85" s="184">
        <v>3069.0000000000005</v>
      </c>
      <c r="BL85" s="663">
        <v>6138.0000000000009</v>
      </c>
      <c r="BM85" s="663">
        <v>708.7</v>
      </c>
      <c r="BN85" s="184">
        <v>3076</v>
      </c>
      <c r="BO85" s="659">
        <v>334</v>
      </c>
      <c r="BP85" s="191">
        <v>3771</v>
      </c>
      <c r="BQ85" s="181">
        <v>0.35</v>
      </c>
      <c r="BR85" s="649">
        <v>0.75180000000000002</v>
      </c>
      <c r="BS85" s="649">
        <v>0.75180000000000002</v>
      </c>
      <c r="BT85" s="659">
        <v>112</v>
      </c>
      <c r="BU85" s="659" t="s">
        <v>819</v>
      </c>
      <c r="BV85" s="191" t="s">
        <v>819</v>
      </c>
      <c r="BW85" s="191">
        <v>16555</v>
      </c>
      <c r="BX85" s="192">
        <v>85.926113869999995</v>
      </c>
      <c r="BY85" s="515">
        <v>28</v>
      </c>
      <c r="BZ85" s="187">
        <v>9.2993629729437224E-3</v>
      </c>
      <c r="CA85" s="181" t="s">
        <v>819</v>
      </c>
      <c r="CB85" s="181" t="s">
        <v>819</v>
      </c>
      <c r="CC85" s="659" t="s">
        <v>819</v>
      </c>
      <c r="CD85" s="192" t="s">
        <v>819</v>
      </c>
      <c r="CE85" s="180" t="s">
        <v>819</v>
      </c>
      <c r="CF85" s="196" t="s">
        <v>819</v>
      </c>
      <c r="CG85" s="659">
        <v>4.1100000000000003</v>
      </c>
      <c r="CH85" s="659" t="s">
        <v>819</v>
      </c>
      <c r="CI85" s="677" t="s">
        <v>819</v>
      </c>
      <c r="CJ85" s="850"/>
      <c r="CK85" s="841"/>
    </row>
    <row r="86" spans="1:115" ht="75" hidden="1" customHeight="1" x14ac:dyDescent="0.2">
      <c r="A86" s="857">
        <f t="shared" si="1"/>
        <v>72.124891681027847</v>
      </c>
      <c r="B86" s="840" t="s">
        <v>1248</v>
      </c>
      <c r="C86" s="841" t="s">
        <v>3984</v>
      </c>
      <c r="D86" s="841" t="s">
        <v>1296</v>
      </c>
      <c r="E86" s="841" t="s">
        <v>4007</v>
      </c>
      <c r="F86" s="840">
        <v>2012</v>
      </c>
      <c r="G86" s="853" t="s">
        <v>1738</v>
      </c>
      <c r="H86" s="841" t="s">
        <v>4211</v>
      </c>
      <c r="I86" s="854" t="s">
        <v>669</v>
      </c>
      <c r="J86" s="840" t="s">
        <v>114</v>
      </c>
      <c r="K86" s="840" t="s">
        <v>886</v>
      </c>
      <c r="L86" s="840">
        <v>330</v>
      </c>
      <c r="M86" s="840">
        <v>140.5</v>
      </c>
      <c r="N86" s="840" t="s">
        <v>197</v>
      </c>
      <c r="O86" s="841" t="s">
        <v>1741</v>
      </c>
      <c r="P86" s="841" t="s">
        <v>3997</v>
      </c>
      <c r="Q86" s="841" t="s">
        <v>2797</v>
      </c>
      <c r="R86" s="841" t="s">
        <v>4000</v>
      </c>
      <c r="S86" s="841" t="s">
        <v>3653</v>
      </c>
      <c r="T86" s="841" t="s">
        <v>3652</v>
      </c>
      <c r="U86" s="841">
        <v>0.44950000000000045</v>
      </c>
      <c r="V86" s="841">
        <v>0.10650000000000048</v>
      </c>
      <c r="W86" s="841" t="s">
        <v>3684</v>
      </c>
      <c r="X86" s="680">
        <v>0.14610000000000001</v>
      </c>
      <c r="Y86" s="841" t="s">
        <v>3259</v>
      </c>
      <c r="Z86" s="841" t="s">
        <v>4174</v>
      </c>
      <c r="AA86" s="841">
        <v>224</v>
      </c>
      <c r="AB86" s="841" t="s">
        <v>3700</v>
      </c>
      <c r="AC86" s="841" t="s">
        <v>119</v>
      </c>
      <c r="AD86" s="841" t="s">
        <v>889</v>
      </c>
      <c r="AE86" s="841" t="s">
        <v>3725</v>
      </c>
      <c r="AF86" s="840">
        <v>73.7</v>
      </c>
      <c r="AG86" s="840">
        <v>72.5</v>
      </c>
      <c r="AH86" s="840" t="s">
        <v>1744</v>
      </c>
      <c r="AI86" s="840" t="s">
        <v>1744</v>
      </c>
      <c r="AJ86" s="841" t="s">
        <v>369</v>
      </c>
      <c r="AK86" s="841" t="s">
        <v>4175</v>
      </c>
      <c r="AL86" s="840"/>
      <c r="AM86" s="840"/>
      <c r="AN86" s="840" t="s">
        <v>1784</v>
      </c>
      <c r="AO86" s="840">
        <v>0.35399999999999998</v>
      </c>
      <c r="AP86" s="840">
        <v>0.38</v>
      </c>
      <c r="AQ86" s="666" t="s">
        <v>4208</v>
      </c>
      <c r="AR86" s="858">
        <v>8.2100152000000008</v>
      </c>
      <c r="AS86" s="858">
        <v>2.2197369999999998</v>
      </c>
      <c r="AT86" s="858">
        <v>1.89</v>
      </c>
      <c r="AU86" s="858">
        <v>4.67408</v>
      </c>
      <c r="AV86" s="858">
        <v>4.3499999999999996</v>
      </c>
      <c r="AW86" s="851" t="s">
        <v>819</v>
      </c>
      <c r="AX86" s="851"/>
      <c r="AY86" s="840" t="s">
        <v>2093</v>
      </c>
      <c r="AZ86" s="841" t="s">
        <v>819</v>
      </c>
      <c r="BA86" s="676" t="s">
        <v>4212</v>
      </c>
      <c r="BB86" s="676" t="s">
        <v>4213</v>
      </c>
      <c r="BC86" s="675">
        <v>17986801</v>
      </c>
      <c r="BD86" s="676" t="s">
        <v>3701</v>
      </c>
      <c r="BE86" s="676">
        <v>17986604</v>
      </c>
      <c r="BF86" s="841" t="s">
        <v>2205</v>
      </c>
      <c r="BG86" s="841" t="s">
        <v>2205</v>
      </c>
      <c r="BH86" s="841" t="s">
        <v>1796</v>
      </c>
      <c r="BI86" s="667">
        <v>42475</v>
      </c>
      <c r="BJ86" s="842">
        <v>3069.0000000000005</v>
      </c>
      <c r="BK86" s="842">
        <v>3069.0000000000005</v>
      </c>
      <c r="BL86" s="842">
        <v>6138.0000000000009</v>
      </c>
      <c r="BM86" s="842">
        <v>708.7</v>
      </c>
      <c r="BN86" s="842">
        <v>3076</v>
      </c>
      <c r="BO86" s="839">
        <v>334</v>
      </c>
      <c r="BP86" s="846">
        <v>3771</v>
      </c>
      <c r="BQ86" s="839">
        <v>0.35</v>
      </c>
      <c r="BR86" s="649">
        <v>0.75180000000000002</v>
      </c>
      <c r="BS86" s="649">
        <v>0.75180000000000002</v>
      </c>
      <c r="BT86" s="839">
        <v>112</v>
      </c>
      <c r="BU86" s="839" t="s">
        <v>819</v>
      </c>
      <c r="BV86" s="846" t="s">
        <v>819</v>
      </c>
      <c r="BW86" s="846">
        <v>16555</v>
      </c>
      <c r="BX86" s="847">
        <v>85.926113869999995</v>
      </c>
      <c r="BY86" s="645">
        <v>28</v>
      </c>
      <c r="BZ86" s="844">
        <v>9.2993629729437224E-3</v>
      </c>
      <c r="CA86" s="839" t="s">
        <v>819</v>
      </c>
      <c r="CB86" s="839" t="s">
        <v>819</v>
      </c>
      <c r="CC86" s="839" t="s">
        <v>819</v>
      </c>
      <c r="CD86" s="847" t="s">
        <v>819</v>
      </c>
      <c r="CE86" s="838" t="s">
        <v>819</v>
      </c>
      <c r="CF86" s="849" t="s">
        <v>819</v>
      </c>
      <c r="CG86" s="839">
        <v>4.29</v>
      </c>
      <c r="CH86" s="839" t="s">
        <v>819</v>
      </c>
      <c r="CI86" s="677" t="s">
        <v>819</v>
      </c>
      <c r="CJ86" s="671"/>
      <c r="CK86" s="661"/>
      <c r="CL86" s="671"/>
      <c r="CM86" s="671"/>
      <c r="CN86" s="671"/>
      <c r="CO86" s="671"/>
    </row>
    <row r="87" spans="1:115" ht="75" hidden="1" customHeight="1" x14ac:dyDescent="0.2">
      <c r="A87" s="282">
        <f t="shared" si="1"/>
        <v>72.124891681027847</v>
      </c>
      <c r="B87" s="182" t="s">
        <v>1248</v>
      </c>
      <c r="C87" s="183" t="s">
        <v>3984</v>
      </c>
      <c r="D87" s="183" t="s">
        <v>1296</v>
      </c>
      <c r="E87" s="661" t="s">
        <v>4007</v>
      </c>
      <c r="F87" s="182">
        <v>2016</v>
      </c>
      <c r="G87" s="853" t="s">
        <v>1738</v>
      </c>
      <c r="H87" s="183" t="s">
        <v>4214</v>
      </c>
      <c r="I87" s="272" t="s">
        <v>669</v>
      </c>
      <c r="J87" s="182" t="s">
        <v>114</v>
      </c>
      <c r="K87" s="182" t="s">
        <v>4215</v>
      </c>
      <c r="L87" s="840">
        <v>330</v>
      </c>
      <c r="M87" s="182">
        <v>140.5</v>
      </c>
      <c r="N87" s="182" t="s">
        <v>197</v>
      </c>
      <c r="O87" s="183" t="s">
        <v>1741</v>
      </c>
      <c r="P87" s="841" t="s">
        <v>3997</v>
      </c>
      <c r="Q87" s="841" t="s">
        <v>2797</v>
      </c>
      <c r="R87" s="841" t="s">
        <v>4000</v>
      </c>
      <c r="S87" s="183" t="s">
        <v>3653</v>
      </c>
      <c r="T87" s="183" t="s">
        <v>3653</v>
      </c>
      <c r="U87" s="183">
        <v>0.14949999999999999</v>
      </c>
      <c r="V87" s="183">
        <v>0.14949999999999999</v>
      </c>
      <c r="W87" s="183" t="s">
        <v>3684</v>
      </c>
      <c r="X87" s="680">
        <v>0.14610000000000001</v>
      </c>
      <c r="Y87" s="183" t="s">
        <v>3259</v>
      </c>
      <c r="Z87" s="183" t="s">
        <v>4174</v>
      </c>
      <c r="AA87" s="183">
        <v>224</v>
      </c>
      <c r="AB87" s="183" t="s">
        <v>3700</v>
      </c>
      <c r="AC87" s="183" t="s">
        <v>119</v>
      </c>
      <c r="AD87" s="183" t="s">
        <v>889</v>
      </c>
      <c r="AE87" s="183" t="s">
        <v>3725</v>
      </c>
      <c r="AF87" s="840">
        <v>69.400000000000006</v>
      </c>
      <c r="AG87" s="840">
        <v>68.89</v>
      </c>
      <c r="AH87" s="840" t="s">
        <v>1744</v>
      </c>
      <c r="AI87" s="840" t="s">
        <v>1744</v>
      </c>
      <c r="AJ87" s="841" t="s">
        <v>369</v>
      </c>
      <c r="AK87" s="183" t="s">
        <v>4175</v>
      </c>
      <c r="AL87" s="182"/>
      <c r="AM87" s="182"/>
      <c r="AN87" s="182" t="s">
        <v>1784</v>
      </c>
      <c r="AO87" s="840">
        <v>0.35399999999999998</v>
      </c>
      <c r="AP87" s="182">
        <v>0.38</v>
      </c>
      <c r="AQ87" s="840" t="s">
        <v>4216</v>
      </c>
      <c r="AR87" s="347">
        <v>8.2100152000000008</v>
      </c>
      <c r="AS87" s="347">
        <v>2.2197369999999998</v>
      </c>
      <c r="AT87" s="347">
        <v>1.89</v>
      </c>
      <c r="AU87" s="347">
        <v>4.67408</v>
      </c>
      <c r="AV87" s="347">
        <v>4.3499999999999996</v>
      </c>
      <c r="AW87" s="851" t="s">
        <v>819</v>
      </c>
      <c r="AX87" s="261">
        <v>42429</v>
      </c>
      <c r="AY87" s="840" t="s">
        <v>2093</v>
      </c>
      <c r="AZ87" s="183" t="s">
        <v>819</v>
      </c>
      <c r="BA87" s="676" t="s">
        <v>4217</v>
      </c>
      <c r="BB87" s="676" t="s">
        <v>4218</v>
      </c>
      <c r="BC87" s="675">
        <v>17986801</v>
      </c>
      <c r="BD87" s="676" t="s">
        <v>3701</v>
      </c>
      <c r="BE87" s="676">
        <v>17986606</v>
      </c>
      <c r="BF87" s="183" t="s">
        <v>157</v>
      </c>
      <c r="BG87" s="183" t="s">
        <v>157</v>
      </c>
      <c r="BH87" s="841" t="s">
        <v>1796</v>
      </c>
      <c r="BI87" s="190">
        <v>42475</v>
      </c>
      <c r="BJ87" s="842">
        <v>3201.0582010600001</v>
      </c>
      <c r="BK87" s="842">
        <v>3099.6472663099998</v>
      </c>
      <c r="BL87" s="842">
        <v>6300.7054673700004</v>
      </c>
      <c r="BM87" s="842">
        <v>634</v>
      </c>
      <c r="BN87" s="842">
        <v>3089.3</v>
      </c>
      <c r="BO87" s="839">
        <v>345</v>
      </c>
      <c r="BP87" s="191">
        <v>3902</v>
      </c>
      <c r="BQ87" s="839">
        <v>0.38</v>
      </c>
      <c r="BR87" s="649">
        <v>0.74070000000000003</v>
      </c>
      <c r="BS87" s="649">
        <v>0.74070000000000003</v>
      </c>
      <c r="BT87" s="181">
        <v>208</v>
      </c>
      <c r="BU87" s="839" t="s">
        <v>819</v>
      </c>
      <c r="BV87" s="191" t="s">
        <v>819</v>
      </c>
      <c r="BW87" s="191">
        <v>17180.099999999999</v>
      </c>
      <c r="BX87" s="192">
        <v>92.93296436</v>
      </c>
      <c r="BY87" s="645">
        <v>28</v>
      </c>
      <c r="BZ87" s="187">
        <v>1.0057680125541126E-2</v>
      </c>
      <c r="CA87" s="839" t="s">
        <v>819</v>
      </c>
      <c r="CB87" s="839" t="s">
        <v>819</v>
      </c>
      <c r="CC87" s="839" t="s">
        <v>819</v>
      </c>
      <c r="CD87" s="192" t="s">
        <v>819</v>
      </c>
      <c r="CE87" s="180" t="s">
        <v>819</v>
      </c>
      <c r="CF87" s="196" t="s">
        <v>819</v>
      </c>
      <c r="CG87" s="839">
        <v>4.3600000000000003</v>
      </c>
      <c r="CH87" s="839" t="s">
        <v>819</v>
      </c>
      <c r="CI87" s="677" t="s">
        <v>819</v>
      </c>
      <c r="CJ87" s="324"/>
      <c r="CK87" s="317"/>
      <c r="CL87" s="324"/>
      <c r="CM87" s="324"/>
      <c r="CN87" s="324"/>
      <c r="CO87" s="324"/>
    </row>
    <row r="88" spans="1:115" ht="75" hidden="1" customHeight="1" x14ac:dyDescent="0.2">
      <c r="A88" s="646">
        <f t="shared" si="1"/>
        <v>72.124891681027847</v>
      </c>
      <c r="B88" s="660" t="s">
        <v>2181</v>
      </c>
      <c r="C88" s="661" t="s">
        <v>3984</v>
      </c>
      <c r="D88" s="183" t="s">
        <v>791</v>
      </c>
      <c r="E88" s="661" t="s">
        <v>4007</v>
      </c>
      <c r="F88" s="660">
        <v>2012</v>
      </c>
      <c r="G88" s="853" t="s">
        <v>1797</v>
      </c>
      <c r="H88" s="661" t="s">
        <v>4042</v>
      </c>
      <c r="I88" s="673" t="s">
        <v>2226</v>
      </c>
      <c r="J88" s="660" t="s">
        <v>114</v>
      </c>
      <c r="K88" s="660" t="s">
        <v>474</v>
      </c>
      <c r="L88" s="840">
        <v>358</v>
      </c>
      <c r="M88" s="660">
        <v>156.5</v>
      </c>
      <c r="N88" s="660" t="s">
        <v>197</v>
      </c>
      <c r="O88" s="661" t="s">
        <v>4299</v>
      </c>
      <c r="P88" s="841" t="s">
        <v>4002</v>
      </c>
      <c r="Q88" s="841" t="s">
        <v>2797</v>
      </c>
      <c r="R88" s="841" t="s">
        <v>2373</v>
      </c>
      <c r="S88" s="839" t="s">
        <v>3652</v>
      </c>
      <c r="T88" s="839" t="s">
        <v>3652</v>
      </c>
      <c r="U88" s="839">
        <v>0.1065</v>
      </c>
      <c r="V88" s="839">
        <v>0.1065</v>
      </c>
      <c r="W88" s="661" t="s">
        <v>3663</v>
      </c>
      <c r="X88" s="839">
        <v>14.61</v>
      </c>
      <c r="Y88" s="661" t="s">
        <v>3261</v>
      </c>
      <c r="Z88" s="661" t="s">
        <v>4300</v>
      </c>
      <c r="AA88" s="839">
        <v>234</v>
      </c>
      <c r="AB88" s="661" t="s">
        <v>228</v>
      </c>
      <c r="AC88" s="661" t="s">
        <v>710</v>
      </c>
      <c r="AD88" s="661" t="s">
        <v>3262</v>
      </c>
      <c r="AE88" s="840" t="s">
        <v>91</v>
      </c>
      <c r="AF88" s="840">
        <v>78.400000000000006</v>
      </c>
      <c r="AG88" s="325">
        <v>83.3</v>
      </c>
      <c r="AH88" s="840" t="s">
        <v>1744</v>
      </c>
      <c r="AI88" s="840" t="s">
        <v>1744</v>
      </c>
      <c r="AJ88" s="841" t="s">
        <v>369</v>
      </c>
      <c r="AK88" s="661" t="s">
        <v>4301</v>
      </c>
      <c r="AL88" s="660"/>
      <c r="AM88" s="660"/>
      <c r="AN88" s="660" t="s">
        <v>1784</v>
      </c>
      <c r="AO88" s="576" t="s">
        <v>819</v>
      </c>
      <c r="AP88" s="660">
        <v>0.3</v>
      </c>
      <c r="AQ88" s="576" t="s">
        <v>819</v>
      </c>
      <c r="AR88" s="347">
        <v>8.6999999999999993</v>
      </c>
      <c r="AS88" s="347">
        <v>2.2599999999999998</v>
      </c>
      <c r="AT88" s="347">
        <v>1.9595174400000002</v>
      </c>
      <c r="AU88" s="347">
        <v>4.9800000000000004</v>
      </c>
      <c r="AV88" s="347">
        <v>4.53592</v>
      </c>
      <c r="AW88" s="843">
        <v>36.029186079780224</v>
      </c>
      <c r="AX88" s="672">
        <v>40756</v>
      </c>
      <c r="AY88" s="840" t="s">
        <v>1669</v>
      </c>
      <c r="AZ88" s="661">
        <v>57</v>
      </c>
      <c r="BA88" s="661" t="s">
        <v>4305</v>
      </c>
      <c r="BB88" s="661" t="s">
        <v>4306</v>
      </c>
      <c r="BC88" s="660">
        <v>16277401</v>
      </c>
      <c r="BD88" s="661" t="s">
        <v>69</v>
      </c>
      <c r="BE88" s="661">
        <v>16277603</v>
      </c>
      <c r="BF88" s="661" t="s">
        <v>157</v>
      </c>
      <c r="BG88" s="661" t="s">
        <v>157</v>
      </c>
      <c r="BH88" s="659"/>
      <c r="BI88" s="845">
        <v>42493</v>
      </c>
      <c r="BJ88" s="842">
        <v>4900</v>
      </c>
      <c r="BK88" s="842">
        <v>9100</v>
      </c>
      <c r="BL88" s="846">
        <v>13999</v>
      </c>
      <c r="BM88" s="275">
        <v>787.4</v>
      </c>
      <c r="BN88" s="842">
        <v>3645</v>
      </c>
      <c r="BO88" s="843">
        <v>397</v>
      </c>
      <c r="BP88" s="652">
        <f>IF(G88="Front",0.5*9.81*0.4535924*(BJ88+BL88*(BM88/BN88)*1.1)*1.1*(BO88/1000),IF(G88="Rear",0.5*9.81*0.4535924*(BK88+BL88*(BM88/BN88)*0.9)*0.9*(BO88/1000),"TBD"))</f>
        <v>9397.6025698657031</v>
      </c>
      <c r="BQ88" s="839">
        <v>0.4</v>
      </c>
      <c r="BR88" s="843">
        <v>42</v>
      </c>
      <c r="BS88" s="843">
        <v>42</v>
      </c>
      <c r="BT88" s="848">
        <v>168.84</v>
      </c>
      <c r="BU88" s="652">
        <f>(2.4525*(BL88*0.4535924)*(0.8*(1000/3600)*BT88)*(BR88/100))/(AF88*2)</f>
        <v>1565.0847531732195</v>
      </c>
      <c r="BV88" s="652">
        <f>(BP88/(M88/1000))/(2*AF88)</f>
        <v>382.96287449736354</v>
      </c>
      <c r="BW88" s="652">
        <f>(1.4*BP88/(M88/1000))/(2*AF88)</f>
        <v>536.1480242963089</v>
      </c>
      <c r="BX88" s="668">
        <f>0.5*(BL88/32.2)*((BO88*0.00328084)^2)*(BS88/100)</f>
        <v>154.88578191475892</v>
      </c>
      <c r="BY88" s="659">
        <v>34</v>
      </c>
      <c r="BZ88" s="665">
        <f>BX88/(L88*BY88)</f>
        <v>1.272476026246787E-2</v>
      </c>
      <c r="CA88" s="839" t="s">
        <v>819</v>
      </c>
      <c r="CB88" s="839" t="s">
        <v>157</v>
      </c>
      <c r="CC88" s="668">
        <f>BU88*(2*AF88)/(2*1600)</f>
        <v>76.689152905487759</v>
      </c>
      <c r="CD88" s="668">
        <f>BV88*(2*AF88)/(2*250)</f>
        <v>120.0971574423732</v>
      </c>
      <c r="CE88" s="651" t="str">
        <f>IF((CD88-CC88)&gt;0, "Shear","Power")</f>
        <v>Shear</v>
      </c>
      <c r="CF88" s="654">
        <f>(AF88/MAX(CC88,CD88))-1</f>
        <v>-0.34719520703377971</v>
      </c>
      <c r="CG88" s="651">
        <v>4.05</v>
      </c>
      <c r="CH88" s="651">
        <v>2.61</v>
      </c>
      <c r="CI88" s="279">
        <f>CG88-CH88</f>
        <v>1.44</v>
      </c>
      <c r="CJ88" s="671"/>
      <c r="CK88" s="841"/>
      <c r="CM88" s="671"/>
      <c r="CN88" s="671"/>
      <c r="CO88" s="671"/>
    </row>
    <row r="89" spans="1:115" ht="75" hidden="1" customHeight="1" x14ac:dyDescent="0.2">
      <c r="A89" s="857">
        <f t="shared" si="1"/>
        <v>72.124891681027847</v>
      </c>
      <c r="B89" s="840" t="s">
        <v>2519</v>
      </c>
      <c r="C89" s="841" t="s">
        <v>3984</v>
      </c>
      <c r="D89" s="661" t="s">
        <v>793</v>
      </c>
      <c r="E89" s="661" t="s">
        <v>4007</v>
      </c>
      <c r="F89" s="840">
        <v>2013</v>
      </c>
      <c r="G89" s="852" t="s">
        <v>1797</v>
      </c>
      <c r="H89" s="841" t="s">
        <v>4039</v>
      </c>
      <c r="I89" s="854" t="s">
        <v>4059</v>
      </c>
      <c r="J89" s="840" t="s">
        <v>114</v>
      </c>
      <c r="K89" s="840" t="s">
        <v>473</v>
      </c>
      <c r="L89" s="841">
        <v>363</v>
      </c>
      <c r="M89" s="840">
        <v>158.5</v>
      </c>
      <c r="N89" s="840" t="s">
        <v>197</v>
      </c>
      <c r="O89" s="841" t="s">
        <v>1706</v>
      </c>
      <c r="P89" s="614" t="s">
        <v>3997</v>
      </c>
      <c r="Q89" s="614"/>
      <c r="R89" s="614"/>
      <c r="S89" s="841" t="s">
        <v>3652</v>
      </c>
      <c r="T89" s="841" t="s">
        <v>3652</v>
      </c>
      <c r="U89" s="841">
        <v>0.20499999999999999</v>
      </c>
      <c r="V89" s="841">
        <v>0.20499999999999999</v>
      </c>
      <c r="W89" s="841" t="s">
        <v>3656</v>
      </c>
      <c r="X89" s="517">
        <v>0.11</v>
      </c>
      <c r="Y89" s="841" t="s">
        <v>3689</v>
      </c>
      <c r="Z89" s="841" t="s">
        <v>3884</v>
      </c>
      <c r="AA89" s="841">
        <v>233.85</v>
      </c>
      <c r="AB89" s="841" t="s">
        <v>3910</v>
      </c>
      <c r="AC89" s="841" t="s">
        <v>710</v>
      </c>
      <c r="AD89" s="841" t="s">
        <v>3882</v>
      </c>
      <c r="AE89" s="841" t="s">
        <v>91</v>
      </c>
      <c r="AF89" s="841">
        <v>83.9</v>
      </c>
      <c r="AG89" s="841">
        <v>77.2</v>
      </c>
      <c r="AH89" s="841" t="s">
        <v>122</v>
      </c>
      <c r="AI89" s="841" t="s">
        <v>122</v>
      </c>
      <c r="AJ89" s="840" t="s">
        <v>2871</v>
      </c>
      <c r="AK89" s="841" t="s">
        <v>1747</v>
      </c>
      <c r="AL89" s="840"/>
      <c r="AM89" s="840"/>
      <c r="AN89" s="840" t="s">
        <v>1784</v>
      </c>
      <c r="AO89" s="841">
        <v>0.27</v>
      </c>
      <c r="AP89" s="840" t="s">
        <v>157</v>
      </c>
      <c r="AQ89" s="841">
        <v>0.59</v>
      </c>
      <c r="AR89" s="347">
        <v>9.5254320000000003</v>
      </c>
      <c r="AS89" s="347">
        <v>2.5925504352000002</v>
      </c>
      <c r="AT89" s="347">
        <v>2.2498163199999999</v>
      </c>
      <c r="AU89" s="347">
        <v>5.0264343888000003</v>
      </c>
      <c r="AV89" s="347">
        <v>4.6266384</v>
      </c>
      <c r="AW89" s="189">
        <f>(100*PI()*(A89^2))/(40*AO89*AV89*453.5924)</f>
        <v>72.104959577731393</v>
      </c>
      <c r="AX89" s="851">
        <v>41183</v>
      </c>
      <c r="AY89" s="838" t="s">
        <v>2093</v>
      </c>
      <c r="AZ89" s="841">
        <v>100</v>
      </c>
      <c r="BA89" s="841" t="s">
        <v>3918</v>
      </c>
      <c r="BB89" s="841" t="s">
        <v>3921</v>
      </c>
      <c r="BC89" s="840">
        <v>17945802</v>
      </c>
      <c r="BD89" s="841" t="s">
        <v>2113</v>
      </c>
      <c r="BE89" s="841">
        <v>17946002</v>
      </c>
      <c r="BF89" s="841" t="s">
        <v>2205</v>
      </c>
      <c r="BG89" s="841" t="s">
        <v>2205</v>
      </c>
      <c r="BH89" s="839"/>
      <c r="BI89" s="667">
        <v>42475</v>
      </c>
      <c r="BJ89" s="839"/>
      <c r="BK89" s="839"/>
      <c r="BL89" s="839"/>
      <c r="BM89" s="839"/>
      <c r="BN89" s="839"/>
      <c r="BO89" s="838"/>
      <c r="BP89" s="846"/>
      <c r="BQ89" s="838">
        <v>0.34</v>
      </c>
      <c r="BR89" s="662"/>
      <c r="BS89" s="847"/>
      <c r="BT89" s="839"/>
      <c r="BU89" s="846"/>
      <c r="BV89" s="846"/>
      <c r="BW89" s="846"/>
      <c r="BX89" s="847"/>
      <c r="BY89" s="839"/>
      <c r="BZ89" s="844"/>
      <c r="CA89" s="843"/>
      <c r="CB89" s="843"/>
      <c r="CC89" s="847"/>
      <c r="CD89" s="847"/>
      <c r="CE89" s="838"/>
      <c r="CF89" s="849"/>
      <c r="CG89" s="838"/>
      <c r="CH89" s="838"/>
      <c r="CI89" s="855"/>
      <c r="CJ89" s="324"/>
      <c r="CK89" s="317"/>
      <c r="CM89" s="671"/>
      <c r="CN89" s="671"/>
      <c r="CO89" s="671"/>
    </row>
    <row r="90" spans="1:115" ht="75" hidden="1" customHeight="1" x14ac:dyDescent="0.2">
      <c r="A90" s="857">
        <f t="shared" si="1"/>
        <v>72.124891681027847</v>
      </c>
      <c r="B90" s="840" t="s">
        <v>2519</v>
      </c>
      <c r="C90" s="841" t="s">
        <v>3984</v>
      </c>
      <c r="D90" s="808" t="s">
        <v>793</v>
      </c>
      <c r="E90" s="808" t="s">
        <v>4125</v>
      </c>
      <c r="F90" s="807">
        <v>2017</v>
      </c>
      <c r="G90" s="852" t="s">
        <v>1797</v>
      </c>
      <c r="H90" s="808" t="s">
        <v>4043</v>
      </c>
      <c r="I90" s="815" t="s">
        <v>4059</v>
      </c>
      <c r="J90" s="807" t="s">
        <v>114</v>
      </c>
      <c r="K90" s="807" t="s">
        <v>473</v>
      </c>
      <c r="L90" s="808">
        <v>363</v>
      </c>
      <c r="M90" s="807">
        <v>158.5</v>
      </c>
      <c r="N90" s="840" t="s">
        <v>197</v>
      </c>
      <c r="O90" s="808" t="s">
        <v>1706</v>
      </c>
      <c r="P90" s="614" t="s">
        <v>3997</v>
      </c>
      <c r="Q90" s="614"/>
      <c r="R90" s="614"/>
      <c r="S90" s="808" t="s">
        <v>3652</v>
      </c>
      <c r="T90" s="808" t="s">
        <v>3652</v>
      </c>
      <c r="U90" s="808">
        <v>0.20499999999999999</v>
      </c>
      <c r="V90" s="808">
        <v>0.20499999999999999</v>
      </c>
      <c r="W90" s="841" t="s">
        <v>3656</v>
      </c>
      <c r="X90" s="517">
        <v>0.11</v>
      </c>
      <c r="Y90" s="808" t="s">
        <v>3689</v>
      </c>
      <c r="Z90" s="808" t="s">
        <v>3884</v>
      </c>
      <c r="AA90" s="808">
        <v>233.85</v>
      </c>
      <c r="AB90" s="808" t="s">
        <v>3910</v>
      </c>
      <c r="AC90" s="808" t="s">
        <v>710</v>
      </c>
      <c r="AD90" s="808" t="s">
        <v>3882</v>
      </c>
      <c r="AE90" s="841" t="s">
        <v>91</v>
      </c>
      <c r="AF90" s="808">
        <v>83.9</v>
      </c>
      <c r="AG90" s="808">
        <v>77.2</v>
      </c>
      <c r="AH90" s="841" t="s">
        <v>122</v>
      </c>
      <c r="AI90" s="841" t="s">
        <v>122</v>
      </c>
      <c r="AJ90" s="840" t="s">
        <v>2871</v>
      </c>
      <c r="AK90" s="808" t="s">
        <v>3911</v>
      </c>
      <c r="AL90" s="807"/>
      <c r="AM90" s="807"/>
      <c r="AN90" s="807" t="s">
        <v>1784</v>
      </c>
      <c r="AO90" s="841">
        <v>0.27</v>
      </c>
      <c r="AP90" s="807" t="s">
        <v>157</v>
      </c>
      <c r="AQ90" s="841">
        <v>0.59</v>
      </c>
      <c r="AR90" s="817">
        <v>9.5254320000000003</v>
      </c>
      <c r="AS90" s="817">
        <v>2.5925504352000002</v>
      </c>
      <c r="AT90" s="817">
        <v>2.2498163199999999</v>
      </c>
      <c r="AU90" s="817">
        <v>5.0264343888000003</v>
      </c>
      <c r="AV90" s="817">
        <v>4.6266384</v>
      </c>
      <c r="AW90" s="189">
        <f>(100*PI()*(A90^2))/(40*AO90*AV90*453.5924)</f>
        <v>72.104959577731393</v>
      </c>
      <c r="AX90" s="814" t="s">
        <v>3912</v>
      </c>
      <c r="AY90" s="838" t="s">
        <v>2093</v>
      </c>
      <c r="AZ90" s="808">
        <v>100</v>
      </c>
      <c r="BA90" s="808" t="s">
        <v>3915</v>
      </c>
      <c r="BB90" s="808" t="s">
        <v>3922</v>
      </c>
      <c r="BC90" s="840">
        <v>17945801</v>
      </c>
      <c r="BD90" s="808" t="s">
        <v>3916</v>
      </c>
      <c r="BE90" s="808">
        <v>17946002</v>
      </c>
      <c r="BF90" s="808" t="s">
        <v>2205</v>
      </c>
      <c r="BG90" s="808" t="s">
        <v>2205</v>
      </c>
      <c r="BH90" s="806"/>
      <c r="BI90" s="667">
        <v>42475</v>
      </c>
      <c r="BJ90" s="839"/>
      <c r="BK90" s="839"/>
      <c r="BL90" s="839"/>
      <c r="BM90" s="839"/>
      <c r="BN90" s="839"/>
      <c r="BO90" s="838"/>
      <c r="BP90" s="810"/>
      <c r="BQ90" s="838">
        <v>0.34</v>
      </c>
      <c r="BR90" s="662"/>
      <c r="BS90" s="847"/>
      <c r="BT90" s="839"/>
      <c r="BU90" s="810"/>
      <c r="BV90" s="810"/>
      <c r="BW90" s="810"/>
      <c r="BX90" s="811"/>
      <c r="BY90" s="806"/>
      <c r="BZ90" s="809"/>
      <c r="CA90" s="843"/>
      <c r="CB90" s="843"/>
      <c r="CC90" s="811"/>
      <c r="CD90" s="811"/>
      <c r="CE90" s="805"/>
      <c r="CF90" s="812"/>
      <c r="CG90" s="805"/>
      <c r="CH90" s="805"/>
      <c r="CI90" s="816"/>
      <c r="CK90" s="512"/>
      <c r="CM90" s="671"/>
      <c r="CN90" s="671"/>
      <c r="CO90" s="671"/>
    </row>
    <row r="91" spans="1:115" ht="75" hidden="1" customHeight="1" x14ac:dyDescent="0.2">
      <c r="A91" s="552">
        <f t="shared" si="1"/>
        <v>72.124891681027847</v>
      </c>
      <c r="B91" s="519" t="s">
        <v>3987</v>
      </c>
      <c r="C91" s="614" t="s">
        <v>3984</v>
      </c>
      <c r="D91" s="818" t="s">
        <v>2877</v>
      </c>
      <c r="E91" s="818" t="s">
        <v>4008</v>
      </c>
      <c r="F91" s="519">
        <v>2019</v>
      </c>
      <c r="G91" s="551" t="s">
        <v>1738</v>
      </c>
      <c r="H91" s="614" t="s">
        <v>4044</v>
      </c>
      <c r="I91" s="520" t="s">
        <v>1368</v>
      </c>
      <c r="J91" s="519"/>
      <c r="K91" s="519"/>
      <c r="L91" s="519"/>
      <c r="M91" s="519"/>
      <c r="N91" s="519"/>
      <c r="O91" s="614"/>
      <c r="P91" s="614" t="s">
        <v>1127</v>
      </c>
      <c r="Q91" s="614"/>
      <c r="R91" s="614"/>
      <c r="S91" s="614"/>
      <c r="T91" s="614"/>
      <c r="U91" s="614"/>
      <c r="V91" s="614"/>
      <c r="W91" s="614"/>
      <c r="X91" s="558"/>
      <c r="Y91" s="614"/>
      <c r="Z91" s="614"/>
      <c r="AA91" s="614"/>
      <c r="AB91" s="614"/>
      <c r="AC91" s="614"/>
      <c r="AD91" s="614"/>
      <c r="AE91" s="614"/>
      <c r="AF91" s="519"/>
      <c r="AG91" s="519"/>
      <c r="AH91" s="519"/>
      <c r="AI91" s="519"/>
      <c r="AJ91" s="519"/>
      <c r="AK91" s="614"/>
      <c r="AL91" s="519"/>
      <c r="AM91" s="519"/>
      <c r="AN91" s="519"/>
      <c r="AO91" s="519"/>
      <c r="AP91" s="519"/>
      <c r="AQ91" s="519"/>
      <c r="AR91" s="820">
        <v>0</v>
      </c>
      <c r="AS91" s="820">
        <v>0</v>
      </c>
      <c r="AT91" s="820">
        <v>0</v>
      </c>
      <c r="AU91" s="820">
        <v>0</v>
      </c>
      <c r="AV91" s="820">
        <v>0</v>
      </c>
      <c r="AW91" s="553"/>
      <c r="AX91" s="522"/>
      <c r="AY91" s="519"/>
      <c r="AZ91" s="614"/>
      <c r="BA91" s="561"/>
      <c r="BB91" s="561"/>
      <c r="BC91" s="562"/>
      <c r="BD91" s="561"/>
      <c r="BE91" s="561"/>
      <c r="BF91" s="614"/>
      <c r="BG91" s="614"/>
      <c r="BH91" s="614"/>
      <c r="BI91" s="525"/>
      <c r="BJ91" s="533"/>
      <c r="BK91" s="533"/>
      <c r="BL91" s="533"/>
      <c r="BM91" s="533"/>
      <c r="BN91" s="533"/>
      <c r="BO91" s="524"/>
      <c r="BP91" s="526"/>
      <c r="BQ91" s="524"/>
      <c r="BR91" s="572"/>
      <c r="BS91" s="572"/>
      <c r="BT91" s="524"/>
      <c r="BU91" s="524"/>
      <c r="BV91" s="526"/>
      <c r="BW91" s="526"/>
      <c r="BX91" s="527"/>
      <c r="BY91" s="573"/>
      <c r="BZ91" s="528"/>
      <c r="CA91" s="524"/>
      <c r="CB91" s="524"/>
      <c r="CC91" s="524"/>
      <c r="CD91" s="527"/>
      <c r="CE91" s="523"/>
      <c r="CF91" s="530"/>
      <c r="CG91" s="524"/>
      <c r="CH91" s="524"/>
      <c r="CI91" s="554"/>
      <c r="CJ91" s="202"/>
      <c r="CK91" s="841" t="s">
        <v>3021</v>
      </c>
      <c r="CM91" s="671"/>
      <c r="CN91" s="671"/>
      <c r="CO91" s="671"/>
    </row>
    <row r="92" spans="1:115" ht="75" hidden="1" customHeight="1" x14ac:dyDescent="0.2">
      <c r="A92" s="857">
        <f>SQRT(54^2*2)</f>
        <v>76.367532368147138</v>
      </c>
      <c r="B92" s="840" t="s">
        <v>2028</v>
      </c>
      <c r="C92" s="824" t="s">
        <v>3984</v>
      </c>
      <c r="D92" s="824" t="s">
        <v>794</v>
      </c>
      <c r="E92" s="870" t="s">
        <v>4380</v>
      </c>
      <c r="F92" s="823">
        <v>2019</v>
      </c>
      <c r="G92" s="852" t="s">
        <v>1738</v>
      </c>
      <c r="H92" s="824" t="s">
        <v>4240</v>
      </c>
      <c r="I92" s="835" t="s">
        <v>2908</v>
      </c>
      <c r="J92" s="823" t="s">
        <v>114</v>
      </c>
      <c r="K92" s="823" t="s">
        <v>1745</v>
      </c>
      <c r="L92" s="824">
        <v>350</v>
      </c>
      <c r="M92" s="823">
        <v>146.85</v>
      </c>
      <c r="N92" s="824" t="s">
        <v>2011</v>
      </c>
      <c r="O92" s="824" t="s">
        <v>658</v>
      </c>
      <c r="P92" s="824" t="s">
        <v>3997</v>
      </c>
      <c r="Q92" s="824" t="s">
        <v>2797</v>
      </c>
      <c r="R92" s="824" t="s">
        <v>4000</v>
      </c>
      <c r="S92" s="824" t="s">
        <v>3653</v>
      </c>
      <c r="T92" s="824" t="s">
        <v>3653</v>
      </c>
      <c r="U92" s="824">
        <v>0.25</v>
      </c>
      <c r="V92" s="824">
        <v>0.25</v>
      </c>
      <c r="W92" s="841" t="s">
        <v>4294</v>
      </c>
      <c r="X92" s="824">
        <v>11</v>
      </c>
      <c r="Y92" s="824" t="s">
        <v>3676</v>
      </c>
      <c r="Z92" s="824" t="s">
        <v>3991</v>
      </c>
      <c r="AA92" s="824">
        <v>234</v>
      </c>
      <c r="AB92" s="824" t="s">
        <v>4241</v>
      </c>
      <c r="AC92" s="840" t="s">
        <v>119</v>
      </c>
      <c r="AD92" s="840" t="s">
        <v>1746</v>
      </c>
      <c r="AE92" s="823" t="s">
        <v>1668</v>
      </c>
      <c r="AF92" s="841">
        <v>86.24</v>
      </c>
      <c r="AG92" s="841">
        <v>88.97</v>
      </c>
      <c r="AH92" s="823" t="s">
        <v>122</v>
      </c>
      <c r="AI92" s="823" t="s">
        <v>122</v>
      </c>
      <c r="AJ92" s="840" t="s">
        <v>2871</v>
      </c>
      <c r="AK92" s="824" t="s">
        <v>4242</v>
      </c>
      <c r="AL92" s="823"/>
      <c r="AM92" s="823"/>
      <c r="AN92" s="823" t="s">
        <v>1784</v>
      </c>
      <c r="AO92" s="823"/>
      <c r="AP92" s="823"/>
      <c r="AQ92" s="823"/>
      <c r="AR92" s="837">
        <v>9.2986360000000001</v>
      </c>
      <c r="AS92" s="837">
        <v>3</v>
      </c>
      <c r="AT92" s="837">
        <v>2.72</v>
      </c>
      <c r="AU92" s="837">
        <v>5.15</v>
      </c>
      <c r="AV92" s="837">
        <v>4.29</v>
      </c>
      <c r="AW92" s="826"/>
      <c r="AX92" s="834"/>
      <c r="AY92" s="823"/>
      <c r="AZ92" s="824"/>
      <c r="BA92" s="824" t="s">
        <v>4243</v>
      </c>
      <c r="BB92" s="824" t="s">
        <v>819</v>
      </c>
      <c r="BC92" s="840" t="s">
        <v>4244</v>
      </c>
      <c r="BD92" s="824" t="s">
        <v>4245</v>
      </c>
      <c r="BE92" s="824" t="s">
        <v>4246</v>
      </c>
      <c r="BF92" s="824" t="s">
        <v>1127</v>
      </c>
      <c r="BG92" s="824" t="s">
        <v>1127</v>
      </c>
      <c r="BH92" s="822" t="s">
        <v>657</v>
      </c>
      <c r="BI92" s="828">
        <v>42485</v>
      </c>
      <c r="BJ92" s="825"/>
      <c r="BK92" s="825"/>
      <c r="BL92" s="825"/>
      <c r="BM92" s="825"/>
      <c r="BN92" s="825"/>
      <c r="BO92" s="822"/>
      <c r="BP92" s="829"/>
      <c r="BQ92" s="822"/>
      <c r="BR92" s="826"/>
      <c r="BS92" s="826"/>
      <c r="BT92" s="831"/>
      <c r="BU92" s="829"/>
      <c r="BV92" s="829"/>
      <c r="BW92" s="829"/>
      <c r="BX92" s="830"/>
      <c r="BY92" s="822">
        <v>34</v>
      </c>
      <c r="BZ92" s="827"/>
      <c r="CA92" s="822"/>
      <c r="CB92" s="822"/>
      <c r="CC92" s="830"/>
      <c r="CD92" s="830"/>
      <c r="CE92" s="821"/>
      <c r="CF92" s="832"/>
      <c r="CG92" s="821"/>
      <c r="CH92" s="821"/>
      <c r="CI92" s="836"/>
      <c r="CJ92" s="216"/>
      <c r="CK92" s="841"/>
      <c r="CM92" s="671"/>
      <c r="CN92" s="671"/>
      <c r="CO92" s="671"/>
    </row>
    <row r="93" spans="1:115" ht="75" customHeight="1" x14ac:dyDescent="0.2">
      <c r="A93" s="857">
        <f>SQRT(54^2*2)</f>
        <v>76.367532368147138</v>
      </c>
      <c r="B93" s="840" t="s">
        <v>2028</v>
      </c>
      <c r="C93" s="841" t="s">
        <v>3984</v>
      </c>
      <c r="D93" s="841" t="s">
        <v>794</v>
      </c>
      <c r="E93" s="841" t="s">
        <v>4007</v>
      </c>
      <c r="F93" s="840">
        <v>2017</v>
      </c>
      <c r="G93" s="852" t="s">
        <v>1738</v>
      </c>
      <c r="H93" s="841" t="s">
        <v>4226</v>
      </c>
      <c r="I93" s="854" t="s">
        <v>2908</v>
      </c>
      <c r="J93" s="840" t="s">
        <v>114</v>
      </c>
      <c r="K93" s="840" t="s">
        <v>1745</v>
      </c>
      <c r="L93" s="841">
        <v>350</v>
      </c>
      <c r="M93" s="840">
        <v>150.5</v>
      </c>
      <c r="N93" s="841" t="s">
        <v>2011</v>
      </c>
      <c r="O93" s="841" t="s">
        <v>658</v>
      </c>
      <c r="P93" s="841" t="s">
        <v>4002</v>
      </c>
      <c r="Q93" s="841" t="s">
        <v>2373</v>
      </c>
      <c r="R93" s="841" t="s">
        <v>4255</v>
      </c>
      <c r="S93" s="841" t="s">
        <v>3653</v>
      </c>
      <c r="T93" s="841" t="s">
        <v>3653</v>
      </c>
      <c r="U93" s="841">
        <v>0.14949999999999999</v>
      </c>
      <c r="V93" s="841">
        <v>0.14949999999999999</v>
      </c>
      <c r="W93" s="841" t="s">
        <v>4296</v>
      </c>
      <c r="X93" s="841">
        <v>11.08</v>
      </c>
      <c r="Y93" s="841" t="s">
        <v>3689</v>
      </c>
      <c r="Z93" s="841" t="s">
        <v>3991</v>
      </c>
      <c r="AA93" s="841">
        <v>234</v>
      </c>
      <c r="AB93" s="841" t="s">
        <v>4256</v>
      </c>
      <c r="AC93" s="840" t="s">
        <v>119</v>
      </c>
      <c r="AD93" s="841" t="s">
        <v>1746</v>
      </c>
      <c r="AE93" s="840" t="s">
        <v>1668</v>
      </c>
      <c r="AF93" s="841">
        <v>88.8</v>
      </c>
      <c r="AG93" s="841" t="s">
        <v>4257</v>
      </c>
      <c r="AH93" s="840" t="s">
        <v>122</v>
      </c>
      <c r="AI93" s="840" t="s">
        <v>122</v>
      </c>
      <c r="AJ93" s="840" t="s">
        <v>2871</v>
      </c>
      <c r="AK93" s="841" t="s">
        <v>4251</v>
      </c>
      <c r="AL93" s="840"/>
      <c r="AM93" s="840"/>
      <c r="AN93" s="840" t="s">
        <v>1784</v>
      </c>
      <c r="AO93" s="840"/>
      <c r="AP93" s="840"/>
      <c r="AQ93" s="840"/>
      <c r="AR93" s="858">
        <v>9.2986360000000001</v>
      </c>
      <c r="AS93" s="858">
        <v>2.82</v>
      </c>
      <c r="AT93" s="858">
        <v>2.4900000000000002</v>
      </c>
      <c r="AU93" s="858">
        <v>5.15</v>
      </c>
      <c r="AV93" s="858">
        <v>4.7627160000000002</v>
      </c>
      <c r="AW93" s="843"/>
      <c r="AX93" s="851"/>
      <c r="AY93" s="840"/>
      <c r="AZ93" s="841"/>
      <c r="BA93" s="841" t="s">
        <v>4258</v>
      </c>
      <c r="BB93" s="841" t="s">
        <v>4259</v>
      </c>
      <c r="BC93" s="840">
        <v>18191301</v>
      </c>
      <c r="BD93" s="841" t="s">
        <v>4260</v>
      </c>
      <c r="BE93" s="841">
        <v>16904907</v>
      </c>
      <c r="BF93" s="841" t="s">
        <v>1127</v>
      </c>
      <c r="BG93" s="841" t="s">
        <v>1127</v>
      </c>
      <c r="BH93" s="839" t="s">
        <v>657</v>
      </c>
      <c r="BI93" s="845">
        <v>42485</v>
      </c>
      <c r="BJ93" s="842"/>
      <c r="BK93" s="842"/>
      <c r="BL93" s="842"/>
      <c r="BM93" s="842"/>
      <c r="BN93" s="842"/>
      <c r="BO93" s="839"/>
      <c r="BP93" s="846"/>
      <c r="BQ93" s="839"/>
      <c r="BR93" s="843"/>
      <c r="BS93" s="843"/>
      <c r="BT93" s="848"/>
      <c r="BU93" s="846"/>
      <c r="BV93" s="846"/>
      <c r="BW93" s="846"/>
      <c r="BX93" s="847"/>
      <c r="BY93" s="839">
        <v>34</v>
      </c>
      <c r="BZ93" s="844"/>
      <c r="CA93" s="839"/>
      <c r="CB93" s="839"/>
      <c r="CC93" s="847"/>
      <c r="CD93" s="847"/>
      <c r="CE93" s="838"/>
      <c r="CF93" s="849"/>
      <c r="CG93" s="838"/>
      <c r="CH93" s="838"/>
      <c r="CI93" s="855"/>
      <c r="CK93" s="841"/>
      <c r="CM93" s="671"/>
      <c r="CN93" s="671"/>
      <c r="CO93" s="671"/>
    </row>
    <row r="94" spans="1:115" ht="75" customHeight="1" x14ac:dyDescent="0.2">
      <c r="A94" s="646">
        <f>SQRT(2*54^2)</f>
        <v>76.367532368147138</v>
      </c>
      <c r="B94" s="325" t="s">
        <v>2037</v>
      </c>
      <c r="C94" s="317" t="s">
        <v>3984</v>
      </c>
      <c r="D94" s="317" t="s">
        <v>791</v>
      </c>
      <c r="E94" s="317" t="s">
        <v>4007</v>
      </c>
      <c r="F94" s="325">
        <v>2013</v>
      </c>
      <c r="G94" s="352" t="s">
        <v>1738</v>
      </c>
      <c r="H94" s="317" t="s">
        <v>4009</v>
      </c>
      <c r="I94" s="354" t="s">
        <v>2226</v>
      </c>
      <c r="J94" s="325" t="s">
        <v>114</v>
      </c>
      <c r="K94" s="317" t="s">
        <v>3008</v>
      </c>
      <c r="L94" s="325">
        <v>336</v>
      </c>
      <c r="M94" s="317" t="s">
        <v>3007</v>
      </c>
      <c r="N94" s="325" t="s">
        <v>197</v>
      </c>
      <c r="O94" s="317" t="s">
        <v>1125</v>
      </c>
      <c r="P94" s="317" t="s">
        <v>4002</v>
      </c>
      <c r="Q94" s="317" t="s">
        <v>2797</v>
      </c>
      <c r="R94" s="317"/>
      <c r="S94" s="317" t="s">
        <v>3652</v>
      </c>
      <c r="T94" s="317" t="s">
        <v>3652</v>
      </c>
      <c r="U94" s="317">
        <v>0.1065</v>
      </c>
      <c r="V94" s="317">
        <v>0.1065</v>
      </c>
      <c r="W94" s="317" t="s">
        <v>3662</v>
      </c>
      <c r="X94" s="518">
        <v>0.14130000000000001</v>
      </c>
      <c r="Y94" s="317" t="s">
        <v>3261</v>
      </c>
      <c r="Z94" s="317" t="s">
        <v>3733</v>
      </c>
      <c r="AA94" s="317">
        <v>205</v>
      </c>
      <c r="AB94" s="317" t="s">
        <v>2038</v>
      </c>
      <c r="AC94" s="317" t="s">
        <v>710</v>
      </c>
      <c r="AD94" s="317" t="s">
        <v>2039</v>
      </c>
      <c r="AE94" s="325" t="s">
        <v>91</v>
      </c>
      <c r="AF94" s="325">
        <v>66.2</v>
      </c>
      <c r="AG94" s="325">
        <v>57.9</v>
      </c>
      <c r="AH94" s="325" t="s">
        <v>122</v>
      </c>
      <c r="AI94" s="325" t="s">
        <v>122</v>
      </c>
      <c r="AJ94" s="317" t="s">
        <v>3030</v>
      </c>
      <c r="AK94" s="317" t="s">
        <v>2040</v>
      </c>
      <c r="AL94" s="325"/>
      <c r="AM94" s="325"/>
      <c r="AN94" s="325" t="s">
        <v>1784</v>
      </c>
      <c r="AO94" s="325">
        <v>0.28999999999999998</v>
      </c>
      <c r="AP94" s="325">
        <v>0.28999999999999998</v>
      </c>
      <c r="AQ94" s="325"/>
      <c r="AR94" s="575">
        <v>8.3460927999999992</v>
      </c>
      <c r="AS94" s="575">
        <v>2.3995016800000002</v>
      </c>
      <c r="AT94" s="575">
        <v>2.1545619999999999</v>
      </c>
      <c r="AU94" s="575">
        <v>4.6583898399999999</v>
      </c>
      <c r="AV94" s="575">
        <v>4.1276871999999996</v>
      </c>
      <c r="AW94" s="319">
        <f>(100*PI()*(A94^2))/(40*AO94*AV94*453.5924)</f>
        <v>84.360054350265628</v>
      </c>
      <c r="AX94" s="327">
        <v>41094</v>
      </c>
      <c r="AY94" s="325" t="s">
        <v>2093</v>
      </c>
      <c r="AZ94" s="317">
        <v>1200</v>
      </c>
      <c r="BA94" s="317" t="s">
        <v>3003</v>
      </c>
      <c r="BB94" s="317" t="s">
        <v>3004</v>
      </c>
      <c r="BC94" s="325">
        <v>14900801</v>
      </c>
      <c r="BD94" s="317" t="s">
        <v>3005</v>
      </c>
      <c r="BE94" s="317">
        <v>14901102</v>
      </c>
      <c r="BF94" s="317" t="s">
        <v>157</v>
      </c>
      <c r="BG94" s="317" t="s">
        <v>157</v>
      </c>
      <c r="BH94" s="320" t="s">
        <v>3889</v>
      </c>
      <c r="BI94" s="318">
        <v>41728</v>
      </c>
      <c r="BJ94" s="321">
        <f>1576*2.2</f>
        <v>3467.2000000000003</v>
      </c>
      <c r="BK94" s="321">
        <v>3467</v>
      </c>
      <c r="BL94" s="321">
        <v>6934</v>
      </c>
      <c r="BM94" s="321">
        <v>775</v>
      </c>
      <c r="BN94" s="321" t="s">
        <v>471</v>
      </c>
      <c r="BO94" s="320" t="s">
        <v>470</v>
      </c>
      <c r="BP94" s="328">
        <v>5171</v>
      </c>
      <c r="BQ94" s="320">
        <v>0.41</v>
      </c>
      <c r="BR94" s="319">
        <v>72</v>
      </c>
      <c r="BS94" s="329">
        <v>68</v>
      </c>
      <c r="BT94" s="334">
        <v>161</v>
      </c>
      <c r="BU94" s="328">
        <f>(2.4525*(BL94*0.4535924)*(0.8*(1000/3600)*BT94)*(BR94/100))/(AF94*2)</f>
        <v>1500.7781434453343</v>
      </c>
      <c r="BV94" s="328">
        <f>(BP94/(146.7/1000))/(2*AF94)</f>
        <v>266.22966079530124</v>
      </c>
      <c r="BW94" s="328">
        <f>(1.4*BP94/(146.7/1000))/(2*AF94)</f>
        <v>372.72152511342171</v>
      </c>
      <c r="BX94" s="329">
        <v>119.6</v>
      </c>
      <c r="BY94" s="320">
        <v>28</v>
      </c>
      <c r="BZ94" s="322">
        <f>BX94/(336*BY94)</f>
        <v>1.2712585034013605E-2</v>
      </c>
      <c r="CA94" s="320" t="s">
        <v>157</v>
      </c>
      <c r="CB94" s="320">
        <v>300</v>
      </c>
      <c r="CC94" s="329">
        <f>BU94*(2*AF94)/(2*1600)</f>
        <v>62.094695685050709</v>
      </c>
      <c r="CD94" s="329">
        <f>BV94*(2*AF94)/(2*250)</f>
        <v>70.497614178595768</v>
      </c>
      <c r="CE94" s="326" t="str">
        <f>IF((CD94-CC94)&gt;0, "Shear","Power")</f>
        <v>Shear</v>
      </c>
      <c r="CF94" s="330">
        <f>(AF94/MAX(CC94,CD94))-1</f>
        <v>-6.0961129375362466E-2</v>
      </c>
      <c r="CG94" s="326">
        <v>4.3</v>
      </c>
      <c r="CH94" s="579" t="s">
        <v>819</v>
      </c>
      <c r="CI94" s="339">
        <v>3.4000000000000002E-2</v>
      </c>
      <c r="CK94" s="512" t="s">
        <v>3020</v>
      </c>
      <c r="CM94" s="671"/>
      <c r="CN94" s="671"/>
      <c r="CO94" s="671"/>
    </row>
    <row r="95" spans="1:115" ht="75" hidden="1" customHeight="1" x14ac:dyDescent="0.2">
      <c r="A95" s="857">
        <f>SQRT(2*54^2)</f>
        <v>76.367532368147138</v>
      </c>
      <c r="B95" s="840" t="s">
        <v>2028</v>
      </c>
      <c r="C95" s="841" t="s">
        <v>3984</v>
      </c>
      <c r="D95" s="841" t="s">
        <v>794</v>
      </c>
      <c r="E95" s="841" t="s">
        <v>4008</v>
      </c>
      <c r="F95" s="840">
        <v>2018</v>
      </c>
      <c r="G95" s="852" t="s">
        <v>1738</v>
      </c>
      <c r="H95" s="841" t="s">
        <v>4278</v>
      </c>
      <c r="I95" s="854" t="s">
        <v>2908</v>
      </c>
      <c r="J95" s="840" t="s">
        <v>114</v>
      </c>
      <c r="K95" s="840" t="s">
        <v>4279</v>
      </c>
      <c r="L95" s="841">
        <v>350</v>
      </c>
      <c r="M95" s="840">
        <v>150.5</v>
      </c>
      <c r="N95" s="841" t="s">
        <v>2011</v>
      </c>
      <c r="O95" s="841" t="s">
        <v>658</v>
      </c>
      <c r="P95" s="841" t="s">
        <v>4002</v>
      </c>
      <c r="Q95" s="841" t="s">
        <v>2373</v>
      </c>
      <c r="R95" s="841" t="s">
        <v>4255</v>
      </c>
      <c r="S95" s="841" t="s">
        <v>3653</v>
      </c>
      <c r="T95" s="841" t="s">
        <v>3653</v>
      </c>
      <c r="U95" s="841">
        <v>0.14949999999999999</v>
      </c>
      <c r="V95" s="841">
        <v>0.14949999999999999</v>
      </c>
      <c r="W95" s="841" t="s">
        <v>4296</v>
      </c>
      <c r="X95" s="841">
        <v>11.08</v>
      </c>
      <c r="Y95" s="841" t="s">
        <v>3689</v>
      </c>
      <c r="Z95" s="841" t="s">
        <v>3991</v>
      </c>
      <c r="AA95" s="841">
        <v>234</v>
      </c>
      <c r="AB95" s="841" t="s">
        <v>4256</v>
      </c>
      <c r="AC95" s="840" t="s">
        <v>119</v>
      </c>
      <c r="AD95" s="841" t="s">
        <v>1746</v>
      </c>
      <c r="AE95" s="840" t="s">
        <v>1668</v>
      </c>
      <c r="AF95" s="841">
        <v>88.8</v>
      </c>
      <c r="AG95" s="841" t="s">
        <v>4257</v>
      </c>
      <c r="AH95" s="840" t="s">
        <v>122</v>
      </c>
      <c r="AI95" s="840" t="s">
        <v>122</v>
      </c>
      <c r="AJ95" s="840" t="s">
        <v>2871</v>
      </c>
      <c r="AK95" s="841" t="s">
        <v>4251</v>
      </c>
      <c r="AL95" s="840"/>
      <c r="AM95" s="840"/>
      <c r="AN95" s="840" t="s">
        <v>1784</v>
      </c>
      <c r="AO95" s="840"/>
      <c r="AP95" s="840"/>
      <c r="AQ95" s="840"/>
      <c r="AR95" s="666">
        <v>9.2986360000000001</v>
      </c>
      <c r="AS95" s="666">
        <v>2.82</v>
      </c>
      <c r="AT95" s="666">
        <v>2.4900000000000002</v>
      </c>
      <c r="AU95" s="666">
        <v>5.18</v>
      </c>
      <c r="AV95" s="666">
        <v>4.7627160000000002</v>
      </c>
      <c r="AW95" s="843"/>
      <c r="AX95" s="851"/>
      <c r="AY95" s="840"/>
      <c r="AZ95" s="841"/>
      <c r="BA95" s="841" t="s">
        <v>4280</v>
      </c>
      <c r="BB95" s="841" t="s">
        <v>4281</v>
      </c>
      <c r="BC95" s="841">
        <v>16905101</v>
      </c>
      <c r="BD95" s="841" t="s">
        <v>4282</v>
      </c>
      <c r="BE95" s="841">
        <v>16904908</v>
      </c>
      <c r="BF95" s="841" t="s">
        <v>1127</v>
      </c>
      <c r="BG95" s="841" t="s">
        <v>1127</v>
      </c>
      <c r="BH95" s="839" t="s">
        <v>4283</v>
      </c>
      <c r="BI95" s="845">
        <v>42485</v>
      </c>
      <c r="BJ95" s="842"/>
      <c r="BK95" s="842"/>
      <c r="BL95" s="842"/>
      <c r="BM95" s="842"/>
      <c r="BN95" s="842"/>
      <c r="BO95" s="839"/>
      <c r="BP95" s="846"/>
      <c r="BQ95" s="839"/>
      <c r="BR95" s="843"/>
      <c r="BS95" s="843"/>
      <c r="BT95" s="848"/>
      <c r="BU95" s="846"/>
      <c r="BV95" s="846"/>
      <c r="BW95" s="846"/>
      <c r="BX95" s="847"/>
      <c r="BY95" s="839">
        <v>34</v>
      </c>
      <c r="BZ95" s="844"/>
      <c r="CA95" s="839"/>
      <c r="CB95" s="839"/>
      <c r="CC95" s="847"/>
      <c r="CD95" s="847"/>
      <c r="CE95" s="838"/>
      <c r="CF95" s="849"/>
      <c r="CG95" s="838"/>
      <c r="CH95" s="838"/>
      <c r="CI95" s="838"/>
      <c r="CK95" s="838"/>
      <c r="CM95" s="671"/>
      <c r="CN95" s="671"/>
      <c r="CO95" s="671"/>
    </row>
    <row r="96" spans="1:115" ht="75" customHeight="1" x14ac:dyDescent="0.2">
      <c r="A96" s="646">
        <f>SQRT(2*54^2)</f>
        <v>76.367532368147138</v>
      </c>
      <c r="B96" s="660" t="s">
        <v>2028</v>
      </c>
      <c r="C96" s="661" t="s">
        <v>3984</v>
      </c>
      <c r="D96" s="661" t="s">
        <v>794</v>
      </c>
      <c r="E96" s="661" t="s">
        <v>4007</v>
      </c>
      <c r="F96" s="660">
        <v>2017</v>
      </c>
      <c r="G96" s="270" t="s">
        <v>1738</v>
      </c>
      <c r="H96" s="661" t="s">
        <v>4045</v>
      </c>
      <c r="I96" s="644" t="s">
        <v>2908</v>
      </c>
      <c r="J96" s="660" t="s">
        <v>114</v>
      </c>
      <c r="K96" s="841" t="s">
        <v>4290</v>
      </c>
      <c r="L96" s="661">
        <v>350</v>
      </c>
      <c r="M96" s="840">
        <v>150.5</v>
      </c>
      <c r="N96" s="841" t="s">
        <v>4297</v>
      </c>
      <c r="O96" s="661" t="s">
        <v>658</v>
      </c>
      <c r="P96" s="661" t="s">
        <v>4002</v>
      </c>
      <c r="Q96" s="841" t="s">
        <v>2373</v>
      </c>
      <c r="R96" s="661" t="s">
        <v>4255</v>
      </c>
      <c r="S96" s="661" t="s">
        <v>3653</v>
      </c>
      <c r="T96" s="661" t="s">
        <v>3653</v>
      </c>
      <c r="U96" s="841">
        <v>0.14949999999999999</v>
      </c>
      <c r="V96" s="841">
        <v>0.14949999999999999</v>
      </c>
      <c r="W96" s="661" t="s">
        <v>4296</v>
      </c>
      <c r="X96" s="841">
        <v>11.08</v>
      </c>
      <c r="Y96" s="661" t="s">
        <v>3689</v>
      </c>
      <c r="Z96" s="661" t="s">
        <v>3991</v>
      </c>
      <c r="AA96" s="661">
        <v>234</v>
      </c>
      <c r="AB96" s="661" t="s">
        <v>4256</v>
      </c>
      <c r="AC96" s="840" t="s">
        <v>119</v>
      </c>
      <c r="AD96" s="840" t="s">
        <v>1746</v>
      </c>
      <c r="AE96" s="840" t="s">
        <v>1668</v>
      </c>
      <c r="AF96" s="841">
        <v>88.8</v>
      </c>
      <c r="AG96" s="841" t="s">
        <v>4257</v>
      </c>
      <c r="AH96" s="660" t="s">
        <v>122</v>
      </c>
      <c r="AI96" s="660" t="s">
        <v>122</v>
      </c>
      <c r="AJ96" s="840" t="s">
        <v>2871</v>
      </c>
      <c r="AK96" s="661" t="s">
        <v>1747</v>
      </c>
      <c r="AL96" s="840"/>
      <c r="AM96" s="840"/>
      <c r="AN96" s="660" t="s">
        <v>1784</v>
      </c>
      <c r="AO96" s="840"/>
      <c r="AP96" s="840"/>
      <c r="AQ96" s="840"/>
      <c r="AR96" s="858">
        <v>9.3000000000000007</v>
      </c>
      <c r="AS96" s="858">
        <v>2.82</v>
      </c>
      <c r="AT96" s="858">
        <v>2.4900000000000002</v>
      </c>
      <c r="AU96" s="858">
        <v>5.18</v>
      </c>
      <c r="AV96" s="347">
        <v>4.7627160000000002</v>
      </c>
      <c r="AW96" s="664"/>
      <c r="AX96" s="672"/>
      <c r="AY96" s="660"/>
      <c r="AZ96" s="661"/>
      <c r="BA96" s="841" t="s">
        <v>4291</v>
      </c>
      <c r="BB96" s="841" t="s">
        <v>4292</v>
      </c>
      <c r="BC96" s="840">
        <v>16905102</v>
      </c>
      <c r="BD96" s="841" t="s">
        <v>4293</v>
      </c>
      <c r="BE96" s="841">
        <v>16904908</v>
      </c>
      <c r="BF96" s="841" t="s">
        <v>1127</v>
      </c>
      <c r="BG96" s="841" t="s">
        <v>1127</v>
      </c>
      <c r="BH96" s="841" t="s">
        <v>656</v>
      </c>
      <c r="BI96" s="845">
        <v>42482</v>
      </c>
      <c r="BJ96" s="842"/>
      <c r="BK96" s="842"/>
      <c r="BL96" s="842"/>
      <c r="BM96" s="842"/>
      <c r="BN96" s="842"/>
      <c r="BO96" s="839"/>
      <c r="BP96" s="846"/>
      <c r="BQ96" s="839"/>
      <c r="BR96" s="843"/>
      <c r="BS96" s="843"/>
      <c r="BT96" s="848"/>
      <c r="BU96" s="846"/>
      <c r="BV96" s="846"/>
      <c r="BW96" s="846"/>
      <c r="BX96" s="847"/>
      <c r="BY96" s="839">
        <v>34</v>
      </c>
      <c r="BZ96" s="844"/>
      <c r="CA96" s="839"/>
      <c r="CB96" s="839"/>
      <c r="CC96" s="847"/>
      <c r="CD96" s="847"/>
      <c r="CE96" s="838"/>
      <c r="CF96" s="849"/>
      <c r="CG96" s="838"/>
      <c r="CH96" s="838"/>
      <c r="CI96" s="855"/>
      <c r="CK96" s="838"/>
      <c r="CM96" s="671"/>
      <c r="CN96" s="671"/>
      <c r="CO96" s="671"/>
    </row>
    <row r="97" spans="1:114" ht="75" hidden="1" customHeight="1" x14ac:dyDescent="0.2">
      <c r="A97" s="646">
        <f>SQRT(2*57^2)</f>
        <v>80.610173055266415</v>
      </c>
      <c r="B97" s="660" t="s">
        <v>4081</v>
      </c>
      <c r="C97" s="661" t="s">
        <v>3984</v>
      </c>
      <c r="D97" s="661" t="s">
        <v>2877</v>
      </c>
      <c r="E97" s="661" t="s">
        <v>4058</v>
      </c>
      <c r="F97" s="660">
        <v>2020</v>
      </c>
      <c r="G97" s="845" t="s">
        <v>1797</v>
      </c>
      <c r="H97" s="661" t="s">
        <v>4062</v>
      </c>
      <c r="I97" s="839" t="s">
        <v>3838</v>
      </c>
      <c r="J97" s="660" t="s">
        <v>114</v>
      </c>
      <c r="K97" s="614"/>
      <c r="L97" s="660">
        <v>355</v>
      </c>
      <c r="M97" s="614"/>
      <c r="N97" s="660" t="s">
        <v>197</v>
      </c>
      <c r="O97" s="661" t="s">
        <v>4100</v>
      </c>
      <c r="P97" s="841" t="s">
        <v>3997</v>
      </c>
      <c r="Q97" s="841" t="s">
        <v>2797</v>
      </c>
      <c r="R97" s="841" t="s">
        <v>4069</v>
      </c>
      <c r="S97" s="661" t="s">
        <v>3653</v>
      </c>
      <c r="T97" s="661" t="s">
        <v>3653</v>
      </c>
      <c r="U97" s="614">
        <f>0.122*2</f>
        <v>0.24399999999999999</v>
      </c>
      <c r="V97" s="614">
        <f>0.122*2</f>
        <v>0.24399999999999999</v>
      </c>
      <c r="W97" s="661" t="s">
        <v>4101</v>
      </c>
      <c r="X97" s="514"/>
      <c r="Y97" s="661" t="s">
        <v>3676</v>
      </c>
      <c r="Z97" s="661" t="s">
        <v>3990</v>
      </c>
      <c r="AA97" s="661">
        <v>254</v>
      </c>
      <c r="AB97" s="661" t="s">
        <v>819</v>
      </c>
      <c r="AC97" s="661" t="s">
        <v>119</v>
      </c>
      <c r="AD97" s="661" t="s">
        <v>819</v>
      </c>
      <c r="AE97" s="841" t="s">
        <v>819</v>
      </c>
      <c r="AF97" s="519"/>
      <c r="AG97" s="660">
        <v>83</v>
      </c>
      <c r="AH97" s="660" t="s">
        <v>1744</v>
      </c>
      <c r="AI97" s="660" t="s">
        <v>1744</v>
      </c>
      <c r="AJ97" s="661" t="s">
        <v>4085</v>
      </c>
      <c r="AK97" s="661" t="s">
        <v>4102</v>
      </c>
      <c r="AL97" s="519"/>
      <c r="AM97" s="519"/>
      <c r="AN97" s="660" t="s">
        <v>1784</v>
      </c>
      <c r="AO97" s="519"/>
      <c r="AP97" s="519"/>
      <c r="AQ97" s="519"/>
      <c r="AR97" s="574">
        <v>0</v>
      </c>
      <c r="AS97" s="574">
        <v>0</v>
      </c>
      <c r="AT97" s="574">
        <v>0</v>
      </c>
      <c r="AU97" s="574">
        <v>0</v>
      </c>
      <c r="AV97" s="347">
        <v>5.82</v>
      </c>
      <c r="AW97" s="664" t="e">
        <f>(100*PI()*(A97^2))/(40*AO97*AV97*453.5924)</f>
        <v>#DIV/0!</v>
      </c>
      <c r="AX97" s="672" t="s">
        <v>4103</v>
      </c>
      <c r="AY97" s="660" t="s">
        <v>1669</v>
      </c>
      <c r="AZ97" s="614"/>
      <c r="BA97" s="614"/>
      <c r="BB97" s="614"/>
      <c r="BC97" s="519"/>
      <c r="BD97" s="614"/>
      <c r="BE97" s="614"/>
      <c r="BF97" s="614"/>
      <c r="BG97" s="614"/>
      <c r="BH97" s="524"/>
      <c r="BI97" s="525">
        <v>42464</v>
      </c>
      <c r="BJ97" s="533"/>
      <c r="BK97" s="533"/>
      <c r="BL97" s="533"/>
      <c r="BM97" s="533"/>
      <c r="BN97" s="533"/>
      <c r="BO97" s="524"/>
      <c r="BP97" s="526"/>
      <c r="BQ97" s="524"/>
      <c r="BR97" s="529"/>
      <c r="BS97" s="527"/>
      <c r="BT97" s="534"/>
      <c r="BU97" s="526"/>
      <c r="BV97" s="526"/>
      <c r="BW97" s="526"/>
      <c r="BX97" s="527"/>
      <c r="BY97" s="524"/>
      <c r="BZ97" s="528"/>
      <c r="CA97" s="524"/>
      <c r="CB97" s="524"/>
      <c r="CC97" s="527"/>
      <c r="CD97" s="527"/>
      <c r="CE97" s="523"/>
      <c r="CF97" s="530"/>
      <c r="CG97" s="523"/>
      <c r="CH97" s="524"/>
      <c r="CI97" s="531"/>
      <c r="CJ97" s="671"/>
      <c r="CK97" s="512" t="s">
        <v>3020</v>
      </c>
      <c r="CL97" s="671"/>
      <c r="CM97" s="671"/>
      <c r="CN97" s="671"/>
      <c r="CO97" s="671"/>
    </row>
    <row r="98" spans="1:114" s="833" customFormat="1" ht="75" hidden="1" customHeight="1" x14ac:dyDescent="0.2">
      <c r="A98" s="857">
        <f>SQRT(2*57^2)</f>
        <v>80.610173055266415</v>
      </c>
      <c r="B98" s="325" t="s">
        <v>4112</v>
      </c>
      <c r="C98" s="317" t="s">
        <v>3984</v>
      </c>
      <c r="D98" s="317" t="s">
        <v>2879</v>
      </c>
      <c r="E98" s="317" t="s">
        <v>4008</v>
      </c>
      <c r="F98" s="325">
        <v>2018</v>
      </c>
      <c r="G98" s="352" t="s">
        <v>1738</v>
      </c>
      <c r="H98" s="317" t="s">
        <v>4011</v>
      </c>
      <c r="I98" s="354" t="s">
        <v>2226</v>
      </c>
      <c r="J98" s="325" t="s">
        <v>114</v>
      </c>
      <c r="K98" s="317" t="s">
        <v>4224</v>
      </c>
      <c r="L98" s="325">
        <v>378</v>
      </c>
      <c r="M98" s="317">
        <v>158</v>
      </c>
      <c r="N98" s="325">
        <v>18</v>
      </c>
      <c r="O98" s="317" t="s">
        <v>2249</v>
      </c>
      <c r="P98" s="317" t="s">
        <v>3997</v>
      </c>
      <c r="Q98" s="317" t="s">
        <v>2797</v>
      </c>
      <c r="R98" s="317" t="s">
        <v>4000</v>
      </c>
      <c r="S98" s="317" t="s">
        <v>3653</v>
      </c>
      <c r="T98" s="317" t="s">
        <v>3653</v>
      </c>
      <c r="U98" s="317">
        <v>0.14499999999999999</v>
      </c>
      <c r="V98" s="317">
        <v>0.14499999999999999</v>
      </c>
      <c r="W98" s="317" t="s">
        <v>4113</v>
      </c>
      <c r="X98" s="514">
        <v>0.11</v>
      </c>
      <c r="Y98" s="317" t="s">
        <v>3676</v>
      </c>
      <c r="Z98" s="317" t="s">
        <v>4114</v>
      </c>
      <c r="AA98" s="317">
        <v>244</v>
      </c>
      <c r="AB98" s="317" t="s">
        <v>4115</v>
      </c>
      <c r="AC98" s="317" t="s">
        <v>119</v>
      </c>
      <c r="AD98" s="317" t="s">
        <v>4116</v>
      </c>
      <c r="AE98" s="325" t="s">
        <v>1668</v>
      </c>
      <c r="AF98" s="325">
        <v>100.6</v>
      </c>
      <c r="AG98" s="325">
        <v>133.80000000000001</v>
      </c>
      <c r="AH98" s="325" t="s">
        <v>1744</v>
      </c>
      <c r="AI98" s="325" t="s">
        <v>1744</v>
      </c>
      <c r="AJ98" s="317" t="s">
        <v>4118</v>
      </c>
      <c r="AK98" s="317" t="s">
        <v>4117</v>
      </c>
      <c r="AL98" s="325"/>
      <c r="AM98" s="325"/>
      <c r="AN98" s="325" t="s">
        <v>1784</v>
      </c>
      <c r="AO98" s="576" t="s">
        <v>819</v>
      </c>
      <c r="AP98" s="325" t="s">
        <v>819</v>
      </c>
      <c r="AQ98" s="576" t="s">
        <v>819</v>
      </c>
      <c r="AR98" s="865" t="s">
        <v>819</v>
      </c>
      <c r="AS98" s="865" t="s">
        <v>819</v>
      </c>
      <c r="AT98" s="865" t="s">
        <v>819</v>
      </c>
      <c r="AU98" s="865" t="s">
        <v>819</v>
      </c>
      <c r="AV98" s="865" t="s">
        <v>819</v>
      </c>
      <c r="AW98" s="577" t="s">
        <v>819</v>
      </c>
      <c r="AX98" s="327" t="s">
        <v>4119</v>
      </c>
      <c r="AY98" s="325" t="s">
        <v>2093</v>
      </c>
      <c r="AZ98" s="578" t="s">
        <v>819</v>
      </c>
      <c r="BA98" s="317" t="s">
        <v>4120</v>
      </c>
      <c r="BB98" s="317" t="s">
        <v>4121</v>
      </c>
      <c r="BC98" s="325" t="s">
        <v>4122</v>
      </c>
      <c r="BD98" s="317" t="s">
        <v>4123</v>
      </c>
      <c r="BE98" s="317" t="s">
        <v>4124</v>
      </c>
      <c r="BF98" s="317" t="s">
        <v>157</v>
      </c>
      <c r="BG98" s="317" t="s">
        <v>157</v>
      </c>
      <c r="BH98" s="320"/>
      <c r="BI98" s="318">
        <v>42474</v>
      </c>
      <c r="BJ98" s="321">
        <v>3900</v>
      </c>
      <c r="BK98" s="321">
        <v>3600</v>
      </c>
      <c r="BL98" s="321">
        <v>7500</v>
      </c>
      <c r="BM98" s="321">
        <v>787</v>
      </c>
      <c r="BN98" s="321">
        <v>3924</v>
      </c>
      <c r="BO98" s="320">
        <v>398.9</v>
      </c>
      <c r="BP98" s="328">
        <v>5373</v>
      </c>
      <c r="BQ98" s="579" t="s">
        <v>819</v>
      </c>
      <c r="BR98" s="319">
        <v>66.25</v>
      </c>
      <c r="BS98" s="329">
        <v>66.25</v>
      </c>
      <c r="BT98" s="334">
        <v>170.6</v>
      </c>
      <c r="BU98" s="579" t="s">
        <v>819</v>
      </c>
      <c r="BV98" s="579" t="s">
        <v>819</v>
      </c>
      <c r="BW98" s="579" t="s">
        <v>819</v>
      </c>
      <c r="BX98" s="329">
        <v>179.2</v>
      </c>
      <c r="BY98" s="320">
        <v>30</v>
      </c>
      <c r="BZ98" s="579" t="s">
        <v>819</v>
      </c>
      <c r="CA98" s="579" t="s">
        <v>819</v>
      </c>
      <c r="CB98" s="579" t="s">
        <v>819</v>
      </c>
      <c r="CC98" s="329">
        <v>76.790000000000006</v>
      </c>
      <c r="CD98" s="579" t="s">
        <v>819</v>
      </c>
      <c r="CE98" s="579" t="s">
        <v>819</v>
      </c>
      <c r="CF98" s="579" t="s">
        <v>819</v>
      </c>
      <c r="CG98" s="579" t="s">
        <v>819</v>
      </c>
      <c r="CH98" s="579" t="s">
        <v>819</v>
      </c>
      <c r="CI98" s="681" t="s">
        <v>819</v>
      </c>
      <c r="CJ98" s="850"/>
      <c r="CK98" s="512" t="s">
        <v>3020</v>
      </c>
      <c r="CL98" s="850"/>
      <c r="CM98" s="850"/>
      <c r="CN98" s="850"/>
      <c r="CO98" s="850"/>
      <c r="CP98" s="850"/>
      <c r="CQ98" s="850"/>
      <c r="CR98" s="850"/>
      <c r="CS98" s="850"/>
      <c r="CT98" s="850"/>
      <c r="CU98" s="850"/>
      <c r="CV98" s="850"/>
      <c r="CW98" s="850"/>
      <c r="CX98" s="850"/>
      <c r="CY98" s="850"/>
      <c r="CZ98" s="850"/>
      <c r="DA98" s="850"/>
      <c r="DB98" s="850"/>
      <c r="DC98" s="850"/>
      <c r="DD98" s="850"/>
      <c r="DE98" s="850"/>
      <c r="DF98" s="850"/>
      <c r="DG98" s="850"/>
      <c r="DH98" s="850"/>
      <c r="DI98" s="850"/>
      <c r="DJ98" s="850"/>
    </row>
    <row r="99" spans="1:114" s="833" customFormat="1" ht="75" hidden="1" customHeight="1" x14ac:dyDescent="0.2">
      <c r="A99" s="282">
        <f t="shared" ref="A99:A105" si="2">SQRT(2*60^2)</f>
        <v>84.852813742385706</v>
      </c>
      <c r="B99" s="182" t="s">
        <v>4080</v>
      </c>
      <c r="C99" s="183" t="s">
        <v>3984</v>
      </c>
      <c r="D99" s="183" t="s">
        <v>2877</v>
      </c>
      <c r="E99" s="661" t="s">
        <v>4058</v>
      </c>
      <c r="F99" s="182">
        <v>2020</v>
      </c>
      <c r="G99" s="667" t="s">
        <v>1738</v>
      </c>
      <c r="H99" s="183" t="s">
        <v>4062</v>
      </c>
      <c r="I99" s="838" t="s">
        <v>3838</v>
      </c>
      <c r="J99" s="182" t="s">
        <v>114</v>
      </c>
      <c r="K99" s="519"/>
      <c r="L99" s="661">
        <v>355</v>
      </c>
      <c r="M99" s="519"/>
      <c r="N99" s="182" t="s">
        <v>197</v>
      </c>
      <c r="O99" s="183" t="s">
        <v>4100</v>
      </c>
      <c r="P99" s="841" t="s">
        <v>3997</v>
      </c>
      <c r="Q99" s="841" t="s">
        <v>2797</v>
      </c>
      <c r="R99" s="841" t="s">
        <v>4069</v>
      </c>
      <c r="S99" s="183" t="s">
        <v>3653</v>
      </c>
      <c r="T99" s="183" t="s">
        <v>3653</v>
      </c>
      <c r="U99" s="614">
        <f>0.122*2</f>
        <v>0.24399999999999999</v>
      </c>
      <c r="V99" s="614">
        <f>0.122*2</f>
        <v>0.24399999999999999</v>
      </c>
      <c r="W99" s="183" t="s">
        <v>4101</v>
      </c>
      <c r="X99" s="517"/>
      <c r="Y99" s="183" t="s">
        <v>3676</v>
      </c>
      <c r="Z99" s="183" t="s">
        <v>3990</v>
      </c>
      <c r="AA99" s="598">
        <v>254</v>
      </c>
      <c r="AB99" s="183" t="s">
        <v>819</v>
      </c>
      <c r="AC99" s="661" t="s">
        <v>119</v>
      </c>
      <c r="AD99" s="661" t="s">
        <v>819</v>
      </c>
      <c r="AE99" s="661" t="s">
        <v>819</v>
      </c>
      <c r="AF99" s="614"/>
      <c r="AG99" s="614">
        <v>83</v>
      </c>
      <c r="AH99" s="840" t="s">
        <v>1744</v>
      </c>
      <c r="AI99" s="840" t="s">
        <v>1744</v>
      </c>
      <c r="AJ99" s="841" t="s">
        <v>4085</v>
      </c>
      <c r="AK99" s="183" t="s">
        <v>4102</v>
      </c>
      <c r="AL99" s="519"/>
      <c r="AM99" s="519"/>
      <c r="AN99" s="182" t="s">
        <v>1784</v>
      </c>
      <c r="AO99" s="614"/>
      <c r="AP99" s="519"/>
      <c r="AQ99" s="614"/>
      <c r="AR99" s="574">
        <v>0</v>
      </c>
      <c r="AS99" s="574">
        <v>0</v>
      </c>
      <c r="AT99" s="574">
        <v>0</v>
      </c>
      <c r="AU99" s="574">
        <v>0</v>
      </c>
      <c r="AV99" s="347">
        <v>6.13</v>
      </c>
      <c r="AW99" s="843" t="e">
        <f>(100*PI()*(A99^2))/(40*AO99*AV99*453.5924)</f>
        <v>#DIV/0!</v>
      </c>
      <c r="AX99" s="261" t="s">
        <v>4103</v>
      </c>
      <c r="AY99" s="840" t="s">
        <v>1669</v>
      </c>
      <c r="AZ99" s="183">
        <v>1000000</v>
      </c>
      <c r="BA99" s="614"/>
      <c r="BB99" s="614"/>
      <c r="BC99" s="519"/>
      <c r="BD99" s="614"/>
      <c r="BE99" s="614"/>
      <c r="BF99" s="614"/>
      <c r="BG99" s="614"/>
      <c r="BH99" s="524"/>
      <c r="BI99" s="525">
        <v>42464</v>
      </c>
      <c r="BJ99" s="524"/>
      <c r="BK99" s="524"/>
      <c r="BL99" s="524"/>
      <c r="BM99" s="524"/>
      <c r="BN99" s="524"/>
      <c r="BO99" s="523"/>
      <c r="BP99" s="526"/>
      <c r="BQ99" s="523"/>
      <c r="BR99" s="521"/>
      <c r="BS99" s="527"/>
      <c r="BT99" s="524"/>
      <c r="BU99" s="526"/>
      <c r="BV99" s="526"/>
      <c r="BW99" s="526"/>
      <c r="BX99" s="527"/>
      <c r="BY99" s="524"/>
      <c r="BZ99" s="528"/>
      <c r="CA99" s="529"/>
      <c r="CB99" s="529"/>
      <c r="CC99" s="527"/>
      <c r="CD99" s="527"/>
      <c r="CE99" s="523"/>
      <c r="CF99" s="530"/>
      <c r="CG99" s="523"/>
      <c r="CH99" s="523"/>
      <c r="CI99" s="531"/>
      <c r="CJ99" s="850"/>
      <c r="CK99" s="512"/>
      <c r="CL99" s="850"/>
      <c r="CM99" s="850"/>
      <c r="CN99" s="850"/>
      <c r="CO99" s="850"/>
      <c r="CP99" s="850"/>
      <c r="CQ99" s="850"/>
      <c r="CR99" s="850"/>
      <c r="CS99" s="850"/>
      <c r="CT99" s="850"/>
      <c r="CU99" s="850"/>
      <c r="CV99" s="850"/>
      <c r="CW99" s="850"/>
      <c r="CX99" s="850"/>
      <c r="CY99" s="850"/>
      <c r="CZ99" s="850"/>
      <c r="DA99" s="850"/>
      <c r="DB99" s="850"/>
      <c r="DC99" s="850"/>
      <c r="DD99" s="850"/>
      <c r="DE99" s="850"/>
      <c r="DF99" s="850"/>
      <c r="DG99" s="850"/>
      <c r="DH99" s="850"/>
      <c r="DI99" s="850"/>
      <c r="DJ99" s="850"/>
    </row>
    <row r="100" spans="1:114" s="833" customFormat="1" ht="75" customHeight="1" x14ac:dyDescent="0.2">
      <c r="A100" s="646">
        <f t="shared" si="2"/>
        <v>84.852813742385706</v>
      </c>
      <c r="B100" s="660" t="s">
        <v>337</v>
      </c>
      <c r="C100" s="661" t="s">
        <v>3984</v>
      </c>
      <c r="D100" s="661" t="s">
        <v>793</v>
      </c>
      <c r="E100" s="661" t="s">
        <v>4007</v>
      </c>
      <c r="F100" s="660">
        <v>2008</v>
      </c>
      <c r="G100" s="845" t="s">
        <v>1738</v>
      </c>
      <c r="H100" s="661" t="s">
        <v>4048</v>
      </c>
      <c r="I100" s="838" t="s">
        <v>4059</v>
      </c>
      <c r="J100" s="660" t="s">
        <v>114</v>
      </c>
      <c r="K100" s="660" t="s">
        <v>463</v>
      </c>
      <c r="L100" s="840">
        <v>345</v>
      </c>
      <c r="M100" s="660">
        <v>149.6</v>
      </c>
      <c r="N100" s="660" t="s">
        <v>1361</v>
      </c>
      <c r="O100" s="661" t="s">
        <v>1204</v>
      </c>
      <c r="P100" s="841" t="s">
        <v>4002</v>
      </c>
      <c r="Q100" s="841" t="s">
        <v>2373</v>
      </c>
      <c r="R100" s="841" t="s">
        <v>2373</v>
      </c>
      <c r="S100" s="661"/>
      <c r="T100" s="661"/>
      <c r="U100" s="661"/>
      <c r="V100" s="661"/>
      <c r="W100" s="661" t="s">
        <v>3660</v>
      </c>
      <c r="X100" s="841"/>
      <c r="Y100" s="661"/>
      <c r="Z100" s="661"/>
      <c r="AA100" s="598">
        <v>250</v>
      </c>
      <c r="AB100" s="661" t="s">
        <v>70</v>
      </c>
      <c r="AC100" s="661" t="s">
        <v>710</v>
      </c>
      <c r="AD100" s="661" t="s">
        <v>464</v>
      </c>
      <c r="AE100" s="840" t="s">
        <v>2081</v>
      </c>
      <c r="AF100" s="840">
        <v>88</v>
      </c>
      <c r="AG100" s="840">
        <v>95</v>
      </c>
      <c r="AH100" s="840" t="s">
        <v>122</v>
      </c>
      <c r="AI100" s="840" t="s">
        <v>122</v>
      </c>
      <c r="AJ100" s="841" t="s">
        <v>2871</v>
      </c>
      <c r="AK100" s="661" t="s">
        <v>1117</v>
      </c>
      <c r="AL100" s="660"/>
      <c r="AM100" s="660"/>
      <c r="AN100" s="660" t="s">
        <v>1784</v>
      </c>
      <c r="AO100" s="840">
        <v>0.32</v>
      </c>
      <c r="AP100" s="660">
        <v>0.371</v>
      </c>
      <c r="AQ100" s="840"/>
      <c r="AR100" s="347">
        <v>10.432615999999999</v>
      </c>
      <c r="AS100" s="347">
        <v>2.6081539999999999</v>
      </c>
      <c r="AT100" s="347">
        <v>2.2226007999999999</v>
      </c>
      <c r="AU100" s="347">
        <v>5.8513368000000003</v>
      </c>
      <c r="AV100" s="347">
        <v>5.4793913600000002</v>
      </c>
      <c r="AW100" s="843">
        <v>32.250740879520954</v>
      </c>
      <c r="AX100" s="672">
        <v>39295</v>
      </c>
      <c r="AY100" s="840" t="s">
        <v>1669</v>
      </c>
      <c r="AZ100" s="661">
        <v>400</v>
      </c>
      <c r="BA100" s="661" t="s">
        <v>1207</v>
      </c>
      <c r="BB100" s="661" t="s">
        <v>3923</v>
      </c>
      <c r="BC100" s="660">
        <v>15769301</v>
      </c>
      <c r="BD100" s="661" t="s">
        <v>1208</v>
      </c>
      <c r="BE100" s="661">
        <v>15769202</v>
      </c>
      <c r="BF100" s="661"/>
      <c r="BG100" s="661"/>
      <c r="BH100" s="659" t="s">
        <v>1209</v>
      </c>
      <c r="BI100" s="667">
        <v>42475</v>
      </c>
      <c r="BJ100" s="842">
        <v>4800</v>
      </c>
      <c r="BK100" s="842">
        <v>9260</v>
      </c>
      <c r="BL100" s="846">
        <v>14060</v>
      </c>
      <c r="BM100" s="842">
        <v>881.4</v>
      </c>
      <c r="BN100" s="842">
        <v>4013.2</v>
      </c>
      <c r="BO100" s="843">
        <v>346.964</v>
      </c>
      <c r="BP100" s="652">
        <v>6960.1420845114371</v>
      </c>
      <c r="BQ100" s="839">
        <v>0.36</v>
      </c>
      <c r="BR100" s="843">
        <v>55.3</v>
      </c>
      <c r="BS100" s="843">
        <v>55.3</v>
      </c>
      <c r="BT100" s="848">
        <v>136.79050000000001</v>
      </c>
      <c r="BU100" s="652">
        <f>(2.4525*(BL100*0.4535924)*(0.8*(1000/3600)*BT100)*(BR100/100))/(AF100*2)</f>
        <v>1493.8809622677184</v>
      </c>
      <c r="BV100" s="652">
        <f>(BP100/(M100/1000))/(2*AF100)</f>
        <v>264.34667007897718</v>
      </c>
      <c r="BW100" s="652">
        <f>(1.4*BP100/(M100/1000))/(2*AF100)</f>
        <v>370.08533811056805</v>
      </c>
      <c r="BX100" s="668">
        <f>0.5*(BL100/32.2)*((BO100*0.00328084)^2)*(BS100/100)</f>
        <v>156.44565972870529</v>
      </c>
      <c r="BY100" s="659">
        <v>40</v>
      </c>
      <c r="BZ100" s="665">
        <v>1.1336642009326471E-2</v>
      </c>
      <c r="CA100" s="839">
        <v>250.7</v>
      </c>
      <c r="CB100" s="664" t="s">
        <v>1814</v>
      </c>
      <c r="CC100" s="668">
        <v>82.16345292472451</v>
      </c>
      <c r="CD100" s="668">
        <f>BV100*(2*AF100)/(2*250)</f>
        <v>93.050027867799969</v>
      </c>
      <c r="CE100" s="651" t="str">
        <f>IF((CD100-CC100)&gt;0, "Shear","Power")</f>
        <v>Shear</v>
      </c>
      <c r="CF100" s="654">
        <v>-5.4272180068282716E-2</v>
      </c>
      <c r="CG100" s="651">
        <v>7.3</v>
      </c>
      <c r="CH100" s="651">
        <v>4.9000000000000004</v>
      </c>
      <c r="CI100" s="279">
        <v>3.85E-2</v>
      </c>
      <c r="CJ100" s="850"/>
      <c r="CK100" s="512"/>
      <c r="CL100" s="850"/>
      <c r="CM100" s="850"/>
      <c r="CN100" s="850"/>
      <c r="CO100" s="850"/>
      <c r="CP100" s="850"/>
      <c r="CQ100" s="850"/>
      <c r="CR100" s="850"/>
      <c r="CS100" s="850"/>
      <c r="CT100" s="850"/>
      <c r="CU100" s="850"/>
      <c r="CV100" s="850"/>
      <c r="CW100" s="850"/>
      <c r="CX100" s="850"/>
      <c r="CY100" s="850"/>
      <c r="CZ100" s="850"/>
      <c r="DA100" s="850"/>
      <c r="DB100" s="850"/>
      <c r="DC100" s="850"/>
      <c r="DD100" s="850"/>
      <c r="DE100" s="850"/>
      <c r="DF100" s="850"/>
      <c r="DG100" s="850"/>
      <c r="DH100" s="850"/>
      <c r="DI100" s="850"/>
      <c r="DJ100" s="850"/>
    </row>
    <row r="101" spans="1:114" ht="75" customHeight="1" x14ac:dyDescent="0.2">
      <c r="A101" s="646">
        <f t="shared" si="2"/>
        <v>84.852813742385706</v>
      </c>
      <c r="B101" s="660" t="s">
        <v>459</v>
      </c>
      <c r="C101" s="661" t="s">
        <v>3984</v>
      </c>
      <c r="D101" s="661" t="s">
        <v>791</v>
      </c>
      <c r="E101" s="661" t="s">
        <v>4007</v>
      </c>
      <c r="F101" s="660">
        <v>2012</v>
      </c>
      <c r="G101" s="845" t="s">
        <v>1738</v>
      </c>
      <c r="H101" s="661" t="s">
        <v>4049</v>
      </c>
      <c r="I101" s="839" t="s">
        <v>2226</v>
      </c>
      <c r="J101" s="660" t="s">
        <v>114</v>
      </c>
      <c r="K101" s="660" t="s">
        <v>458</v>
      </c>
      <c r="L101" s="840">
        <v>360</v>
      </c>
      <c r="M101" s="660">
        <v>153.25</v>
      </c>
      <c r="N101" s="660" t="s">
        <v>197</v>
      </c>
      <c r="O101" s="661" t="s">
        <v>4299</v>
      </c>
      <c r="P101" s="841" t="s">
        <v>4002</v>
      </c>
      <c r="Q101" s="841" t="s">
        <v>2797</v>
      </c>
      <c r="R101" s="841" t="s">
        <v>2373</v>
      </c>
      <c r="S101" s="661" t="s">
        <v>3652</v>
      </c>
      <c r="T101" s="661" t="s">
        <v>3652</v>
      </c>
      <c r="U101" s="661">
        <v>7.6499999999999999E-2</v>
      </c>
      <c r="V101" s="661">
        <v>7.6499999999999999E-2</v>
      </c>
      <c r="W101" s="661" t="s">
        <v>4307</v>
      </c>
      <c r="X101" s="839">
        <v>14.19</v>
      </c>
      <c r="Y101" s="661" t="s">
        <v>3261</v>
      </c>
      <c r="Z101" s="661" t="s">
        <v>4300</v>
      </c>
      <c r="AA101" s="346">
        <v>254</v>
      </c>
      <c r="AB101" s="661" t="s">
        <v>228</v>
      </c>
      <c r="AC101" s="661" t="s">
        <v>710</v>
      </c>
      <c r="AD101" s="661" t="s">
        <v>3262</v>
      </c>
      <c r="AE101" s="840" t="s">
        <v>91</v>
      </c>
      <c r="AF101" s="840">
        <v>102.24</v>
      </c>
      <c r="AG101" s="325">
        <v>115.2</v>
      </c>
      <c r="AH101" s="840" t="s">
        <v>1744</v>
      </c>
      <c r="AI101" s="840" t="s">
        <v>1744</v>
      </c>
      <c r="AJ101" s="841" t="s">
        <v>369</v>
      </c>
      <c r="AK101" s="661" t="s">
        <v>4301</v>
      </c>
      <c r="AL101" s="660"/>
      <c r="AM101" s="660"/>
      <c r="AN101" s="660" t="s">
        <v>1784</v>
      </c>
      <c r="AO101" s="576" t="s">
        <v>819</v>
      </c>
      <c r="AP101" s="660">
        <v>0.35699999999999998</v>
      </c>
      <c r="AQ101" s="576" t="s">
        <v>819</v>
      </c>
      <c r="AR101" s="347">
        <v>11.6</v>
      </c>
      <c r="AS101" s="347">
        <v>2.6353695199999998</v>
      </c>
      <c r="AT101" s="347">
        <v>2.2200000000000002</v>
      </c>
      <c r="AU101" s="347">
        <v>6.78</v>
      </c>
      <c r="AV101" s="347">
        <v>6.3094647200000002</v>
      </c>
      <c r="AW101" s="843">
        <v>27.159110285575281</v>
      </c>
      <c r="AX101" s="672">
        <v>40756</v>
      </c>
      <c r="AY101" s="840" t="s">
        <v>1669</v>
      </c>
      <c r="AZ101" s="661">
        <v>227</v>
      </c>
      <c r="BA101" s="661" t="s">
        <v>4308</v>
      </c>
      <c r="BB101" s="661" t="s">
        <v>4309</v>
      </c>
      <c r="BC101" s="660">
        <v>18892501</v>
      </c>
      <c r="BD101" s="661" t="s">
        <v>4310</v>
      </c>
      <c r="BE101" s="661">
        <v>15882804</v>
      </c>
      <c r="BF101" s="661" t="s">
        <v>157</v>
      </c>
      <c r="BG101" s="661" t="s">
        <v>157</v>
      </c>
      <c r="BH101" s="659" t="s">
        <v>1209</v>
      </c>
      <c r="BI101" s="845">
        <v>42493</v>
      </c>
      <c r="BJ101" s="842">
        <v>4900</v>
      </c>
      <c r="BK101" s="842">
        <v>9100</v>
      </c>
      <c r="BL101" s="846">
        <v>13999</v>
      </c>
      <c r="BM101" s="275">
        <v>787.4</v>
      </c>
      <c r="BN101" s="842">
        <v>3645</v>
      </c>
      <c r="BO101" s="843">
        <v>397</v>
      </c>
      <c r="BP101" s="652">
        <f>IF(G101="Front",0.5*9.81*0.4535924*(BJ101+BL101*(BM101/BN101)*1.1)*1.1*(BO101/1000),IF(G101="Rear",0.5*9.81*0.4535924*(BK101+BL101*(BM101/BN101)*0.9)*0.9*(BO101/1000),"TBD"))</f>
        <v>7992.8763534303744</v>
      </c>
      <c r="BQ101" s="839">
        <v>0.4</v>
      </c>
      <c r="BR101" s="843">
        <v>58</v>
      </c>
      <c r="BS101" s="843">
        <v>58</v>
      </c>
      <c r="BT101" s="848">
        <v>168.84</v>
      </c>
      <c r="BU101" s="652">
        <f>(2.4525*(BL101*0.4535924)*(0.8*(1000/3600)*BT101)*(BR101/100))/(AF101*2)</f>
        <v>1657.3406619413856</v>
      </c>
      <c r="BV101" s="652">
        <f>(BP101/(M101/1000))/(2*AF101)</f>
        <v>255.06553219084594</v>
      </c>
      <c r="BW101" s="652">
        <f>(1.4*BP101/(M101/1000))/(2*AF101)</f>
        <v>357.09174506718426</v>
      </c>
      <c r="BX101" s="668">
        <f>0.5*(BL101/32.2)*((BO101*0.00328084)^2)*(BS101/100)</f>
        <v>213.88988931085757</v>
      </c>
      <c r="BY101" s="659">
        <v>39</v>
      </c>
      <c r="BZ101" s="665">
        <f>BX101/(L101*BY101)</f>
        <v>1.5234322600488431E-2</v>
      </c>
      <c r="CA101" s="839" t="s">
        <v>819</v>
      </c>
      <c r="CB101" s="839" t="s">
        <v>157</v>
      </c>
      <c r="CC101" s="668">
        <f>BU101*(2*AF101)/(2*1600)</f>
        <v>105.90406829805454</v>
      </c>
      <c r="CD101" s="668">
        <f>BV101*(2*AF101)/(2*250)</f>
        <v>104.31160004476834</v>
      </c>
      <c r="CE101" s="651" t="str">
        <f>IF((CD101-CC101)&gt;0, "Shear","Power")</f>
        <v>Power</v>
      </c>
      <c r="CF101" s="654">
        <f>(AF101/MAX(CC101,CD101))-1</f>
        <v>-3.4597993797013116E-2</v>
      </c>
      <c r="CG101" s="651">
        <v>6.46</v>
      </c>
      <c r="CH101" s="651">
        <v>4.05</v>
      </c>
      <c r="CI101" s="279">
        <f>CG101-CH101</f>
        <v>2.41</v>
      </c>
      <c r="CK101" s="204" t="s">
        <v>1127</v>
      </c>
    </row>
    <row r="102" spans="1:114" ht="75" customHeight="1" x14ac:dyDescent="0.2">
      <c r="A102" s="646">
        <f t="shared" si="2"/>
        <v>84.852813742385706</v>
      </c>
      <c r="B102" s="660" t="s">
        <v>455</v>
      </c>
      <c r="C102" s="661" t="s">
        <v>3984</v>
      </c>
      <c r="D102" s="661" t="s">
        <v>793</v>
      </c>
      <c r="E102" s="661" t="s">
        <v>4007</v>
      </c>
      <c r="F102" s="660">
        <v>2013</v>
      </c>
      <c r="G102" s="270" t="s">
        <v>1738</v>
      </c>
      <c r="H102" s="661" t="s">
        <v>4050</v>
      </c>
      <c r="I102" s="644" t="s">
        <v>4059</v>
      </c>
      <c r="J102" s="660" t="s">
        <v>114</v>
      </c>
      <c r="K102" s="660" t="s">
        <v>453</v>
      </c>
      <c r="L102" s="661">
        <v>363</v>
      </c>
      <c r="M102" s="660">
        <v>153.85</v>
      </c>
      <c r="N102" s="660" t="s">
        <v>197</v>
      </c>
      <c r="O102" s="661" t="s">
        <v>1706</v>
      </c>
      <c r="P102" s="841" t="s">
        <v>3997</v>
      </c>
      <c r="Q102" s="841"/>
      <c r="R102" s="841"/>
      <c r="S102" s="661" t="s">
        <v>3652</v>
      </c>
      <c r="T102" s="661" t="s">
        <v>3652</v>
      </c>
      <c r="U102" s="661">
        <v>0.20499999999999999</v>
      </c>
      <c r="V102" s="661">
        <v>0.20499999999999999</v>
      </c>
      <c r="W102" s="661" t="s">
        <v>3658</v>
      </c>
      <c r="X102" s="517">
        <v>0.11</v>
      </c>
      <c r="Y102" s="661" t="s">
        <v>3676</v>
      </c>
      <c r="Z102" s="661" t="s">
        <v>3884</v>
      </c>
      <c r="AA102" s="598">
        <v>253.85</v>
      </c>
      <c r="AB102" s="661" t="s">
        <v>3910</v>
      </c>
      <c r="AC102" s="661" t="s">
        <v>710</v>
      </c>
      <c r="AD102" s="661" t="s">
        <v>3024</v>
      </c>
      <c r="AE102" s="661" t="s">
        <v>3883</v>
      </c>
      <c r="AF102" s="661">
        <v>110.1</v>
      </c>
      <c r="AG102" s="661" t="s">
        <v>3924</v>
      </c>
      <c r="AH102" s="661" t="s">
        <v>122</v>
      </c>
      <c r="AI102" s="661" t="s">
        <v>122</v>
      </c>
      <c r="AJ102" s="660" t="s">
        <v>2871</v>
      </c>
      <c r="AK102" s="661" t="s">
        <v>1117</v>
      </c>
      <c r="AL102" s="660"/>
      <c r="AM102" s="660"/>
      <c r="AN102" s="660" t="s">
        <v>1784</v>
      </c>
      <c r="AO102" s="661">
        <v>0.35</v>
      </c>
      <c r="AP102" s="660" t="s">
        <v>157</v>
      </c>
      <c r="AQ102" s="661">
        <v>0.51</v>
      </c>
      <c r="AR102" s="347">
        <v>12.700576</v>
      </c>
      <c r="AS102" s="347">
        <v>3.628736</v>
      </c>
      <c r="AT102" s="347">
        <v>3.2658624000000001</v>
      </c>
      <c r="AU102" s="347">
        <v>6.8038799999999995</v>
      </c>
      <c r="AV102" s="347">
        <v>6.1688511999999998</v>
      </c>
      <c r="AW102" s="189">
        <f>(100*PI()*(A102^2))/(40*AO102*AV102*453.5924)</f>
        <v>57.740995806191243</v>
      </c>
      <c r="AX102" s="672">
        <v>41183</v>
      </c>
      <c r="AY102" s="651" t="s">
        <v>2093</v>
      </c>
      <c r="AZ102" s="661">
        <v>400</v>
      </c>
      <c r="BA102" s="661" t="s">
        <v>3885</v>
      </c>
      <c r="BB102" s="661" t="s">
        <v>3886</v>
      </c>
      <c r="BC102" s="660">
        <v>17936502</v>
      </c>
      <c r="BD102" s="661" t="s">
        <v>3930</v>
      </c>
      <c r="BE102" s="661">
        <v>18616102</v>
      </c>
      <c r="BF102" s="661" t="s">
        <v>2205</v>
      </c>
      <c r="BG102" s="661" t="s">
        <v>2205</v>
      </c>
      <c r="BH102" s="659"/>
      <c r="BI102" s="667">
        <v>42475</v>
      </c>
      <c r="BJ102" s="659">
        <f>2525*2.2</f>
        <v>5555</v>
      </c>
      <c r="BK102" s="659">
        <f>3825*2.2</f>
        <v>8415</v>
      </c>
      <c r="BL102" s="659">
        <f>BJ102+BK102</f>
        <v>13970</v>
      </c>
      <c r="BM102" s="659"/>
      <c r="BN102" s="659"/>
      <c r="BO102" s="651">
        <v>386</v>
      </c>
      <c r="BP102" s="652"/>
      <c r="BQ102" s="651">
        <v>0.34</v>
      </c>
      <c r="BR102" s="662"/>
      <c r="BS102" s="668"/>
      <c r="BT102" s="659"/>
      <c r="BU102" s="652"/>
      <c r="BV102" s="652"/>
      <c r="BW102" s="652"/>
      <c r="BX102" s="668"/>
      <c r="BY102" s="659">
        <v>38</v>
      </c>
      <c r="BZ102" s="665"/>
      <c r="CA102" s="664"/>
      <c r="CB102" s="664"/>
      <c r="CC102" s="668"/>
      <c r="CD102" s="668"/>
      <c r="CE102" s="651"/>
      <c r="CF102" s="654"/>
      <c r="CG102" s="651"/>
      <c r="CH102" s="651"/>
      <c r="CI102" s="279"/>
      <c r="CK102" s="204"/>
    </row>
    <row r="103" spans="1:114" ht="75" customHeight="1" x14ac:dyDescent="0.2">
      <c r="A103" s="857">
        <f t="shared" si="2"/>
        <v>84.852813742385706</v>
      </c>
      <c r="B103" s="840" t="s">
        <v>455</v>
      </c>
      <c r="C103" s="183" t="s">
        <v>3984</v>
      </c>
      <c r="D103" s="841" t="s">
        <v>793</v>
      </c>
      <c r="E103" s="841" t="s">
        <v>4125</v>
      </c>
      <c r="F103" s="840">
        <v>2017</v>
      </c>
      <c r="G103" s="852" t="s">
        <v>1738</v>
      </c>
      <c r="H103" s="841" t="s">
        <v>4051</v>
      </c>
      <c r="I103" s="854" t="s">
        <v>4059</v>
      </c>
      <c r="J103" s="840" t="s">
        <v>114</v>
      </c>
      <c r="K103" s="660" t="s">
        <v>453</v>
      </c>
      <c r="L103" s="841">
        <v>363</v>
      </c>
      <c r="M103" s="840">
        <v>153.85</v>
      </c>
      <c r="N103" s="840" t="s">
        <v>197</v>
      </c>
      <c r="O103" s="841" t="s">
        <v>1706</v>
      </c>
      <c r="P103" s="841" t="s">
        <v>3997</v>
      </c>
      <c r="Q103" s="841"/>
      <c r="R103" s="841"/>
      <c r="S103" s="183" t="s">
        <v>3652</v>
      </c>
      <c r="T103" s="183" t="s">
        <v>3652</v>
      </c>
      <c r="U103" s="183">
        <v>0.20499999999999999</v>
      </c>
      <c r="V103" s="183">
        <v>0.20499999999999999</v>
      </c>
      <c r="W103" s="183" t="s">
        <v>3658</v>
      </c>
      <c r="X103" s="517">
        <v>0.11</v>
      </c>
      <c r="Y103" s="183" t="s">
        <v>3676</v>
      </c>
      <c r="Z103" s="183" t="s">
        <v>3884</v>
      </c>
      <c r="AA103" s="598">
        <v>253.85</v>
      </c>
      <c r="AB103" s="841" t="s">
        <v>3910</v>
      </c>
      <c r="AC103" s="841" t="s">
        <v>710</v>
      </c>
      <c r="AD103" s="841" t="s">
        <v>3024</v>
      </c>
      <c r="AE103" s="841" t="s">
        <v>3883</v>
      </c>
      <c r="AF103" s="841">
        <v>110.1</v>
      </c>
      <c r="AG103" s="183" t="s">
        <v>3924</v>
      </c>
      <c r="AH103" s="841" t="s">
        <v>122</v>
      </c>
      <c r="AI103" s="841" t="s">
        <v>122</v>
      </c>
      <c r="AJ103" s="840" t="s">
        <v>2871</v>
      </c>
      <c r="AK103" s="183" t="s">
        <v>3911</v>
      </c>
      <c r="AL103" s="182"/>
      <c r="AM103" s="182"/>
      <c r="AN103" s="182" t="s">
        <v>1784</v>
      </c>
      <c r="AO103" s="841">
        <v>0.35</v>
      </c>
      <c r="AP103" s="182" t="s">
        <v>157</v>
      </c>
      <c r="AQ103" s="841">
        <v>0.51</v>
      </c>
      <c r="AR103" s="347">
        <v>12.700576</v>
      </c>
      <c r="AS103" s="347">
        <v>3.628736</v>
      </c>
      <c r="AT103" s="347">
        <v>3.2658624000000001</v>
      </c>
      <c r="AU103" s="347">
        <v>6.8038799999999995</v>
      </c>
      <c r="AV103" s="347">
        <v>6.1688511999999998</v>
      </c>
      <c r="AW103" s="189">
        <f>(100*PI()*(A103^2))/(40*AO103*AV103*453.5924)</f>
        <v>57.740995806191243</v>
      </c>
      <c r="AX103" s="851" t="s">
        <v>3912</v>
      </c>
      <c r="AY103" s="838" t="s">
        <v>2093</v>
      </c>
      <c r="AZ103" s="183">
        <v>400</v>
      </c>
      <c r="BA103" s="183" t="s">
        <v>3925</v>
      </c>
      <c r="BB103" s="661" t="s">
        <v>3927</v>
      </c>
      <c r="BC103" s="182">
        <v>17936502</v>
      </c>
      <c r="BD103" s="183" t="s">
        <v>3930</v>
      </c>
      <c r="BE103" s="183">
        <v>18616102</v>
      </c>
      <c r="BF103" s="183" t="s">
        <v>2205</v>
      </c>
      <c r="BG103" s="183" t="s">
        <v>2205</v>
      </c>
      <c r="BH103" s="839"/>
      <c r="BI103" s="190">
        <v>42475</v>
      </c>
      <c r="BJ103" s="839">
        <f>2525*2.2</f>
        <v>5555</v>
      </c>
      <c r="BK103" s="839">
        <f>3825*2.2</f>
        <v>8415</v>
      </c>
      <c r="BL103" s="839">
        <f>BJ103+BK103</f>
        <v>13970</v>
      </c>
      <c r="BM103" s="839"/>
      <c r="BN103" s="839"/>
      <c r="BO103" s="838">
        <v>386</v>
      </c>
      <c r="BP103" s="191"/>
      <c r="BQ103" s="651">
        <v>0.34</v>
      </c>
      <c r="BR103" s="662"/>
      <c r="BS103" s="847"/>
      <c r="BT103" s="839"/>
      <c r="BU103" s="191"/>
      <c r="BV103" s="191"/>
      <c r="BW103" s="191"/>
      <c r="BX103" s="192"/>
      <c r="BY103" s="181">
        <v>38</v>
      </c>
      <c r="BZ103" s="187"/>
      <c r="CA103" s="843"/>
      <c r="CB103" s="843"/>
      <c r="CC103" s="192"/>
      <c r="CD103" s="192"/>
      <c r="CE103" s="180"/>
      <c r="CF103" s="196"/>
      <c r="CG103" s="180"/>
      <c r="CH103" s="180"/>
      <c r="CI103" s="279"/>
      <c r="CK103" s="204"/>
    </row>
    <row r="104" spans="1:114" ht="75" customHeight="1" x14ac:dyDescent="0.2">
      <c r="A104" s="857">
        <f t="shared" si="2"/>
        <v>84.852813742385706</v>
      </c>
      <c r="B104" s="840" t="s">
        <v>455</v>
      </c>
      <c r="C104" s="841" t="s">
        <v>3984</v>
      </c>
      <c r="D104" s="841" t="s">
        <v>793</v>
      </c>
      <c r="E104" s="841" t="s">
        <v>4007</v>
      </c>
      <c r="F104" s="840">
        <v>2013</v>
      </c>
      <c r="G104" s="667" t="s">
        <v>1738</v>
      </c>
      <c r="H104" s="841" t="s">
        <v>4052</v>
      </c>
      <c r="I104" s="838" t="s">
        <v>4059</v>
      </c>
      <c r="J104" s="840" t="s">
        <v>114</v>
      </c>
      <c r="K104" s="840" t="s">
        <v>453</v>
      </c>
      <c r="L104" s="841">
        <v>363</v>
      </c>
      <c r="M104" s="840">
        <v>153.85</v>
      </c>
      <c r="N104" s="840" t="s">
        <v>197</v>
      </c>
      <c r="O104" s="841" t="s">
        <v>1706</v>
      </c>
      <c r="P104" s="841" t="s">
        <v>3997</v>
      </c>
      <c r="Q104" s="841"/>
      <c r="R104" s="841"/>
      <c r="S104" s="841" t="s">
        <v>3652</v>
      </c>
      <c r="T104" s="841" t="s">
        <v>3652</v>
      </c>
      <c r="U104" s="841">
        <v>0.20499999999999999</v>
      </c>
      <c r="V104" s="841">
        <v>0.20499999999999999</v>
      </c>
      <c r="W104" s="841" t="s">
        <v>3658</v>
      </c>
      <c r="X104" s="517">
        <v>0.11</v>
      </c>
      <c r="Y104" s="841" t="s">
        <v>3676</v>
      </c>
      <c r="Z104" s="841" t="s">
        <v>3884</v>
      </c>
      <c r="AA104" s="598">
        <v>253.85</v>
      </c>
      <c r="AB104" s="841" t="s">
        <v>3910</v>
      </c>
      <c r="AC104" s="841" t="s">
        <v>710</v>
      </c>
      <c r="AD104" s="841" t="s">
        <v>3024</v>
      </c>
      <c r="AE104" s="841" t="s">
        <v>3883</v>
      </c>
      <c r="AF104" s="841">
        <v>110.1</v>
      </c>
      <c r="AG104" s="841" t="s">
        <v>3924</v>
      </c>
      <c r="AH104" s="841" t="s">
        <v>122</v>
      </c>
      <c r="AI104" s="841" t="s">
        <v>122</v>
      </c>
      <c r="AJ104" s="840" t="s">
        <v>2871</v>
      </c>
      <c r="AK104" s="841" t="s">
        <v>1117</v>
      </c>
      <c r="AL104" s="840"/>
      <c r="AM104" s="840"/>
      <c r="AN104" s="840" t="s">
        <v>1784</v>
      </c>
      <c r="AO104" s="841">
        <v>0.35</v>
      </c>
      <c r="AP104" s="840" t="s">
        <v>157</v>
      </c>
      <c r="AQ104" s="841">
        <v>0.51</v>
      </c>
      <c r="AR104" s="858">
        <v>12.700576</v>
      </c>
      <c r="AS104" s="858">
        <v>3.628736</v>
      </c>
      <c r="AT104" s="858">
        <v>3.2658624000000001</v>
      </c>
      <c r="AU104" s="858">
        <v>6.8038799999999995</v>
      </c>
      <c r="AV104" s="858">
        <v>6.1688511999999998</v>
      </c>
      <c r="AW104" s="189">
        <f>(100*PI()*(A104^2))/(40*AO104*AV104*453.5924)</f>
        <v>57.740995806191243</v>
      </c>
      <c r="AX104" s="851">
        <v>41183</v>
      </c>
      <c r="AY104" s="838" t="s">
        <v>2093</v>
      </c>
      <c r="AZ104" s="841">
        <v>100</v>
      </c>
      <c r="BA104" s="841" t="s">
        <v>3887</v>
      </c>
      <c r="BB104" s="841" t="s">
        <v>3926</v>
      </c>
      <c r="BC104" s="840">
        <v>17936502</v>
      </c>
      <c r="BD104" s="841" t="s">
        <v>3930</v>
      </c>
      <c r="BE104" s="841">
        <v>18616102</v>
      </c>
      <c r="BF104" s="841" t="s">
        <v>2205</v>
      </c>
      <c r="BG104" s="841" t="s">
        <v>2205</v>
      </c>
      <c r="BH104" s="839"/>
      <c r="BI104" s="667">
        <v>42475</v>
      </c>
      <c r="BJ104" s="839">
        <f>2525*2.2</f>
        <v>5555</v>
      </c>
      <c r="BK104" s="839">
        <f>3825*2.2</f>
        <v>8415</v>
      </c>
      <c r="BL104" s="839">
        <f>BJ104+BK104</f>
        <v>13970</v>
      </c>
      <c r="BM104" s="839"/>
      <c r="BN104" s="839"/>
      <c r="BO104" s="838">
        <v>386</v>
      </c>
      <c r="BP104" s="846"/>
      <c r="BQ104" s="838">
        <v>0.34</v>
      </c>
      <c r="BR104" s="662"/>
      <c r="BS104" s="847"/>
      <c r="BT104" s="839"/>
      <c r="BU104" s="846"/>
      <c r="BV104" s="846"/>
      <c r="BW104" s="846"/>
      <c r="BX104" s="847"/>
      <c r="BY104" s="839">
        <v>38</v>
      </c>
      <c r="BZ104" s="844"/>
      <c r="CA104" s="843"/>
      <c r="CB104" s="843"/>
      <c r="CC104" s="847"/>
      <c r="CD104" s="847"/>
      <c r="CE104" s="838"/>
      <c r="CF104" s="849"/>
      <c r="CG104" s="838"/>
      <c r="CH104" s="838"/>
      <c r="CI104" s="855"/>
      <c r="CK104" s="204"/>
    </row>
    <row r="105" spans="1:114" ht="75" hidden="1" customHeight="1" x14ac:dyDescent="0.2">
      <c r="A105" s="646">
        <f t="shared" si="2"/>
        <v>84.852813742385706</v>
      </c>
      <c r="B105" s="660" t="s">
        <v>455</v>
      </c>
      <c r="C105" s="661" t="s">
        <v>3984</v>
      </c>
      <c r="D105" s="841" t="s">
        <v>793</v>
      </c>
      <c r="E105" s="841" t="s">
        <v>4008</v>
      </c>
      <c r="F105" s="660">
        <v>2017</v>
      </c>
      <c r="G105" s="852" t="s">
        <v>1738</v>
      </c>
      <c r="H105" s="841" t="s">
        <v>4053</v>
      </c>
      <c r="I105" s="854" t="s">
        <v>4059</v>
      </c>
      <c r="J105" s="660" t="s">
        <v>114</v>
      </c>
      <c r="K105" s="660" t="s">
        <v>453</v>
      </c>
      <c r="L105" s="841">
        <v>363</v>
      </c>
      <c r="M105" s="660">
        <v>153.85</v>
      </c>
      <c r="N105" s="840" t="s">
        <v>197</v>
      </c>
      <c r="O105" s="841" t="s">
        <v>1706</v>
      </c>
      <c r="P105" s="841" t="s">
        <v>3997</v>
      </c>
      <c r="Q105" s="841"/>
      <c r="R105" s="841"/>
      <c r="S105" s="661" t="s">
        <v>3652</v>
      </c>
      <c r="T105" s="661" t="s">
        <v>3652</v>
      </c>
      <c r="U105" s="661">
        <v>0.20499999999999999</v>
      </c>
      <c r="V105" s="661">
        <v>0.20499999999999999</v>
      </c>
      <c r="W105" s="661" t="s">
        <v>3658</v>
      </c>
      <c r="X105" s="517">
        <v>0.11</v>
      </c>
      <c r="Y105" s="661" t="s">
        <v>3676</v>
      </c>
      <c r="Z105" s="661" t="s">
        <v>3884</v>
      </c>
      <c r="AA105" s="661">
        <v>253.85</v>
      </c>
      <c r="AB105" s="661" t="s">
        <v>3910</v>
      </c>
      <c r="AC105" s="841" t="s">
        <v>710</v>
      </c>
      <c r="AD105" s="841" t="s">
        <v>3024</v>
      </c>
      <c r="AE105" s="841" t="s">
        <v>3883</v>
      </c>
      <c r="AF105" s="661">
        <v>110.1</v>
      </c>
      <c r="AG105" s="661" t="s">
        <v>3924</v>
      </c>
      <c r="AH105" s="841" t="s">
        <v>122</v>
      </c>
      <c r="AI105" s="841" t="s">
        <v>122</v>
      </c>
      <c r="AJ105" s="660" t="s">
        <v>2871</v>
      </c>
      <c r="AK105" s="661" t="s">
        <v>3911</v>
      </c>
      <c r="AL105" s="660"/>
      <c r="AM105" s="660"/>
      <c r="AN105" s="660" t="s">
        <v>1784</v>
      </c>
      <c r="AO105" s="841">
        <v>0.35</v>
      </c>
      <c r="AP105" s="660" t="s">
        <v>157</v>
      </c>
      <c r="AQ105" s="841">
        <v>0.51</v>
      </c>
      <c r="AR105" s="347">
        <v>12.700576</v>
      </c>
      <c r="AS105" s="347">
        <v>3.628736</v>
      </c>
      <c r="AT105" s="347">
        <v>3.2658624000000001</v>
      </c>
      <c r="AU105" s="347">
        <v>6.8038799999999995</v>
      </c>
      <c r="AV105" s="347">
        <v>6.1688511999999998</v>
      </c>
      <c r="AW105" s="189">
        <f>(100*PI()*(A105^2))/(40*AO105*AV105*453.5924)</f>
        <v>57.740995806191243</v>
      </c>
      <c r="AX105" s="672" t="s">
        <v>3912</v>
      </c>
      <c r="AY105" s="838" t="s">
        <v>2093</v>
      </c>
      <c r="AZ105" s="661">
        <v>100</v>
      </c>
      <c r="BA105" s="661" t="s">
        <v>3928</v>
      </c>
      <c r="BB105" s="841" t="s">
        <v>3929</v>
      </c>
      <c r="BC105" s="660">
        <v>17936502</v>
      </c>
      <c r="BD105" s="661" t="s">
        <v>3930</v>
      </c>
      <c r="BE105" s="661">
        <v>18616102</v>
      </c>
      <c r="BF105" s="661" t="s">
        <v>2205</v>
      </c>
      <c r="BG105" s="661" t="s">
        <v>2205</v>
      </c>
      <c r="BH105" s="659"/>
      <c r="BI105" s="667">
        <v>42475</v>
      </c>
      <c r="BJ105" s="839">
        <f>2525*2.2</f>
        <v>5555</v>
      </c>
      <c r="BK105" s="839">
        <f>3825*2.2</f>
        <v>8415</v>
      </c>
      <c r="BL105" s="839">
        <f>BJ105+BK105</f>
        <v>13970</v>
      </c>
      <c r="BM105" s="839"/>
      <c r="BN105" s="839"/>
      <c r="BO105" s="838">
        <v>386</v>
      </c>
      <c r="BP105" s="652"/>
      <c r="BQ105" s="838">
        <v>0.34</v>
      </c>
      <c r="BR105" s="662"/>
      <c r="BS105" s="668"/>
      <c r="BT105" s="839"/>
      <c r="BU105" s="652"/>
      <c r="BV105" s="652"/>
      <c r="BW105" s="652"/>
      <c r="BX105" s="668"/>
      <c r="BY105" s="659">
        <v>38</v>
      </c>
      <c r="BZ105" s="665"/>
      <c r="CA105" s="843"/>
      <c r="CB105" s="843"/>
      <c r="CC105" s="668"/>
      <c r="CD105" s="668"/>
      <c r="CE105" s="651"/>
      <c r="CF105" s="654"/>
      <c r="CG105" s="651"/>
      <c r="CH105" s="651"/>
      <c r="CI105" s="279"/>
      <c r="CK105" s="850"/>
    </row>
    <row r="106" spans="1:114" ht="75" hidden="1" customHeight="1" x14ac:dyDescent="0.2">
      <c r="A106" s="283">
        <f>SQRT(2*64^2)</f>
        <v>90.509667991878089</v>
      </c>
      <c r="B106" s="675" t="s">
        <v>3931</v>
      </c>
      <c r="C106" s="841" t="s">
        <v>3984</v>
      </c>
      <c r="D106" s="676" t="s">
        <v>793</v>
      </c>
      <c r="E106" s="676" t="s">
        <v>4007</v>
      </c>
      <c r="F106" s="675">
        <v>2017</v>
      </c>
      <c r="G106" s="353" t="s">
        <v>1797</v>
      </c>
      <c r="H106" s="676" t="s">
        <v>4054</v>
      </c>
      <c r="I106" s="356" t="s">
        <v>4059</v>
      </c>
      <c r="J106" s="675" t="s">
        <v>114</v>
      </c>
      <c r="K106" s="840" t="s">
        <v>3934</v>
      </c>
      <c r="L106" s="676">
        <v>400</v>
      </c>
      <c r="M106" s="675">
        <v>170.2</v>
      </c>
      <c r="N106" s="675" t="s">
        <v>3933</v>
      </c>
      <c r="O106" s="676" t="s">
        <v>1706</v>
      </c>
      <c r="P106" s="676" t="s">
        <v>3997</v>
      </c>
      <c r="Q106" s="676" t="s">
        <v>2797</v>
      </c>
      <c r="R106" s="676"/>
      <c r="S106" s="841" t="s">
        <v>3652</v>
      </c>
      <c r="T106" s="841" t="s">
        <v>3652</v>
      </c>
      <c r="U106" s="841">
        <v>0.14499999999999999</v>
      </c>
      <c r="V106" s="841">
        <v>0.14499999999999999</v>
      </c>
      <c r="W106" s="841" t="s">
        <v>3942</v>
      </c>
      <c r="X106" s="517">
        <v>0.11</v>
      </c>
      <c r="Y106" s="841" t="s">
        <v>3676</v>
      </c>
      <c r="Z106" s="841" t="s">
        <v>3993</v>
      </c>
      <c r="AA106" s="841">
        <v>284</v>
      </c>
      <c r="AB106" s="276" t="s">
        <v>3910</v>
      </c>
      <c r="AC106" s="676" t="s">
        <v>710</v>
      </c>
      <c r="AD106" s="276" t="s">
        <v>3024</v>
      </c>
      <c r="AE106" s="675" t="s">
        <v>91</v>
      </c>
      <c r="AF106" s="840">
        <v>132.19999999999999</v>
      </c>
      <c r="AG106" s="841">
        <v>163.75</v>
      </c>
      <c r="AH106" s="840" t="s">
        <v>1744</v>
      </c>
      <c r="AI106" s="840" t="s">
        <v>1744</v>
      </c>
      <c r="AJ106" s="841" t="s">
        <v>3030</v>
      </c>
      <c r="AK106" s="841" t="s">
        <v>3911</v>
      </c>
      <c r="AL106" s="840"/>
      <c r="AM106" s="840"/>
      <c r="AN106" s="840" t="s">
        <v>1784</v>
      </c>
      <c r="AO106" s="840">
        <v>0.3</v>
      </c>
      <c r="AP106" s="840" t="s">
        <v>157</v>
      </c>
      <c r="AQ106" s="840">
        <v>0.02</v>
      </c>
      <c r="AR106" s="858">
        <v>17.009699999999999</v>
      </c>
      <c r="AS106" s="858">
        <v>4.5812792</v>
      </c>
      <c r="AT106" s="858">
        <v>3.9916096000000003</v>
      </c>
      <c r="AU106" s="858">
        <v>9.7068687999999987</v>
      </c>
      <c r="AV106" s="858">
        <v>9.1171991999999999</v>
      </c>
      <c r="AW106" s="843">
        <f>(100*PI()*(A106^2))/(40*AO106*AV106*453.5924)</f>
        <v>51.859862059769604</v>
      </c>
      <c r="AX106" s="513" t="s">
        <v>3912</v>
      </c>
      <c r="AY106" s="675" t="s">
        <v>2093</v>
      </c>
      <c r="AZ106" s="841">
        <v>55</v>
      </c>
      <c r="BA106" s="841" t="s">
        <v>3935</v>
      </c>
      <c r="BB106" s="841" t="s">
        <v>3937</v>
      </c>
      <c r="BC106" s="840">
        <v>18882401</v>
      </c>
      <c r="BD106" s="841" t="s">
        <v>3940</v>
      </c>
      <c r="BE106" s="841">
        <v>18885402</v>
      </c>
      <c r="BF106" s="841" t="s">
        <v>2205</v>
      </c>
      <c r="BG106" s="841" t="s">
        <v>2205</v>
      </c>
      <c r="BH106" s="538" t="s">
        <v>3943</v>
      </c>
      <c r="BI106" s="667">
        <v>42475</v>
      </c>
      <c r="BJ106" s="842">
        <v>7000</v>
      </c>
      <c r="BK106" s="842">
        <v>14300</v>
      </c>
      <c r="BL106" s="842">
        <f>BJ106+BK106</f>
        <v>21300</v>
      </c>
      <c r="BM106" s="842">
        <v>1041</v>
      </c>
      <c r="BN106" s="842">
        <v>4567</v>
      </c>
      <c r="BO106" s="839">
        <v>392.9</v>
      </c>
      <c r="BP106" s="846">
        <v>15461</v>
      </c>
      <c r="BQ106" s="838">
        <v>0.43</v>
      </c>
      <c r="BR106" s="539">
        <v>0.49309999999999998</v>
      </c>
      <c r="BS106" s="843"/>
      <c r="BT106" s="848">
        <v>130</v>
      </c>
      <c r="BU106" s="846"/>
      <c r="BV106" s="846"/>
      <c r="BW106" s="846"/>
      <c r="BX106" s="847">
        <v>336.7</v>
      </c>
      <c r="BY106" s="839">
        <v>39</v>
      </c>
      <c r="BZ106" s="844">
        <f>BX106/(L106*BY106)</f>
        <v>2.1583333333333333E-2</v>
      </c>
      <c r="CA106" s="839" t="s">
        <v>157</v>
      </c>
      <c r="CB106" s="839" t="s">
        <v>157</v>
      </c>
      <c r="CC106" s="847"/>
      <c r="CD106" s="847">
        <v>151.56</v>
      </c>
      <c r="CE106" s="838" t="s">
        <v>1049</v>
      </c>
      <c r="CF106" s="849">
        <f>(AF106/MAX(CC106,CD106))-1</f>
        <v>-0.12773818949590932</v>
      </c>
      <c r="CG106" s="838"/>
      <c r="CH106" s="838"/>
      <c r="CI106" s="855"/>
      <c r="CK106" s="850"/>
    </row>
    <row r="107" spans="1:114" ht="75" customHeight="1" x14ac:dyDescent="0.2">
      <c r="A107" s="283">
        <f>SQRT(2*66^2)</f>
        <v>93.338095116624274</v>
      </c>
      <c r="B107" s="840" t="s">
        <v>460</v>
      </c>
      <c r="C107" s="841" t="s">
        <v>3984</v>
      </c>
      <c r="D107" s="841" t="s">
        <v>791</v>
      </c>
      <c r="E107" s="841" t="s">
        <v>4007</v>
      </c>
      <c r="F107" s="840">
        <v>2013</v>
      </c>
      <c r="G107" s="853" t="s">
        <v>795</v>
      </c>
      <c r="H107" s="841" t="s">
        <v>4055</v>
      </c>
      <c r="I107" s="673" t="s">
        <v>2226</v>
      </c>
      <c r="J107" s="840" t="s">
        <v>114</v>
      </c>
      <c r="K107" s="840" t="s">
        <v>3257</v>
      </c>
      <c r="L107" s="840">
        <v>390</v>
      </c>
      <c r="M107" s="840">
        <v>168</v>
      </c>
      <c r="N107" s="840" t="s">
        <v>1224</v>
      </c>
      <c r="O107" s="841" t="s">
        <v>4299</v>
      </c>
      <c r="P107" s="841" t="s">
        <v>4002</v>
      </c>
      <c r="Q107" s="841" t="s">
        <v>2797</v>
      </c>
      <c r="R107" s="841" t="s">
        <v>2373</v>
      </c>
      <c r="S107" s="841" t="s">
        <v>3652</v>
      </c>
      <c r="T107" s="841" t="s">
        <v>3652</v>
      </c>
      <c r="U107" s="841">
        <v>0.14499999999999999</v>
      </c>
      <c r="V107" s="841">
        <v>0.14499999999999999</v>
      </c>
      <c r="W107" s="841" t="s">
        <v>4311</v>
      </c>
      <c r="X107" s="841">
        <v>14.29</v>
      </c>
      <c r="Y107" s="841" t="s">
        <v>3259</v>
      </c>
      <c r="Z107" s="841" t="s">
        <v>4248</v>
      </c>
      <c r="AA107" s="841">
        <v>284</v>
      </c>
      <c r="AB107" s="841" t="s">
        <v>3258</v>
      </c>
      <c r="AC107" s="840" t="s">
        <v>710</v>
      </c>
      <c r="AD107" s="841" t="s">
        <v>4312</v>
      </c>
      <c r="AE107" s="840" t="s">
        <v>91</v>
      </c>
      <c r="AF107" s="841">
        <v>119.6</v>
      </c>
      <c r="AG107" s="317">
        <v>130.54</v>
      </c>
      <c r="AH107" s="840" t="s">
        <v>1744</v>
      </c>
      <c r="AI107" s="840" t="s">
        <v>1744</v>
      </c>
      <c r="AJ107" s="840" t="s">
        <v>369</v>
      </c>
      <c r="AK107" s="841" t="s">
        <v>4301</v>
      </c>
      <c r="AL107" s="840"/>
      <c r="AM107" s="840"/>
      <c r="AN107" s="840" t="s">
        <v>1784</v>
      </c>
      <c r="AO107" s="576" t="s">
        <v>819</v>
      </c>
      <c r="AP107" s="576" t="s">
        <v>819</v>
      </c>
      <c r="AQ107" s="576" t="s">
        <v>819</v>
      </c>
      <c r="AR107" s="858">
        <v>16.8</v>
      </c>
      <c r="AS107" s="858">
        <v>5.65</v>
      </c>
      <c r="AT107" s="858">
        <v>4.99</v>
      </c>
      <c r="AU107" s="858">
        <v>9.1199999999999992</v>
      </c>
      <c r="AV107" s="858">
        <v>8.43</v>
      </c>
      <c r="AW107" s="843">
        <v>29.9</v>
      </c>
      <c r="AX107" s="851">
        <v>41275</v>
      </c>
      <c r="AY107" s="840" t="s">
        <v>1669</v>
      </c>
      <c r="AZ107" s="317">
        <v>100</v>
      </c>
      <c r="BA107" s="841" t="s">
        <v>4313</v>
      </c>
      <c r="BB107" s="840" t="s">
        <v>4314</v>
      </c>
      <c r="BC107" s="840">
        <v>16004801</v>
      </c>
      <c r="BD107" s="841" t="s">
        <v>4315</v>
      </c>
      <c r="BE107" s="841">
        <v>16005101</v>
      </c>
      <c r="BF107" s="841" t="s">
        <v>157</v>
      </c>
      <c r="BG107" s="841" t="s">
        <v>157</v>
      </c>
      <c r="BH107" s="839" t="s">
        <v>1796</v>
      </c>
      <c r="BI107" s="845">
        <v>42493</v>
      </c>
      <c r="BJ107" s="846">
        <v>4504</v>
      </c>
      <c r="BK107" s="846">
        <v>14996</v>
      </c>
      <c r="BL107" s="846">
        <v>19500</v>
      </c>
      <c r="BM107" s="846">
        <v>1214</v>
      </c>
      <c r="BN107" s="846">
        <v>5169</v>
      </c>
      <c r="BO107" s="201">
        <v>390</v>
      </c>
      <c r="BP107" s="846">
        <f>0.5*9.81*0.4535924*(BK107+BL107*(BM107/BN107)*0.9)*0.9*(BO107/1000)</f>
        <v>14929.673849656225</v>
      </c>
      <c r="BQ107" s="655">
        <v>0.36</v>
      </c>
      <c r="BR107" s="847">
        <v>51</v>
      </c>
      <c r="BS107" s="847">
        <v>51</v>
      </c>
      <c r="BT107" s="848">
        <v>112.68</v>
      </c>
      <c r="BU107" s="846">
        <f>(2.4525*(BL107*0.4535924)*(0.8*(1000/3600)*BT107)*(BR107/100))/(AF107*2)</f>
        <v>1158.1177609332392</v>
      </c>
      <c r="BV107" s="846">
        <f>(BP107/(M107/1000))/(2*AF107)</f>
        <v>371.5180027088366</v>
      </c>
      <c r="BW107" s="846">
        <f>(1.4*BP107/(M107/1000))/(2*AF107)</f>
        <v>520.12520379237117</v>
      </c>
      <c r="BX107" s="847">
        <f>0.5*(BL107/32.2)*((BO107*0.00328084)^2)*(BS107/100)</f>
        <v>252.82396418111341</v>
      </c>
      <c r="BY107" s="839">
        <v>39</v>
      </c>
      <c r="BZ107" s="844">
        <f>BX107/(L107*BY107)</f>
        <v>1.662221986726584E-2</v>
      </c>
      <c r="CA107" s="844" t="s">
        <v>819</v>
      </c>
      <c r="CB107" s="839" t="s">
        <v>157</v>
      </c>
      <c r="CC107" s="847">
        <f>BU107*(2*AF107)/(2*1600)</f>
        <v>86.569302629759619</v>
      </c>
      <c r="CD107" s="847">
        <f>BV107*(2*AF107)/(2*250)</f>
        <v>177.7342124959074</v>
      </c>
      <c r="CE107" s="838" t="s">
        <v>1049</v>
      </c>
      <c r="CF107" s="849">
        <v>-0.248</v>
      </c>
      <c r="CG107" s="838">
        <v>7.01</v>
      </c>
      <c r="CH107" s="838">
        <v>4.5199999999999996</v>
      </c>
      <c r="CI107" s="855">
        <f>CG107-CH107</f>
        <v>2.4900000000000002</v>
      </c>
      <c r="CK107" s="850"/>
    </row>
    <row r="108" spans="1:114" ht="75" hidden="1" customHeight="1" x14ac:dyDescent="0.2">
      <c r="A108" s="857">
        <f>SQRT(2*66^2)</f>
        <v>93.338095116624274</v>
      </c>
      <c r="B108" s="840" t="s">
        <v>460</v>
      </c>
      <c r="C108" s="841" t="s">
        <v>3984</v>
      </c>
      <c r="D108" s="676" t="s">
        <v>793</v>
      </c>
      <c r="E108" s="676" t="s">
        <v>4007</v>
      </c>
      <c r="F108" s="840">
        <v>2017</v>
      </c>
      <c r="G108" s="853" t="s">
        <v>1797</v>
      </c>
      <c r="H108" s="872" t="s">
        <v>4054</v>
      </c>
      <c r="I108" s="871" t="s">
        <v>4059</v>
      </c>
      <c r="J108" s="840" t="s">
        <v>114</v>
      </c>
      <c r="K108" s="840" t="s">
        <v>3938</v>
      </c>
      <c r="L108" s="840">
        <v>391</v>
      </c>
      <c r="M108" s="840">
        <v>164.5</v>
      </c>
      <c r="N108" s="675" t="s">
        <v>3933</v>
      </c>
      <c r="O108" s="676" t="s">
        <v>1706</v>
      </c>
      <c r="P108" s="676" t="s">
        <v>3997</v>
      </c>
      <c r="Q108" s="676" t="s">
        <v>2797</v>
      </c>
      <c r="R108" s="676"/>
      <c r="S108" s="841"/>
      <c r="T108" s="841"/>
      <c r="U108" s="841"/>
      <c r="V108" s="841"/>
      <c r="W108" s="841"/>
      <c r="X108" s="841"/>
      <c r="Y108" s="841"/>
      <c r="Z108" s="841"/>
      <c r="AA108" s="841"/>
      <c r="AB108" s="841"/>
      <c r="AC108" s="840"/>
      <c r="AD108" s="840"/>
      <c r="AE108" s="840"/>
      <c r="AF108" s="841"/>
      <c r="AG108" s="841"/>
      <c r="AH108" s="840"/>
      <c r="AI108" s="840"/>
      <c r="AJ108" s="840"/>
      <c r="AK108" s="841"/>
      <c r="AL108" s="840"/>
      <c r="AM108" s="840"/>
      <c r="AN108" s="840"/>
      <c r="AO108" s="840"/>
      <c r="AP108" s="840"/>
      <c r="AQ108" s="840"/>
      <c r="AR108" s="858"/>
      <c r="AS108" s="858"/>
      <c r="AT108" s="858"/>
      <c r="AU108" s="858"/>
      <c r="AV108" s="858"/>
      <c r="AW108" s="843"/>
      <c r="AX108" s="851"/>
      <c r="AY108" s="840"/>
      <c r="AZ108" s="841"/>
      <c r="BA108" s="841"/>
      <c r="BB108" s="840"/>
      <c r="BC108" s="840"/>
      <c r="BD108" s="841"/>
      <c r="BE108" s="841"/>
      <c r="BF108" s="841"/>
      <c r="BG108" s="841"/>
      <c r="BH108" s="839"/>
      <c r="BI108" s="667">
        <v>42475</v>
      </c>
      <c r="BJ108" s="846"/>
      <c r="BK108" s="846"/>
      <c r="BL108" s="846"/>
      <c r="BM108" s="846"/>
      <c r="BN108" s="846"/>
      <c r="BO108" s="201"/>
      <c r="BP108" s="846"/>
      <c r="BQ108" s="655"/>
      <c r="BR108" s="847"/>
      <c r="BS108" s="847"/>
      <c r="BT108" s="848"/>
      <c r="BU108" s="846"/>
      <c r="BV108" s="846"/>
      <c r="BW108" s="846"/>
      <c r="BX108" s="847"/>
      <c r="BY108" s="839"/>
      <c r="BZ108" s="844"/>
      <c r="CA108" s="844"/>
      <c r="CB108" s="844"/>
      <c r="CC108" s="847"/>
      <c r="CD108" s="847"/>
      <c r="CE108" s="838"/>
      <c r="CF108" s="849"/>
      <c r="CG108" s="838"/>
      <c r="CH108" s="838"/>
      <c r="CI108" s="855"/>
      <c r="CK108" s="850"/>
    </row>
    <row r="109" spans="1:114" ht="45" customHeight="1" x14ac:dyDescent="0.2">
      <c r="A109" s="210"/>
      <c r="B109" s="203"/>
      <c r="C109" s="203"/>
      <c r="D109" s="204"/>
      <c r="E109" s="204"/>
      <c r="F109" s="203"/>
      <c r="G109" s="212"/>
      <c r="H109" s="204"/>
      <c r="I109" s="205"/>
      <c r="J109" s="203"/>
      <c r="K109" s="203"/>
      <c r="L109" s="203"/>
      <c r="M109" s="203"/>
      <c r="N109" s="203"/>
      <c r="O109" s="204"/>
      <c r="P109" s="204"/>
      <c r="Q109" s="204"/>
      <c r="R109" s="204"/>
      <c r="S109" s="204"/>
      <c r="T109" s="204"/>
      <c r="U109" s="204"/>
      <c r="V109" s="204"/>
      <c r="W109" s="204"/>
      <c r="X109" s="204"/>
      <c r="Y109" s="273"/>
      <c r="Z109" s="204"/>
      <c r="AA109" s="204"/>
      <c r="AB109" s="204"/>
      <c r="AC109" s="203"/>
      <c r="AD109" s="203"/>
      <c r="AE109" s="203"/>
      <c r="AF109" s="204"/>
      <c r="AG109" s="204"/>
      <c r="AH109" s="203"/>
      <c r="AI109" s="203"/>
      <c r="AJ109" s="203"/>
      <c r="AK109" s="204"/>
      <c r="AL109" s="203"/>
      <c r="AM109" s="203"/>
      <c r="AN109" s="203"/>
      <c r="AO109" s="203"/>
      <c r="AP109" s="203"/>
      <c r="AQ109" s="203"/>
      <c r="AR109" s="206"/>
      <c r="AS109" s="207"/>
      <c r="AT109" s="208"/>
      <c r="AU109" s="207"/>
      <c r="AV109" s="207"/>
      <c r="AX109" s="263"/>
      <c r="AY109" s="203"/>
      <c r="AZ109" s="204"/>
      <c r="BB109" s="203"/>
      <c r="BC109" s="203"/>
      <c r="BD109" s="204"/>
      <c r="BE109" s="204"/>
      <c r="BF109" s="204"/>
      <c r="BG109" s="204"/>
      <c r="BI109" s="212"/>
      <c r="BO109" s="214"/>
      <c r="BQ109" s="214"/>
      <c r="BT109" s="215"/>
      <c r="BX109" s="210"/>
      <c r="BY109" s="205"/>
      <c r="BZ109" s="202"/>
      <c r="CA109" s="205"/>
      <c r="CB109" s="205"/>
      <c r="CF109" s="284"/>
      <c r="CJ109" s="417"/>
      <c r="CK109" s="417"/>
    </row>
    <row r="110" spans="1:114" ht="45" customHeight="1" x14ac:dyDescent="0.2">
      <c r="B110" s="213" t="s">
        <v>3979</v>
      </c>
      <c r="C110" s="310" t="s">
        <v>3986</v>
      </c>
      <c r="H110" s="850"/>
      <c r="I110" s="850"/>
      <c r="W110" s="204"/>
      <c r="Y110" s="183"/>
      <c r="Z110" s="204"/>
      <c r="AL110" s="213" t="s">
        <v>901</v>
      </c>
      <c r="AX110" s="285" t="s">
        <v>902</v>
      </c>
      <c r="AZ110" s="286" t="s">
        <v>903</v>
      </c>
      <c r="BY110" s="205"/>
      <c r="BZ110" s="202"/>
      <c r="CK110" s="183"/>
    </row>
    <row r="111" spans="1:114" s="324" customFormat="1" ht="45" customHeight="1" x14ac:dyDescent="0.2">
      <c r="A111" s="213"/>
      <c r="B111" s="213"/>
      <c r="C111" s="310" t="s">
        <v>3985</v>
      </c>
      <c r="D111" s="213"/>
      <c r="E111" s="671"/>
      <c r="F111" s="213"/>
      <c r="G111" s="213"/>
      <c r="H111" s="850"/>
      <c r="I111" s="850"/>
      <c r="J111" s="213"/>
      <c r="K111" s="213"/>
      <c r="L111" s="213"/>
      <c r="M111" s="213"/>
      <c r="N111" s="213"/>
      <c r="O111" s="205"/>
      <c r="P111" s="205"/>
      <c r="Q111" s="205"/>
      <c r="R111" s="205"/>
      <c r="S111" s="213"/>
      <c r="T111" s="213"/>
      <c r="U111" s="213"/>
      <c r="V111" s="213"/>
      <c r="W111" s="204"/>
      <c r="X111" s="213"/>
      <c r="Y111" s="183"/>
      <c r="Z111" s="204"/>
      <c r="AA111" s="213"/>
      <c r="AB111" s="205"/>
      <c r="AC111" s="213"/>
      <c r="AD111" s="213"/>
      <c r="AE111" s="213"/>
      <c r="AF111" s="213"/>
      <c r="AG111" s="213"/>
      <c r="AH111" s="213"/>
      <c r="AI111" s="213"/>
      <c r="AJ111" s="213"/>
      <c r="AK111" s="205"/>
      <c r="AL111" s="213" t="s">
        <v>905</v>
      </c>
      <c r="AM111" s="213"/>
      <c r="AN111" s="213"/>
      <c r="AO111" s="213"/>
      <c r="AP111" s="213"/>
      <c r="AQ111" s="213"/>
      <c r="AR111" s="210"/>
      <c r="AS111" s="209"/>
      <c r="AT111" s="210"/>
      <c r="AU111" s="209"/>
      <c r="AV111" s="209"/>
      <c r="AW111" s="209"/>
      <c r="AX111" s="285" t="s">
        <v>906</v>
      </c>
      <c r="AY111" s="213"/>
      <c r="AZ111" s="213" t="s">
        <v>324</v>
      </c>
      <c r="BA111" s="213"/>
      <c r="BB111" s="213"/>
      <c r="BC111" s="213"/>
      <c r="BD111" s="213"/>
      <c r="BE111" s="213"/>
      <c r="BF111" s="213"/>
      <c r="BG111" s="213"/>
      <c r="BH111" s="205"/>
      <c r="BI111" s="213"/>
      <c r="BJ111" s="211"/>
      <c r="BK111" s="211"/>
      <c r="BL111" s="211"/>
      <c r="BM111" s="211"/>
      <c r="BN111" s="211"/>
      <c r="BO111" s="213"/>
      <c r="BP111" s="211"/>
      <c r="BQ111" s="213"/>
      <c r="BR111" s="210"/>
      <c r="BS111" s="210"/>
      <c r="BT111" s="287"/>
      <c r="BU111" s="211"/>
      <c r="BV111" s="211"/>
      <c r="BW111" s="211"/>
      <c r="BX111" s="213"/>
      <c r="BY111" s="205"/>
      <c r="BZ111" s="202"/>
      <c r="CA111" s="213"/>
      <c r="CB111" s="213"/>
      <c r="CC111" s="210"/>
      <c r="CD111" s="210"/>
      <c r="CE111" s="213"/>
      <c r="CF111" s="213"/>
      <c r="CG111" s="213"/>
      <c r="CH111" s="213"/>
      <c r="CI111" s="213"/>
      <c r="CJ111" s="671"/>
      <c r="CK111" s="661"/>
      <c r="CL111" s="671"/>
      <c r="CM111" s="671"/>
      <c r="CN111" s="671"/>
    </row>
    <row r="112" spans="1:114" ht="45" customHeight="1" x14ac:dyDescent="0.2">
      <c r="C112" s="310" t="s">
        <v>904</v>
      </c>
      <c r="H112" s="850"/>
      <c r="I112" s="850"/>
      <c r="W112" s="204"/>
      <c r="Y112" s="183"/>
      <c r="Z112" s="204"/>
      <c r="AL112" s="213" t="s">
        <v>2315</v>
      </c>
      <c r="AX112" s="285" t="s">
        <v>2316</v>
      </c>
      <c r="AZ112" s="286" t="s">
        <v>2317</v>
      </c>
      <c r="BY112" s="205"/>
      <c r="BZ112" s="202"/>
      <c r="CK112" s="183"/>
    </row>
    <row r="113" spans="1:89" ht="45" customHeight="1" x14ac:dyDescent="0.2">
      <c r="C113" s="310" t="s">
        <v>2314</v>
      </c>
      <c r="H113" s="850"/>
      <c r="I113" s="850"/>
      <c r="W113" s="204"/>
      <c r="Y113" s="183"/>
      <c r="Z113" s="204"/>
      <c r="BY113" s="205"/>
      <c r="BZ113" s="202"/>
      <c r="CK113" s="183"/>
    </row>
    <row r="114" spans="1:89" ht="45" customHeight="1" x14ac:dyDescent="0.2">
      <c r="C114" s="310" t="s">
        <v>2318</v>
      </c>
      <c r="H114" s="850"/>
      <c r="I114" s="850"/>
      <c r="W114" s="204"/>
      <c r="Y114" s="183"/>
      <c r="Z114" s="204"/>
      <c r="BY114" s="205"/>
      <c r="BZ114" s="202"/>
      <c r="CK114" s="183"/>
    </row>
    <row r="115" spans="1:89" ht="45" customHeight="1" x14ac:dyDescent="0.2">
      <c r="W115" s="204"/>
      <c r="Y115" s="183"/>
      <c r="Z115" s="204"/>
      <c r="BY115" s="205"/>
      <c r="BZ115" s="202"/>
      <c r="CJ115" s="671"/>
      <c r="CK115" s="183"/>
    </row>
    <row r="116" spans="1:89" ht="45" customHeight="1" x14ac:dyDescent="0.2">
      <c r="A116" s="873"/>
      <c r="B116" s="874" t="s">
        <v>339</v>
      </c>
      <c r="C116" s="874"/>
      <c r="D116" s="873"/>
      <c r="E116" s="873"/>
      <c r="F116" s="873"/>
      <c r="G116" s="873"/>
      <c r="H116" s="873"/>
      <c r="I116" s="873"/>
      <c r="J116" s="873"/>
      <c r="K116" s="873"/>
      <c r="L116" s="873"/>
      <c r="M116" s="873"/>
      <c r="N116" s="873"/>
      <c r="O116" s="875"/>
      <c r="P116" s="875"/>
      <c r="Q116" s="875"/>
      <c r="R116" s="875"/>
      <c r="S116" s="873"/>
      <c r="T116" s="873"/>
      <c r="U116" s="873"/>
      <c r="V116" s="873"/>
      <c r="W116" s="876"/>
      <c r="X116" s="873"/>
      <c r="Y116" s="870"/>
      <c r="Z116" s="876"/>
      <c r="AA116" s="873"/>
      <c r="AB116" s="875"/>
      <c r="AC116" s="873"/>
      <c r="AD116" s="873"/>
      <c r="AE116" s="873"/>
      <c r="AF116" s="873"/>
      <c r="AG116" s="873"/>
      <c r="AH116" s="873"/>
      <c r="AI116" s="873"/>
      <c r="AJ116" s="873"/>
      <c r="AK116" s="875"/>
      <c r="AL116" s="873"/>
      <c r="AM116" s="873"/>
      <c r="AN116" s="873"/>
      <c r="AO116" s="873"/>
      <c r="AP116" s="873"/>
      <c r="AQ116" s="873"/>
      <c r="AR116" s="877"/>
      <c r="AS116" s="878"/>
      <c r="AT116" s="877"/>
      <c r="AU116" s="878"/>
      <c r="AV116" s="878"/>
      <c r="AW116" s="878"/>
      <c r="AX116" s="879"/>
      <c r="AY116" s="873"/>
      <c r="AZ116" s="873"/>
      <c r="BA116" s="873"/>
      <c r="BB116" s="873"/>
      <c r="BC116" s="873"/>
      <c r="BD116" s="873"/>
      <c r="BE116" s="873"/>
      <c r="BF116" s="873"/>
      <c r="BG116" s="873"/>
      <c r="BH116" s="875"/>
      <c r="BI116" s="873"/>
      <c r="BJ116" s="880"/>
      <c r="BK116" s="880"/>
      <c r="BL116" s="880"/>
      <c r="BM116" s="880"/>
      <c r="BN116" s="880"/>
      <c r="BO116" s="873"/>
      <c r="BP116" s="880"/>
      <c r="BQ116" s="873"/>
      <c r="BR116" s="877"/>
      <c r="BS116" s="877"/>
      <c r="BT116" s="881"/>
      <c r="BU116" s="880"/>
      <c r="BV116" s="880"/>
      <c r="BW116" s="880"/>
      <c r="BX116" s="873"/>
      <c r="BY116" s="875"/>
      <c r="BZ116" s="882"/>
      <c r="CA116" s="873"/>
      <c r="CB116" s="873"/>
      <c r="CC116" s="877"/>
      <c r="CD116" s="877"/>
      <c r="CE116" s="873"/>
      <c r="CF116" s="873"/>
      <c r="CG116" s="873"/>
      <c r="CH116" s="873"/>
      <c r="CI116" s="873"/>
      <c r="CJ116" s="873"/>
      <c r="CK116" s="870"/>
    </row>
    <row r="117" spans="1:89" ht="45" customHeight="1" x14ac:dyDescent="0.2">
      <c r="A117" s="883">
        <v>34</v>
      </c>
      <c r="B117" s="883" t="s">
        <v>112</v>
      </c>
      <c r="C117" s="883"/>
      <c r="D117" s="883" t="s">
        <v>1787</v>
      </c>
      <c r="E117" s="883" t="s">
        <v>4225</v>
      </c>
      <c r="F117" s="883"/>
      <c r="G117" s="883" t="s">
        <v>1797</v>
      </c>
      <c r="H117" s="883" t="s">
        <v>1788</v>
      </c>
      <c r="I117" s="883" t="s">
        <v>1795</v>
      </c>
      <c r="J117" s="883" t="s">
        <v>114</v>
      </c>
      <c r="K117" s="883" t="s">
        <v>113</v>
      </c>
      <c r="L117" s="883">
        <v>270</v>
      </c>
      <c r="M117" s="883">
        <v>114</v>
      </c>
      <c r="N117" s="883" t="s">
        <v>115</v>
      </c>
      <c r="O117" s="870" t="s">
        <v>116</v>
      </c>
      <c r="P117" s="870"/>
      <c r="Q117" s="870"/>
      <c r="R117" s="870"/>
      <c r="S117" s="870"/>
      <c r="T117" s="870"/>
      <c r="U117" s="870"/>
      <c r="V117" s="870"/>
      <c r="W117" s="870"/>
      <c r="X117" s="870"/>
      <c r="Y117" s="870"/>
      <c r="Z117" s="870"/>
      <c r="AA117" s="870"/>
      <c r="AB117" s="870" t="s">
        <v>117</v>
      </c>
      <c r="AC117" s="870" t="s">
        <v>119</v>
      </c>
      <c r="AD117" s="870" t="s">
        <v>118</v>
      </c>
      <c r="AE117" s="870" t="s">
        <v>120</v>
      </c>
      <c r="AF117" s="870">
        <v>25.3</v>
      </c>
      <c r="AG117" s="870" t="s">
        <v>121</v>
      </c>
      <c r="AH117" s="870" t="s">
        <v>122</v>
      </c>
      <c r="AI117" s="870" t="s">
        <v>122</v>
      </c>
      <c r="AJ117" s="870" t="s">
        <v>234</v>
      </c>
      <c r="AK117" s="870" t="s">
        <v>235</v>
      </c>
      <c r="AL117" s="870" t="s">
        <v>1784</v>
      </c>
      <c r="AM117" s="870"/>
      <c r="AN117" s="870"/>
      <c r="AO117" s="870" t="s">
        <v>819</v>
      </c>
      <c r="AP117" s="870" t="s">
        <v>1785</v>
      </c>
      <c r="AQ117" s="870"/>
      <c r="AR117" s="870">
        <v>4.75</v>
      </c>
      <c r="AS117" s="870" t="s">
        <v>1786</v>
      </c>
      <c r="AT117" s="870" t="s">
        <v>157</v>
      </c>
      <c r="AU117" s="870"/>
      <c r="AV117" s="870"/>
      <c r="AW117" s="870" t="e">
        <f>(100*PI()*(A117^2))/(40*AO117*AV117*453.5924)</f>
        <v>#VALUE!</v>
      </c>
      <c r="AX117" s="870" t="s">
        <v>1789</v>
      </c>
      <c r="AY117" s="870" t="s">
        <v>1790</v>
      </c>
      <c r="AZ117" s="870">
        <v>132</v>
      </c>
      <c r="BA117" s="870" t="s">
        <v>1791</v>
      </c>
      <c r="BB117" s="870" t="s">
        <v>1792</v>
      </c>
      <c r="BC117" s="870" t="s">
        <v>1793</v>
      </c>
      <c r="BD117" s="870" t="s">
        <v>1794</v>
      </c>
      <c r="BE117" s="870"/>
      <c r="BF117" s="870"/>
      <c r="BG117" s="870"/>
      <c r="BH117" s="870" t="s">
        <v>1796</v>
      </c>
      <c r="BI117" s="870">
        <v>38441</v>
      </c>
      <c r="BJ117" s="870">
        <v>1947</v>
      </c>
      <c r="BK117" s="870">
        <v>1685</v>
      </c>
      <c r="BL117" s="870">
        <f>BJ117+BK117</f>
        <v>3632</v>
      </c>
      <c r="BM117" s="870">
        <v>508</v>
      </c>
      <c r="BN117" s="870">
        <v>2667</v>
      </c>
      <c r="BO117" s="870">
        <v>284.5</v>
      </c>
      <c r="BP117" s="870">
        <f>IF(G117="Front",0.5*9.81*0.4535924*(BJ117+BL117*(BM117/BN117)*1.1)*1.1*(BO117/1000),IF(G117="Rear",0.5*9.81*0.4535924*(BK117+BL117*(BM117/BN117)*0.9)*0.9*(BO117/1000),"TBD"))</f>
        <v>1314.6055716927524</v>
      </c>
      <c r="BQ117" s="870">
        <v>0.35</v>
      </c>
      <c r="BR117" s="870">
        <v>35</v>
      </c>
      <c r="BS117" s="870">
        <v>36</v>
      </c>
      <c r="BT117" s="870">
        <v>201</v>
      </c>
      <c r="BU117" s="870">
        <f>(2.4525*(BL117*0.4535924)*(0.8*(1000/3600)*BT117)*(BR117/100))/(AF117*2)</f>
        <v>1248.3078349211382</v>
      </c>
      <c r="BV117" s="870">
        <f>(BP117/(M117/1000))/(2*AF117)</f>
        <v>227.89778304083495</v>
      </c>
      <c r="BW117" s="870">
        <f>(1.4*BP117/(M117/1000))/(2*AF117)</f>
        <v>319.05689625716889</v>
      </c>
      <c r="BX117" s="870">
        <f>0.5*(BL117/32.2)*((BO117*0.00328084)^2)*(BS117/100)</f>
        <v>17.688748908643749</v>
      </c>
      <c r="BY117" s="870">
        <v>9</v>
      </c>
      <c r="BZ117" s="870">
        <f>BX117/(L117*BY117)</f>
        <v>7.2793205385365224E-3</v>
      </c>
      <c r="CA117" s="870" t="s">
        <v>1786</v>
      </c>
      <c r="CB117" s="870" t="s">
        <v>1786</v>
      </c>
      <c r="CC117" s="870">
        <f>BU117*(2*AF117)/(2*1600)</f>
        <v>19.738867639690501</v>
      </c>
      <c r="CD117" s="870">
        <f>BV117*(2*AF117)/(2*250)</f>
        <v>23.063255643732496</v>
      </c>
      <c r="CE117" s="870" t="str">
        <f>IF((CD117-CC117)&gt;0, "Shear","Power")</f>
        <v>Shear</v>
      </c>
      <c r="CF117" s="870">
        <f>(AF117/MAX(CC117,CD117))-1</f>
        <v>9.6983027497045793E-2</v>
      </c>
      <c r="CG117" s="870" t="s">
        <v>1786</v>
      </c>
      <c r="CH117" s="870" t="s">
        <v>1786</v>
      </c>
      <c r="CI117" s="870" t="s">
        <v>1786</v>
      </c>
      <c r="CJ117" s="873"/>
      <c r="CK117" s="870"/>
    </row>
    <row r="118" spans="1:89" ht="45" customHeight="1" x14ac:dyDescent="0.2">
      <c r="A118" s="884">
        <v>34</v>
      </c>
      <c r="B118" s="883" t="s">
        <v>1955</v>
      </c>
      <c r="C118" s="883"/>
      <c r="D118" s="883" t="s">
        <v>1787</v>
      </c>
      <c r="E118" s="883" t="s">
        <v>4225</v>
      </c>
      <c r="F118" s="883"/>
      <c r="G118" s="885"/>
      <c r="H118" s="870" t="s">
        <v>1961</v>
      </c>
      <c r="I118" s="886" t="s">
        <v>1965</v>
      </c>
      <c r="J118" s="883" t="s">
        <v>114</v>
      </c>
      <c r="K118" s="883" t="s">
        <v>1956</v>
      </c>
      <c r="L118" s="883">
        <v>270</v>
      </c>
      <c r="M118" s="883">
        <v>114</v>
      </c>
      <c r="N118" s="883" t="s">
        <v>115</v>
      </c>
      <c r="O118" s="870" t="s">
        <v>116</v>
      </c>
      <c r="P118" s="870"/>
      <c r="Q118" s="870"/>
      <c r="R118" s="870"/>
      <c r="S118" s="870"/>
      <c r="T118" s="870"/>
      <c r="U118" s="870"/>
      <c r="V118" s="870"/>
      <c r="W118" s="870"/>
      <c r="X118" s="870"/>
      <c r="Y118" s="870"/>
      <c r="Z118" s="870"/>
      <c r="AA118" s="870"/>
      <c r="AB118" s="870" t="s">
        <v>1957</v>
      </c>
      <c r="AC118" s="883" t="s">
        <v>119</v>
      </c>
      <c r="AD118" s="870" t="s">
        <v>1958</v>
      </c>
      <c r="AE118" s="883" t="s">
        <v>1801</v>
      </c>
      <c r="AF118" s="883" t="s">
        <v>1959</v>
      </c>
      <c r="AG118" s="883" t="s">
        <v>121</v>
      </c>
      <c r="AH118" s="883" t="s">
        <v>122</v>
      </c>
      <c r="AI118" s="883" t="s">
        <v>122</v>
      </c>
      <c r="AJ118" s="883" t="s">
        <v>234</v>
      </c>
      <c r="AK118" s="870" t="s">
        <v>1960</v>
      </c>
      <c r="AL118" s="883" t="s">
        <v>1784</v>
      </c>
      <c r="AM118" s="883"/>
      <c r="AN118" s="883"/>
      <c r="AO118" s="883"/>
      <c r="AP118" s="870" t="s">
        <v>1785</v>
      </c>
      <c r="AQ118" s="870"/>
      <c r="AR118" s="887">
        <v>4.75</v>
      </c>
      <c r="AS118" s="888" t="s">
        <v>1786</v>
      </c>
      <c r="AT118" s="887" t="s">
        <v>157</v>
      </c>
      <c r="AU118" s="888"/>
      <c r="AV118" s="888"/>
      <c r="AW118" s="888"/>
      <c r="AX118" s="889" t="s">
        <v>1789</v>
      </c>
      <c r="AY118" s="883" t="s">
        <v>1790</v>
      </c>
      <c r="AZ118" s="870"/>
      <c r="BA118" s="870" t="s">
        <v>1962</v>
      </c>
      <c r="BB118" s="890" t="s">
        <v>1963</v>
      </c>
      <c r="BC118" s="883" t="s">
        <v>1793</v>
      </c>
      <c r="BD118" s="870" t="s">
        <v>1964</v>
      </c>
      <c r="BE118" s="870"/>
      <c r="BF118" s="870"/>
      <c r="BG118" s="870"/>
      <c r="BH118" s="891" t="s">
        <v>1966</v>
      </c>
      <c r="BI118" s="890"/>
      <c r="BJ118" s="892"/>
      <c r="BK118" s="892"/>
      <c r="BL118" s="892"/>
      <c r="BM118" s="892"/>
      <c r="BN118" s="892"/>
      <c r="BO118" s="890"/>
      <c r="BP118" s="892" t="e">
        <f>1/2*9.8*(BJ118/2.2+BL118/2.2*BM118/BN118*1)*1*BO118/1000</f>
        <v>#DIV/0!</v>
      </c>
      <c r="BQ118" s="890">
        <v>0.35</v>
      </c>
      <c r="BR118" s="893"/>
      <c r="BS118" s="893"/>
      <c r="BT118" s="894"/>
      <c r="BU118" s="892"/>
      <c r="BV118" s="892"/>
      <c r="BW118" s="892"/>
      <c r="BX118" s="890"/>
      <c r="BY118" s="890"/>
      <c r="BZ118" s="895"/>
      <c r="CA118" s="890"/>
      <c r="CB118" s="890"/>
      <c r="CC118" s="893"/>
      <c r="CD118" s="893"/>
      <c r="CE118" s="890"/>
      <c r="CF118" s="890"/>
      <c r="CG118" s="890"/>
      <c r="CH118" s="890"/>
      <c r="CI118" s="896"/>
      <c r="CJ118" s="873"/>
      <c r="CK118" s="870"/>
    </row>
    <row r="119" spans="1:89" ht="45" customHeight="1" x14ac:dyDescent="0.2">
      <c r="A119" s="884">
        <v>34</v>
      </c>
      <c r="B119" s="883" t="s">
        <v>1955</v>
      </c>
      <c r="C119" s="883"/>
      <c r="D119" s="883" t="s">
        <v>2338</v>
      </c>
      <c r="E119" s="883" t="s">
        <v>4225</v>
      </c>
      <c r="F119" s="883"/>
      <c r="G119" s="885"/>
      <c r="H119" s="870" t="s">
        <v>1969</v>
      </c>
      <c r="I119" s="886" t="s">
        <v>2874</v>
      </c>
      <c r="J119" s="883"/>
      <c r="K119" s="883"/>
      <c r="L119" s="883">
        <v>270</v>
      </c>
      <c r="M119" s="883">
        <v>114</v>
      </c>
      <c r="N119" s="883" t="s">
        <v>115</v>
      </c>
      <c r="O119" s="870" t="s">
        <v>1741</v>
      </c>
      <c r="P119" s="870"/>
      <c r="Q119" s="870"/>
      <c r="R119" s="870"/>
      <c r="S119" s="870"/>
      <c r="T119" s="870"/>
      <c r="U119" s="870"/>
      <c r="V119" s="870"/>
      <c r="W119" s="870"/>
      <c r="X119" s="870"/>
      <c r="Y119" s="870"/>
      <c r="Z119" s="870"/>
      <c r="AA119" s="870"/>
      <c r="AB119" s="870" t="s">
        <v>1967</v>
      </c>
      <c r="AC119" s="883" t="s">
        <v>710</v>
      </c>
      <c r="AD119" s="883"/>
      <c r="AE119" s="883" t="s">
        <v>1801</v>
      </c>
      <c r="AF119" s="883" t="s">
        <v>1959</v>
      </c>
      <c r="AG119" s="883" t="s">
        <v>121</v>
      </c>
      <c r="AH119" s="883" t="s">
        <v>122</v>
      </c>
      <c r="AI119" s="883" t="s">
        <v>122</v>
      </c>
      <c r="AJ119" s="883" t="s">
        <v>234</v>
      </c>
      <c r="AK119" s="870" t="s">
        <v>1968</v>
      </c>
      <c r="AL119" s="883" t="s">
        <v>1784</v>
      </c>
      <c r="AM119" s="883"/>
      <c r="AN119" s="883"/>
      <c r="AO119" s="883"/>
      <c r="AP119" s="883"/>
      <c r="AQ119" s="883"/>
      <c r="AR119" s="887">
        <v>4.75</v>
      </c>
      <c r="AS119" s="888" t="s">
        <v>1786</v>
      </c>
      <c r="AT119" s="887" t="s">
        <v>157</v>
      </c>
      <c r="AU119" s="888"/>
      <c r="AV119" s="888"/>
      <c r="AW119" s="888"/>
      <c r="AX119" s="889" t="s">
        <v>1970</v>
      </c>
      <c r="AY119" s="883" t="s">
        <v>1790</v>
      </c>
      <c r="AZ119" s="870" t="s">
        <v>1921</v>
      </c>
      <c r="BA119" s="870" t="s">
        <v>1971</v>
      </c>
      <c r="BB119" s="883" t="s">
        <v>1972</v>
      </c>
      <c r="BC119" s="883" t="s">
        <v>1793</v>
      </c>
      <c r="BD119" s="870" t="s">
        <v>1973</v>
      </c>
      <c r="BE119" s="870"/>
      <c r="BF119" s="870"/>
      <c r="BG119" s="870"/>
      <c r="BH119" s="891" t="s">
        <v>1966</v>
      </c>
      <c r="BI119" s="890"/>
      <c r="BJ119" s="892">
        <v>200</v>
      </c>
      <c r="BK119" s="892">
        <v>500</v>
      </c>
      <c r="BL119" s="892">
        <f>BJ119+BK119</f>
        <v>700</v>
      </c>
      <c r="BM119" s="892">
        <v>300</v>
      </c>
      <c r="BN119" s="892">
        <v>800</v>
      </c>
      <c r="BO119" s="890">
        <v>300</v>
      </c>
      <c r="BP119" s="892">
        <f>1/2*9.8*(BJ119/2.2+BL119/2.2*BM119/BN119*1)*1*BO119/1000</f>
        <v>309.03409090909088</v>
      </c>
      <c r="BQ119" s="890">
        <v>0.35</v>
      </c>
      <c r="BR119" s="893"/>
      <c r="BS119" s="893"/>
      <c r="BT119" s="894"/>
      <c r="BU119" s="892"/>
      <c r="BV119" s="892"/>
      <c r="BW119" s="892"/>
      <c r="BX119" s="890"/>
      <c r="BY119" s="890"/>
      <c r="BZ119" s="895"/>
      <c r="CA119" s="890"/>
      <c r="CB119" s="890"/>
      <c r="CC119" s="893"/>
      <c r="CD119" s="893"/>
      <c r="CE119" s="890"/>
      <c r="CF119" s="890"/>
      <c r="CG119" s="890"/>
      <c r="CH119" s="890"/>
      <c r="CI119" s="896"/>
      <c r="CJ119" s="873"/>
      <c r="CK119" s="870"/>
    </row>
    <row r="120" spans="1:89" ht="45" customHeight="1" x14ac:dyDescent="0.2">
      <c r="A120" s="884">
        <v>34</v>
      </c>
      <c r="B120" s="883" t="s">
        <v>1974</v>
      </c>
      <c r="C120" s="883"/>
      <c r="D120" s="883" t="s">
        <v>2338</v>
      </c>
      <c r="E120" s="883" t="s">
        <v>4225</v>
      </c>
      <c r="F120" s="883"/>
      <c r="G120" s="885"/>
      <c r="H120" s="870" t="s">
        <v>1804</v>
      </c>
      <c r="I120" s="886" t="s">
        <v>2874</v>
      </c>
      <c r="J120" s="883"/>
      <c r="K120" s="883"/>
      <c r="L120" s="883">
        <v>270</v>
      </c>
      <c r="M120" s="883">
        <v>114</v>
      </c>
      <c r="N120" s="883" t="s">
        <v>115</v>
      </c>
      <c r="O120" s="870" t="s">
        <v>1741</v>
      </c>
      <c r="P120" s="870"/>
      <c r="Q120" s="870"/>
      <c r="R120" s="870"/>
      <c r="S120" s="870"/>
      <c r="T120" s="870"/>
      <c r="U120" s="870"/>
      <c r="V120" s="870"/>
      <c r="W120" s="870"/>
      <c r="X120" s="870"/>
      <c r="Y120" s="870"/>
      <c r="Z120" s="870"/>
      <c r="AA120" s="870"/>
      <c r="AB120" s="870" t="s">
        <v>1975</v>
      </c>
      <c r="AC120" s="883" t="s">
        <v>119</v>
      </c>
      <c r="AD120" s="870"/>
      <c r="AE120" s="883" t="s">
        <v>1801</v>
      </c>
      <c r="AF120" s="883" t="s">
        <v>1959</v>
      </c>
      <c r="AG120" s="883" t="s">
        <v>121</v>
      </c>
      <c r="AH120" s="883" t="s">
        <v>122</v>
      </c>
      <c r="AI120" s="883" t="s">
        <v>122</v>
      </c>
      <c r="AJ120" s="883" t="s">
        <v>234</v>
      </c>
      <c r="AK120" s="870" t="s">
        <v>1620</v>
      </c>
      <c r="AL120" s="883" t="s">
        <v>1784</v>
      </c>
      <c r="AM120" s="883"/>
      <c r="AN120" s="883"/>
      <c r="AO120" s="883"/>
      <c r="AP120" s="883"/>
      <c r="AQ120" s="883"/>
      <c r="AR120" s="887">
        <v>5</v>
      </c>
      <c r="AS120" s="888" t="s">
        <v>1786</v>
      </c>
      <c r="AT120" s="887" t="s">
        <v>157</v>
      </c>
      <c r="AU120" s="888"/>
      <c r="AV120" s="888"/>
      <c r="AW120" s="888"/>
      <c r="AX120" s="889" t="s">
        <v>1970</v>
      </c>
      <c r="AY120" s="883" t="s">
        <v>1790</v>
      </c>
      <c r="AZ120" s="870" t="s">
        <v>1921</v>
      </c>
      <c r="BA120" s="870" t="s">
        <v>1976</v>
      </c>
      <c r="BB120" s="883" t="s">
        <v>1977</v>
      </c>
      <c r="BC120" s="883" t="s">
        <v>1793</v>
      </c>
      <c r="BD120" s="870" t="s">
        <v>1973</v>
      </c>
      <c r="BE120" s="870"/>
      <c r="BF120" s="870"/>
      <c r="BG120" s="870"/>
      <c r="BH120" s="891" t="s">
        <v>1966</v>
      </c>
      <c r="BI120" s="890"/>
      <c r="BJ120" s="892"/>
      <c r="BK120" s="892"/>
      <c r="BL120" s="892"/>
      <c r="BM120" s="892"/>
      <c r="BN120" s="892"/>
      <c r="BO120" s="890"/>
      <c r="BP120" s="892" t="e">
        <f>1/2*9.8*(BJ120/2.2+BL120/2.2*BM120/BN120*1)*1*BO120/1000</f>
        <v>#DIV/0!</v>
      </c>
      <c r="BQ120" s="890">
        <v>0.35</v>
      </c>
      <c r="BR120" s="893"/>
      <c r="BS120" s="893"/>
      <c r="BT120" s="894"/>
      <c r="BU120" s="892"/>
      <c r="BV120" s="892"/>
      <c r="BW120" s="892"/>
      <c r="BX120" s="890"/>
      <c r="BY120" s="890"/>
      <c r="BZ120" s="895"/>
      <c r="CA120" s="890"/>
      <c r="CB120" s="890"/>
      <c r="CC120" s="893"/>
      <c r="CD120" s="893"/>
      <c r="CE120" s="890"/>
      <c r="CF120" s="890"/>
      <c r="CG120" s="890"/>
      <c r="CH120" s="890"/>
      <c r="CI120" s="896"/>
      <c r="CJ120" s="873"/>
      <c r="CK120" s="870"/>
    </row>
    <row r="121" spans="1:89" ht="45" customHeight="1" x14ac:dyDescent="0.2">
      <c r="A121" s="884">
        <v>34</v>
      </c>
      <c r="B121" s="883" t="s">
        <v>112</v>
      </c>
      <c r="C121" s="883"/>
      <c r="D121" s="883" t="s">
        <v>2338</v>
      </c>
      <c r="E121" s="883" t="s">
        <v>4225</v>
      </c>
      <c r="F121" s="883"/>
      <c r="G121" s="885"/>
      <c r="H121" s="870" t="s">
        <v>1979</v>
      </c>
      <c r="I121" s="886" t="s">
        <v>2874</v>
      </c>
      <c r="J121" s="883"/>
      <c r="K121" s="883"/>
      <c r="L121" s="883">
        <v>270</v>
      </c>
      <c r="M121" s="883">
        <v>114</v>
      </c>
      <c r="N121" s="883" t="s">
        <v>115</v>
      </c>
      <c r="O121" s="870" t="s">
        <v>1741</v>
      </c>
      <c r="P121" s="870"/>
      <c r="Q121" s="870"/>
      <c r="R121" s="870"/>
      <c r="S121" s="870"/>
      <c r="T121" s="870"/>
      <c r="U121" s="870"/>
      <c r="V121" s="870"/>
      <c r="W121" s="870"/>
      <c r="X121" s="870"/>
      <c r="Y121" s="870"/>
      <c r="Z121" s="870"/>
      <c r="AA121" s="870"/>
      <c r="AB121" s="870" t="s">
        <v>1978</v>
      </c>
      <c r="AC121" s="883" t="s">
        <v>119</v>
      </c>
      <c r="AD121" s="883"/>
      <c r="AE121" s="883" t="s">
        <v>120</v>
      </c>
      <c r="AF121" s="883" t="s">
        <v>1959</v>
      </c>
      <c r="AG121" s="883" t="s">
        <v>121</v>
      </c>
      <c r="AH121" s="883" t="s">
        <v>122</v>
      </c>
      <c r="AI121" s="883" t="s">
        <v>122</v>
      </c>
      <c r="AJ121" s="883" t="s">
        <v>234</v>
      </c>
      <c r="AK121" s="870" t="s">
        <v>235</v>
      </c>
      <c r="AL121" s="870" t="s">
        <v>1784</v>
      </c>
      <c r="AM121" s="870"/>
      <c r="AN121" s="870"/>
      <c r="AO121" s="870"/>
      <c r="AP121" s="870" t="s">
        <v>1785</v>
      </c>
      <c r="AQ121" s="870"/>
      <c r="AR121" s="887">
        <v>4.75</v>
      </c>
      <c r="AS121" s="888" t="s">
        <v>1786</v>
      </c>
      <c r="AT121" s="887" t="s">
        <v>157</v>
      </c>
      <c r="AU121" s="888"/>
      <c r="AV121" s="888"/>
      <c r="AW121" s="888"/>
      <c r="AX121" s="889" t="s">
        <v>1970</v>
      </c>
      <c r="AY121" s="883" t="s">
        <v>1790</v>
      </c>
      <c r="AZ121" s="870">
        <v>132</v>
      </c>
      <c r="BA121" s="870" t="s">
        <v>1980</v>
      </c>
      <c r="BB121" s="883" t="s">
        <v>1981</v>
      </c>
      <c r="BC121" s="883" t="s">
        <v>1793</v>
      </c>
      <c r="BD121" s="870" t="s">
        <v>1412</v>
      </c>
      <c r="BE121" s="870"/>
      <c r="BF121" s="870"/>
      <c r="BG121" s="870"/>
      <c r="BH121" s="870" t="s">
        <v>1809</v>
      </c>
      <c r="BI121" s="890"/>
      <c r="BJ121" s="897"/>
      <c r="BK121" s="897"/>
      <c r="BL121" s="897"/>
      <c r="BM121" s="897"/>
      <c r="BN121" s="897"/>
      <c r="BO121" s="870"/>
      <c r="BP121" s="898" t="e">
        <f>1/2*9.8*(BJ121/2.2+BL121/2.2*BM121/BN121*1)*1*BO121/1000</f>
        <v>#DIV/0!</v>
      </c>
      <c r="BQ121" s="870">
        <v>0.35</v>
      </c>
      <c r="BR121" s="888"/>
      <c r="BS121" s="888"/>
      <c r="BT121" s="899"/>
      <c r="BU121" s="897"/>
      <c r="BV121" s="897"/>
      <c r="BW121" s="897"/>
      <c r="BX121" s="890"/>
      <c r="BY121" s="890"/>
      <c r="BZ121" s="895"/>
      <c r="CA121" s="890"/>
      <c r="CB121" s="890"/>
      <c r="CC121" s="893"/>
      <c r="CD121" s="893"/>
      <c r="CE121" s="890"/>
      <c r="CF121" s="890"/>
      <c r="CG121" s="890"/>
      <c r="CH121" s="890"/>
      <c r="CI121" s="896"/>
      <c r="CJ121" s="873"/>
      <c r="CK121" s="870"/>
    </row>
    <row r="122" spans="1:89" ht="45" customHeight="1" x14ac:dyDescent="0.2">
      <c r="A122" s="900">
        <v>36</v>
      </c>
      <c r="B122" s="870" t="s">
        <v>1678</v>
      </c>
      <c r="C122" s="870"/>
      <c r="D122" s="870" t="s">
        <v>2878</v>
      </c>
      <c r="E122" s="883" t="s">
        <v>4225</v>
      </c>
      <c r="F122" s="870">
        <v>2001</v>
      </c>
      <c r="G122" s="901" t="s">
        <v>1797</v>
      </c>
      <c r="H122" s="870" t="s">
        <v>618</v>
      </c>
      <c r="I122" s="902" t="s">
        <v>231</v>
      </c>
      <c r="J122" s="870" t="s">
        <v>114</v>
      </c>
      <c r="K122" s="870" t="s">
        <v>1673</v>
      </c>
      <c r="L122" s="870">
        <v>270</v>
      </c>
      <c r="M122" s="870">
        <v>114</v>
      </c>
      <c r="N122" s="870" t="s">
        <v>115</v>
      </c>
      <c r="O122" s="870" t="s">
        <v>116</v>
      </c>
      <c r="P122" s="870"/>
      <c r="Q122" s="870"/>
      <c r="R122" s="870"/>
      <c r="S122" s="870"/>
      <c r="T122" s="870"/>
      <c r="U122" s="870"/>
      <c r="V122" s="870"/>
      <c r="W122" s="870"/>
      <c r="X122" s="870"/>
      <c r="Y122" s="870"/>
      <c r="Z122" s="870"/>
      <c r="AA122" s="870"/>
      <c r="AB122" s="870" t="s">
        <v>1674</v>
      </c>
      <c r="AC122" s="870" t="s">
        <v>119</v>
      </c>
      <c r="AD122" s="870" t="s">
        <v>1800</v>
      </c>
      <c r="AE122" s="870" t="s">
        <v>1668</v>
      </c>
      <c r="AF122" s="870">
        <v>27.6</v>
      </c>
      <c r="AG122" s="870" t="s">
        <v>121</v>
      </c>
      <c r="AH122" s="870" t="s">
        <v>122</v>
      </c>
      <c r="AI122" s="870" t="s">
        <v>122</v>
      </c>
      <c r="AJ122" s="870" t="s">
        <v>234</v>
      </c>
      <c r="AK122" s="870" t="s">
        <v>235</v>
      </c>
      <c r="AL122" s="870" t="s">
        <v>1784</v>
      </c>
      <c r="AM122" s="870"/>
      <c r="AN122" s="870"/>
      <c r="AO122" s="870"/>
      <c r="AP122" s="870" t="s">
        <v>1803</v>
      </c>
      <c r="AQ122" s="870"/>
      <c r="AR122" s="888">
        <v>4.75</v>
      </c>
      <c r="AS122" s="888" t="s">
        <v>1786</v>
      </c>
      <c r="AT122" s="888" t="s">
        <v>157</v>
      </c>
      <c r="AU122" s="888">
        <v>3.79</v>
      </c>
      <c r="AV122" s="903">
        <v>3.2120000000000002</v>
      </c>
      <c r="AW122" s="904" t="s">
        <v>1786</v>
      </c>
      <c r="AX122" s="905">
        <v>2000</v>
      </c>
      <c r="AY122" s="870" t="s">
        <v>1669</v>
      </c>
      <c r="AZ122" s="870">
        <v>300</v>
      </c>
      <c r="BA122" s="870" t="s">
        <v>1679</v>
      </c>
      <c r="BB122" s="870" t="s">
        <v>1680</v>
      </c>
      <c r="BC122" s="870" t="s">
        <v>1807</v>
      </c>
      <c r="BD122" s="870" t="s">
        <v>1677</v>
      </c>
      <c r="BE122" s="870"/>
      <c r="BF122" s="870"/>
      <c r="BG122" s="870"/>
      <c r="BH122" s="891" t="s">
        <v>1796</v>
      </c>
      <c r="BI122" s="906">
        <v>38441</v>
      </c>
      <c r="BJ122" s="907">
        <v>2211</v>
      </c>
      <c r="BK122" s="907">
        <v>1993</v>
      </c>
      <c r="BL122" s="907">
        <v>4204</v>
      </c>
      <c r="BM122" s="907">
        <v>533</v>
      </c>
      <c r="BN122" s="907">
        <v>2616</v>
      </c>
      <c r="BO122" s="891">
        <v>299.5</v>
      </c>
      <c r="BP122" s="907">
        <v>1657.5456805442564</v>
      </c>
      <c r="BQ122" s="891">
        <v>0.35</v>
      </c>
      <c r="BR122" s="904">
        <v>16</v>
      </c>
      <c r="BS122" s="904">
        <v>20</v>
      </c>
      <c r="BT122" s="908">
        <v>201</v>
      </c>
      <c r="BU122" s="907">
        <v>605.48298214907834</v>
      </c>
      <c r="BV122" s="907">
        <v>263.40352157136033</v>
      </c>
      <c r="BW122" s="907">
        <v>368.76493019990443</v>
      </c>
      <c r="BX122" s="904">
        <v>12.605805199065234</v>
      </c>
      <c r="BY122" s="891">
        <v>9</v>
      </c>
      <c r="BZ122" s="909">
        <v>5.187574155993923E-3</v>
      </c>
      <c r="CA122" s="891">
        <v>240</v>
      </c>
      <c r="CB122" s="891" t="s">
        <v>2952</v>
      </c>
      <c r="CC122" s="904">
        <v>10.444581442071602</v>
      </c>
      <c r="CD122" s="904">
        <v>29.07974878147818</v>
      </c>
      <c r="CE122" s="891" t="s">
        <v>1049</v>
      </c>
      <c r="CF122" s="910">
        <v>-5.0885886002587366E-2</v>
      </c>
      <c r="CG122" s="891" t="s">
        <v>2952</v>
      </c>
      <c r="CH122" s="891" t="s">
        <v>2952</v>
      </c>
      <c r="CI122" s="911" t="s">
        <v>2952</v>
      </c>
      <c r="CJ122" s="873"/>
      <c r="CK122" s="870"/>
    </row>
    <row r="123" spans="1:89" ht="45" customHeight="1" x14ac:dyDescent="0.2">
      <c r="A123" s="900">
        <v>36</v>
      </c>
      <c r="B123" s="870" t="s">
        <v>2774</v>
      </c>
      <c r="C123" s="870"/>
      <c r="D123" s="870" t="s">
        <v>2878</v>
      </c>
      <c r="E123" s="883" t="s">
        <v>4225</v>
      </c>
      <c r="F123" s="870">
        <v>2003</v>
      </c>
      <c r="G123" s="901" t="s">
        <v>1797</v>
      </c>
      <c r="H123" s="870" t="s">
        <v>617</v>
      </c>
      <c r="I123" s="902" t="s">
        <v>231</v>
      </c>
      <c r="J123" s="870" t="s">
        <v>114</v>
      </c>
      <c r="K123" s="870" t="s">
        <v>1673</v>
      </c>
      <c r="L123" s="870">
        <v>270</v>
      </c>
      <c r="M123" s="870">
        <v>114</v>
      </c>
      <c r="N123" s="870" t="s">
        <v>115</v>
      </c>
      <c r="O123" s="870" t="s">
        <v>116</v>
      </c>
      <c r="P123" s="870"/>
      <c r="Q123" s="870"/>
      <c r="R123" s="870"/>
      <c r="S123" s="870"/>
      <c r="T123" s="870"/>
      <c r="U123" s="870"/>
      <c r="V123" s="870"/>
      <c r="W123" s="870"/>
      <c r="X123" s="870"/>
      <c r="Y123" s="870"/>
      <c r="Z123" s="870"/>
      <c r="AA123" s="870"/>
      <c r="AB123" s="870" t="s">
        <v>1674</v>
      </c>
      <c r="AC123" s="870" t="s">
        <v>119</v>
      </c>
      <c r="AD123" s="870" t="s">
        <v>1800</v>
      </c>
      <c r="AE123" s="870" t="s">
        <v>1668</v>
      </c>
      <c r="AF123" s="870">
        <v>27.6</v>
      </c>
      <c r="AG123" s="870" t="s">
        <v>121</v>
      </c>
      <c r="AH123" s="870" t="s">
        <v>122</v>
      </c>
      <c r="AI123" s="870" t="s">
        <v>122</v>
      </c>
      <c r="AJ123" s="870" t="s">
        <v>234</v>
      </c>
      <c r="AK123" s="870" t="s">
        <v>1802</v>
      </c>
      <c r="AL123" s="870" t="s">
        <v>1784</v>
      </c>
      <c r="AM123" s="870"/>
      <c r="AN123" s="870"/>
      <c r="AO123" s="870"/>
      <c r="AP123" s="870" t="s">
        <v>1803</v>
      </c>
      <c r="AQ123" s="870"/>
      <c r="AR123" s="888">
        <v>4.75</v>
      </c>
      <c r="AS123" s="888" t="s">
        <v>1786</v>
      </c>
      <c r="AT123" s="888" t="s">
        <v>157</v>
      </c>
      <c r="AU123" s="888">
        <v>3.79</v>
      </c>
      <c r="AV123" s="903">
        <v>3.2120000000000002</v>
      </c>
      <c r="AW123" s="904" t="s">
        <v>1786</v>
      </c>
      <c r="AX123" s="905">
        <v>37408</v>
      </c>
      <c r="AY123" s="870" t="s">
        <v>1669</v>
      </c>
      <c r="AZ123" s="870">
        <v>150</v>
      </c>
      <c r="BA123" s="870" t="s">
        <v>1675</v>
      </c>
      <c r="BB123" s="870" t="s">
        <v>1676</v>
      </c>
      <c r="BC123" s="870" t="s">
        <v>1807</v>
      </c>
      <c r="BD123" s="870" t="s">
        <v>1677</v>
      </c>
      <c r="BE123" s="870"/>
      <c r="BF123" s="870"/>
      <c r="BG123" s="870"/>
      <c r="BH123" s="891" t="s">
        <v>1796</v>
      </c>
      <c r="BI123" s="906">
        <v>38441</v>
      </c>
      <c r="BJ123" s="907">
        <v>2238</v>
      </c>
      <c r="BK123" s="907">
        <v>2018</v>
      </c>
      <c r="BL123" s="907">
        <v>4256</v>
      </c>
      <c r="BM123" s="907">
        <v>533</v>
      </c>
      <c r="BN123" s="907">
        <v>2616</v>
      </c>
      <c r="BO123" s="891">
        <v>299.5</v>
      </c>
      <c r="BP123" s="907">
        <v>1678.2569927570205</v>
      </c>
      <c r="BQ123" s="891">
        <v>0.35</v>
      </c>
      <c r="BR123" s="904">
        <v>16</v>
      </c>
      <c r="BS123" s="904">
        <v>20</v>
      </c>
      <c r="BT123" s="908">
        <v>201</v>
      </c>
      <c r="BU123" s="907">
        <v>612.97230542970442</v>
      </c>
      <c r="BV123" s="907">
        <v>266.6947928993485</v>
      </c>
      <c r="BW123" s="907">
        <v>373.37271005908786</v>
      </c>
      <c r="BX123" s="904">
        <v>12.761728574505623</v>
      </c>
      <c r="BY123" s="891">
        <v>12</v>
      </c>
      <c r="BZ123" s="909">
        <v>3.9388051155881555E-3</v>
      </c>
      <c r="CA123" s="891">
        <v>198</v>
      </c>
      <c r="CB123" s="891" t="s">
        <v>2952</v>
      </c>
      <c r="CC123" s="904">
        <v>10.573772268662401</v>
      </c>
      <c r="CD123" s="904">
        <v>29.443105136088079</v>
      </c>
      <c r="CE123" s="891" t="s">
        <v>1049</v>
      </c>
      <c r="CF123" s="910">
        <v>-6.2598870858529221E-2</v>
      </c>
      <c r="CG123" s="891" t="s">
        <v>2952</v>
      </c>
      <c r="CH123" s="891" t="s">
        <v>2952</v>
      </c>
      <c r="CI123" s="911" t="s">
        <v>2952</v>
      </c>
      <c r="CJ123" s="912"/>
      <c r="CK123" s="870"/>
    </row>
    <row r="124" spans="1:89" ht="45" customHeight="1" x14ac:dyDescent="0.2">
      <c r="A124" s="884">
        <v>36</v>
      </c>
      <c r="B124" s="883" t="s">
        <v>1678</v>
      </c>
      <c r="C124" s="883"/>
      <c r="D124" s="883" t="s">
        <v>1787</v>
      </c>
      <c r="E124" s="883" t="s">
        <v>4225</v>
      </c>
      <c r="F124" s="883"/>
      <c r="G124" s="913" t="s">
        <v>1797</v>
      </c>
      <c r="H124" s="870" t="s">
        <v>1700</v>
      </c>
      <c r="I124" s="886" t="s">
        <v>1795</v>
      </c>
      <c r="J124" s="883" t="s">
        <v>114</v>
      </c>
      <c r="K124" s="883" t="s">
        <v>1697</v>
      </c>
      <c r="L124" s="883">
        <v>270</v>
      </c>
      <c r="M124" s="883">
        <v>114</v>
      </c>
      <c r="N124" s="883" t="s">
        <v>115</v>
      </c>
      <c r="O124" s="870" t="s">
        <v>116</v>
      </c>
      <c r="P124" s="870"/>
      <c r="Q124" s="870"/>
      <c r="R124" s="870"/>
      <c r="S124" s="870"/>
      <c r="T124" s="870"/>
      <c r="U124" s="870"/>
      <c r="V124" s="870"/>
      <c r="W124" s="870"/>
      <c r="X124" s="870"/>
      <c r="Y124" s="870"/>
      <c r="Z124" s="870"/>
      <c r="AA124" s="870"/>
      <c r="AB124" s="870" t="s">
        <v>1698</v>
      </c>
      <c r="AC124" s="883" t="s">
        <v>119</v>
      </c>
      <c r="AD124" s="870" t="s">
        <v>1800</v>
      </c>
      <c r="AE124" s="870" t="s">
        <v>1699</v>
      </c>
      <c r="AF124" s="883">
        <v>27.6</v>
      </c>
      <c r="AG124" s="883" t="s">
        <v>121</v>
      </c>
      <c r="AH124" s="883" t="s">
        <v>122</v>
      </c>
      <c r="AI124" s="883" t="s">
        <v>122</v>
      </c>
      <c r="AJ124" s="883" t="s">
        <v>234</v>
      </c>
      <c r="AK124" s="870" t="s">
        <v>235</v>
      </c>
      <c r="AL124" s="870" t="s">
        <v>1784</v>
      </c>
      <c r="AM124" s="870"/>
      <c r="AN124" s="870"/>
      <c r="AO124" s="870" t="s">
        <v>819</v>
      </c>
      <c r="AP124" s="870" t="s">
        <v>1803</v>
      </c>
      <c r="AQ124" s="870"/>
      <c r="AR124" s="887">
        <v>4.75</v>
      </c>
      <c r="AS124" s="888" t="s">
        <v>1786</v>
      </c>
      <c r="AT124" s="887" t="s">
        <v>157</v>
      </c>
      <c r="AU124" s="888">
        <v>3.79</v>
      </c>
      <c r="AV124" s="903" t="e">
        <f>#REF!</f>
        <v>#REF!</v>
      </c>
      <c r="AW124" s="904" t="e">
        <f>(100*PI()*(A124^2))/(40*AO124*AV124*453.5924)</f>
        <v>#VALUE!</v>
      </c>
      <c r="AX124" s="889" t="s">
        <v>1789</v>
      </c>
      <c r="AY124" s="883" t="s">
        <v>1701</v>
      </c>
      <c r="AZ124" s="870">
        <v>505</v>
      </c>
      <c r="BA124" s="870" t="s">
        <v>1702</v>
      </c>
      <c r="BB124" s="870" t="s">
        <v>1703</v>
      </c>
      <c r="BC124" s="883" t="s">
        <v>1807</v>
      </c>
      <c r="BD124" s="870" t="s">
        <v>1808</v>
      </c>
      <c r="BE124" s="870"/>
      <c r="BF124" s="870"/>
      <c r="BG124" s="870"/>
      <c r="BH124" s="891" t="s">
        <v>1809</v>
      </c>
      <c r="BI124" s="914">
        <v>38441</v>
      </c>
      <c r="BJ124" s="892">
        <v>2394</v>
      </c>
      <c r="BK124" s="892">
        <v>1831</v>
      </c>
      <c r="BL124" s="892">
        <f>BJ124+BK124</f>
        <v>4225</v>
      </c>
      <c r="BM124" s="892">
        <v>508</v>
      </c>
      <c r="BN124" s="892">
        <v>2743.2</v>
      </c>
      <c r="BO124" s="890">
        <v>298</v>
      </c>
      <c r="BP124" s="892">
        <f>IF(G124="Front",0.5*9.81*0.4535924*(BJ124+BL124*(BM124/BN124)*1.1)*1.1*(BO124/1000),IF(G124="Rear",0.5*9.81*0.4535924*(BK124+BL124*(BM124/BN124)*0.9)*0.9*(BO124/1000),"TBD"))</f>
        <v>1512.7601322896878</v>
      </c>
      <c r="BQ124" s="890">
        <v>0.35</v>
      </c>
      <c r="BR124" s="893">
        <v>16</v>
      </c>
      <c r="BS124" s="893">
        <v>20</v>
      </c>
      <c r="BT124" s="894">
        <v>201</v>
      </c>
      <c r="BU124" s="892">
        <f>(2.4525*(BL124*0.4535924)*(0.8*(1000/3600)*BT124)*(BR124/100))/(AF124*2)</f>
        <v>608.50751655086958</v>
      </c>
      <c r="BV124" s="892">
        <f>(BP124/(M124/1000))/(2*AF124)</f>
        <v>240.39539351158271</v>
      </c>
      <c r="BW124" s="892">
        <f>(1.4*BP124/(M124/1000))/(2*AF124)</f>
        <v>336.55355091621584</v>
      </c>
      <c r="BX124" s="893">
        <f>0.5*(BL124/32.2)*((BO124*0.00328084)^2)*(BS124/100)</f>
        <v>12.542192790983519</v>
      </c>
      <c r="BY124" s="891">
        <v>9</v>
      </c>
      <c r="BZ124" s="909">
        <f>BX124/(L124*BY124)</f>
        <v>5.1613962102812832E-3</v>
      </c>
      <c r="CA124" s="891" t="s">
        <v>1786</v>
      </c>
      <c r="CB124" s="891" t="s">
        <v>1786</v>
      </c>
      <c r="CC124" s="893">
        <f>BU124*(2*AF124)/(2*1600)</f>
        <v>10.496754660502502</v>
      </c>
      <c r="CD124" s="893">
        <f>BV124*(2*AF124)/(2*250)</f>
        <v>26.539651443678732</v>
      </c>
      <c r="CE124" s="890" t="str">
        <f>IF((CD124-CC124)&gt;0, "Shear","Power")</f>
        <v>Shear</v>
      </c>
      <c r="CF124" s="915">
        <f>(AF124/MAX(CC124,CD124))-1</f>
        <v>3.9953371602166499E-2</v>
      </c>
      <c r="CG124" s="890" t="s">
        <v>1786</v>
      </c>
      <c r="CH124" s="890" t="s">
        <v>1786</v>
      </c>
      <c r="CI124" s="896" t="s">
        <v>1786</v>
      </c>
      <c r="CJ124" s="873"/>
      <c r="CK124" s="916"/>
    </row>
    <row r="125" spans="1:89" ht="45" customHeight="1" x14ac:dyDescent="0.2">
      <c r="A125" s="884">
        <v>36</v>
      </c>
      <c r="B125" s="883" t="s">
        <v>1798</v>
      </c>
      <c r="C125" s="883"/>
      <c r="D125" s="883" t="s">
        <v>1787</v>
      </c>
      <c r="E125" s="883" t="s">
        <v>4225</v>
      </c>
      <c r="F125" s="883"/>
      <c r="G125" s="913" t="s">
        <v>1797</v>
      </c>
      <c r="H125" s="870" t="s">
        <v>1804</v>
      </c>
      <c r="I125" s="886" t="s">
        <v>1795</v>
      </c>
      <c r="J125" s="883" t="s">
        <v>114</v>
      </c>
      <c r="K125" s="883" t="s">
        <v>113</v>
      </c>
      <c r="L125" s="883">
        <v>270</v>
      </c>
      <c r="M125" s="883">
        <v>114</v>
      </c>
      <c r="N125" s="883" t="s">
        <v>115</v>
      </c>
      <c r="O125" s="870" t="s">
        <v>116</v>
      </c>
      <c r="P125" s="870"/>
      <c r="Q125" s="870"/>
      <c r="R125" s="870"/>
      <c r="S125" s="870"/>
      <c r="T125" s="870"/>
      <c r="U125" s="870"/>
      <c r="V125" s="870"/>
      <c r="W125" s="870"/>
      <c r="X125" s="870"/>
      <c r="Y125" s="870"/>
      <c r="Z125" s="870"/>
      <c r="AA125" s="870"/>
      <c r="AB125" s="870" t="s">
        <v>1799</v>
      </c>
      <c r="AC125" s="883" t="s">
        <v>119</v>
      </c>
      <c r="AD125" s="870" t="s">
        <v>1800</v>
      </c>
      <c r="AE125" s="883" t="s">
        <v>1801</v>
      </c>
      <c r="AF125" s="883">
        <v>27.6</v>
      </c>
      <c r="AG125" s="883" t="s">
        <v>121</v>
      </c>
      <c r="AH125" s="883" t="s">
        <v>122</v>
      </c>
      <c r="AI125" s="883" t="s">
        <v>122</v>
      </c>
      <c r="AJ125" s="883" t="s">
        <v>234</v>
      </c>
      <c r="AK125" s="870" t="s">
        <v>1802</v>
      </c>
      <c r="AL125" s="870" t="s">
        <v>1784</v>
      </c>
      <c r="AM125" s="870"/>
      <c r="AN125" s="870"/>
      <c r="AO125" s="870" t="s">
        <v>819</v>
      </c>
      <c r="AP125" s="870" t="s">
        <v>1803</v>
      </c>
      <c r="AQ125" s="870"/>
      <c r="AR125" s="887">
        <v>4.75</v>
      </c>
      <c r="AS125" s="888" t="s">
        <v>1786</v>
      </c>
      <c r="AT125" s="887" t="s">
        <v>157</v>
      </c>
      <c r="AU125" s="888">
        <v>3.79</v>
      </c>
      <c r="AV125" s="903">
        <f>1.46*2.2</f>
        <v>3.2120000000000002</v>
      </c>
      <c r="AW125" s="904" t="e">
        <f>(100*PI()*(A125^2))/(40*AO125*AV125*453.5924)</f>
        <v>#VALUE!</v>
      </c>
      <c r="AX125" s="889" t="s">
        <v>1789</v>
      </c>
      <c r="AY125" s="883" t="s">
        <v>1790</v>
      </c>
      <c r="AZ125" s="870">
        <v>530</v>
      </c>
      <c r="BA125" s="870" t="s">
        <v>1805</v>
      </c>
      <c r="BB125" s="883" t="s">
        <v>1806</v>
      </c>
      <c r="BC125" s="883" t="s">
        <v>1807</v>
      </c>
      <c r="BD125" s="870" t="s">
        <v>1808</v>
      </c>
      <c r="BE125" s="870"/>
      <c r="BF125" s="870"/>
      <c r="BG125" s="870"/>
      <c r="BH125" s="891" t="s">
        <v>1809</v>
      </c>
      <c r="BI125" s="914">
        <v>38441</v>
      </c>
      <c r="BJ125" s="907">
        <v>2669</v>
      </c>
      <c r="BK125" s="907">
        <v>2014</v>
      </c>
      <c r="BL125" s="892">
        <f>BJ125+BK125</f>
        <v>4683</v>
      </c>
      <c r="BM125" s="907">
        <v>569</v>
      </c>
      <c r="BN125" s="907">
        <v>2870</v>
      </c>
      <c r="BO125" s="891">
        <v>326</v>
      </c>
      <c r="BP125" s="892">
        <f>IF(G125="Front",0.5*9.81*0.4535924*(BJ125+BL125*(BM125/BN125)*1.1)*1.1*(BO125/1000),IF(G125="Rear",0.5*9.81*0.4535924*(BK125+BL125*(BM125/BN125)*0.9)*0.9*(BO125/1000),"TBD"))</f>
        <v>1860.1517868481321</v>
      </c>
      <c r="BQ125" s="890">
        <v>0.35</v>
      </c>
      <c r="BR125" s="893">
        <v>21</v>
      </c>
      <c r="BS125" s="893">
        <v>21</v>
      </c>
      <c r="BT125" s="894">
        <v>201</v>
      </c>
      <c r="BU125" s="892">
        <f>(2.4525*(BL125*0.4535924)*(0.8*(1000/3600)*BT125)*(BR125/100))/(AF125*2)</f>
        <v>885.24341272429251</v>
      </c>
      <c r="BV125" s="892">
        <f>(BP125/(M125/1000))/(2*AF125)</f>
        <v>295.60001697942602</v>
      </c>
      <c r="BW125" s="892">
        <f>(1.4*BP125/(M125/1000))/(2*AF125)</f>
        <v>413.84002377119634</v>
      </c>
      <c r="BX125" s="893">
        <f>0.5*(BL125/32.2)*((BO125*0.00328084)^2)*(BS125/100)</f>
        <v>17.468792563737733</v>
      </c>
      <c r="BY125" s="891">
        <v>12</v>
      </c>
      <c r="BZ125" s="909">
        <f>BX125/(L125*BY125)</f>
        <v>5.39160264312893E-3</v>
      </c>
      <c r="CA125" s="891" t="s">
        <v>1786</v>
      </c>
      <c r="CB125" s="891" t="s">
        <v>1786</v>
      </c>
      <c r="CC125" s="893">
        <f>BU125*(2*AF125)/(2*1600)</f>
        <v>15.270448869494047</v>
      </c>
      <c r="CD125" s="893">
        <f>BV125*(2*AF125)/(2*250)</f>
        <v>32.634241874528634</v>
      </c>
      <c r="CE125" s="890" t="str">
        <f>IF((CD125-CC125)&gt;0, "Shear","Power")</f>
        <v>Shear</v>
      </c>
      <c r="CF125" s="915">
        <f>(AF125/MAX(CC125,CD125))-1</f>
        <v>-0.15426256549437145</v>
      </c>
      <c r="CG125" s="890" t="s">
        <v>1786</v>
      </c>
      <c r="CH125" s="890" t="s">
        <v>1786</v>
      </c>
      <c r="CI125" s="896" t="s">
        <v>1786</v>
      </c>
      <c r="CJ125" s="873"/>
      <c r="CK125" s="870"/>
    </row>
    <row r="126" spans="1:89" ht="45" customHeight="1" x14ac:dyDescent="0.2">
      <c r="A126" s="884">
        <v>36</v>
      </c>
      <c r="B126" s="883" t="s">
        <v>2774</v>
      </c>
      <c r="C126" s="917"/>
      <c r="D126" s="883" t="s">
        <v>1787</v>
      </c>
      <c r="E126" s="883" t="s">
        <v>4225</v>
      </c>
      <c r="F126" s="883"/>
      <c r="G126" s="913" t="s">
        <v>1797</v>
      </c>
      <c r="H126" s="870" t="s">
        <v>1804</v>
      </c>
      <c r="I126" s="886" t="s">
        <v>1795</v>
      </c>
      <c r="J126" s="883" t="s">
        <v>114</v>
      </c>
      <c r="K126" s="883" t="s">
        <v>113</v>
      </c>
      <c r="L126" s="883">
        <v>270</v>
      </c>
      <c r="M126" s="883">
        <v>114</v>
      </c>
      <c r="N126" s="883" t="s">
        <v>115</v>
      </c>
      <c r="O126" s="870" t="s">
        <v>116</v>
      </c>
      <c r="P126" s="870"/>
      <c r="Q126" s="870"/>
      <c r="R126" s="870"/>
      <c r="S126" s="870"/>
      <c r="T126" s="870"/>
      <c r="U126" s="870"/>
      <c r="V126" s="870"/>
      <c r="W126" s="870"/>
      <c r="X126" s="870"/>
      <c r="Y126" s="870"/>
      <c r="Z126" s="870"/>
      <c r="AA126" s="870"/>
      <c r="AB126" s="870" t="s">
        <v>1667</v>
      </c>
      <c r="AC126" s="883" t="s">
        <v>119</v>
      </c>
      <c r="AD126" s="870" t="s">
        <v>1800</v>
      </c>
      <c r="AE126" s="883" t="s">
        <v>1668</v>
      </c>
      <c r="AF126" s="883">
        <v>27.6</v>
      </c>
      <c r="AG126" s="883" t="s">
        <v>121</v>
      </c>
      <c r="AH126" s="883" t="s">
        <v>122</v>
      </c>
      <c r="AI126" s="883" t="s">
        <v>122</v>
      </c>
      <c r="AJ126" s="883" t="s">
        <v>234</v>
      </c>
      <c r="AK126" s="870" t="s">
        <v>1802</v>
      </c>
      <c r="AL126" s="870" t="s">
        <v>1784</v>
      </c>
      <c r="AM126" s="870"/>
      <c r="AN126" s="870"/>
      <c r="AO126" s="870" t="s">
        <v>819</v>
      </c>
      <c r="AP126" s="870" t="s">
        <v>1803</v>
      </c>
      <c r="AQ126" s="870"/>
      <c r="AR126" s="887">
        <v>4.75</v>
      </c>
      <c r="AS126" s="888" t="s">
        <v>1786</v>
      </c>
      <c r="AT126" s="887" t="s">
        <v>157</v>
      </c>
      <c r="AU126" s="888">
        <v>3.79</v>
      </c>
      <c r="AV126" s="903">
        <f>1.46*2.2</f>
        <v>3.2120000000000002</v>
      </c>
      <c r="AW126" s="904" t="e">
        <f>(100*PI()*(A126^2))/(40*AO126*AV126*453.5924)</f>
        <v>#VALUE!</v>
      </c>
      <c r="AX126" s="889" t="s">
        <v>1789</v>
      </c>
      <c r="AY126" s="883" t="s">
        <v>1669</v>
      </c>
      <c r="AZ126" s="870">
        <v>50</v>
      </c>
      <c r="BA126" s="870" t="s">
        <v>1670</v>
      </c>
      <c r="BB126" s="883" t="s">
        <v>1671</v>
      </c>
      <c r="BC126" s="883" t="s">
        <v>1807</v>
      </c>
      <c r="BD126" s="870" t="s">
        <v>1672</v>
      </c>
      <c r="BE126" s="870"/>
      <c r="BF126" s="870"/>
      <c r="BG126" s="870"/>
      <c r="BH126" s="891" t="s">
        <v>1809</v>
      </c>
      <c r="BI126" s="914">
        <v>38441</v>
      </c>
      <c r="BJ126" s="907">
        <v>2669</v>
      </c>
      <c r="BK126" s="907">
        <v>2014</v>
      </c>
      <c r="BL126" s="892">
        <f>BJ126+BK126</f>
        <v>4683</v>
      </c>
      <c r="BM126" s="907">
        <v>569</v>
      </c>
      <c r="BN126" s="907">
        <v>2870</v>
      </c>
      <c r="BO126" s="891">
        <v>326</v>
      </c>
      <c r="BP126" s="892">
        <f>IF(G126="Front",0.5*9.81*0.4535924*(BJ126+BL126*(BM126/BN126)*1.1)*1.1*(BO126/1000),IF(G126="Rear",0.5*9.81*0.4535924*(BK126+BL126*(BM126/BN126)*0.9)*0.9*(BO126/1000),"TBD"))</f>
        <v>1860.1517868481321</v>
      </c>
      <c r="BQ126" s="890">
        <v>0.35</v>
      </c>
      <c r="BR126" s="893">
        <v>21</v>
      </c>
      <c r="BS126" s="893">
        <v>21</v>
      </c>
      <c r="BT126" s="894">
        <v>201</v>
      </c>
      <c r="BU126" s="892">
        <f>(2.4525*(BL126*0.4535924)*(0.8*(1000/3600)*BT126)*(BR126/100))/(AF126*2)</f>
        <v>885.24341272429251</v>
      </c>
      <c r="BV126" s="892">
        <f>(BP126/(M126/1000))/(2*AF126)</f>
        <v>295.60001697942602</v>
      </c>
      <c r="BW126" s="892">
        <f>(1.4*BP126/(M126/1000))/(2*AF126)</f>
        <v>413.84002377119634</v>
      </c>
      <c r="BX126" s="893">
        <f>0.5*(BL126/32.2)*((BO126*0.00328084)^2)*(BS126/100)</f>
        <v>17.468792563737733</v>
      </c>
      <c r="BY126" s="891">
        <v>12</v>
      </c>
      <c r="BZ126" s="909">
        <f>BX126/(L126*BY126)</f>
        <v>5.39160264312893E-3</v>
      </c>
      <c r="CA126" s="891" t="s">
        <v>1786</v>
      </c>
      <c r="CB126" s="891" t="s">
        <v>1786</v>
      </c>
      <c r="CC126" s="893">
        <f>BU126*(2*AF126)/(2*1600)</f>
        <v>15.270448869494047</v>
      </c>
      <c r="CD126" s="893">
        <f>BV126*(2*AF126)/(2*250)</f>
        <v>32.634241874528634</v>
      </c>
      <c r="CE126" s="890" t="str">
        <f>IF((CD126-CC126)&gt;0, "Shear","Power")</f>
        <v>Shear</v>
      </c>
      <c r="CF126" s="915">
        <f>(AF126/MAX(CC126,CD126))-1</f>
        <v>-0.15426256549437145</v>
      </c>
      <c r="CG126" s="890" t="s">
        <v>1786</v>
      </c>
      <c r="CH126" s="890" t="s">
        <v>1786</v>
      </c>
      <c r="CI126" s="896" t="s">
        <v>1786</v>
      </c>
      <c r="CJ126" s="873"/>
      <c r="CK126" s="870"/>
    </row>
    <row r="127" spans="1:89" ht="45" customHeight="1" x14ac:dyDescent="0.2">
      <c r="A127" s="884">
        <v>38</v>
      </c>
      <c r="B127" s="883" t="s">
        <v>1704</v>
      </c>
      <c r="C127" s="917"/>
      <c r="D127" s="883" t="s">
        <v>848</v>
      </c>
      <c r="E127" s="883" t="s">
        <v>4225</v>
      </c>
      <c r="F127" s="883"/>
      <c r="G127" s="901" t="s">
        <v>1797</v>
      </c>
      <c r="H127" s="870" t="s">
        <v>188</v>
      </c>
      <c r="I127" s="886" t="s">
        <v>194</v>
      </c>
      <c r="J127" s="883" t="s">
        <v>114</v>
      </c>
      <c r="K127" s="883">
        <v>550</v>
      </c>
      <c r="L127" s="883">
        <v>267</v>
      </c>
      <c r="M127" s="883">
        <v>117.1</v>
      </c>
      <c r="N127" s="883" t="s">
        <v>1705</v>
      </c>
      <c r="O127" s="870" t="s">
        <v>1706</v>
      </c>
      <c r="P127" s="870"/>
      <c r="Q127" s="870"/>
      <c r="R127" s="870"/>
      <c r="S127" s="870"/>
      <c r="T127" s="870"/>
      <c r="U127" s="870"/>
      <c r="V127" s="870"/>
      <c r="W127" s="870"/>
      <c r="X127" s="870"/>
      <c r="Y127" s="870"/>
      <c r="Z127" s="870"/>
      <c r="AA127" s="870"/>
      <c r="AB127" s="870" t="s">
        <v>1707</v>
      </c>
      <c r="AC127" s="870" t="s">
        <v>119</v>
      </c>
      <c r="AD127" s="870" t="s">
        <v>1708</v>
      </c>
      <c r="AE127" s="870" t="s">
        <v>120</v>
      </c>
      <c r="AF127" s="883">
        <v>25.6</v>
      </c>
      <c r="AG127" s="883" t="s">
        <v>1709</v>
      </c>
      <c r="AH127" s="883" t="s">
        <v>122</v>
      </c>
      <c r="AI127" s="883" t="s">
        <v>122</v>
      </c>
      <c r="AJ127" s="883" t="s">
        <v>234</v>
      </c>
      <c r="AK127" s="870" t="s">
        <v>1710</v>
      </c>
      <c r="AL127" s="883"/>
      <c r="AM127" s="883"/>
      <c r="AN127" s="883" t="s">
        <v>1784</v>
      </c>
      <c r="AO127" s="883">
        <v>0.25</v>
      </c>
      <c r="AP127" s="883">
        <v>0.24</v>
      </c>
      <c r="AQ127" s="883"/>
      <c r="AR127" s="918">
        <v>7.4160000000000004</v>
      </c>
      <c r="AS127" s="888">
        <v>2.2999999999999998</v>
      </c>
      <c r="AT127" s="887">
        <v>1.74</v>
      </c>
      <c r="AU127" s="888">
        <v>4.3</v>
      </c>
      <c r="AV127" s="903">
        <f>1.56*2.2</f>
        <v>3.4320000000000004</v>
      </c>
      <c r="AW127" s="904">
        <f>(100*PI()*(A127^2))/(40*AO127*AV127*453.5924)</f>
        <v>29.140970916692115</v>
      </c>
      <c r="AX127" s="889" t="s">
        <v>1789</v>
      </c>
      <c r="AY127" s="883" t="s">
        <v>189</v>
      </c>
      <c r="AZ127" s="870">
        <v>245</v>
      </c>
      <c r="BA127" s="870" t="s">
        <v>190</v>
      </c>
      <c r="BB127" s="883" t="s">
        <v>191</v>
      </c>
      <c r="BC127" s="883" t="s">
        <v>192</v>
      </c>
      <c r="BD127" s="870" t="s">
        <v>193</v>
      </c>
      <c r="BE127" s="870"/>
      <c r="BF127" s="870"/>
      <c r="BG127" s="870"/>
      <c r="BH127" s="891" t="s">
        <v>195</v>
      </c>
      <c r="BI127" s="906"/>
      <c r="BJ127" s="907"/>
      <c r="BK127" s="907"/>
      <c r="BL127" s="892">
        <f>BJ127+BK127</f>
        <v>0</v>
      </c>
      <c r="BM127" s="907"/>
      <c r="BN127" s="907"/>
      <c r="BO127" s="891"/>
      <c r="BP127" s="892" t="e">
        <f>IF(G127="Front",0.5*9.81*0.4535924*(BJ127+BL127*(BM127/BN127)*1.1)*1.1*(BO127/1000),IF(G127="Rear",0.5*9.81*0.4535924*(BK127+BL127*(BM127/BN127)*0.9)*0.9*(BO127/1000),"TBD"))</f>
        <v>#DIV/0!</v>
      </c>
      <c r="BQ127" s="891">
        <v>0.35</v>
      </c>
      <c r="BR127" s="904"/>
      <c r="BS127" s="904"/>
      <c r="BT127" s="908"/>
      <c r="BU127" s="892">
        <f>(2.4525*(BL127*0.4535924)*(0.8*(1000/3600)*BT127)*(BR127/100))/(AF127*2)</f>
        <v>0</v>
      </c>
      <c r="BV127" s="892" t="e">
        <f>(BP127/(M127/1000))/(2*AF127)</f>
        <v>#DIV/0!</v>
      </c>
      <c r="BW127" s="892" t="e">
        <f>(1.4*BP127/(M127/1000))/(2*AF127)</f>
        <v>#DIV/0!</v>
      </c>
      <c r="BX127" s="893">
        <f>0.5*(BL127/32.2)*((BO127*0.00328084)^2)*(BS127/100)</f>
        <v>0</v>
      </c>
      <c r="BY127" s="891">
        <v>9</v>
      </c>
      <c r="BZ127" s="909">
        <f>BX127/(L127*BY127)</f>
        <v>0</v>
      </c>
      <c r="CA127" s="891"/>
      <c r="CB127" s="891"/>
      <c r="CC127" s="893">
        <f>BU127*(2*AF127)/(2*1600)</f>
        <v>0</v>
      </c>
      <c r="CD127" s="893" t="e">
        <f>BV127*(2*AF127)/(2*250)</f>
        <v>#DIV/0!</v>
      </c>
      <c r="CE127" s="890" t="e">
        <f>IF((CD127-CC127)&gt;0, "Shear","Power")</f>
        <v>#DIV/0!</v>
      </c>
      <c r="CF127" s="915" t="e">
        <f>(AF127/MAX(CC127,CD127))-1</f>
        <v>#DIV/0!</v>
      </c>
      <c r="CG127" s="890"/>
      <c r="CH127" s="890"/>
      <c r="CI127" s="896"/>
      <c r="CJ127" s="873"/>
      <c r="CK127" s="870"/>
    </row>
    <row r="128" spans="1:89" ht="45" customHeight="1" x14ac:dyDescent="0.2">
      <c r="A128" s="884">
        <v>38</v>
      </c>
      <c r="B128" s="883" t="s">
        <v>196</v>
      </c>
      <c r="C128" s="917"/>
      <c r="D128" s="883" t="s">
        <v>848</v>
      </c>
      <c r="E128" s="883" t="s">
        <v>4225</v>
      </c>
      <c r="F128" s="883"/>
      <c r="G128" s="901" t="s">
        <v>1797</v>
      </c>
      <c r="H128" s="870" t="s">
        <v>200</v>
      </c>
      <c r="I128" s="886" t="s">
        <v>194</v>
      </c>
      <c r="J128" s="883" t="s">
        <v>114</v>
      </c>
      <c r="K128" s="883">
        <v>550</v>
      </c>
      <c r="L128" s="883">
        <v>296</v>
      </c>
      <c r="M128" s="883">
        <v>131.6</v>
      </c>
      <c r="N128" s="883" t="s">
        <v>197</v>
      </c>
      <c r="O128" s="870" t="s">
        <v>1706</v>
      </c>
      <c r="P128" s="870"/>
      <c r="Q128" s="870"/>
      <c r="R128" s="870"/>
      <c r="S128" s="870"/>
      <c r="T128" s="870"/>
      <c r="U128" s="870"/>
      <c r="V128" s="870"/>
      <c r="W128" s="870"/>
      <c r="X128" s="870"/>
      <c r="Y128" s="870"/>
      <c r="Z128" s="870"/>
      <c r="AA128" s="870"/>
      <c r="AB128" s="870" t="s">
        <v>1707</v>
      </c>
      <c r="AC128" s="870" t="s">
        <v>119</v>
      </c>
      <c r="AD128" s="870" t="s">
        <v>1708</v>
      </c>
      <c r="AE128" s="870" t="s">
        <v>120</v>
      </c>
      <c r="AF128" s="883">
        <v>25.6</v>
      </c>
      <c r="AG128" s="883" t="s">
        <v>198</v>
      </c>
      <c r="AH128" s="883" t="s">
        <v>122</v>
      </c>
      <c r="AI128" s="883" t="s">
        <v>122</v>
      </c>
      <c r="AJ128" s="883" t="s">
        <v>234</v>
      </c>
      <c r="AK128" s="870" t="s">
        <v>199</v>
      </c>
      <c r="AL128" s="883"/>
      <c r="AM128" s="883"/>
      <c r="AN128" s="883" t="s">
        <v>1784</v>
      </c>
      <c r="AO128" s="883">
        <v>0.25</v>
      </c>
      <c r="AP128" s="883">
        <v>0.24</v>
      </c>
      <c r="AQ128" s="883"/>
      <c r="AR128" s="918">
        <v>7.8</v>
      </c>
      <c r="AS128" s="888">
        <v>2.7639999999999998</v>
      </c>
      <c r="AT128" s="887">
        <v>2.3199999999999998</v>
      </c>
      <c r="AU128" s="888">
        <v>4.3</v>
      </c>
      <c r="AV128" s="903">
        <f>AV127</f>
        <v>3.4320000000000004</v>
      </c>
      <c r="AW128" s="904">
        <f>(100*PI()*(A128^2))/(40*AO128*AV128*453.5924)</f>
        <v>29.140970916692115</v>
      </c>
      <c r="AX128" s="889" t="s">
        <v>1789</v>
      </c>
      <c r="AY128" s="883" t="s">
        <v>189</v>
      </c>
      <c r="AZ128" s="870">
        <v>18</v>
      </c>
      <c r="BA128" s="870" t="s">
        <v>201</v>
      </c>
      <c r="BB128" s="870" t="s">
        <v>202</v>
      </c>
      <c r="BC128" s="883" t="s">
        <v>192</v>
      </c>
      <c r="BD128" s="870" t="s">
        <v>203</v>
      </c>
      <c r="BE128" s="870"/>
      <c r="BF128" s="870"/>
      <c r="BG128" s="870"/>
      <c r="BH128" s="891" t="s">
        <v>195</v>
      </c>
      <c r="BI128" s="906"/>
      <c r="BJ128" s="907"/>
      <c r="BK128" s="907"/>
      <c r="BL128" s="892">
        <f>BJ128+BK128</f>
        <v>0</v>
      </c>
      <c r="BM128" s="907"/>
      <c r="BN128" s="907"/>
      <c r="BO128" s="891"/>
      <c r="BP128" s="892" t="e">
        <f>IF(G128="Front",0.5*9.81*0.4535924*(BJ128+BL128*(BM128/BN128)*1.1)*1.1*(BO128/1000),IF(G128="Rear",0.5*9.81*0.4535924*(BK128+BL128*(BM128/BN128)*0.9)*0.9*(BO128/1000),"TBD"))</f>
        <v>#DIV/0!</v>
      </c>
      <c r="BQ128" s="891">
        <v>0.35</v>
      </c>
      <c r="BR128" s="904"/>
      <c r="BS128" s="904"/>
      <c r="BT128" s="908"/>
      <c r="BU128" s="892">
        <f>(2.4525*(BL128*0.4535924)*(0.8*(1000/3600)*BT128)*(BR128/100))/(AF128*2)</f>
        <v>0</v>
      </c>
      <c r="BV128" s="892" t="e">
        <f>(BP128/(M128/1000))/(2*AF128)</f>
        <v>#DIV/0!</v>
      </c>
      <c r="BW128" s="892" t="e">
        <f>(1.4*BP128/(M128/1000))/(2*AF128)</f>
        <v>#DIV/0!</v>
      </c>
      <c r="BX128" s="893">
        <f>0.5*(BL128/32.2)*((BO128*0.00328084)^2)*(BS128/100)</f>
        <v>0</v>
      </c>
      <c r="BY128" s="891">
        <v>14</v>
      </c>
      <c r="BZ128" s="909">
        <f>BX128/(L128*BY128)</f>
        <v>0</v>
      </c>
      <c r="CA128" s="891"/>
      <c r="CB128" s="891"/>
      <c r="CC128" s="893">
        <f>BU128*(2*AF128)/(2*1600)</f>
        <v>0</v>
      </c>
      <c r="CD128" s="893" t="e">
        <f>BV128*(2*AF128)/(2*250)</f>
        <v>#DIV/0!</v>
      </c>
      <c r="CE128" s="890" t="e">
        <f>IF((CD128-CC128)&gt;0, "Shear","Power")</f>
        <v>#DIV/0!</v>
      </c>
      <c r="CF128" s="915" t="e">
        <f>(AF128/MAX(CC128,CD128))-1</f>
        <v>#DIV/0!</v>
      </c>
      <c r="CG128" s="890"/>
      <c r="CH128" s="890"/>
      <c r="CI128" s="896"/>
      <c r="CJ128" s="873"/>
      <c r="CK128" s="870"/>
    </row>
    <row r="129" spans="1:89" ht="45" customHeight="1" x14ac:dyDescent="0.2">
      <c r="A129" s="900">
        <v>41</v>
      </c>
      <c r="B129" s="870" t="s">
        <v>492</v>
      </c>
      <c r="C129" s="916"/>
      <c r="D129" s="870" t="s">
        <v>789</v>
      </c>
      <c r="E129" s="883" t="s">
        <v>4225</v>
      </c>
      <c r="F129" s="870" t="s">
        <v>1789</v>
      </c>
      <c r="G129" s="901" t="s">
        <v>1797</v>
      </c>
      <c r="H129" s="870" t="s">
        <v>493</v>
      </c>
      <c r="I129" s="902" t="s">
        <v>1359</v>
      </c>
      <c r="J129" s="870" t="s">
        <v>114</v>
      </c>
      <c r="K129" s="870">
        <v>1100</v>
      </c>
      <c r="L129" s="870">
        <v>259.89999999999998</v>
      </c>
      <c r="M129" s="870">
        <v>106</v>
      </c>
      <c r="N129" s="870" t="s">
        <v>2484</v>
      </c>
      <c r="O129" s="870" t="s">
        <v>1706</v>
      </c>
      <c r="P129" s="870"/>
      <c r="Q129" s="870"/>
      <c r="R129" s="870"/>
      <c r="S129" s="870"/>
      <c r="T129" s="870"/>
      <c r="U129" s="870"/>
      <c r="V129" s="870"/>
      <c r="W129" s="870"/>
      <c r="X129" s="870"/>
      <c r="Y129" s="870"/>
      <c r="Z129" s="870"/>
      <c r="AA129" s="870"/>
      <c r="AB129" s="870" t="s">
        <v>494</v>
      </c>
      <c r="AC129" s="870" t="s">
        <v>119</v>
      </c>
      <c r="AD129" s="870" t="s">
        <v>2230</v>
      </c>
      <c r="AE129" s="870" t="s">
        <v>1668</v>
      </c>
      <c r="AF129" s="870">
        <v>36.700000000000003</v>
      </c>
      <c r="AG129" s="870" t="s">
        <v>495</v>
      </c>
      <c r="AH129" s="870" t="s">
        <v>122</v>
      </c>
      <c r="AI129" s="870" t="s">
        <v>122</v>
      </c>
      <c r="AJ129" s="870" t="s">
        <v>488</v>
      </c>
      <c r="AK129" s="870" t="s">
        <v>489</v>
      </c>
      <c r="AL129" s="870"/>
      <c r="AM129" s="870"/>
      <c r="AN129" s="870" t="s">
        <v>1784</v>
      </c>
      <c r="AO129" s="870"/>
      <c r="AP129" s="891" t="s">
        <v>2952</v>
      </c>
      <c r="AQ129" s="891"/>
      <c r="AR129" s="903">
        <v>7.7</v>
      </c>
      <c r="AS129" s="888">
        <v>2.65</v>
      </c>
      <c r="AT129" s="888">
        <v>2.2000000000000002</v>
      </c>
      <c r="AU129" s="888">
        <v>2.7205043130799997</v>
      </c>
      <c r="AV129" s="903">
        <v>2.2950121474199996</v>
      </c>
      <c r="AW129" s="891" t="s">
        <v>2952</v>
      </c>
      <c r="AX129" s="905">
        <v>38530</v>
      </c>
      <c r="AY129" s="870" t="s">
        <v>1669</v>
      </c>
      <c r="AZ129" s="870">
        <v>560</v>
      </c>
      <c r="BA129" s="870" t="s">
        <v>1584</v>
      </c>
      <c r="BB129" s="870" t="s">
        <v>496</v>
      </c>
      <c r="BC129" s="870" t="s">
        <v>2231</v>
      </c>
      <c r="BD129" s="870" t="s">
        <v>497</v>
      </c>
      <c r="BE129" s="870"/>
      <c r="BF129" s="870">
        <v>32325481</v>
      </c>
      <c r="BG129" s="870" t="s">
        <v>243</v>
      </c>
      <c r="BH129" s="891"/>
      <c r="BI129" s="906">
        <v>40802</v>
      </c>
      <c r="BJ129" s="907">
        <v>2623.5009178</v>
      </c>
      <c r="BK129" s="907">
        <v>2557.3622391999997</v>
      </c>
      <c r="BL129" s="907">
        <v>5180.8631569999998</v>
      </c>
      <c r="BM129" s="907">
        <v>556</v>
      </c>
      <c r="BN129" s="907">
        <v>2677</v>
      </c>
      <c r="BO129" s="891">
        <v>308</v>
      </c>
      <c r="BP129" s="907">
        <v>2174.4804031667072</v>
      </c>
      <c r="BQ129" s="891">
        <v>0.35</v>
      </c>
      <c r="BR129" s="891" t="s">
        <v>2952</v>
      </c>
      <c r="BS129" s="891" t="s">
        <v>2952</v>
      </c>
      <c r="BT129" s="908">
        <v>198</v>
      </c>
      <c r="BU129" s="891" t="s">
        <v>2952</v>
      </c>
      <c r="BV129" s="907">
        <v>279.48182653420224</v>
      </c>
      <c r="BW129" s="907">
        <v>391.27455714788312</v>
      </c>
      <c r="BX129" s="891" t="s">
        <v>2952</v>
      </c>
      <c r="BY129" s="891">
        <v>12</v>
      </c>
      <c r="BZ129" s="891" t="s">
        <v>2952</v>
      </c>
      <c r="CA129" s="891" t="s">
        <v>536</v>
      </c>
      <c r="CB129" s="891" t="s">
        <v>536</v>
      </c>
      <c r="CC129" s="891" t="s">
        <v>2952</v>
      </c>
      <c r="CD129" s="904">
        <v>41.027932135220894</v>
      </c>
      <c r="CE129" s="891" t="s">
        <v>1049</v>
      </c>
      <c r="CF129" s="910">
        <v>-0.10548745476512889</v>
      </c>
      <c r="CG129" s="891" t="s">
        <v>2952</v>
      </c>
      <c r="CH129" s="891" t="s">
        <v>2952</v>
      </c>
      <c r="CI129" s="911" t="s">
        <v>2952</v>
      </c>
      <c r="CJ129" s="873"/>
      <c r="CK129" s="870"/>
    </row>
    <row r="130" spans="1:89" ht="34.700000000000003" customHeight="1" x14ac:dyDescent="0.2">
      <c r="A130" s="900">
        <v>41</v>
      </c>
      <c r="B130" s="870" t="s">
        <v>492</v>
      </c>
      <c r="C130" s="916"/>
      <c r="D130" s="870" t="s">
        <v>789</v>
      </c>
      <c r="E130" s="883" t="s">
        <v>4225</v>
      </c>
      <c r="F130" s="870" t="s">
        <v>1789</v>
      </c>
      <c r="G130" s="901" t="s">
        <v>1797</v>
      </c>
      <c r="H130" s="870" t="s">
        <v>498</v>
      </c>
      <c r="I130" s="902" t="s">
        <v>1359</v>
      </c>
      <c r="J130" s="870" t="s">
        <v>114</v>
      </c>
      <c r="K130" s="870">
        <v>1100</v>
      </c>
      <c r="L130" s="870">
        <v>259.89999999999998</v>
      </c>
      <c r="M130" s="870">
        <v>106</v>
      </c>
      <c r="N130" s="870" t="s">
        <v>2484</v>
      </c>
      <c r="O130" s="870" t="s">
        <v>1706</v>
      </c>
      <c r="P130" s="870"/>
      <c r="Q130" s="870"/>
      <c r="R130" s="870"/>
      <c r="S130" s="870"/>
      <c r="T130" s="870"/>
      <c r="U130" s="870"/>
      <c r="V130" s="870"/>
      <c r="W130" s="870"/>
      <c r="X130" s="870"/>
      <c r="Y130" s="870"/>
      <c r="Z130" s="870"/>
      <c r="AA130" s="870"/>
      <c r="AB130" s="870" t="s">
        <v>499</v>
      </c>
      <c r="AC130" s="870" t="s">
        <v>119</v>
      </c>
      <c r="AD130" s="870" t="s">
        <v>2230</v>
      </c>
      <c r="AE130" s="870" t="s">
        <v>1668</v>
      </c>
      <c r="AF130" s="870">
        <v>36.700000000000003</v>
      </c>
      <c r="AG130" s="870" t="s">
        <v>495</v>
      </c>
      <c r="AH130" s="870" t="s">
        <v>122</v>
      </c>
      <c r="AI130" s="870" t="s">
        <v>122</v>
      </c>
      <c r="AJ130" s="870" t="s">
        <v>488</v>
      </c>
      <c r="AK130" s="870" t="s">
        <v>489</v>
      </c>
      <c r="AL130" s="870"/>
      <c r="AM130" s="870"/>
      <c r="AN130" s="870" t="s">
        <v>1784</v>
      </c>
      <c r="AO130" s="870"/>
      <c r="AP130" s="891" t="s">
        <v>2952</v>
      </c>
      <c r="AQ130" s="891"/>
      <c r="AR130" s="903">
        <v>8.157</v>
      </c>
      <c r="AS130" s="888">
        <v>2.65</v>
      </c>
      <c r="AT130" s="888">
        <v>2.2000000000000002</v>
      </c>
      <c r="AU130" s="888">
        <v>2.7205043130799997</v>
      </c>
      <c r="AV130" s="903">
        <v>2.2950121474199996</v>
      </c>
      <c r="AW130" s="891" t="s">
        <v>2952</v>
      </c>
      <c r="AX130" s="905">
        <v>38530</v>
      </c>
      <c r="AY130" s="870" t="s">
        <v>1669</v>
      </c>
      <c r="AZ130" s="870">
        <v>560</v>
      </c>
      <c r="BA130" s="870" t="s">
        <v>1585</v>
      </c>
      <c r="BB130" s="870" t="s">
        <v>500</v>
      </c>
      <c r="BC130" s="870" t="s">
        <v>2231</v>
      </c>
      <c r="BD130" s="870" t="s">
        <v>2232</v>
      </c>
      <c r="BE130" s="870"/>
      <c r="BF130" s="870">
        <v>32325481</v>
      </c>
      <c r="BG130" s="870" t="s">
        <v>243</v>
      </c>
      <c r="BH130" s="891"/>
      <c r="BI130" s="906">
        <v>40803</v>
      </c>
      <c r="BJ130" s="907">
        <v>2623.5009178</v>
      </c>
      <c r="BK130" s="907">
        <v>2557.3622391999997</v>
      </c>
      <c r="BL130" s="907">
        <v>5180.8631569999998</v>
      </c>
      <c r="BM130" s="907">
        <v>556</v>
      </c>
      <c r="BN130" s="907">
        <v>2677</v>
      </c>
      <c r="BO130" s="891">
        <v>308</v>
      </c>
      <c r="BP130" s="907">
        <v>2174.4804031667072</v>
      </c>
      <c r="BQ130" s="891">
        <v>0.35</v>
      </c>
      <c r="BR130" s="891" t="s">
        <v>2952</v>
      </c>
      <c r="BS130" s="891" t="s">
        <v>2952</v>
      </c>
      <c r="BT130" s="908">
        <v>198</v>
      </c>
      <c r="BU130" s="891" t="s">
        <v>2952</v>
      </c>
      <c r="BV130" s="907">
        <v>279.48182653420224</v>
      </c>
      <c r="BW130" s="907">
        <v>391.27455714788312</v>
      </c>
      <c r="BX130" s="891" t="s">
        <v>2952</v>
      </c>
      <c r="BY130" s="891">
        <v>12</v>
      </c>
      <c r="BZ130" s="891" t="s">
        <v>2952</v>
      </c>
      <c r="CA130" s="891" t="s">
        <v>536</v>
      </c>
      <c r="CB130" s="891" t="s">
        <v>536</v>
      </c>
      <c r="CC130" s="891" t="s">
        <v>2952</v>
      </c>
      <c r="CD130" s="904">
        <v>41.027932135220894</v>
      </c>
      <c r="CE130" s="891" t="s">
        <v>1049</v>
      </c>
      <c r="CF130" s="910">
        <v>-0.10548745476512889</v>
      </c>
      <c r="CG130" s="891" t="s">
        <v>2952</v>
      </c>
      <c r="CH130" s="891" t="s">
        <v>2952</v>
      </c>
      <c r="CI130" s="911" t="s">
        <v>2952</v>
      </c>
      <c r="CJ130" s="873"/>
      <c r="CK130" s="870"/>
    </row>
    <row r="131" spans="1:89" ht="34.5" customHeight="1" x14ac:dyDescent="0.2">
      <c r="A131" s="890">
        <v>41</v>
      </c>
      <c r="B131" s="883" t="s">
        <v>502</v>
      </c>
      <c r="C131" s="883"/>
      <c r="D131" s="870" t="s">
        <v>790</v>
      </c>
      <c r="E131" s="883" t="s">
        <v>4225</v>
      </c>
      <c r="F131" s="883">
        <v>2009</v>
      </c>
      <c r="G131" s="901" t="s">
        <v>1797</v>
      </c>
      <c r="H131" s="870" t="s">
        <v>1089</v>
      </c>
      <c r="I131" s="902" t="s">
        <v>329</v>
      </c>
      <c r="J131" s="883" t="s">
        <v>114</v>
      </c>
      <c r="K131" s="870" t="s">
        <v>1759</v>
      </c>
      <c r="L131" s="883">
        <v>292</v>
      </c>
      <c r="M131" s="883">
        <v>125.5</v>
      </c>
      <c r="N131" s="883" t="s">
        <v>1361</v>
      </c>
      <c r="O131" s="870" t="s">
        <v>1706</v>
      </c>
      <c r="P131" s="870"/>
      <c r="Q131" s="870"/>
      <c r="R131" s="870"/>
      <c r="S131" s="870"/>
      <c r="T131" s="870"/>
      <c r="U131" s="870"/>
      <c r="V131" s="870"/>
      <c r="W131" s="870"/>
      <c r="X131" s="870"/>
      <c r="Y131" s="870"/>
      <c r="Z131" s="870"/>
      <c r="AA131" s="870"/>
      <c r="AB131" s="870" t="s">
        <v>399</v>
      </c>
      <c r="AC131" s="870"/>
      <c r="AD131" s="870" t="s">
        <v>398</v>
      </c>
      <c r="AE131" s="870" t="s">
        <v>1801</v>
      </c>
      <c r="AF131" s="883">
        <v>32</v>
      </c>
      <c r="AG131" s="883">
        <v>30</v>
      </c>
      <c r="AH131" s="883" t="s">
        <v>1744</v>
      </c>
      <c r="AI131" s="883" t="s">
        <v>122</v>
      </c>
      <c r="AJ131" s="870" t="s">
        <v>2631</v>
      </c>
      <c r="AK131" s="870" t="s">
        <v>2723</v>
      </c>
      <c r="AL131" s="883"/>
      <c r="AM131" s="883"/>
      <c r="AN131" s="883" t="s">
        <v>1784</v>
      </c>
      <c r="AO131" s="883">
        <v>0.19700000000000001</v>
      </c>
      <c r="AP131" s="891"/>
      <c r="AQ131" s="891"/>
      <c r="AR131" s="918">
        <f>3.203*2.20462262</f>
        <v>7.0614062518599994</v>
      </c>
      <c r="AS131" s="918">
        <v>2.6</v>
      </c>
      <c r="AT131" s="918">
        <v>2.1</v>
      </c>
      <c r="AU131" s="918">
        <f>1.27*2.20462262</f>
        <v>2.7998707273999996</v>
      </c>
      <c r="AV131" s="918">
        <f>1.087*2.20462262</f>
        <v>2.3964247879399996</v>
      </c>
      <c r="AW131" s="904">
        <f>(100*PI()*(A131^2))/(40*AO131*AV131*453.5924)</f>
        <v>61.654076392361667</v>
      </c>
      <c r="AX131" s="905" t="s">
        <v>397</v>
      </c>
      <c r="AY131" s="870" t="s">
        <v>2999</v>
      </c>
      <c r="AZ131" s="870">
        <v>683</v>
      </c>
      <c r="BA131" s="870" t="s">
        <v>1621</v>
      </c>
      <c r="BB131" s="870" t="s">
        <v>1622</v>
      </c>
      <c r="BC131" s="870" t="s">
        <v>881</v>
      </c>
      <c r="BD131" s="870" t="s">
        <v>880</v>
      </c>
      <c r="BE131" s="870"/>
      <c r="BF131" s="870">
        <v>32344940</v>
      </c>
      <c r="BG131" s="870" t="s">
        <v>447</v>
      </c>
      <c r="BH131" s="891" t="s">
        <v>1625</v>
      </c>
      <c r="BI131" s="914">
        <v>41019</v>
      </c>
      <c r="BJ131" s="907">
        <f>937*2.20462262</f>
        <v>2065.73139494</v>
      </c>
      <c r="BK131" s="907">
        <f>1278*2.20462262</f>
        <v>2817.5077083599999</v>
      </c>
      <c r="BL131" s="892">
        <f>BJ131+BK131</f>
        <v>4883.2391033000004</v>
      </c>
      <c r="BM131" s="907">
        <v>616</v>
      </c>
      <c r="BN131" s="907">
        <v>2830</v>
      </c>
      <c r="BO131" s="891">
        <v>330.2</v>
      </c>
      <c r="BP131" s="892">
        <f>IF(G131="Front",0.5*9.81*0.4535924*(BJ131+BL131*(BM131/BN131)*1.1)*1.1*(BO131/1000),IF(G131="Rear",0.5*9.81*0.4535924*(BK131+BL131*(BM131/BN131)*0.9)*0.9*(BO131/1000),"TBD"))</f>
        <v>2495.4122305034193</v>
      </c>
      <c r="BQ131" s="891">
        <v>0.35</v>
      </c>
      <c r="BR131" s="891"/>
      <c r="BS131" s="891"/>
      <c r="BT131" s="891"/>
      <c r="BU131" s="891"/>
      <c r="BV131" s="892">
        <f>(BP131/(M131/1000))/(2*AF131)</f>
        <v>310.68379363837391</v>
      </c>
      <c r="BW131" s="892">
        <f>(1.4*BP131/(M131/1000))/(2*AF131)</f>
        <v>434.95731109372343</v>
      </c>
      <c r="BX131" s="893">
        <v>31.8</v>
      </c>
      <c r="BY131" s="891">
        <v>12</v>
      </c>
      <c r="BZ131" s="909">
        <f>BX131/(L131*BY131)</f>
        <v>9.0753424657534255E-3</v>
      </c>
      <c r="CA131" s="891" t="s">
        <v>2952</v>
      </c>
      <c r="CB131" s="891" t="s">
        <v>2952</v>
      </c>
      <c r="CC131" s="891" t="s">
        <v>2952</v>
      </c>
      <c r="CD131" s="893">
        <f>BV131*(2*AF131)/(2*250)</f>
        <v>39.767525585711859</v>
      </c>
      <c r="CE131" s="890" t="s">
        <v>1049</v>
      </c>
      <c r="CF131" s="915">
        <v>-0.19532333157038728</v>
      </c>
      <c r="CG131" s="891"/>
      <c r="CH131" s="891"/>
      <c r="CI131" s="891"/>
      <c r="CJ131" s="873"/>
      <c r="CK131" s="870"/>
    </row>
    <row r="132" spans="1:89" ht="45" customHeight="1" x14ac:dyDescent="0.2">
      <c r="A132" s="919">
        <v>41</v>
      </c>
      <c r="B132" s="917" t="s">
        <v>502</v>
      </c>
      <c r="C132" s="917"/>
      <c r="D132" s="916" t="s">
        <v>790</v>
      </c>
      <c r="E132" s="883" t="s">
        <v>4225</v>
      </c>
      <c r="F132" s="917">
        <v>2009</v>
      </c>
      <c r="G132" s="920" t="s">
        <v>1797</v>
      </c>
      <c r="H132" s="870" t="s">
        <v>2997</v>
      </c>
      <c r="I132" s="921" t="s">
        <v>329</v>
      </c>
      <c r="J132" s="917" t="s">
        <v>114</v>
      </c>
      <c r="K132" s="916"/>
      <c r="L132" s="917"/>
      <c r="M132" s="917"/>
      <c r="N132" s="917" t="s">
        <v>1361</v>
      </c>
      <c r="O132" s="916" t="s">
        <v>1706</v>
      </c>
      <c r="P132" s="916"/>
      <c r="Q132" s="916"/>
      <c r="R132" s="916"/>
      <c r="S132" s="916"/>
      <c r="T132" s="916"/>
      <c r="U132" s="916"/>
      <c r="V132" s="916"/>
      <c r="W132" s="870"/>
      <c r="X132" s="916"/>
      <c r="Y132" s="870"/>
      <c r="Z132" s="916"/>
      <c r="AA132" s="916"/>
      <c r="AB132" s="916"/>
      <c r="AC132" s="916"/>
      <c r="AD132" s="916"/>
      <c r="AE132" s="916"/>
      <c r="AF132" s="917"/>
      <c r="AG132" s="917"/>
      <c r="AH132" s="917"/>
      <c r="AI132" s="917"/>
      <c r="AJ132" s="916"/>
      <c r="AK132" s="916"/>
      <c r="AL132" s="917"/>
      <c r="AM132" s="917"/>
      <c r="AN132" s="917"/>
      <c r="AO132" s="917"/>
      <c r="AP132" s="922"/>
      <c r="AQ132" s="922"/>
      <c r="AR132" s="923"/>
      <c r="AS132" s="923"/>
      <c r="AT132" s="923"/>
      <c r="AU132" s="923"/>
      <c r="AV132" s="923"/>
      <c r="AW132" s="924"/>
      <c r="AX132" s="925" t="s">
        <v>397</v>
      </c>
      <c r="AY132" s="916" t="s">
        <v>2999</v>
      </c>
      <c r="AZ132" s="916">
        <v>683</v>
      </c>
      <c r="BA132" s="916" t="s">
        <v>1623</v>
      </c>
      <c r="BB132" s="916" t="s">
        <v>1624</v>
      </c>
      <c r="BC132" s="916" t="s">
        <v>881</v>
      </c>
      <c r="BD132" s="916" t="s">
        <v>880</v>
      </c>
      <c r="BE132" s="916"/>
      <c r="BF132" s="916">
        <v>32344940</v>
      </c>
      <c r="BG132" s="916" t="s">
        <v>447</v>
      </c>
      <c r="BH132" s="922" t="s">
        <v>1626</v>
      </c>
      <c r="BI132" s="926">
        <v>41019</v>
      </c>
      <c r="BJ132" s="927">
        <f>937*2.20462262</f>
        <v>2065.73139494</v>
      </c>
      <c r="BK132" s="927">
        <f>1278*2.20462262</f>
        <v>2817.5077083599999</v>
      </c>
      <c r="BL132" s="928">
        <f>BJ132+BK132</f>
        <v>4883.2391033000004</v>
      </c>
      <c r="BM132" s="927">
        <v>616</v>
      </c>
      <c r="BN132" s="927">
        <v>2830</v>
      </c>
      <c r="BO132" s="922">
        <v>330.2</v>
      </c>
      <c r="BP132" s="928"/>
      <c r="BQ132" s="922"/>
      <c r="BR132" s="922"/>
      <c r="BS132" s="922"/>
      <c r="BT132" s="922"/>
      <c r="BU132" s="922"/>
      <c r="BV132" s="928"/>
      <c r="BW132" s="928"/>
      <c r="BX132" s="929"/>
      <c r="BY132" s="922">
        <v>12</v>
      </c>
      <c r="BZ132" s="930"/>
      <c r="CA132" s="922" t="s">
        <v>2952</v>
      </c>
      <c r="CB132" s="922" t="s">
        <v>2952</v>
      </c>
      <c r="CC132" s="922" t="s">
        <v>2952</v>
      </c>
      <c r="CD132" s="929"/>
      <c r="CE132" s="931"/>
      <c r="CF132" s="932"/>
      <c r="CG132" s="922"/>
      <c r="CH132" s="922"/>
      <c r="CI132" s="933"/>
      <c r="CJ132" s="873"/>
      <c r="CK132" s="870"/>
    </row>
    <row r="133" spans="1:89" ht="45" customHeight="1" x14ac:dyDescent="0.2">
      <c r="A133" s="884">
        <v>41</v>
      </c>
      <c r="B133" s="883" t="s">
        <v>503</v>
      </c>
      <c r="C133" s="883"/>
      <c r="D133" s="870" t="s">
        <v>790</v>
      </c>
      <c r="E133" s="883" t="s">
        <v>4225</v>
      </c>
      <c r="F133" s="883">
        <v>2009</v>
      </c>
      <c r="G133" s="901" t="s">
        <v>1797</v>
      </c>
      <c r="H133" s="870" t="s">
        <v>1090</v>
      </c>
      <c r="I133" s="902" t="s">
        <v>329</v>
      </c>
      <c r="J133" s="883" t="s">
        <v>114</v>
      </c>
      <c r="K133" s="870" t="s">
        <v>1760</v>
      </c>
      <c r="L133" s="883">
        <v>315</v>
      </c>
      <c r="M133" s="883">
        <v>135</v>
      </c>
      <c r="N133" s="883" t="s">
        <v>197</v>
      </c>
      <c r="O133" s="870" t="s">
        <v>1706</v>
      </c>
      <c r="P133" s="870"/>
      <c r="Q133" s="870"/>
      <c r="R133" s="870"/>
      <c r="S133" s="870"/>
      <c r="T133" s="870"/>
      <c r="U133" s="870"/>
      <c r="V133" s="870"/>
      <c r="W133" s="870"/>
      <c r="X133" s="870"/>
      <c r="Y133" s="870"/>
      <c r="Z133" s="870"/>
      <c r="AA133" s="870"/>
      <c r="AB133" s="870" t="s">
        <v>400</v>
      </c>
      <c r="AC133" s="870"/>
      <c r="AD133" s="870" t="s">
        <v>398</v>
      </c>
      <c r="AE133" s="870" t="s">
        <v>1801</v>
      </c>
      <c r="AF133" s="883">
        <v>32</v>
      </c>
      <c r="AG133" s="883">
        <v>30</v>
      </c>
      <c r="AH133" s="883" t="s">
        <v>1744</v>
      </c>
      <c r="AI133" s="883" t="s">
        <v>122</v>
      </c>
      <c r="AJ133" s="870" t="s">
        <v>2631</v>
      </c>
      <c r="AK133" s="870" t="s">
        <v>2723</v>
      </c>
      <c r="AL133" s="883"/>
      <c r="AM133" s="883"/>
      <c r="AN133" s="883" t="s">
        <v>1784</v>
      </c>
      <c r="AO133" s="883">
        <v>0.2</v>
      </c>
      <c r="AP133" s="891"/>
      <c r="AQ133" s="891"/>
      <c r="AR133" s="918">
        <v>7.5</v>
      </c>
      <c r="AS133" s="918">
        <v>3.1</v>
      </c>
      <c r="AT133" s="918">
        <v>2.5</v>
      </c>
      <c r="AU133" s="918">
        <f>1.382*2.20462262</f>
        <v>3.0467884608399998</v>
      </c>
      <c r="AV133" s="918">
        <f>1.199*2.20462262</f>
        <v>2.6433425213800001</v>
      </c>
      <c r="AW133" s="904">
        <f>(100*PI()*(A133^2))/(40*AO133*AV133*453.5924)</f>
        <v>55.056473163402565</v>
      </c>
      <c r="AX133" s="905" t="s">
        <v>397</v>
      </c>
      <c r="AY133" s="870" t="s">
        <v>2999</v>
      </c>
      <c r="AZ133" s="870">
        <v>94</v>
      </c>
      <c r="BA133" s="870" t="s">
        <v>1627</v>
      </c>
      <c r="BB133" s="870" t="s">
        <v>1628</v>
      </c>
      <c r="BC133" s="870" t="s">
        <v>1629</v>
      </c>
      <c r="BD133" s="870" t="s">
        <v>1630</v>
      </c>
      <c r="BE133" s="870"/>
      <c r="BF133" s="870">
        <v>32344940</v>
      </c>
      <c r="BG133" s="870" t="s">
        <v>447</v>
      </c>
      <c r="BH133" s="891" t="s">
        <v>1625</v>
      </c>
      <c r="BI133" s="914">
        <v>41019</v>
      </c>
      <c r="BJ133" s="907">
        <f>1089*2.20462262</f>
        <v>2400.83403318</v>
      </c>
      <c r="BK133" s="907">
        <f>1486*2.20462262</f>
        <v>3276.06921332</v>
      </c>
      <c r="BL133" s="892">
        <f>BJ133+BK133</f>
        <v>5676.9032465</v>
      </c>
      <c r="BM133" s="907">
        <v>616</v>
      </c>
      <c r="BN133" s="907">
        <v>2830</v>
      </c>
      <c r="BO133" s="891">
        <v>330.2</v>
      </c>
      <c r="BP133" s="892">
        <f>IF(G133="Front",0.5*9.81*0.4535924*(BJ133+BL133*(BM133/BN133)*1.1)*1.1*(BO133/1000),IF(G133="Rear",0.5*9.81*0.4535924*(BK133+BL133*(BM133/BN133)*0.9)*0.9*(BO133/1000),"TBD"))</f>
        <v>2901.4083074777536</v>
      </c>
      <c r="BQ133" s="891">
        <v>0.35</v>
      </c>
      <c r="BR133" s="891"/>
      <c r="BS133" s="891"/>
      <c r="BT133" s="908">
        <v>180</v>
      </c>
      <c r="BU133" s="891"/>
      <c r="BV133" s="892">
        <f>(BP133/(M133/1000))/(2*AF133)</f>
        <v>335.81114669881407</v>
      </c>
      <c r="BW133" s="892">
        <f>(1.4*BP133/(M133/1000))/(2*AF133)</f>
        <v>470.13560537833968</v>
      </c>
      <c r="BX133" s="893">
        <v>36.97</v>
      </c>
      <c r="BY133" s="891">
        <v>23</v>
      </c>
      <c r="BZ133" s="909">
        <f>BX133/(L133*BY133)</f>
        <v>5.1028295376121463E-3</v>
      </c>
      <c r="CA133" s="891" t="s">
        <v>2952</v>
      </c>
      <c r="CB133" s="891" t="s">
        <v>2952</v>
      </c>
      <c r="CC133" s="891" t="s">
        <v>2952</v>
      </c>
      <c r="CD133" s="893">
        <f>BV133*(2*AF133)/(2*250)</f>
        <v>42.983826777448201</v>
      </c>
      <c r="CE133" s="890" t="s">
        <v>1049</v>
      </c>
      <c r="CF133" s="915">
        <v>-0.25553394383235672</v>
      </c>
      <c r="CG133" s="891"/>
      <c r="CH133" s="891"/>
      <c r="CI133" s="911"/>
      <c r="CJ133" s="873"/>
      <c r="CK133" s="870"/>
    </row>
    <row r="134" spans="1:89" ht="54.95" customHeight="1" x14ac:dyDescent="0.2">
      <c r="A134" s="884">
        <v>41</v>
      </c>
      <c r="B134" s="883" t="s">
        <v>503</v>
      </c>
      <c r="C134" s="883"/>
      <c r="D134" s="870" t="s">
        <v>790</v>
      </c>
      <c r="E134" s="883" t="s">
        <v>4225</v>
      </c>
      <c r="F134" s="883">
        <v>2009</v>
      </c>
      <c r="G134" s="901" t="s">
        <v>1797</v>
      </c>
      <c r="H134" s="870" t="s">
        <v>2998</v>
      </c>
      <c r="I134" s="902" t="s">
        <v>329</v>
      </c>
      <c r="J134" s="883" t="s">
        <v>114</v>
      </c>
      <c r="K134" s="870"/>
      <c r="L134" s="883"/>
      <c r="M134" s="883"/>
      <c r="N134" s="883" t="s">
        <v>197</v>
      </c>
      <c r="O134" s="870" t="s">
        <v>1706</v>
      </c>
      <c r="P134" s="870"/>
      <c r="Q134" s="870"/>
      <c r="R134" s="870"/>
      <c r="S134" s="870"/>
      <c r="T134" s="870"/>
      <c r="U134" s="870"/>
      <c r="V134" s="870"/>
      <c r="W134" s="870"/>
      <c r="X134" s="870"/>
      <c r="Y134" s="870"/>
      <c r="Z134" s="870"/>
      <c r="AA134" s="870"/>
      <c r="AB134" s="870"/>
      <c r="AC134" s="870"/>
      <c r="AD134" s="870"/>
      <c r="AE134" s="870"/>
      <c r="AF134" s="883"/>
      <c r="AG134" s="883"/>
      <c r="AH134" s="883"/>
      <c r="AI134" s="883"/>
      <c r="AJ134" s="870"/>
      <c r="AK134" s="870"/>
      <c r="AL134" s="883"/>
      <c r="AM134" s="883"/>
      <c r="AN134" s="883"/>
      <c r="AO134" s="883"/>
      <c r="AP134" s="891"/>
      <c r="AQ134" s="891"/>
      <c r="AR134" s="918"/>
      <c r="AS134" s="918"/>
      <c r="AT134" s="918"/>
      <c r="AU134" s="918"/>
      <c r="AV134" s="918"/>
      <c r="AW134" s="904"/>
      <c r="AX134" s="905" t="s">
        <v>397</v>
      </c>
      <c r="AY134" s="870" t="s">
        <v>2999</v>
      </c>
      <c r="AZ134" s="870">
        <v>94</v>
      </c>
      <c r="BA134" s="870" t="s">
        <v>1631</v>
      </c>
      <c r="BB134" s="870" t="s">
        <v>1632</v>
      </c>
      <c r="BC134" s="870" t="s">
        <v>1629</v>
      </c>
      <c r="BD134" s="870" t="s">
        <v>1630</v>
      </c>
      <c r="BE134" s="870"/>
      <c r="BF134" s="870">
        <v>32344940</v>
      </c>
      <c r="BG134" s="870" t="s">
        <v>447</v>
      </c>
      <c r="BH134" s="891" t="s">
        <v>1626</v>
      </c>
      <c r="BI134" s="914">
        <v>41019</v>
      </c>
      <c r="BJ134" s="907">
        <f>1089*2.20462262</f>
        <v>2400.83403318</v>
      </c>
      <c r="BK134" s="907">
        <f>1486*2.20462262</f>
        <v>3276.06921332</v>
      </c>
      <c r="BL134" s="892">
        <f>BJ134+BK134</f>
        <v>5676.9032465</v>
      </c>
      <c r="BM134" s="907">
        <v>616</v>
      </c>
      <c r="BN134" s="907">
        <v>2830</v>
      </c>
      <c r="BO134" s="891">
        <v>330.2</v>
      </c>
      <c r="BP134" s="892"/>
      <c r="BQ134" s="891"/>
      <c r="BR134" s="891"/>
      <c r="BS134" s="891"/>
      <c r="BT134" s="908"/>
      <c r="BU134" s="891"/>
      <c r="BV134" s="892"/>
      <c r="BW134" s="892"/>
      <c r="BX134" s="893"/>
      <c r="BY134" s="891">
        <v>23</v>
      </c>
      <c r="BZ134" s="909"/>
      <c r="CA134" s="891" t="s">
        <v>2952</v>
      </c>
      <c r="CB134" s="891" t="s">
        <v>2952</v>
      </c>
      <c r="CC134" s="891" t="s">
        <v>2952</v>
      </c>
      <c r="CD134" s="893"/>
      <c r="CE134" s="890"/>
      <c r="CF134" s="915"/>
      <c r="CG134" s="891"/>
      <c r="CH134" s="891"/>
      <c r="CI134" s="911"/>
      <c r="CJ134" s="873"/>
      <c r="CK134" s="870"/>
    </row>
    <row r="135" spans="1:89" ht="54.95" customHeight="1" x14ac:dyDescent="0.2">
      <c r="A135" s="884">
        <v>41</v>
      </c>
      <c r="B135" s="870" t="s">
        <v>2707</v>
      </c>
      <c r="C135" s="870"/>
      <c r="D135" s="870" t="s">
        <v>638</v>
      </c>
      <c r="E135" s="883" t="s">
        <v>4225</v>
      </c>
      <c r="F135" s="870"/>
      <c r="G135" s="934"/>
      <c r="H135" s="870" t="s">
        <v>2715</v>
      </c>
      <c r="I135" s="902" t="s">
        <v>2719</v>
      </c>
      <c r="J135" s="870" t="s">
        <v>114</v>
      </c>
      <c r="K135" s="870" t="s">
        <v>2708</v>
      </c>
      <c r="L135" s="870">
        <v>281</v>
      </c>
      <c r="M135" s="870">
        <v>122.7</v>
      </c>
      <c r="N135" s="870" t="s">
        <v>2709</v>
      </c>
      <c r="O135" s="870" t="s">
        <v>1706</v>
      </c>
      <c r="P135" s="870"/>
      <c r="Q135" s="870"/>
      <c r="R135" s="870"/>
      <c r="S135" s="870"/>
      <c r="T135" s="870"/>
      <c r="U135" s="870"/>
      <c r="V135" s="870"/>
      <c r="W135" s="870"/>
      <c r="X135" s="870"/>
      <c r="Y135" s="870"/>
      <c r="Z135" s="870"/>
      <c r="AA135" s="870"/>
      <c r="AB135" s="870" t="s">
        <v>2710</v>
      </c>
      <c r="AC135" s="870" t="s">
        <v>119</v>
      </c>
      <c r="AD135" s="870" t="s">
        <v>1708</v>
      </c>
      <c r="AE135" s="870" t="s">
        <v>2711</v>
      </c>
      <c r="AF135" s="870">
        <v>34.82</v>
      </c>
      <c r="AG135" s="870">
        <v>34.82</v>
      </c>
      <c r="AH135" s="870" t="s">
        <v>122</v>
      </c>
      <c r="AI135" s="870" t="s">
        <v>122</v>
      </c>
      <c r="AJ135" s="870" t="s">
        <v>48</v>
      </c>
      <c r="AK135" s="870" t="s">
        <v>2712</v>
      </c>
      <c r="AL135" s="870"/>
      <c r="AM135" s="870"/>
      <c r="AN135" s="870" t="s">
        <v>2713</v>
      </c>
      <c r="AO135" s="870">
        <v>0.19</v>
      </c>
      <c r="AP135" s="870"/>
      <c r="AQ135" s="870"/>
      <c r="AR135" s="888">
        <v>6.6</v>
      </c>
      <c r="AS135" s="888">
        <v>2.2000000000000002</v>
      </c>
      <c r="AT135" s="888">
        <v>1.8</v>
      </c>
      <c r="AU135" s="888" t="s">
        <v>2714</v>
      </c>
      <c r="AV135" s="903">
        <f>1.02*2.2</f>
        <v>2.2440000000000002</v>
      </c>
      <c r="AW135" s="888"/>
      <c r="AX135" s="935">
        <v>37773</v>
      </c>
      <c r="AY135" s="870" t="s">
        <v>1659</v>
      </c>
      <c r="AZ135" s="870">
        <v>324</v>
      </c>
      <c r="BA135" s="870" t="s">
        <v>2716</v>
      </c>
      <c r="BB135" s="870" t="s">
        <v>2717</v>
      </c>
      <c r="BC135" s="870">
        <v>14022500</v>
      </c>
      <c r="BD135" s="870" t="s">
        <v>2718</v>
      </c>
      <c r="BE135" s="870"/>
      <c r="BF135" s="870"/>
      <c r="BG135" s="870"/>
      <c r="BH135" s="870" t="s">
        <v>2720</v>
      </c>
      <c r="BI135" s="891"/>
      <c r="BJ135" s="907"/>
      <c r="BK135" s="907"/>
      <c r="BL135" s="907"/>
      <c r="BM135" s="907"/>
      <c r="BN135" s="907"/>
      <c r="BO135" s="891"/>
      <c r="BP135" s="907"/>
      <c r="BQ135" s="891"/>
      <c r="BR135" s="904"/>
      <c r="BS135" s="904"/>
      <c r="BT135" s="908"/>
      <c r="BU135" s="907"/>
      <c r="BV135" s="907"/>
      <c r="BW135" s="907"/>
      <c r="BX135" s="890"/>
      <c r="BY135" s="891"/>
      <c r="BZ135" s="909"/>
      <c r="CA135" s="890"/>
      <c r="CB135" s="890"/>
      <c r="CC135" s="893"/>
      <c r="CD135" s="893"/>
      <c r="CE135" s="890"/>
      <c r="CF135" s="890"/>
      <c r="CG135" s="890"/>
      <c r="CH135" s="890"/>
      <c r="CI135" s="896"/>
      <c r="CJ135" s="873"/>
      <c r="CK135" s="870"/>
    </row>
    <row r="136" spans="1:89" ht="54.95" customHeight="1" x14ac:dyDescent="0.2">
      <c r="A136" s="884">
        <v>43</v>
      </c>
      <c r="B136" s="883" t="s">
        <v>2184</v>
      </c>
      <c r="C136" s="870" t="s">
        <v>3980</v>
      </c>
      <c r="D136" s="870" t="s">
        <v>1296</v>
      </c>
      <c r="E136" s="883" t="s">
        <v>4225</v>
      </c>
      <c r="F136" s="870">
        <v>2009</v>
      </c>
      <c r="G136" s="901" t="s">
        <v>1797</v>
      </c>
      <c r="H136" s="870" t="s">
        <v>961</v>
      </c>
      <c r="I136" s="902" t="s">
        <v>669</v>
      </c>
      <c r="J136" s="870" t="s">
        <v>114</v>
      </c>
      <c r="K136" s="870" t="s">
        <v>944</v>
      </c>
      <c r="L136" s="870">
        <v>305</v>
      </c>
      <c r="M136" s="870">
        <v>131.5</v>
      </c>
      <c r="N136" s="883" t="s">
        <v>2119</v>
      </c>
      <c r="O136" s="870" t="s">
        <v>2120</v>
      </c>
      <c r="P136" s="870"/>
      <c r="Q136" s="870"/>
      <c r="R136" s="870"/>
      <c r="S136" s="870" t="s">
        <v>3652</v>
      </c>
      <c r="T136" s="870" t="s">
        <v>3652</v>
      </c>
      <c r="U136" s="870">
        <v>0.14500000000000135</v>
      </c>
      <c r="V136" s="870">
        <v>0.14500000000000135</v>
      </c>
      <c r="W136" s="870" t="s">
        <v>3681</v>
      </c>
      <c r="X136" s="936">
        <v>0.1192</v>
      </c>
      <c r="Y136" s="870" t="s">
        <v>3682</v>
      </c>
      <c r="Z136" s="870"/>
      <c r="AA136" s="870">
        <v>144</v>
      </c>
      <c r="AB136" s="870" t="s">
        <v>955</v>
      </c>
      <c r="AC136" s="870" t="s">
        <v>119</v>
      </c>
      <c r="AD136" s="870" t="s">
        <v>946</v>
      </c>
      <c r="AE136" s="870" t="s">
        <v>1668</v>
      </c>
      <c r="AF136" s="870">
        <v>37.799999999999997</v>
      </c>
      <c r="AG136" s="870">
        <v>41.6</v>
      </c>
      <c r="AH136" s="870" t="s">
        <v>1744</v>
      </c>
      <c r="AI136" s="870" t="s">
        <v>122</v>
      </c>
      <c r="AJ136" s="870" t="s">
        <v>81</v>
      </c>
      <c r="AK136" s="870" t="s">
        <v>82</v>
      </c>
      <c r="AL136" s="870"/>
      <c r="AM136" s="870"/>
      <c r="AN136" s="870" t="s">
        <v>1784</v>
      </c>
      <c r="AO136" s="870">
        <v>0.18</v>
      </c>
      <c r="AP136" s="937">
        <v>0.192</v>
      </c>
      <c r="AQ136" s="937"/>
      <c r="AR136" s="888">
        <v>9.59</v>
      </c>
      <c r="AS136" s="888">
        <v>3.0533990000000002</v>
      </c>
      <c r="AT136" s="888">
        <v>2.4493330000000002</v>
      </c>
      <c r="AU136" s="888">
        <v>4.5569499999999996</v>
      </c>
      <c r="AV136" s="888">
        <v>3.8646989999999999</v>
      </c>
      <c r="AW136" s="904">
        <v>46.022779441648744</v>
      </c>
      <c r="AX136" s="935">
        <v>38174</v>
      </c>
      <c r="AY136" s="870" t="s">
        <v>1669</v>
      </c>
      <c r="AZ136" s="870">
        <v>2000</v>
      </c>
      <c r="BA136" s="938" t="s">
        <v>3678</v>
      </c>
      <c r="BB136" s="939" t="s">
        <v>3679</v>
      </c>
      <c r="BC136" s="938">
        <v>15812301</v>
      </c>
      <c r="BD136" s="940" t="s">
        <v>3680</v>
      </c>
      <c r="BE136" s="941">
        <v>18027301</v>
      </c>
      <c r="BF136" s="888" t="s">
        <v>2185</v>
      </c>
      <c r="BG136" s="870" t="s">
        <v>243</v>
      </c>
      <c r="BH136" s="870" t="s">
        <v>1796</v>
      </c>
      <c r="BI136" s="906">
        <v>41493</v>
      </c>
      <c r="BJ136" s="897">
        <v>3113.0000000000005</v>
      </c>
      <c r="BK136" s="897">
        <v>2794</v>
      </c>
      <c r="BL136" s="907">
        <v>5907</v>
      </c>
      <c r="BM136" s="907">
        <v>709</v>
      </c>
      <c r="BN136" s="907">
        <v>3076</v>
      </c>
      <c r="BO136" s="891">
        <v>334</v>
      </c>
      <c r="BP136" s="892">
        <v>2910</v>
      </c>
      <c r="BQ136" s="891">
        <v>0.32</v>
      </c>
      <c r="BR136" s="942">
        <v>0.2681</v>
      </c>
      <c r="BS136" s="942">
        <v>0.2681</v>
      </c>
      <c r="BT136" s="943">
        <v>180</v>
      </c>
      <c r="BU136" s="892">
        <v>891.52581987523729</v>
      </c>
      <c r="BV136" s="892">
        <v>264.68196922761052</v>
      </c>
      <c r="BW136" s="892">
        <v>370.55475691865473</v>
      </c>
      <c r="BX136" s="893">
        <v>30.60887318</v>
      </c>
      <c r="BY136" s="891">
        <v>12</v>
      </c>
      <c r="BZ136" s="909">
        <v>8.3630801038251362E-3</v>
      </c>
      <c r="CA136" s="904" t="s">
        <v>1814</v>
      </c>
      <c r="CB136" s="904" t="s">
        <v>2557</v>
      </c>
      <c r="CC136" s="893">
        <v>21.563780768232306</v>
      </c>
      <c r="CD136" s="893">
        <v>40.972768836434106</v>
      </c>
      <c r="CE136" s="890" t="s">
        <v>1049</v>
      </c>
      <c r="CF136" s="915">
        <v>-5.5470228177820768E-2</v>
      </c>
      <c r="CG136" s="944">
        <v>1.1838333333333333</v>
      </c>
      <c r="CH136" s="944">
        <v>0.79700000000000004</v>
      </c>
      <c r="CI136" s="945">
        <v>8.0000000000000002E-3</v>
      </c>
      <c r="CJ136" s="873"/>
      <c r="CK136" s="870"/>
    </row>
    <row r="137" spans="1:89" ht="54.95" customHeight="1" x14ac:dyDescent="0.2">
      <c r="A137" s="946">
        <v>43</v>
      </c>
      <c r="B137" s="883" t="s">
        <v>3808</v>
      </c>
      <c r="C137" s="870" t="s">
        <v>3980</v>
      </c>
      <c r="D137" s="870" t="s">
        <v>788</v>
      </c>
      <c r="E137" s="883" t="s">
        <v>4225</v>
      </c>
      <c r="F137" s="883">
        <v>2013</v>
      </c>
      <c r="G137" s="901" t="s">
        <v>1797</v>
      </c>
      <c r="H137" s="870" t="s">
        <v>3809</v>
      </c>
      <c r="I137" s="886" t="s">
        <v>3217</v>
      </c>
      <c r="J137" s="883" t="s">
        <v>114</v>
      </c>
      <c r="K137" s="870" t="s">
        <v>3826</v>
      </c>
      <c r="L137" s="870" t="s">
        <v>3827</v>
      </c>
      <c r="M137" s="870">
        <v>159</v>
      </c>
      <c r="N137" s="870" t="s">
        <v>3828</v>
      </c>
      <c r="O137" s="870" t="s">
        <v>1706</v>
      </c>
      <c r="P137" s="870"/>
      <c r="Q137" s="870"/>
      <c r="R137" s="870"/>
      <c r="S137" s="870" t="s">
        <v>3652</v>
      </c>
      <c r="T137" s="870" t="s">
        <v>3652</v>
      </c>
      <c r="U137" s="870" t="s">
        <v>3814</v>
      </c>
      <c r="V137" s="870" t="s">
        <v>3815</v>
      </c>
      <c r="W137" s="870" t="s">
        <v>3816</v>
      </c>
      <c r="X137" s="947">
        <v>0.15659999999999999</v>
      </c>
      <c r="Y137" s="870" t="s">
        <v>3682</v>
      </c>
      <c r="Z137" s="870" t="s">
        <v>3817</v>
      </c>
      <c r="AA137" s="870">
        <v>144</v>
      </c>
      <c r="AB137" s="870" t="s">
        <v>633</v>
      </c>
      <c r="AC137" s="870" t="s">
        <v>3810</v>
      </c>
      <c r="AD137" s="870" t="s">
        <v>1061</v>
      </c>
      <c r="AE137" s="870" t="s">
        <v>1668</v>
      </c>
      <c r="AF137" s="883">
        <v>34.590000000000003</v>
      </c>
      <c r="AG137" s="883">
        <v>35.29</v>
      </c>
      <c r="AH137" s="883" t="s">
        <v>1744</v>
      </c>
      <c r="AI137" s="883" t="s">
        <v>122</v>
      </c>
      <c r="AJ137" s="870" t="s">
        <v>369</v>
      </c>
      <c r="AK137" s="870" t="s">
        <v>3811</v>
      </c>
      <c r="AL137" s="883"/>
      <c r="AM137" s="883"/>
      <c r="AN137" s="883" t="s">
        <v>1784</v>
      </c>
      <c r="AO137" s="948"/>
      <c r="AP137" s="883"/>
      <c r="AQ137" s="883"/>
      <c r="AR137" s="918">
        <f>4.352*2.2</f>
        <v>9.5744000000000007</v>
      </c>
      <c r="AS137" s="888">
        <v>2.6</v>
      </c>
      <c r="AT137" s="887">
        <v>2.2000000000000002</v>
      </c>
      <c r="AU137" s="888">
        <v>4.7</v>
      </c>
      <c r="AV137" s="888">
        <v>4.0999999999999996</v>
      </c>
      <c r="AW137" s="904"/>
      <c r="AX137" s="889"/>
      <c r="AY137" s="883" t="s">
        <v>2093</v>
      </c>
      <c r="AZ137" s="949"/>
      <c r="BA137" s="870" t="s">
        <v>3812</v>
      </c>
      <c r="BB137" s="870" t="s">
        <v>3813</v>
      </c>
      <c r="BC137" s="883">
        <v>18071601</v>
      </c>
      <c r="BD137" s="876" t="s">
        <v>2410</v>
      </c>
      <c r="BE137" s="870">
        <v>18072107</v>
      </c>
      <c r="BF137" s="870">
        <v>17410606</v>
      </c>
      <c r="BG137" s="870" t="s">
        <v>243</v>
      </c>
      <c r="BH137" s="891" t="s">
        <v>3833</v>
      </c>
      <c r="BI137" s="906">
        <v>41733</v>
      </c>
      <c r="BJ137" s="907"/>
      <c r="BK137" s="907"/>
      <c r="BL137" s="907" t="s">
        <v>3825</v>
      </c>
      <c r="BM137" s="907"/>
      <c r="BN137" s="907"/>
      <c r="BO137" s="891" t="s">
        <v>3829</v>
      </c>
      <c r="BP137" s="892"/>
      <c r="BQ137" s="891"/>
      <c r="BR137" s="891"/>
      <c r="BS137" s="891"/>
      <c r="BT137" s="908"/>
      <c r="BU137" s="891"/>
      <c r="BV137" s="892"/>
      <c r="BW137" s="892"/>
      <c r="BX137" s="904" t="s">
        <v>3894</v>
      </c>
      <c r="BY137" s="891">
        <v>19</v>
      </c>
      <c r="BZ137" s="909" t="s">
        <v>3895</v>
      </c>
      <c r="CA137" s="891"/>
      <c r="CB137" s="891"/>
      <c r="CC137" s="891"/>
      <c r="CD137" s="893"/>
      <c r="CE137" s="890"/>
      <c r="CF137" s="915"/>
      <c r="CG137" s="891"/>
      <c r="CH137" s="891"/>
      <c r="CI137" s="911"/>
      <c r="CJ137" s="873"/>
      <c r="CK137" s="870"/>
    </row>
    <row r="138" spans="1:89" ht="51" x14ac:dyDescent="0.2">
      <c r="A138" s="946">
        <v>43</v>
      </c>
      <c r="B138" s="883" t="s">
        <v>3808</v>
      </c>
      <c r="C138" s="870" t="s">
        <v>3980</v>
      </c>
      <c r="D138" s="870" t="s">
        <v>788</v>
      </c>
      <c r="E138" s="883" t="s">
        <v>4225</v>
      </c>
      <c r="F138" s="883">
        <v>2013</v>
      </c>
      <c r="G138" s="901" t="s">
        <v>1797</v>
      </c>
      <c r="H138" s="870" t="s">
        <v>3818</v>
      </c>
      <c r="I138" s="886" t="s">
        <v>3217</v>
      </c>
      <c r="J138" s="883" t="s">
        <v>114</v>
      </c>
      <c r="K138" s="883" t="s">
        <v>1058</v>
      </c>
      <c r="L138" s="870">
        <v>300</v>
      </c>
      <c r="M138" s="870">
        <v>131.5</v>
      </c>
      <c r="N138" s="870"/>
      <c r="O138" s="870" t="s">
        <v>1706</v>
      </c>
      <c r="P138" s="870"/>
      <c r="Q138" s="870"/>
      <c r="R138" s="870"/>
      <c r="S138" s="870" t="s">
        <v>3652</v>
      </c>
      <c r="T138" s="870" t="s">
        <v>3652</v>
      </c>
      <c r="U138" s="870" t="s">
        <v>3814</v>
      </c>
      <c r="V138" s="870" t="s">
        <v>3815</v>
      </c>
      <c r="W138" s="870" t="s">
        <v>3816</v>
      </c>
      <c r="X138" s="947">
        <v>0.15659999999999999</v>
      </c>
      <c r="Y138" s="870" t="s">
        <v>3682</v>
      </c>
      <c r="Z138" s="870" t="s">
        <v>3817</v>
      </c>
      <c r="AA138" s="870">
        <v>144</v>
      </c>
      <c r="AB138" s="870" t="s">
        <v>633</v>
      </c>
      <c r="AC138" s="870" t="s">
        <v>3810</v>
      </c>
      <c r="AD138" s="870" t="s">
        <v>1061</v>
      </c>
      <c r="AE138" s="870" t="s">
        <v>1668</v>
      </c>
      <c r="AF138" s="883">
        <v>34.590000000000003</v>
      </c>
      <c r="AG138" s="883">
        <v>35.29</v>
      </c>
      <c r="AH138" s="883" t="s">
        <v>1744</v>
      </c>
      <c r="AI138" s="883" t="s">
        <v>122</v>
      </c>
      <c r="AJ138" s="870" t="s">
        <v>369</v>
      </c>
      <c r="AK138" s="870" t="s">
        <v>1372</v>
      </c>
      <c r="AL138" s="883"/>
      <c r="AM138" s="883"/>
      <c r="AN138" s="883" t="s">
        <v>1784</v>
      </c>
      <c r="AO138" s="948"/>
      <c r="AP138" s="883"/>
      <c r="AQ138" s="883"/>
      <c r="AR138" s="918">
        <f>4.352*2.2</f>
        <v>9.5744000000000007</v>
      </c>
      <c r="AS138" s="888">
        <v>2.6</v>
      </c>
      <c r="AT138" s="887">
        <v>2.2000000000000002</v>
      </c>
      <c r="AU138" s="888">
        <v>4.7</v>
      </c>
      <c r="AV138" s="888">
        <v>4.0999999999999996</v>
      </c>
      <c r="AW138" s="904"/>
      <c r="AX138" s="889"/>
      <c r="AY138" s="883" t="s">
        <v>2093</v>
      </c>
      <c r="AZ138" s="949"/>
      <c r="BA138" s="870" t="s">
        <v>3819</v>
      </c>
      <c r="BB138" s="883" t="s">
        <v>3820</v>
      </c>
      <c r="BC138" s="883">
        <v>18071601</v>
      </c>
      <c r="BD138" s="870" t="s">
        <v>2411</v>
      </c>
      <c r="BE138" s="870">
        <v>18072106</v>
      </c>
      <c r="BF138" s="870">
        <v>17410606</v>
      </c>
      <c r="BG138" s="870" t="s">
        <v>243</v>
      </c>
      <c r="BH138" s="891" t="s">
        <v>3833</v>
      </c>
      <c r="BI138" s="906">
        <v>41733</v>
      </c>
      <c r="BJ138" s="907"/>
      <c r="BK138" s="907"/>
      <c r="BL138" s="892">
        <v>4788</v>
      </c>
      <c r="BM138" s="907"/>
      <c r="BN138" s="907"/>
      <c r="BO138" s="891">
        <v>319.3</v>
      </c>
      <c r="BP138" s="892"/>
      <c r="BQ138" s="891"/>
      <c r="BR138" s="891"/>
      <c r="BS138" s="891"/>
      <c r="BT138" s="908"/>
      <c r="BU138" s="891"/>
      <c r="BV138" s="892"/>
      <c r="BW138" s="892"/>
      <c r="BX138" s="893">
        <v>26</v>
      </c>
      <c r="BY138" s="891">
        <v>19</v>
      </c>
      <c r="BZ138" s="909">
        <v>4.5999999999999999E-3</v>
      </c>
      <c r="CA138" s="891"/>
      <c r="CB138" s="891"/>
      <c r="CC138" s="891"/>
      <c r="CD138" s="893"/>
      <c r="CE138" s="890"/>
      <c r="CF138" s="915"/>
      <c r="CG138" s="891"/>
      <c r="CH138" s="891"/>
      <c r="CI138" s="911"/>
      <c r="CJ138" s="873"/>
      <c r="CK138" s="870"/>
    </row>
    <row r="139" spans="1:89" ht="38.25" x14ac:dyDescent="0.2">
      <c r="A139" s="946">
        <v>43</v>
      </c>
      <c r="B139" s="883" t="s">
        <v>3808</v>
      </c>
      <c r="C139" s="870" t="s">
        <v>3980</v>
      </c>
      <c r="D139" s="870" t="s">
        <v>788</v>
      </c>
      <c r="E139" s="883" t="s">
        <v>4225</v>
      </c>
      <c r="F139" s="883">
        <v>2013</v>
      </c>
      <c r="G139" s="901" t="s">
        <v>1797</v>
      </c>
      <c r="H139" s="870" t="s">
        <v>2407</v>
      </c>
      <c r="I139" s="886" t="s">
        <v>3217</v>
      </c>
      <c r="J139" s="883" t="s">
        <v>114</v>
      </c>
      <c r="K139" s="883" t="s">
        <v>1058</v>
      </c>
      <c r="L139" s="870">
        <v>300</v>
      </c>
      <c r="M139" s="870">
        <v>131.5</v>
      </c>
      <c r="N139" s="870"/>
      <c r="O139" s="870" t="s">
        <v>1706</v>
      </c>
      <c r="P139" s="870"/>
      <c r="Q139" s="870"/>
      <c r="R139" s="870"/>
      <c r="S139" s="870" t="s">
        <v>3652</v>
      </c>
      <c r="T139" s="870" t="s">
        <v>3652</v>
      </c>
      <c r="U139" s="870" t="s">
        <v>3814</v>
      </c>
      <c r="V139" s="870" t="s">
        <v>3815</v>
      </c>
      <c r="W139" s="870" t="s">
        <v>3816</v>
      </c>
      <c r="X139" s="947">
        <v>0.15659999999999999</v>
      </c>
      <c r="Y139" s="870" t="s">
        <v>3682</v>
      </c>
      <c r="Z139" s="870" t="s">
        <v>3817</v>
      </c>
      <c r="AA139" s="870">
        <v>144</v>
      </c>
      <c r="AB139" s="870" t="s">
        <v>2212</v>
      </c>
      <c r="AC139" s="870" t="s">
        <v>3822</v>
      </c>
      <c r="AD139" s="870" t="s">
        <v>3821</v>
      </c>
      <c r="AE139" s="870" t="s">
        <v>1668</v>
      </c>
      <c r="AF139" s="883">
        <v>34.58</v>
      </c>
      <c r="AG139" s="883">
        <v>31.64</v>
      </c>
      <c r="AH139" s="883" t="s">
        <v>1744</v>
      </c>
      <c r="AI139" s="883" t="s">
        <v>122</v>
      </c>
      <c r="AJ139" s="870" t="s">
        <v>369</v>
      </c>
      <c r="AK139" s="870" t="s">
        <v>1372</v>
      </c>
      <c r="AL139" s="883"/>
      <c r="AM139" s="883"/>
      <c r="AN139" s="883" t="s">
        <v>1784</v>
      </c>
      <c r="AO139" s="948"/>
      <c r="AP139" s="883"/>
      <c r="AQ139" s="883"/>
      <c r="AR139" s="918">
        <f>4.352*2.2</f>
        <v>9.5744000000000007</v>
      </c>
      <c r="AS139" s="888">
        <v>2.6</v>
      </c>
      <c r="AT139" s="887">
        <v>2.2000000000000002</v>
      </c>
      <c r="AU139" s="888">
        <v>4.7</v>
      </c>
      <c r="AV139" s="888">
        <v>4.0999999999999996</v>
      </c>
      <c r="AW139" s="904"/>
      <c r="AX139" s="889"/>
      <c r="AY139" s="883" t="s">
        <v>2093</v>
      </c>
      <c r="AZ139" s="949"/>
      <c r="BA139" s="870" t="s">
        <v>3823</v>
      </c>
      <c r="BB139" s="870" t="s">
        <v>3824</v>
      </c>
      <c r="BC139" s="883">
        <v>18071601</v>
      </c>
      <c r="BD139" s="870" t="s">
        <v>2411</v>
      </c>
      <c r="BE139" s="870">
        <v>18072106</v>
      </c>
      <c r="BF139" s="870">
        <v>17410606</v>
      </c>
      <c r="BG139" s="870" t="s">
        <v>243</v>
      </c>
      <c r="BH139" s="891" t="s">
        <v>3833</v>
      </c>
      <c r="BI139" s="906">
        <v>41733</v>
      </c>
      <c r="BJ139" s="907"/>
      <c r="BK139" s="907"/>
      <c r="BL139" s="892">
        <v>4788</v>
      </c>
      <c r="BM139" s="907"/>
      <c r="BN139" s="907"/>
      <c r="BO139" s="891">
        <v>319.3</v>
      </c>
      <c r="BP139" s="892"/>
      <c r="BQ139" s="891"/>
      <c r="BR139" s="891"/>
      <c r="BS139" s="891"/>
      <c r="BT139" s="908"/>
      <c r="BU139" s="891"/>
      <c r="BV139" s="892"/>
      <c r="BW139" s="892"/>
      <c r="BX139" s="893">
        <v>26</v>
      </c>
      <c r="BY139" s="891">
        <v>19</v>
      </c>
      <c r="BZ139" s="909">
        <v>4.5999999999999999E-3</v>
      </c>
      <c r="CA139" s="891"/>
      <c r="CB139" s="891"/>
      <c r="CC139" s="891"/>
      <c r="CD139" s="893"/>
      <c r="CE139" s="890"/>
      <c r="CF139" s="915"/>
      <c r="CG139" s="891"/>
      <c r="CH139" s="891"/>
      <c r="CI139" s="911"/>
      <c r="CJ139" s="873"/>
      <c r="CK139" s="870"/>
    </row>
    <row r="140" spans="1:89" ht="38.25" x14ac:dyDescent="0.2">
      <c r="A140" s="946">
        <v>43</v>
      </c>
      <c r="B140" s="883" t="s">
        <v>3808</v>
      </c>
      <c r="C140" s="870" t="s">
        <v>3980</v>
      </c>
      <c r="D140" s="870" t="s">
        <v>788</v>
      </c>
      <c r="E140" s="883" t="s">
        <v>4225</v>
      </c>
      <c r="F140" s="883">
        <v>2013</v>
      </c>
      <c r="G140" s="901" t="s">
        <v>1797</v>
      </c>
      <c r="H140" s="870" t="s">
        <v>3830</v>
      </c>
      <c r="I140" s="886" t="s">
        <v>3217</v>
      </c>
      <c r="J140" s="883" t="s">
        <v>114</v>
      </c>
      <c r="K140" s="883" t="s">
        <v>1060</v>
      </c>
      <c r="L140" s="870">
        <v>300</v>
      </c>
      <c r="M140" s="870">
        <v>131.5</v>
      </c>
      <c r="N140" s="870"/>
      <c r="O140" s="870" t="s">
        <v>1706</v>
      </c>
      <c r="P140" s="870"/>
      <c r="Q140" s="870"/>
      <c r="R140" s="870"/>
      <c r="S140" s="870" t="s">
        <v>3652</v>
      </c>
      <c r="T140" s="870" t="s">
        <v>3652</v>
      </c>
      <c r="U140" s="870" t="s">
        <v>3814</v>
      </c>
      <c r="V140" s="870" t="s">
        <v>3815</v>
      </c>
      <c r="W140" s="870" t="s">
        <v>3816</v>
      </c>
      <c r="X140" s="947">
        <v>0.15659999999999999</v>
      </c>
      <c r="Y140" s="870" t="s">
        <v>3682</v>
      </c>
      <c r="Z140" s="870" t="s">
        <v>3817</v>
      </c>
      <c r="AA140" s="870">
        <v>144</v>
      </c>
      <c r="AB140" s="870" t="s">
        <v>2212</v>
      </c>
      <c r="AC140" s="870" t="s">
        <v>3822</v>
      </c>
      <c r="AD140" s="870" t="s">
        <v>3821</v>
      </c>
      <c r="AE140" s="870" t="s">
        <v>1668</v>
      </c>
      <c r="AF140" s="883">
        <v>34.58</v>
      </c>
      <c r="AG140" s="883">
        <v>31.64</v>
      </c>
      <c r="AH140" s="883" t="s">
        <v>1744</v>
      </c>
      <c r="AI140" s="883" t="s">
        <v>122</v>
      </c>
      <c r="AJ140" s="870" t="s">
        <v>369</v>
      </c>
      <c r="AK140" s="870" t="s">
        <v>3811</v>
      </c>
      <c r="AL140" s="883"/>
      <c r="AM140" s="883"/>
      <c r="AN140" s="883" t="s">
        <v>1784</v>
      </c>
      <c r="AO140" s="948"/>
      <c r="AP140" s="883"/>
      <c r="AQ140" s="883"/>
      <c r="AR140" s="918">
        <f>4.352*2.2</f>
        <v>9.5744000000000007</v>
      </c>
      <c r="AS140" s="888">
        <v>2.6</v>
      </c>
      <c r="AT140" s="887">
        <v>2.2000000000000002</v>
      </c>
      <c r="AU140" s="888">
        <v>4.7</v>
      </c>
      <c r="AV140" s="888">
        <v>4.0999999999999996</v>
      </c>
      <c r="AW140" s="904"/>
      <c r="AX140" s="889"/>
      <c r="AY140" s="883" t="s">
        <v>2093</v>
      </c>
      <c r="AZ140" s="949"/>
      <c r="BA140" s="870" t="s">
        <v>3831</v>
      </c>
      <c r="BB140" s="870" t="s">
        <v>3832</v>
      </c>
      <c r="BC140" s="883">
        <v>18071601</v>
      </c>
      <c r="BD140" s="870" t="s">
        <v>2410</v>
      </c>
      <c r="BE140" s="870">
        <v>18072107</v>
      </c>
      <c r="BF140" s="870">
        <v>17410606</v>
      </c>
      <c r="BG140" s="870" t="s">
        <v>243</v>
      </c>
      <c r="BH140" s="891" t="s">
        <v>3833</v>
      </c>
      <c r="BI140" s="906">
        <v>41733</v>
      </c>
      <c r="BJ140" s="907"/>
      <c r="BK140" s="907"/>
      <c r="BL140" s="892">
        <v>4819</v>
      </c>
      <c r="BM140" s="907"/>
      <c r="BN140" s="907"/>
      <c r="BO140" s="891">
        <v>338</v>
      </c>
      <c r="BP140" s="892"/>
      <c r="BQ140" s="891"/>
      <c r="BR140" s="891"/>
      <c r="BS140" s="891"/>
      <c r="BT140" s="908"/>
      <c r="BU140" s="891"/>
      <c r="BV140" s="892"/>
      <c r="BW140" s="892"/>
      <c r="BX140" s="893">
        <v>31</v>
      </c>
      <c r="BY140" s="891">
        <v>19</v>
      </c>
      <c r="BZ140" s="909">
        <v>4.5999999999999999E-3</v>
      </c>
      <c r="CA140" s="891"/>
      <c r="CB140" s="891"/>
      <c r="CC140" s="891"/>
      <c r="CD140" s="893"/>
      <c r="CE140" s="890"/>
      <c r="CF140" s="915"/>
      <c r="CG140" s="891"/>
      <c r="CH140" s="891"/>
      <c r="CI140" s="911"/>
      <c r="CJ140" s="873"/>
      <c r="CK140" s="950"/>
    </row>
    <row r="141" spans="1:89" ht="25.5" x14ac:dyDescent="0.25">
      <c r="A141" s="884">
        <v>43</v>
      </c>
      <c r="B141" s="883" t="s">
        <v>2184</v>
      </c>
      <c r="C141" s="883"/>
      <c r="D141" s="870" t="s">
        <v>1296</v>
      </c>
      <c r="E141" s="883" t="s">
        <v>4225</v>
      </c>
      <c r="F141" s="870">
        <v>2009</v>
      </c>
      <c r="G141" s="901" t="s">
        <v>1797</v>
      </c>
      <c r="H141" s="870" t="s">
        <v>959</v>
      </c>
      <c r="I141" s="902" t="s">
        <v>669</v>
      </c>
      <c r="J141" s="870" t="s">
        <v>114</v>
      </c>
      <c r="K141" s="870" t="s">
        <v>944</v>
      </c>
      <c r="L141" s="870">
        <v>305</v>
      </c>
      <c r="M141" s="870">
        <v>131.5</v>
      </c>
      <c r="N141" s="883" t="s">
        <v>2119</v>
      </c>
      <c r="O141" s="870" t="s">
        <v>2120</v>
      </c>
      <c r="P141" s="870"/>
      <c r="Q141" s="870"/>
      <c r="R141" s="870"/>
      <c r="S141" s="870"/>
      <c r="T141" s="870"/>
      <c r="U141" s="870"/>
      <c r="V141" s="870"/>
      <c r="W141" s="870"/>
      <c r="X141" s="870"/>
      <c r="Y141" s="870"/>
      <c r="Z141" s="870"/>
      <c r="AA141" s="870"/>
      <c r="AB141" s="870" t="s">
        <v>955</v>
      </c>
      <c r="AC141" s="870"/>
      <c r="AD141" s="870" t="s">
        <v>946</v>
      </c>
      <c r="AE141" s="870" t="s">
        <v>1668</v>
      </c>
      <c r="AF141" s="870">
        <v>37.799999999999997</v>
      </c>
      <c r="AG141" s="870">
        <v>41.6</v>
      </c>
      <c r="AH141" s="870" t="s">
        <v>1744</v>
      </c>
      <c r="AI141" s="870" t="s">
        <v>122</v>
      </c>
      <c r="AJ141" s="870" t="s">
        <v>81</v>
      </c>
      <c r="AK141" s="870" t="s">
        <v>82</v>
      </c>
      <c r="AL141" s="870"/>
      <c r="AM141" s="870"/>
      <c r="AN141" s="870" t="s">
        <v>1784</v>
      </c>
      <c r="AO141" s="870">
        <v>0.18</v>
      </c>
      <c r="AP141" s="937">
        <v>0.192</v>
      </c>
      <c r="AQ141" s="937"/>
      <c r="AR141" s="888">
        <v>9.59</v>
      </c>
      <c r="AS141" s="888">
        <v>3.0533990000000002</v>
      </c>
      <c r="AT141" s="888">
        <v>2.4493330000000002</v>
      </c>
      <c r="AU141" s="888">
        <v>4.5569499999999996</v>
      </c>
      <c r="AV141" s="888">
        <v>3.8646989999999999</v>
      </c>
      <c r="AW141" s="904">
        <v>46.022779441648744</v>
      </c>
      <c r="AX141" s="935">
        <v>38174</v>
      </c>
      <c r="AY141" s="870" t="s">
        <v>1669</v>
      </c>
      <c r="AZ141" s="870">
        <v>2000</v>
      </c>
      <c r="BA141" s="951" t="s">
        <v>3040</v>
      </c>
      <c r="BB141" s="952" t="s">
        <v>3041</v>
      </c>
      <c r="BC141" s="951">
        <v>17465709</v>
      </c>
      <c r="BD141" s="953" t="s">
        <v>106</v>
      </c>
      <c r="BE141" s="954">
        <v>18027301</v>
      </c>
      <c r="BF141" s="888" t="s">
        <v>2185</v>
      </c>
      <c r="BG141" s="870" t="s">
        <v>243</v>
      </c>
      <c r="BH141" s="870" t="s">
        <v>1796</v>
      </c>
      <c r="BI141" s="906">
        <v>40837</v>
      </c>
      <c r="BJ141" s="897">
        <v>2846.8</v>
      </c>
      <c r="BK141" s="897">
        <v>2985.4</v>
      </c>
      <c r="BL141" s="907">
        <v>5832.2000000000007</v>
      </c>
      <c r="BM141" s="897">
        <v>681</v>
      </c>
      <c r="BN141" s="907">
        <v>2890</v>
      </c>
      <c r="BO141" s="891">
        <v>334</v>
      </c>
      <c r="BP141" s="892">
        <v>2667.7025623953459</v>
      </c>
      <c r="BQ141" s="891">
        <v>0.32</v>
      </c>
      <c r="BR141" s="904">
        <v>27.9</v>
      </c>
      <c r="BS141" s="904">
        <v>28.5</v>
      </c>
      <c r="BT141" s="943">
        <v>191</v>
      </c>
      <c r="BU141" s="892">
        <v>953.11852004893046</v>
      </c>
      <c r="BV141" s="892">
        <v>262.10221577655415</v>
      </c>
      <c r="BW141" s="892">
        <v>366.94310208717576</v>
      </c>
      <c r="BX141" s="893">
        <v>29.758432798212986</v>
      </c>
      <c r="BY141" s="891">
        <v>12</v>
      </c>
      <c r="BZ141" s="909">
        <v>8.1307193437740403E-3</v>
      </c>
      <c r="CA141" s="904" t="s">
        <v>1814</v>
      </c>
      <c r="CB141" s="904" t="s">
        <v>2559</v>
      </c>
      <c r="CC141" s="893">
        <v>23.053554203683507</v>
      </c>
      <c r="CD141" s="893">
        <v>40.573423002210582</v>
      </c>
      <c r="CE141" s="890" t="s">
        <v>1049</v>
      </c>
      <c r="CF141" s="915">
        <v>-4.6173649240994763E-2</v>
      </c>
      <c r="CG141" s="944">
        <v>1.1838333333333333</v>
      </c>
      <c r="CH141" s="944">
        <v>0.79700000000000004</v>
      </c>
      <c r="CI141" s="945">
        <v>8.0000000000000002E-3</v>
      </c>
      <c r="CJ141" s="873"/>
      <c r="CK141" s="955"/>
    </row>
    <row r="142" spans="1:89" ht="25.5" x14ac:dyDescent="0.25">
      <c r="A142" s="884">
        <v>43</v>
      </c>
      <c r="B142" s="883" t="s">
        <v>2184</v>
      </c>
      <c r="C142" s="883"/>
      <c r="D142" s="870" t="s">
        <v>1296</v>
      </c>
      <c r="E142" s="883" t="s">
        <v>4225</v>
      </c>
      <c r="F142" s="870">
        <v>2009</v>
      </c>
      <c r="G142" s="901" t="s">
        <v>1797</v>
      </c>
      <c r="H142" s="870" t="s">
        <v>958</v>
      </c>
      <c r="I142" s="902" t="s">
        <v>669</v>
      </c>
      <c r="J142" s="870" t="s">
        <v>114</v>
      </c>
      <c r="K142" s="870" t="s">
        <v>944</v>
      </c>
      <c r="L142" s="870">
        <v>305</v>
      </c>
      <c r="M142" s="870">
        <v>131.5</v>
      </c>
      <c r="N142" s="883" t="s">
        <v>2119</v>
      </c>
      <c r="O142" s="870" t="s">
        <v>2120</v>
      </c>
      <c r="P142" s="870"/>
      <c r="Q142" s="870"/>
      <c r="R142" s="870"/>
      <c r="S142" s="870"/>
      <c r="T142" s="870"/>
      <c r="U142" s="870"/>
      <c r="V142" s="870"/>
      <c r="W142" s="870"/>
      <c r="X142" s="870"/>
      <c r="Y142" s="870"/>
      <c r="Z142" s="870"/>
      <c r="AA142" s="870"/>
      <c r="AB142" s="870" t="s">
        <v>957</v>
      </c>
      <c r="AC142" s="870"/>
      <c r="AD142" s="870" t="s">
        <v>946</v>
      </c>
      <c r="AE142" s="870" t="s">
        <v>1668</v>
      </c>
      <c r="AF142" s="870">
        <v>37.799999999999997</v>
      </c>
      <c r="AG142" s="870">
        <v>29.5</v>
      </c>
      <c r="AH142" s="870" t="s">
        <v>1744</v>
      </c>
      <c r="AI142" s="870" t="s">
        <v>122</v>
      </c>
      <c r="AJ142" s="870" t="s">
        <v>81</v>
      </c>
      <c r="AK142" s="870" t="s">
        <v>82</v>
      </c>
      <c r="AL142" s="870"/>
      <c r="AM142" s="870"/>
      <c r="AN142" s="870" t="s">
        <v>1784</v>
      </c>
      <c r="AO142" s="870">
        <v>0.18</v>
      </c>
      <c r="AP142" s="937">
        <v>0.192</v>
      </c>
      <c r="AQ142" s="937"/>
      <c r="AR142" s="888">
        <v>9.59</v>
      </c>
      <c r="AS142" s="888">
        <v>3.0533990000000002</v>
      </c>
      <c r="AT142" s="888">
        <v>2.4493330000000002</v>
      </c>
      <c r="AU142" s="888">
        <v>4.5569499999999996</v>
      </c>
      <c r="AV142" s="888">
        <v>3.8646989999999999</v>
      </c>
      <c r="AW142" s="904">
        <v>46.022779441648744</v>
      </c>
      <c r="AX142" s="935">
        <v>38174</v>
      </c>
      <c r="AY142" s="870" t="s">
        <v>1669</v>
      </c>
      <c r="AZ142" s="870">
        <v>2000</v>
      </c>
      <c r="BA142" s="956" t="s">
        <v>2172</v>
      </c>
      <c r="BB142" s="956" t="s">
        <v>241</v>
      </c>
      <c r="BC142" s="956" t="s">
        <v>3042</v>
      </c>
      <c r="BD142" s="957" t="s">
        <v>1755</v>
      </c>
      <c r="BE142" s="958">
        <v>15812101</v>
      </c>
      <c r="BF142" s="888" t="s">
        <v>2185</v>
      </c>
      <c r="BG142" s="870" t="s">
        <v>243</v>
      </c>
      <c r="BH142" s="870" t="s">
        <v>1796</v>
      </c>
      <c r="BI142" s="906">
        <v>40837</v>
      </c>
      <c r="BJ142" s="897">
        <v>3113.0000000000005</v>
      </c>
      <c r="BK142" s="897">
        <v>2794</v>
      </c>
      <c r="BL142" s="907">
        <v>5907</v>
      </c>
      <c r="BM142" s="897">
        <v>709.6</v>
      </c>
      <c r="BN142" s="907">
        <v>3076</v>
      </c>
      <c r="BO142" s="891">
        <v>334</v>
      </c>
      <c r="BP142" s="892">
        <v>2879.702589388331</v>
      </c>
      <c r="BQ142" s="891">
        <v>0.4</v>
      </c>
      <c r="BR142" s="904">
        <v>29.3</v>
      </c>
      <c r="BS142" s="904">
        <v>30.3</v>
      </c>
      <c r="BT142" s="943">
        <v>191</v>
      </c>
      <c r="BU142" s="892">
        <v>1071.0114237295345</v>
      </c>
      <c r="BV142" s="892">
        <v>282.93125331725281</v>
      </c>
      <c r="BW142" s="892">
        <v>396.10375464415387</v>
      </c>
      <c r="BX142" s="893">
        <v>33.852566657925031</v>
      </c>
      <c r="BY142" s="891">
        <v>12</v>
      </c>
      <c r="BZ142" s="909">
        <v>9.2493351524385332E-3</v>
      </c>
      <c r="CA142" s="904" t="s">
        <v>1814</v>
      </c>
      <c r="CB142" s="904" t="s">
        <v>2558</v>
      </c>
      <c r="CC142" s="893">
        <v>25.905088811458118</v>
      </c>
      <c r="CD142" s="893">
        <v>43.797758013510744</v>
      </c>
      <c r="CE142" s="890" t="s">
        <v>1049</v>
      </c>
      <c r="CF142" s="915">
        <v>-0.1163931270623072</v>
      </c>
      <c r="CG142" s="944">
        <v>1.395</v>
      </c>
      <c r="CH142" s="944">
        <v>0.96</v>
      </c>
      <c r="CI142" s="945">
        <v>8.8149999999999999E-3</v>
      </c>
      <c r="CJ142" s="873"/>
      <c r="CK142" s="955"/>
    </row>
    <row r="143" spans="1:89" ht="25.5" x14ac:dyDescent="0.2">
      <c r="A143" s="884">
        <v>43</v>
      </c>
      <c r="B143" s="883" t="s">
        <v>1360</v>
      </c>
      <c r="C143" s="883"/>
      <c r="D143" s="883" t="s">
        <v>616</v>
      </c>
      <c r="E143" s="883" t="s">
        <v>4225</v>
      </c>
      <c r="F143" s="883">
        <v>2004</v>
      </c>
      <c r="G143" s="901" t="s">
        <v>1797</v>
      </c>
      <c r="H143" s="870" t="s">
        <v>2882</v>
      </c>
      <c r="I143" s="886" t="s">
        <v>1566</v>
      </c>
      <c r="J143" s="883" t="s">
        <v>114</v>
      </c>
      <c r="K143" s="883" t="s">
        <v>45</v>
      </c>
      <c r="L143" s="883">
        <v>300</v>
      </c>
      <c r="M143" s="883">
        <v>131.19999999999999</v>
      </c>
      <c r="N143" s="883" t="s">
        <v>1361</v>
      </c>
      <c r="O143" s="870" t="s">
        <v>1706</v>
      </c>
      <c r="P143" s="870"/>
      <c r="Q143" s="870"/>
      <c r="R143" s="870"/>
      <c r="S143" s="870"/>
      <c r="T143" s="870"/>
      <c r="U143" s="870"/>
      <c r="V143" s="870"/>
      <c r="W143" s="870"/>
      <c r="X143" s="870"/>
      <c r="Y143" s="870"/>
      <c r="Z143" s="870"/>
      <c r="AA143" s="870"/>
      <c r="AB143" s="870" t="s">
        <v>1362</v>
      </c>
      <c r="AC143" s="870" t="s">
        <v>119</v>
      </c>
      <c r="AD143" s="870" t="s">
        <v>1708</v>
      </c>
      <c r="AE143" s="870" t="s">
        <v>1668</v>
      </c>
      <c r="AF143" s="883">
        <v>37.6</v>
      </c>
      <c r="AG143" s="883" t="s">
        <v>1363</v>
      </c>
      <c r="AH143" s="883" t="s">
        <v>122</v>
      </c>
      <c r="AI143" s="883" t="s">
        <v>122</v>
      </c>
      <c r="AJ143" s="870" t="s">
        <v>701</v>
      </c>
      <c r="AK143" s="870" t="s">
        <v>1364</v>
      </c>
      <c r="AL143" s="883"/>
      <c r="AM143" s="883"/>
      <c r="AN143" s="883" t="s">
        <v>1784</v>
      </c>
      <c r="AO143" s="883">
        <v>0.22</v>
      </c>
      <c r="AP143" s="883">
        <v>0.23</v>
      </c>
      <c r="AQ143" s="883"/>
      <c r="AR143" s="918">
        <v>10.5</v>
      </c>
      <c r="AS143" s="888">
        <v>2.64</v>
      </c>
      <c r="AT143" s="887">
        <v>2.1</v>
      </c>
      <c r="AU143" s="888">
        <v>3.1</v>
      </c>
      <c r="AV143" s="888">
        <v>4.2460000000000004</v>
      </c>
      <c r="AW143" s="904">
        <f>(100*PI()*(A143^2))/(40*AO143*AV143*453.5924)</f>
        <v>34.273491781960431</v>
      </c>
      <c r="AX143" s="889" t="s">
        <v>703</v>
      </c>
      <c r="AY143" s="883" t="s">
        <v>540</v>
      </c>
      <c r="AZ143" s="870">
        <v>288</v>
      </c>
      <c r="BA143" s="870" t="s">
        <v>2256</v>
      </c>
      <c r="BB143" s="883" t="s">
        <v>704</v>
      </c>
      <c r="BC143" s="883" t="s">
        <v>705</v>
      </c>
      <c r="BD143" s="870" t="s">
        <v>43</v>
      </c>
      <c r="BE143" s="870"/>
      <c r="BF143" s="870"/>
      <c r="BG143" s="870"/>
      <c r="BH143" s="891" t="s">
        <v>195</v>
      </c>
      <c r="BI143" s="914">
        <v>39589</v>
      </c>
      <c r="BJ143" s="907">
        <v>2181</v>
      </c>
      <c r="BK143" s="907">
        <v>2054</v>
      </c>
      <c r="BL143" s="907">
        <f>BJ143+BK143</f>
        <v>4235</v>
      </c>
      <c r="BM143" s="907">
        <v>530</v>
      </c>
      <c r="BN143" s="907">
        <v>2720</v>
      </c>
      <c r="BO143" s="891">
        <v>329</v>
      </c>
      <c r="BP143" s="892">
        <f>IF(G143="Front",0.5*9.81*0.4535924*(BJ143+BL143*(BM143/BN143)*1.1)*1.1*(BO143/1000),IF(G143="Rear",0.5*9.81*0.4535924*(BK143+BL143*(BM143/BN143)*0.9)*0.9*(BO143/1000),"TBD"))</f>
        <v>1842.4099624631951</v>
      </c>
      <c r="BQ143" s="891"/>
      <c r="BR143" s="904">
        <v>28</v>
      </c>
      <c r="BS143" s="904">
        <v>28.9</v>
      </c>
      <c r="BT143" s="891"/>
      <c r="BU143" s="891"/>
      <c r="BV143" s="892">
        <f>(BP143/(M143/1000))/(2*AF143)</f>
        <v>186.73881463082139</v>
      </c>
      <c r="BW143" s="892">
        <f>(1.4*BP143/(M143/1000))/(2*AF143)</f>
        <v>261.43434048314998</v>
      </c>
      <c r="BX143" s="893">
        <f>0.5*(BL143/32.2)*((BO143*0.00328084)^2)*(BS143/100)</f>
        <v>22.142532379229522</v>
      </c>
      <c r="BY143" s="891">
        <v>20</v>
      </c>
      <c r="BZ143" s="909">
        <f>BX143/(L143*BY143)</f>
        <v>3.6904220632049201E-3</v>
      </c>
      <c r="CA143" s="891" t="s">
        <v>2952</v>
      </c>
      <c r="CB143" s="891" t="s">
        <v>2952</v>
      </c>
      <c r="CC143" s="891" t="s">
        <v>2952</v>
      </c>
      <c r="CD143" s="893">
        <f>BV143*(2*AF143)/(2*250)</f>
        <v>28.08551772047554</v>
      </c>
      <c r="CE143" s="890"/>
      <c r="CF143" s="915"/>
      <c r="CG143" s="891"/>
      <c r="CH143" s="891"/>
      <c r="CI143" s="911"/>
      <c r="CJ143" s="873"/>
      <c r="CK143" s="955"/>
    </row>
    <row r="144" spans="1:89" ht="25.5" x14ac:dyDescent="0.2">
      <c r="A144" s="946">
        <v>43</v>
      </c>
      <c r="B144" s="883" t="s">
        <v>590</v>
      </c>
      <c r="C144" s="883"/>
      <c r="D144" s="883" t="s">
        <v>616</v>
      </c>
      <c r="E144" s="883" t="s">
        <v>4225</v>
      </c>
      <c r="F144" s="883">
        <v>2007</v>
      </c>
      <c r="G144" s="901" t="s">
        <v>1797</v>
      </c>
      <c r="H144" s="870" t="s">
        <v>2208</v>
      </c>
      <c r="I144" s="886" t="s">
        <v>1566</v>
      </c>
      <c r="J144" s="883" t="s">
        <v>114</v>
      </c>
      <c r="K144" s="883"/>
      <c r="L144" s="870"/>
      <c r="M144" s="870"/>
      <c r="N144" s="870"/>
      <c r="O144" s="870" t="s">
        <v>1706</v>
      </c>
      <c r="P144" s="870"/>
      <c r="Q144" s="870"/>
      <c r="R144" s="870"/>
      <c r="S144" s="870"/>
      <c r="T144" s="870"/>
      <c r="U144" s="870"/>
      <c r="V144" s="870"/>
      <c r="W144" s="870"/>
      <c r="X144" s="870"/>
      <c r="Y144" s="870"/>
      <c r="Z144" s="870"/>
      <c r="AA144" s="870"/>
      <c r="AB144" s="870" t="s">
        <v>2211</v>
      </c>
      <c r="AC144" s="870"/>
      <c r="AD144" s="870"/>
      <c r="AE144" s="870"/>
      <c r="AF144" s="883"/>
      <c r="AG144" s="883"/>
      <c r="AH144" s="883"/>
      <c r="AI144" s="883"/>
      <c r="AJ144" s="883"/>
      <c r="AK144" s="870" t="s">
        <v>1364</v>
      </c>
      <c r="AL144" s="883"/>
      <c r="AM144" s="883"/>
      <c r="AN144" s="883"/>
      <c r="AO144" s="948"/>
      <c r="AP144" s="883"/>
      <c r="AQ144" s="883"/>
      <c r="AR144" s="887"/>
      <c r="AS144" s="888"/>
      <c r="AT144" s="887"/>
      <c r="AU144" s="888"/>
      <c r="AV144" s="888"/>
      <c r="AW144" s="904"/>
      <c r="AX144" s="889"/>
      <c r="AY144" s="883" t="s">
        <v>540</v>
      </c>
      <c r="AZ144" s="949"/>
      <c r="BA144" s="870" t="s">
        <v>2209</v>
      </c>
      <c r="BB144" s="870" t="s">
        <v>2210</v>
      </c>
      <c r="BC144" s="883"/>
      <c r="BD144" s="870"/>
      <c r="BE144" s="870"/>
      <c r="BF144" s="870"/>
      <c r="BG144" s="870"/>
      <c r="BH144" s="891"/>
      <c r="BI144" s="906">
        <v>40137</v>
      </c>
      <c r="BJ144" s="907"/>
      <c r="BK144" s="907"/>
      <c r="BL144" s="892"/>
      <c r="BM144" s="907"/>
      <c r="BN144" s="907"/>
      <c r="BO144" s="891"/>
      <c r="BP144" s="892"/>
      <c r="BQ144" s="891"/>
      <c r="BR144" s="891"/>
      <c r="BS144" s="891"/>
      <c r="BT144" s="908"/>
      <c r="BU144" s="891"/>
      <c r="BV144" s="892"/>
      <c r="BW144" s="892"/>
      <c r="BX144" s="893"/>
      <c r="BY144" s="891"/>
      <c r="BZ144" s="909"/>
      <c r="CA144" s="891"/>
      <c r="CB144" s="891"/>
      <c r="CC144" s="891"/>
      <c r="CD144" s="893"/>
      <c r="CE144" s="890"/>
      <c r="CF144" s="915"/>
      <c r="CG144" s="891"/>
      <c r="CH144" s="891"/>
      <c r="CI144" s="911"/>
      <c r="CJ144" s="873"/>
      <c r="CK144" s="955"/>
    </row>
    <row r="145" spans="1:89" x14ac:dyDescent="0.2">
      <c r="A145" s="946">
        <v>43</v>
      </c>
      <c r="B145" s="883" t="s">
        <v>590</v>
      </c>
      <c r="C145" s="883"/>
      <c r="D145" s="883" t="s">
        <v>616</v>
      </c>
      <c r="E145" s="883" t="s">
        <v>4225</v>
      </c>
      <c r="F145" s="883">
        <v>2008</v>
      </c>
      <c r="G145" s="901" t="s">
        <v>1797</v>
      </c>
      <c r="H145" s="870" t="s">
        <v>587</v>
      </c>
      <c r="I145" s="886" t="s">
        <v>1566</v>
      </c>
      <c r="J145" s="883" t="s">
        <v>114</v>
      </c>
      <c r="K145" s="883"/>
      <c r="L145" s="870"/>
      <c r="M145" s="870"/>
      <c r="N145" s="870"/>
      <c r="O145" s="870" t="s">
        <v>1706</v>
      </c>
      <c r="P145" s="870"/>
      <c r="Q145" s="870"/>
      <c r="R145" s="870"/>
      <c r="S145" s="870"/>
      <c r="T145" s="870"/>
      <c r="U145" s="870"/>
      <c r="V145" s="870"/>
      <c r="W145" s="870"/>
      <c r="X145" s="870"/>
      <c r="Y145" s="870"/>
      <c r="Z145" s="870"/>
      <c r="AA145" s="870"/>
      <c r="AB145" s="870"/>
      <c r="AC145" s="870"/>
      <c r="AD145" s="870"/>
      <c r="AE145" s="870"/>
      <c r="AF145" s="883"/>
      <c r="AG145" s="883"/>
      <c r="AH145" s="883"/>
      <c r="AI145" s="883"/>
      <c r="AJ145" s="883"/>
      <c r="AK145" s="870"/>
      <c r="AL145" s="883"/>
      <c r="AM145" s="883"/>
      <c r="AN145" s="883"/>
      <c r="AO145" s="948"/>
      <c r="AP145" s="883"/>
      <c r="AQ145" s="883"/>
      <c r="AR145" s="887"/>
      <c r="AS145" s="888"/>
      <c r="AT145" s="887"/>
      <c r="AU145" s="888"/>
      <c r="AV145" s="888"/>
      <c r="AW145" s="904"/>
      <c r="AX145" s="889"/>
      <c r="AY145" s="883" t="s">
        <v>540</v>
      </c>
      <c r="AZ145" s="949"/>
      <c r="BA145" s="870" t="s">
        <v>588</v>
      </c>
      <c r="BB145" s="870" t="s">
        <v>589</v>
      </c>
      <c r="BC145" s="883"/>
      <c r="BD145" s="870"/>
      <c r="BE145" s="870"/>
      <c r="BF145" s="870"/>
      <c r="BG145" s="870"/>
      <c r="BH145" s="891"/>
      <c r="BI145" s="906">
        <v>40137</v>
      </c>
      <c r="BJ145" s="907"/>
      <c r="BK145" s="907"/>
      <c r="BL145" s="892"/>
      <c r="BM145" s="907"/>
      <c r="BN145" s="907"/>
      <c r="BO145" s="891"/>
      <c r="BP145" s="892"/>
      <c r="BQ145" s="891"/>
      <c r="BR145" s="891"/>
      <c r="BS145" s="891"/>
      <c r="BT145" s="908"/>
      <c r="BU145" s="891"/>
      <c r="BV145" s="892"/>
      <c r="BW145" s="892"/>
      <c r="BX145" s="893"/>
      <c r="BY145" s="891"/>
      <c r="BZ145" s="909"/>
      <c r="CA145" s="891"/>
      <c r="CB145" s="891"/>
      <c r="CC145" s="891"/>
      <c r="CD145" s="893"/>
      <c r="CE145" s="890"/>
      <c r="CF145" s="915"/>
      <c r="CG145" s="891"/>
      <c r="CH145" s="891"/>
      <c r="CI145" s="911"/>
      <c r="CJ145" s="873"/>
      <c r="CK145" s="955"/>
    </row>
    <row r="146" spans="1:89" ht="25.5" x14ac:dyDescent="0.2">
      <c r="A146" s="884">
        <v>43</v>
      </c>
      <c r="B146" s="883" t="s">
        <v>1366</v>
      </c>
      <c r="C146" s="883"/>
      <c r="D146" s="883" t="s">
        <v>616</v>
      </c>
      <c r="E146" s="883" t="s">
        <v>4225</v>
      </c>
      <c r="F146" s="883">
        <v>2008</v>
      </c>
      <c r="G146" s="901" t="s">
        <v>1797</v>
      </c>
      <c r="H146" s="870" t="s">
        <v>1367</v>
      </c>
      <c r="I146" s="886" t="s">
        <v>1368</v>
      </c>
      <c r="J146" s="883" t="s">
        <v>114</v>
      </c>
      <c r="K146" s="883" t="s">
        <v>1377</v>
      </c>
      <c r="L146" s="883">
        <v>330</v>
      </c>
      <c r="M146" s="883">
        <v>144</v>
      </c>
      <c r="N146" s="883" t="s">
        <v>1369</v>
      </c>
      <c r="O146" s="870" t="s">
        <v>1706</v>
      </c>
      <c r="P146" s="870"/>
      <c r="Q146" s="870"/>
      <c r="R146" s="870"/>
      <c r="S146" s="870"/>
      <c r="T146" s="870"/>
      <c r="U146" s="870"/>
      <c r="V146" s="870"/>
      <c r="W146" s="870"/>
      <c r="X146" s="870"/>
      <c r="Y146" s="870"/>
      <c r="Z146" s="870"/>
      <c r="AA146" s="870"/>
      <c r="AB146" s="870" t="s">
        <v>1370</v>
      </c>
      <c r="AC146" s="870" t="s">
        <v>119</v>
      </c>
      <c r="AD146" s="870" t="s">
        <v>1371</v>
      </c>
      <c r="AE146" s="870" t="s">
        <v>1668</v>
      </c>
      <c r="AF146" s="883">
        <v>37.799999999999997</v>
      </c>
      <c r="AG146" s="883">
        <v>29</v>
      </c>
      <c r="AH146" s="883" t="s">
        <v>122</v>
      </c>
      <c r="AI146" s="883" t="s">
        <v>122</v>
      </c>
      <c r="AJ146" s="870" t="s">
        <v>234</v>
      </c>
      <c r="AK146" s="870" t="s">
        <v>1372</v>
      </c>
      <c r="AL146" s="883"/>
      <c r="AM146" s="883"/>
      <c r="AN146" s="883" t="s">
        <v>1784</v>
      </c>
      <c r="AO146" s="883">
        <v>0.21</v>
      </c>
      <c r="AP146" s="883"/>
      <c r="AQ146" s="883"/>
      <c r="AR146" s="918">
        <v>9.5</v>
      </c>
      <c r="AS146" s="888">
        <v>3.3</v>
      </c>
      <c r="AT146" s="887">
        <v>2.6</v>
      </c>
      <c r="AU146" s="888">
        <v>4.4000000000000004</v>
      </c>
      <c r="AV146" s="888">
        <v>3.8</v>
      </c>
      <c r="AW146" s="904"/>
      <c r="AX146" s="889"/>
      <c r="AY146" s="883" t="s">
        <v>540</v>
      </c>
      <c r="AZ146" s="870"/>
      <c r="BA146" s="870" t="s">
        <v>1373</v>
      </c>
      <c r="BB146" s="883" t="s">
        <v>1374</v>
      </c>
      <c r="BC146" s="883" t="s">
        <v>1378</v>
      </c>
      <c r="BD146" s="870" t="s">
        <v>1376</v>
      </c>
      <c r="BE146" s="870"/>
      <c r="BF146" s="870"/>
      <c r="BG146" s="870"/>
      <c r="BH146" s="891" t="s">
        <v>1380</v>
      </c>
      <c r="BI146" s="914">
        <v>39953</v>
      </c>
      <c r="BJ146" s="907"/>
      <c r="BK146" s="907"/>
      <c r="BL146" s="907"/>
      <c r="BM146" s="907"/>
      <c r="BN146" s="907"/>
      <c r="BO146" s="891"/>
      <c r="BP146" s="892"/>
      <c r="BQ146" s="891"/>
      <c r="BR146" s="904"/>
      <c r="BS146" s="904"/>
      <c r="BT146" s="891"/>
      <c r="BU146" s="891"/>
      <c r="BV146" s="892"/>
      <c r="BW146" s="892"/>
      <c r="BX146" s="893"/>
      <c r="BY146" s="891">
        <v>11</v>
      </c>
      <c r="BZ146" s="909"/>
      <c r="CA146" s="891" t="s">
        <v>2952</v>
      </c>
      <c r="CB146" s="891"/>
      <c r="CC146" s="891"/>
      <c r="CD146" s="893"/>
      <c r="CE146" s="890"/>
      <c r="CF146" s="915"/>
      <c r="CG146" s="891"/>
      <c r="CH146" s="891"/>
      <c r="CI146" s="911"/>
      <c r="CJ146" s="873"/>
      <c r="CK146" s="955"/>
    </row>
    <row r="147" spans="1:89" ht="25.5" x14ac:dyDescent="0.2">
      <c r="A147" s="884">
        <v>43</v>
      </c>
      <c r="B147" s="883" t="s">
        <v>1366</v>
      </c>
      <c r="C147" s="883"/>
      <c r="D147" s="870" t="s">
        <v>788</v>
      </c>
      <c r="E147" s="883" t="s">
        <v>4225</v>
      </c>
      <c r="F147" s="883">
        <v>2010</v>
      </c>
      <c r="G147" s="901" t="s">
        <v>1797</v>
      </c>
      <c r="H147" s="870" t="s">
        <v>401</v>
      </c>
      <c r="I147" s="886" t="s">
        <v>2518</v>
      </c>
      <c r="J147" s="883" t="s">
        <v>114</v>
      </c>
      <c r="K147" s="883" t="s">
        <v>1314</v>
      </c>
      <c r="L147" s="883">
        <v>330</v>
      </c>
      <c r="M147" s="883">
        <v>144</v>
      </c>
      <c r="N147" s="883" t="s">
        <v>2030</v>
      </c>
      <c r="O147" s="870" t="s">
        <v>1706</v>
      </c>
      <c r="P147" s="870"/>
      <c r="Q147" s="870"/>
      <c r="R147" s="870"/>
      <c r="S147" s="870"/>
      <c r="T147" s="870"/>
      <c r="U147" s="870"/>
      <c r="V147" s="870"/>
      <c r="W147" s="870"/>
      <c r="X147" s="870"/>
      <c r="Y147" s="870"/>
      <c r="Z147" s="870"/>
      <c r="AA147" s="870"/>
      <c r="AB147" s="870" t="s">
        <v>1370</v>
      </c>
      <c r="AC147" s="870" t="s">
        <v>119</v>
      </c>
      <c r="AD147" s="870" t="s">
        <v>1371</v>
      </c>
      <c r="AE147" s="870" t="s">
        <v>1668</v>
      </c>
      <c r="AF147" s="883">
        <v>33.24</v>
      </c>
      <c r="AG147" s="883">
        <v>39.200000000000003</v>
      </c>
      <c r="AH147" s="883" t="s">
        <v>122</v>
      </c>
      <c r="AI147" s="883" t="s">
        <v>122</v>
      </c>
      <c r="AJ147" s="870" t="s">
        <v>234</v>
      </c>
      <c r="AK147" s="870" t="s">
        <v>1372</v>
      </c>
      <c r="AL147" s="883"/>
      <c r="AM147" s="883"/>
      <c r="AN147" s="883" t="s">
        <v>1784</v>
      </c>
      <c r="AO147" s="883">
        <v>0.21</v>
      </c>
      <c r="AP147" s="883"/>
      <c r="AQ147" s="883"/>
      <c r="AR147" s="918">
        <f>4.352*2.2</f>
        <v>9.5744000000000007</v>
      </c>
      <c r="AS147" s="888">
        <v>3.3</v>
      </c>
      <c r="AT147" s="887">
        <v>2.6</v>
      </c>
      <c r="AU147" s="888">
        <v>4.4000000000000004</v>
      </c>
      <c r="AV147" s="888">
        <v>3.8</v>
      </c>
      <c r="AW147" s="904"/>
      <c r="AX147" s="889"/>
      <c r="AY147" s="883" t="s">
        <v>1669</v>
      </c>
      <c r="AZ147" s="870"/>
      <c r="BA147" s="870" t="s">
        <v>1233</v>
      </c>
      <c r="BB147" s="883" t="s">
        <v>1234</v>
      </c>
      <c r="BC147" s="883" t="s">
        <v>1375</v>
      </c>
      <c r="BD147" s="870" t="s">
        <v>1379</v>
      </c>
      <c r="BE147" s="870"/>
      <c r="BF147" s="870">
        <v>17410606</v>
      </c>
      <c r="BG147" s="870" t="s">
        <v>243</v>
      </c>
      <c r="BH147" s="891" t="s">
        <v>1383</v>
      </c>
      <c r="BI147" s="914">
        <v>40800</v>
      </c>
      <c r="BJ147" s="907"/>
      <c r="BK147" s="907"/>
      <c r="BL147" s="907">
        <f>2563*2.2</f>
        <v>5638.6</v>
      </c>
      <c r="BM147" s="907"/>
      <c r="BN147" s="907"/>
      <c r="BO147" s="891">
        <v>336.7</v>
      </c>
      <c r="BP147" s="892"/>
      <c r="BQ147" s="891"/>
      <c r="BR147" s="904"/>
      <c r="BS147" s="904"/>
      <c r="BT147" s="891"/>
      <c r="BU147" s="891"/>
      <c r="BV147" s="892"/>
      <c r="BW147" s="892"/>
      <c r="BX147" s="893"/>
      <c r="BY147" s="891">
        <v>11</v>
      </c>
      <c r="BZ147" s="909"/>
      <c r="CA147" s="891" t="s">
        <v>2952</v>
      </c>
      <c r="CB147" s="891"/>
      <c r="CC147" s="891"/>
      <c r="CD147" s="893"/>
      <c r="CE147" s="890"/>
      <c r="CF147" s="915"/>
      <c r="CG147" s="891"/>
      <c r="CH147" s="891"/>
      <c r="CI147" s="911"/>
      <c r="CJ147" s="873"/>
      <c r="CK147" s="955"/>
    </row>
    <row r="148" spans="1:89" ht="25.5" x14ac:dyDescent="0.2">
      <c r="A148" s="890">
        <v>43</v>
      </c>
      <c r="B148" s="883" t="s">
        <v>1366</v>
      </c>
      <c r="C148" s="883"/>
      <c r="D148" s="870" t="s">
        <v>788</v>
      </c>
      <c r="E148" s="883" t="s">
        <v>4225</v>
      </c>
      <c r="F148" s="883">
        <v>2010</v>
      </c>
      <c r="G148" s="901" t="s">
        <v>1797</v>
      </c>
      <c r="H148" s="870" t="s">
        <v>1381</v>
      </c>
      <c r="I148" s="886" t="s">
        <v>2518</v>
      </c>
      <c r="J148" s="883" t="s">
        <v>114</v>
      </c>
      <c r="K148" s="883" t="s">
        <v>1314</v>
      </c>
      <c r="L148" s="883">
        <v>330</v>
      </c>
      <c r="M148" s="883">
        <v>144</v>
      </c>
      <c r="N148" s="883" t="s">
        <v>2030</v>
      </c>
      <c r="O148" s="870" t="s">
        <v>1706</v>
      </c>
      <c r="P148" s="870"/>
      <c r="Q148" s="870"/>
      <c r="R148" s="870"/>
      <c r="S148" s="870"/>
      <c r="T148" s="870"/>
      <c r="U148" s="870"/>
      <c r="V148" s="870"/>
      <c r="W148" s="870"/>
      <c r="X148" s="870"/>
      <c r="Y148" s="870"/>
      <c r="Z148" s="870"/>
      <c r="AA148" s="870"/>
      <c r="AB148" s="870" t="s">
        <v>1370</v>
      </c>
      <c r="AC148" s="870" t="s">
        <v>119</v>
      </c>
      <c r="AD148" s="870" t="s">
        <v>1371</v>
      </c>
      <c r="AE148" s="870" t="s">
        <v>1668</v>
      </c>
      <c r="AF148" s="883">
        <v>33.24</v>
      </c>
      <c r="AG148" s="883">
        <v>37.4</v>
      </c>
      <c r="AH148" s="883" t="s">
        <v>122</v>
      </c>
      <c r="AI148" s="883" t="s">
        <v>122</v>
      </c>
      <c r="AJ148" s="870" t="s">
        <v>234</v>
      </c>
      <c r="AK148" s="870" t="s">
        <v>1364</v>
      </c>
      <c r="AL148" s="883"/>
      <c r="AM148" s="883"/>
      <c r="AN148" s="883" t="s">
        <v>1784</v>
      </c>
      <c r="AO148" s="883">
        <v>0.21</v>
      </c>
      <c r="AP148" s="883"/>
      <c r="AQ148" s="883"/>
      <c r="AR148" s="918">
        <f>4.352*2.2</f>
        <v>9.5744000000000007</v>
      </c>
      <c r="AS148" s="888">
        <v>3.3</v>
      </c>
      <c r="AT148" s="887">
        <v>2.6</v>
      </c>
      <c r="AU148" s="888">
        <v>4.4000000000000004</v>
      </c>
      <c r="AV148" s="888">
        <v>3.8</v>
      </c>
      <c r="AW148" s="904"/>
      <c r="AX148" s="889"/>
      <c r="AY148" s="883" t="s">
        <v>1669</v>
      </c>
      <c r="AZ148" s="870"/>
      <c r="BA148" s="870" t="s">
        <v>1235</v>
      </c>
      <c r="BB148" s="883" t="s">
        <v>1236</v>
      </c>
      <c r="BC148" s="883" t="s">
        <v>1375</v>
      </c>
      <c r="BD148" s="870" t="s">
        <v>1382</v>
      </c>
      <c r="BE148" s="870"/>
      <c r="BF148" s="870">
        <v>17410606</v>
      </c>
      <c r="BG148" s="870" t="s">
        <v>243</v>
      </c>
      <c r="BH148" s="891" t="s">
        <v>1383</v>
      </c>
      <c r="BI148" s="914">
        <v>40800</v>
      </c>
      <c r="BJ148" s="907"/>
      <c r="BK148" s="907"/>
      <c r="BL148" s="907">
        <f>2563*2.2</f>
        <v>5638.6</v>
      </c>
      <c r="BM148" s="907"/>
      <c r="BN148" s="907"/>
      <c r="BO148" s="891">
        <v>337.6</v>
      </c>
      <c r="BP148" s="892"/>
      <c r="BQ148" s="891"/>
      <c r="BR148" s="904"/>
      <c r="BS148" s="904"/>
      <c r="BT148" s="891"/>
      <c r="BU148" s="891"/>
      <c r="BV148" s="892"/>
      <c r="BW148" s="892"/>
      <c r="BX148" s="893"/>
      <c r="BY148" s="891">
        <v>11</v>
      </c>
      <c r="BZ148" s="909"/>
      <c r="CA148" s="891" t="s">
        <v>2952</v>
      </c>
      <c r="CB148" s="891"/>
      <c r="CC148" s="891"/>
      <c r="CD148" s="893"/>
      <c r="CE148" s="890"/>
      <c r="CF148" s="915"/>
      <c r="CG148" s="891"/>
      <c r="CH148" s="891"/>
      <c r="CI148" s="891"/>
      <c r="CJ148" s="873"/>
      <c r="CK148" s="955"/>
    </row>
    <row r="149" spans="1:89" x14ac:dyDescent="0.2">
      <c r="A149" s="894">
        <v>43</v>
      </c>
      <c r="B149" s="883" t="s">
        <v>590</v>
      </c>
      <c r="C149" s="883"/>
      <c r="D149" s="883" t="s">
        <v>616</v>
      </c>
      <c r="E149" s="883" t="s">
        <v>4225</v>
      </c>
      <c r="F149" s="883">
        <v>2009</v>
      </c>
      <c r="G149" s="901" t="s">
        <v>1797</v>
      </c>
      <c r="H149" s="870" t="s">
        <v>587</v>
      </c>
      <c r="I149" s="886" t="s">
        <v>1566</v>
      </c>
      <c r="J149" s="883" t="s">
        <v>114</v>
      </c>
      <c r="K149" s="883"/>
      <c r="L149" s="870"/>
      <c r="M149" s="870"/>
      <c r="N149" s="870"/>
      <c r="O149" s="870" t="s">
        <v>1706</v>
      </c>
      <c r="P149" s="870"/>
      <c r="Q149" s="870"/>
      <c r="R149" s="870"/>
      <c r="S149" s="870"/>
      <c r="T149" s="870"/>
      <c r="U149" s="870"/>
      <c r="V149" s="870"/>
      <c r="W149" s="870"/>
      <c r="X149" s="870"/>
      <c r="Y149" s="870"/>
      <c r="Z149" s="870"/>
      <c r="AA149" s="870"/>
      <c r="AB149" s="870"/>
      <c r="AC149" s="870"/>
      <c r="AD149" s="870"/>
      <c r="AE149" s="870"/>
      <c r="AF149" s="883"/>
      <c r="AG149" s="883"/>
      <c r="AH149" s="883"/>
      <c r="AI149" s="883"/>
      <c r="AJ149" s="883"/>
      <c r="AK149" s="870"/>
      <c r="AL149" s="883"/>
      <c r="AM149" s="883"/>
      <c r="AN149" s="883"/>
      <c r="AO149" s="948"/>
      <c r="AP149" s="883"/>
      <c r="AQ149" s="883"/>
      <c r="AR149" s="887"/>
      <c r="AS149" s="888"/>
      <c r="AT149" s="887"/>
      <c r="AU149" s="888"/>
      <c r="AV149" s="888"/>
      <c r="AW149" s="904"/>
      <c r="AX149" s="889"/>
      <c r="AY149" s="883" t="s">
        <v>540</v>
      </c>
      <c r="AZ149" s="949"/>
      <c r="BA149" s="870" t="s">
        <v>1660</v>
      </c>
      <c r="BB149" s="870" t="s">
        <v>1661</v>
      </c>
      <c r="BC149" s="883"/>
      <c r="BD149" s="870"/>
      <c r="BE149" s="870"/>
      <c r="BF149" s="870"/>
      <c r="BG149" s="870"/>
      <c r="BH149" s="891"/>
      <c r="BI149" s="906">
        <v>40137</v>
      </c>
      <c r="BJ149" s="907"/>
      <c r="BK149" s="907"/>
      <c r="BL149" s="892"/>
      <c r="BM149" s="907"/>
      <c r="BN149" s="907"/>
      <c r="BO149" s="891"/>
      <c r="BP149" s="892"/>
      <c r="BQ149" s="891"/>
      <c r="BR149" s="891"/>
      <c r="BS149" s="891"/>
      <c r="BT149" s="908"/>
      <c r="BU149" s="891"/>
      <c r="BV149" s="892"/>
      <c r="BW149" s="892"/>
      <c r="BX149" s="893"/>
      <c r="BY149" s="891"/>
      <c r="BZ149" s="909"/>
      <c r="CA149" s="891"/>
      <c r="CB149" s="891"/>
      <c r="CC149" s="891"/>
      <c r="CD149" s="893"/>
      <c r="CE149" s="890"/>
      <c r="CF149" s="915"/>
      <c r="CG149" s="891"/>
      <c r="CH149" s="891"/>
      <c r="CI149" s="891"/>
      <c r="CJ149" s="873"/>
      <c r="CK149" s="955"/>
    </row>
    <row r="150" spans="1:89" x14ac:dyDescent="0.2">
      <c r="A150" s="890">
        <v>43</v>
      </c>
      <c r="B150" s="883" t="s">
        <v>2346</v>
      </c>
      <c r="C150" s="883"/>
      <c r="D150" s="883" t="s">
        <v>1787</v>
      </c>
      <c r="E150" s="883" t="s">
        <v>4225</v>
      </c>
      <c r="F150" s="883"/>
      <c r="G150" s="934"/>
      <c r="H150" s="870" t="s">
        <v>2348</v>
      </c>
      <c r="I150" s="886" t="s">
        <v>2913</v>
      </c>
      <c r="J150" s="883" t="s">
        <v>114</v>
      </c>
      <c r="K150" s="883"/>
      <c r="L150" s="883">
        <v>274</v>
      </c>
      <c r="M150" s="883">
        <v>118</v>
      </c>
      <c r="N150" s="883" t="s">
        <v>2484</v>
      </c>
      <c r="O150" s="870" t="s">
        <v>1706</v>
      </c>
      <c r="P150" s="870"/>
      <c r="Q150" s="870"/>
      <c r="R150" s="870"/>
      <c r="S150" s="870"/>
      <c r="T150" s="870"/>
      <c r="U150" s="870"/>
      <c r="V150" s="870"/>
      <c r="W150" s="870"/>
      <c r="X150" s="870"/>
      <c r="Y150" s="870"/>
      <c r="Z150" s="870"/>
      <c r="AA150" s="870"/>
      <c r="AB150" s="870" t="s">
        <v>819</v>
      </c>
      <c r="AC150" s="870" t="s">
        <v>119</v>
      </c>
      <c r="AD150" s="870" t="s">
        <v>237</v>
      </c>
      <c r="AE150" s="870" t="s">
        <v>120</v>
      </c>
      <c r="AF150" s="883">
        <v>37.6</v>
      </c>
      <c r="AG150" s="883" t="s">
        <v>2347</v>
      </c>
      <c r="AH150" s="883" t="s">
        <v>1744</v>
      </c>
      <c r="AI150" s="883" t="s">
        <v>122</v>
      </c>
      <c r="AJ150" s="883" t="s">
        <v>234</v>
      </c>
      <c r="AK150" s="870" t="s">
        <v>1364</v>
      </c>
      <c r="AL150" s="883"/>
      <c r="AM150" s="883"/>
      <c r="AN150" s="883" t="s">
        <v>1784</v>
      </c>
      <c r="AO150" s="883"/>
      <c r="AP150" s="883">
        <v>0.18</v>
      </c>
      <c r="AQ150" s="883"/>
      <c r="AR150" s="918">
        <v>9.3000000000000007</v>
      </c>
      <c r="AS150" s="888">
        <v>2.4</v>
      </c>
      <c r="AT150" s="887">
        <v>2</v>
      </c>
      <c r="AU150" s="888">
        <v>5.0999999999999996</v>
      </c>
      <c r="AV150" s="888"/>
      <c r="AW150" s="888"/>
      <c r="AX150" s="889" t="s">
        <v>2006</v>
      </c>
      <c r="AY150" s="883" t="s">
        <v>2007</v>
      </c>
      <c r="AZ150" s="870">
        <v>140</v>
      </c>
      <c r="BA150" s="870" t="s">
        <v>2008</v>
      </c>
      <c r="BB150" s="883" t="s">
        <v>2009</v>
      </c>
      <c r="BC150" s="883" t="s">
        <v>2010</v>
      </c>
      <c r="BD150" s="870" t="s">
        <v>2912</v>
      </c>
      <c r="BE150" s="870"/>
      <c r="BF150" s="870"/>
      <c r="BG150" s="870"/>
      <c r="BH150" s="891" t="s">
        <v>2914</v>
      </c>
      <c r="BI150" s="891"/>
      <c r="BJ150" s="907"/>
      <c r="BK150" s="907"/>
      <c r="BL150" s="907"/>
      <c r="BM150" s="907"/>
      <c r="BN150" s="907"/>
      <c r="BO150" s="891"/>
      <c r="BP150" s="907" t="e">
        <f>1/2*9.8*(BJ150/2.2+BL150/2.2*BM150/BN150*1)*1*BO150/1000</f>
        <v>#DIV/0!</v>
      </c>
      <c r="BQ150" s="891">
        <v>0.35</v>
      </c>
      <c r="BR150" s="904"/>
      <c r="BS150" s="904"/>
      <c r="BT150" s="908"/>
      <c r="BU150" s="907"/>
      <c r="BV150" s="907"/>
      <c r="BW150" s="907"/>
      <c r="BX150" s="890"/>
      <c r="BY150" s="891"/>
      <c r="BZ150" s="909"/>
      <c r="CA150" s="890"/>
      <c r="CB150" s="890"/>
      <c r="CC150" s="893"/>
      <c r="CD150" s="893"/>
      <c r="CE150" s="890"/>
      <c r="CF150" s="890"/>
      <c r="CG150" s="890"/>
      <c r="CH150" s="890"/>
      <c r="CI150" s="890"/>
      <c r="CJ150" s="873"/>
      <c r="CK150" s="955"/>
    </row>
    <row r="151" spans="1:89" x14ac:dyDescent="0.2">
      <c r="A151" s="890">
        <v>43</v>
      </c>
      <c r="B151" s="870" t="s">
        <v>1881</v>
      </c>
      <c r="C151" s="870"/>
      <c r="D151" s="870" t="s">
        <v>1787</v>
      </c>
      <c r="E151" s="883" t="s">
        <v>4225</v>
      </c>
      <c r="F151" s="870"/>
      <c r="G151" s="901" t="s">
        <v>1797</v>
      </c>
      <c r="H151" s="870" t="s">
        <v>1885</v>
      </c>
      <c r="I151" s="886" t="s">
        <v>84</v>
      </c>
      <c r="J151" s="870" t="s">
        <v>114</v>
      </c>
      <c r="K151" s="870" t="s">
        <v>1882</v>
      </c>
      <c r="L151" s="870">
        <v>320</v>
      </c>
      <c r="M151" s="870">
        <v>141</v>
      </c>
      <c r="N151" s="870" t="s">
        <v>197</v>
      </c>
      <c r="O151" s="870" t="s">
        <v>2722</v>
      </c>
      <c r="P151" s="870"/>
      <c r="Q151" s="870"/>
      <c r="R151" s="870"/>
      <c r="S151" s="870"/>
      <c r="T151" s="870"/>
      <c r="U151" s="870"/>
      <c r="V151" s="870"/>
      <c r="W151" s="870"/>
      <c r="X151" s="870"/>
      <c r="Y151" s="870"/>
      <c r="Z151" s="870"/>
      <c r="AA151" s="870"/>
      <c r="AB151" s="870" t="s">
        <v>83</v>
      </c>
      <c r="AC151" s="870" t="s">
        <v>83</v>
      </c>
      <c r="AD151" s="870" t="s">
        <v>83</v>
      </c>
      <c r="AE151" s="870" t="s">
        <v>120</v>
      </c>
      <c r="AF151" s="870">
        <v>37.200000000000003</v>
      </c>
      <c r="AG151" s="870">
        <v>40.9</v>
      </c>
      <c r="AH151" s="870" t="s">
        <v>1883</v>
      </c>
      <c r="AI151" s="870" t="s">
        <v>122</v>
      </c>
      <c r="AJ151" s="870" t="s">
        <v>48</v>
      </c>
      <c r="AK151" s="870" t="s">
        <v>1884</v>
      </c>
      <c r="AL151" s="870"/>
      <c r="AM151" s="870"/>
      <c r="AN151" s="870" t="s">
        <v>1784</v>
      </c>
      <c r="AO151" s="870">
        <v>0.24</v>
      </c>
      <c r="AP151" s="870" t="s">
        <v>83</v>
      </c>
      <c r="AQ151" s="870"/>
      <c r="AR151" s="888">
        <v>7.25</v>
      </c>
      <c r="AS151" s="888">
        <v>3</v>
      </c>
      <c r="AT151" s="888">
        <v>2.4</v>
      </c>
      <c r="AU151" s="888">
        <v>2.6</v>
      </c>
      <c r="AV151" s="888">
        <v>2.2999999999999998</v>
      </c>
      <c r="AW151" s="904">
        <f>(100*PI()*(A151^2))/(40*AO151*AV151*453.5924)</f>
        <v>57.999192288704499</v>
      </c>
      <c r="AX151" s="935">
        <v>37773</v>
      </c>
      <c r="AY151" s="883" t="s">
        <v>83</v>
      </c>
      <c r="AZ151" s="949">
        <v>600</v>
      </c>
      <c r="BA151" s="870" t="s">
        <v>1886</v>
      </c>
      <c r="BB151" s="883" t="s">
        <v>2717</v>
      </c>
      <c r="BC151" s="883" t="s">
        <v>1887</v>
      </c>
      <c r="BD151" s="870" t="s">
        <v>1888</v>
      </c>
      <c r="BE151" s="870"/>
      <c r="BF151" s="870"/>
      <c r="BG151" s="870"/>
      <c r="BH151" s="891" t="s">
        <v>1796</v>
      </c>
      <c r="BI151" s="906">
        <v>37243</v>
      </c>
      <c r="BJ151" s="907">
        <v>2253</v>
      </c>
      <c r="BK151" s="907">
        <v>2531</v>
      </c>
      <c r="BL151" s="907">
        <v>4784</v>
      </c>
      <c r="BM151" s="907">
        <v>548</v>
      </c>
      <c r="BN151" s="907">
        <v>3048</v>
      </c>
      <c r="BO151" s="891">
        <v>335</v>
      </c>
      <c r="BP151" s="892">
        <f>IF(G151="Front",0.5*9.81*0.4535924*(BJ151+BL151*(BM151/BN151))*(BO151/1000),IF(G151="Rear",0.5*9.81*0.4535924*(BK151+BL151*(BM151/BN151))*(BO151/1000),"TBD"))</f>
        <v>2527.5058421822</v>
      </c>
      <c r="BQ151" s="891">
        <v>0.35</v>
      </c>
      <c r="BR151" s="904">
        <v>20</v>
      </c>
      <c r="BS151" s="904">
        <v>30</v>
      </c>
      <c r="BT151" s="908">
        <v>257</v>
      </c>
      <c r="BU151" s="892">
        <f>(2.4525*(BL151*0.4535924)*(0.8*(1000/3600)*BT151)*(BR151/100))/(AF151*2)</f>
        <v>817.04057773307534</v>
      </c>
      <c r="BV151" s="892">
        <f>(BP151/(M151/1000))/(2*AF151)</f>
        <v>240.93512565604746</v>
      </c>
      <c r="BW151" s="892">
        <f>(1.4*BP151/(M151/1000))/(2*AF151)</f>
        <v>337.30917591846639</v>
      </c>
      <c r="BX151" s="893">
        <f>0.5*(BL151/32.2)*((BO151*0.00328084)^2)*(BS151/100)</f>
        <v>26.920695445264244</v>
      </c>
      <c r="BY151" s="891">
        <v>22</v>
      </c>
      <c r="BZ151" s="909">
        <f>BX151/(L151*BY151)</f>
        <v>3.8239624212023072E-3</v>
      </c>
      <c r="CA151" s="891"/>
      <c r="CB151" s="891"/>
      <c r="CC151" s="893"/>
      <c r="CD151" s="893"/>
      <c r="CE151" s="890"/>
      <c r="CF151" s="890"/>
      <c r="CG151" s="890"/>
      <c r="CH151" s="890"/>
      <c r="CI151" s="890"/>
      <c r="CJ151" s="873"/>
      <c r="CK151" s="955"/>
    </row>
    <row r="152" spans="1:89" x14ac:dyDescent="0.2">
      <c r="A152" s="890">
        <v>43</v>
      </c>
      <c r="B152" s="883" t="s">
        <v>706</v>
      </c>
      <c r="C152" s="883"/>
      <c r="D152" s="883" t="s">
        <v>1787</v>
      </c>
      <c r="E152" s="883" t="s">
        <v>4225</v>
      </c>
      <c r="F152" s="883"/>
      <c r="G152" s="901" t="s">
        <v>1797</v>
      </c>
      <c r="H152" s="870" t="s">
        <v>712</v>
      </c>
      <c r="I152" s="886" t="s">
        <v>1359</v>
      </c>
      <c r="J152" s="883" t="s">
        <v>114</v>
      </c>
      <c r="K152" s="883" t="s">
        <v>707</v>
      </c>
      <c r="L152" s="883">
        <v>330</v>
      </c>
      <c r="M152" s="883">
        <v>148.4</v>
      </c>
      <c r="N152" s="883" t="s">
        <v>708</v>
      </c>
      <c r="O152" s="870" t="s">
        <v>1706</v>
      </c>
      <c r="P152" s="870"/>
      <c r="Q152" s="870"/>
      <c r="R152" s="870"/>
      <c r="S152" s="870"/>
      <c r="T152" s="870"/>
      <c r="U152" s="870"/>
      <c r="V152" s="870"/>
      <c r="W152" s="870"/>
      <c r="X152" s="870"/>
      <c r="Y152" s="870"/>
      <c r="Z152" s="870"/>
      <c r="AA152" s="870"/>
      <c r="AB152" s="870" t="s">
        <v>709</v>
      </c>
      <c r="AC152" s="870" t="s">
        <v>710</v>
      </c>
      <c r="AD152" s="870" t="s">
        <v>1708</v>
      </c>
      <c r="AE152" s="870" t="s">
        <v>120</v>
      </c>
      <c r="AF152" s="883">
        <v>37.6</v>
      </c>
      <c r="AG152" s="883" t="s">
        <v>711</v>
      </c>
      <c r="AH152" s="883" t="s">
        <v>122</v>
      </c>
      <c r="AI152" s="883" t="s">
        <v>122</v>
      </c>
      <c r="AJ152" s="883" t="s">
        <v>234</v>
      </c>
      <c r="AK152" s="870" t="s">
        <v>1364</v>
      </c>
      <c r="AL152" s="883"/>
      <c r="AM152" s="883"/>
      <c r="AN152" s="883" t="s">
        <v>1784</v>
      </c>
      <c r="AO152" s="883">
        <v>0.22</v>
      </c>
      <c r="AP152" s="883">
        <v>0.22</v>
      </c>
      <c r="AQ152" s="883"/>
      <c r="AR152" s="918">
        <v>9.9</v>
      </c>
      <c r="AS152" s="888">
        <v>2.6</v>
      </c>
      <c r="AT152" s="887">
        <v>2.1</v>
      </c>
      <c r="AU152" s="888">
        <v>5.07</v>
      </c>
      <c r="AV152" s="888"/>
      <c r="AW152" s="904" t="e">
        <f>(100*PI()*(A152^2))/(40*AO152*AV152*453.5924)</f>
        <v>#DIV/0!</v>
      </c>
      <c r="AX152" s="889">
        <v>36892</v>
      </c>
      <c r="AY152" s="883" t="s">
        <v>189</v>
      </c>
      <c r="AZ152" s="870">
        <v>4</v>
      </c>
      <c r="BA152" s="870" t="s">
        <v>713</v>
      </c>
      <c r="BB152" s="883" t="s">
        <v>714</v>
      </c>
      <c r="BC152" s="883">
        <v>13712801</v>
      </c>
      <c r="BD152" s="870" t="s">
        <v>715</v>
      </c>
      <c r="BE152" s="870"/>
      <c r="BF152" s="870"/>
      <c r="BG152" s="870"/>
      <c r="BH152" s="891" t="s">
        <v>195</v>
      </c>
      <c r="BI152" s="906"/>
      <c r="BJ152" s="907"/>
      <c r="BK152" s="907"/>
      <c r="BL152" s="892">
        <f>BJ152+BK152</f>
        <v>0</v>
      </c>
      <c r="BM152" s="907"/>
      <c r="BN152" s="907"/>
      <c r="BO152" s="891"/>
      <c r="BP152" s="892" t="e">
        <f>IF(G152="Front",0.5*9.81*0.4535924*(BJ152+BL152*(BM152/BN152)*1.1)*1.1*(BO152/1000),IF(G152="Rear",0.5*9.81*0.4535924*(BK152+BL152*(BM152/BN152)*0.9)*0.9*(BO152/1000),"TBD"))</f>
        <v>#DIV/0!</v>
      </c>
      <c r="BQ152" s="891">
        <v>0.35</v>
      </c>
      <c r="BR152" s="904"/>
      <c r="BS152" s="904"/>
      <c r="BT152" s="908"/>
      <c r="BU152" s="892">
        <f>(2.4525*(BL152*0.4535924)*(0.8*(1000/3600)*BT152)*(BR152/100))/(AF152*2)</f>
        <v>0</v>
      </c>
      <c r="BV152" s="892" t="e">
        <f>(BP152/(M152/1000))/(2*AF152)</f>
        <v>#DIV/0!</v>
      </c>
      <c r="BW152" s="892" t="e">
        <f>(1.4*BP152/(M152/1000))/(2*AF152)</f>
        <v>#DIV/0!</v>
      </c>
      <c r="BX152" s="893">
        <f>0.5*(BL152/32.2)*((BO152*0.00328084)^2)*(BS152/100)</f>
        <v>0</v>
      </c>
      <c r="BY152" s="891">
        <v>20</v>
      </c>
      <c r="BZ152" s="909">
        <f>BX152/(L152*BY152)</f>
        <v>0</v>
      </c>
      <c r="CA152" s="891"/>
      <c r="CB152" s="891"/>
      <c r="CC152" s="893">
        <f>BU152*(2*AF152)/(2*1600)</f>
        <v>0</v>
      </c>
      <c r="CD152" s="893" t="e">
        <f>BV152*(2*AF152)/(2*250)</f>
        <v>#DIV/0!</v>
      </c>
      <c r="CE152" s="890" t="e">
        <f>IF((CD152-CC152)&gt;0, "Shear","Power")</f>
        <v>#DIV/0!</v>
      </c>
      <c r="CF152" s="915" t="e">
        <f>(AF152/MAX(CC152,CD152))-1</f>
        <v>#DIV/0!</v>
      </c>
      <c r="CG152" s="890"/>
      <c r="CH152" s="890"/>
      <c r="CI152" s="890"/>
      <c r="CJ152" s="873"/>
      <c r="CK152" s="955"/>
    </row>
    <row r="153" spans="1:89" ht="25.5" x14ac:dyDescent="0.2">
      <c r="A153" s="890">
        <v>43</v>
      </c>
      <c r="B153" s="883" t="s">
        <v>204</v>
      </c>
      <c r="C153" s="883"/>
      <c r="D153" s="883" t="s">
        <v>848</v>
      </c>
      <c r="E153" s="883" t="s">
        <v>4225</v>
      </c>
      <c r="F153" s="883"/>
      <c r="G153" s="901" t="s">
        <v>1797</v>
      </c>
      <c r="H153" s="870" t="s">
        <v>239</v>
      </c>
      <c r="I153" s="886" t="s">
        <v>1359</v>
      </c>
      <c r="J153" s="883" t="s">
        <v>114</v>
      </c>
      <c r="K153" s="883">
        <v>825</v>
      </c>
      <c r="L153" s="883">
        <v>256</v>
      </c>
      <c r="M153" s="883">
        <v>110.9</v>
      </c>
      <c r="N153" s="883" t="s">
        <v>1705</v>
      </c>
      <c r="O153" s="870" t="s">
        <v>1706</v>
      </c>
      <c r="P153" s="870"/>
      <c r="Q153" s="870"/>
      <c r="R153" s="870"/>
      <c r="S153" s="870"/>
      <c r="T153" s="870"/>
      <c r="U153" s="870"/>
      <c r="V153" s="870"/>
      <c r="W153" s="870"/>
      <c r="X153" s="870"/>
      <c r="Y153" s="870"/>
      <c r="Z153" s="870"/>
      <c r="AA153" s="870"/>
      <c r="AB153" s="870" t="s">
        <v>236</v>
      </c>
      <c r="AC153" s="870" t="s">
        <v>119</v>
      </c>
      <c r="AD153" s="870" t="s">
        <v>237</v>
      </c>
      <c r="AE153" s="870" t="s">
        <v>120</v>
      </c>
      <c r="AF153" s="883">
        <v>22.9</v>
      </c>
      <c r="AG153" s="883" t="s">
        <v>238</v>
      </c>
      <c r="AH153" s="883" t="s">
        <v>122</v>
      </c>
      <c r="AI153" s="883" t="s">
        <v>122</v>
      </c>
      <c r="AJ153" s="883" t="s">
        <v>234</v>
      </c>
      <c r="AK153" s="870" t="s">
        <v>1710</v>
      </c>
      <c r="AL153" s="883"/>
      <c r="AM153" s="883"/>
      <c r="AN153" s="883" t="s">
        <v>1784</v>
      </c>
      <c r="AO153" s="883">
        <v>0.31</v>
      </c>
      <c r="AP153" s="883">
        <v>0.31</v>
      </c>
      <c r="AQ153" s="883"/>
      <c r="AR153" s="918">
        <v>7.29</v>
      </c>
      <c r="AS153" s="888">
        <v>1.9</v>
      </c>
      <c r="AT153" s="887">
        <v>1.335</v>
      </c>
      <c r="AU153" s="888">
        <v>4.3</v>
      </c>
      <c r="AV153" s="903">
        <v>3.1789999999999998</v>
      </c>
      <c r="AW153" s="904">
        <f>(100*PI()*(A153^2))/(40*AO153*AV153*453.5924)</f>
        <v>32.486939637505081</v>
      </c>
      <c r="AX153" s="889" t="s">
        <v>1789</v>
      </c>
      <c r="AY153" s="883" t="s">
        <v>189</v>
      </c>
      <c r="AZ153" s="870" t="s">
        <v>240</v>
      </c>
      <c r="BA153" s="870" t="s">
        <v>1355</v>
      </c>
      <c r="BB153" s="870" t="s">
        <v>1356</v>
      </c>
      <c r="BC153" s="883" t="s">
        <v>1357</v>
      </c>
      <c r="BD153" s="870" t="s">
        <v>1358</v>
      </c>
      <c r="BE153" s="870"/>
      <c r="BF153" s="870"/>
      <c r="BG153" s="870"/>
      <c r="BH153" s="891" t="s">
        <v>195</v>
      </c>
      <c r="BI153" s="906"/>
      <c r="BJ153" s="907"/>
      <c r="BK153" s="907"/>
      <c r="BL153" s="892">
        <f>BJ153+BK153</f>
        <v>0</v>
      </c>
      <c r="BM153" s="907"/>
      <c r="BN153" s="907"/>
      <c r="BO153" s="891"/>
      <c r="BP153" s="892" t="e">
        <f>IF(G153="Front",0.5*9.81*0.4535924*(BJ153+BL153*(BM153/BN153)*1.1)*1.1*(BO153/1000),IF(G153="Rear",0.5*9.81*0.4535924*(BK153+BL153*(BM153/BN153)*0.9)*0.9*(BO153/1000),"TBD"))</f>
        <v>#DIV/0!</v>
      </c>
      <c r="BQ153" s="891">
        <v>0.35</v>
      </c>
      <c r="BR153" s="904"/>
      <c r="BS153" s="904"/>
      <c r="BT153" s="894">
        <v>201</v>
      </c>
      <c r="BU153" s="892">
        <f>(2.4525*(BL153*0.4535924)*(0.8*(1000/3600)*BT153)*(BR153/100))/(AF153*2)</f>
        <v>0</v>
      </c>
      <c r="BV153" s="892" t="e">
        <f>(BP153/(M153/1000))/(2*AF153)</f>
        <v>#DIV/0!</v>
      </c>
      <c r="BW153" s="892" t="e">
        <f>(1.4*BP153/(M153/1000))/(2*AF153)</f>
        <v>#DIV/0!</v>
      </c>
      <c r="BX153" s="893">
        <f>0.5*(BL153/32.2)*((BO153*0.00328084)^2)*(BS153/100)</f>
        <v>0</v>
      </c>
      <c r="BY153" s="891">
        <v>16</v>
      </c>
      <c r="BZ153" s="909">
        <f>BX153/(L153*BY153)</f>
        <v>0</v>
      </c>
      <c r="CA153" s="891"/>
      <c r="CB153" s="891"/>
      <c r="CC153" s="893">
        <f>BU153*(2*AF153)/(2*1600)</f>
        <v>0</v>
      </c>
      <c r="CD153" s="893" t="e">
        <f>BV153*(2*AF153)/(2*250)</f>
        <v>#DIV/0!</v>
      </c>
      <c r="CE153" s="890" t="e">
        <f>IF((CD153-CC153)&gt;0, "Shear","Power")</f>
        <v>#DIV/0!</v>
      </c>
      <c r="CF153" s="915" t="e">
        <f>(AF153/MAX(CC153,CD153))-1</f>
        <v>#DIV/0!</v>
      </c>
      <c r="CG153" s="890"/>
      <c r="CH153" s="890"/>
      <c r="CI153" s="890"/>
      <c r="CJ153" s="873"/>
      <c r="CK153" s="955"/>
    </row>
    <row r="154" spans="1:89" ht="25.5" x14ac:dyDescent="0.2">
      <c r="A154" s="890">
        <v>43</v>
      </c>
      <c r="B154" s="883" t="s">
        <v>1360</v>
      </c>
      <c r="C154" s="883"/>
      <c r="D154" s="883" t="s">
        <v>1365</v>
      </c>
      <c r="E154" s="883" t="s">
        <v>4225</v>
      </c>
      <c r="F154" s="883"/>
      <c r="G154" s="901" t="s">
        <v>1797</v>
      </c>
      <c r="H154" s="870" t="s">
        <v>107</v>
      </c>
      <c r="I154" s="886" t="s">
        <v>44</v>
      </c>
      <c r="J154" s="883" t="s">
        <v>114</v>
      </c>
      <c r="K154" s="883">
        <v>1326</v>
      </c>
      <c r="L154" s="883">
        <v>288</v>
      </c>
      <c r="M154" s="883">
        <v>125.2</v>
      </c>
      <c r="N154" s="883" t="s">
        <v>1361</v>
      </c>
      <c r="O154" s="870" t="s">
        <v>1706</v>
      </c>
      <c r="P154" s="870"/>
      <c r="Q154" s="870"/>
      <c r="R154" s="870"/>
      <c r="S154" s="870"/>
      <c r="T154" s="870"/>
      <c r="U154" s="870"/>
      <c r="V154" s="870"/>
      <c r="W154" s="870"/>
      <c r="X154" s="870"/>
      <c r="Y154" s="870"/>
      <c r="Z154" s="870"/>
      <c r="AA154" s="870"/>
      <c r="AB154" s="870" t="s">
        <v>1362</v>
      </c>
      <c r="AC154" s="870" t="s">
        <v>119</v>
      </c>
      <c r="AD154" s="870" t="s">
        <v>1708</v>
      </c>
      <c r="AE154" s="870" t="s">
        <v>120</v>
      </c>
      <c r="AF154" s="883">
        <v>37.6</v>
      </c>
      <c r="AG154" s="883" t="s">
        <v>1363</v>
      </c>
      <c r="AH154" s="883" t="s">
        <v>122</v>
      </c>
      <c r="AI154" s="883" t="s">
        <v>122</v>
      </c>
      <c r="AJ154" s="883" t="s">
        <v>234</v>
      </c>
      <c r="AK154" s="870" t="s">
        <v>1364</v>
      </c>
      <c r="AL154" s="883"/>
      <c r="AM154" s="883"/>
      <c r="AN154" s="883" t="s">
        <v>1784</v>
      </c>
      <c r="AO154" s="883">
        <v>0.22</v>
      </c>
      <c r="AP154" s="883">
        <v>0.22</v>
      </c>
      <c r="AQ154" s="883"/>
      <c r="AR154" s="918">
        <v>9.8000000000000007</v>
      </c>
      <c r="AS154" s="888">
        <v>2.6</v>
      </c>
      <c r="AT154" s="887">
        <v>2.1</v>
      </c>
      <c r="AU154" s="903">
        <f>2.22*2.204622</f>
        <v>4.8942608400000003</v>
      </c>
      <c r="AV154" s="903">
        <f>1.89*2.204622</f>
        <v>4.1667355800000001</v>
      </c>
      <c r="AW154" s="904">
        <f>(100*PI()*(A154^2))/(40*AO154*AV154*453.5924)</f>
        <v>34.925481425966559</v>
      </c>
      <c r="AX154" s="889" t="s">
        <v>1789</v>
      </c>
      <c r="AY154" s="883" t="s">
        <v>189</v>
      </c>
      <c r="AZ154" s="870" t="s">
        <v>108</v>
      </c>
      <c r="BA154" s="870" t="s">
        <v>109</v>
      </c>
      <c r="BB154" s="883" t="s">
        <v>110</v>
      </c>
      <c r="BC154" s="883" t="s">
        <v>111</v>
      </c>
      <c r="BD154" s="870" t="s">
        <v>43</v>
      </c>
      <c r="BE154" s="870"/>
      <c r="BF154" s="870"/>
      <c r="BG154" s="870"/>
      <c r="BH154" s="891" t="s">
        <v>195</v>
      </c>
      <c r="BI154" s="906"/>
      <c r="BJ154" s="907">
        <v>2504</v>
      </c>
      <c r="BK154" s="907">
        <v>2239</v>
      </c>
      <c r="BL154" s="892">
        <f>BJ154+BK154</f>
        <v>4743</v>
      </c>
      <c r="BM154" s="907">
        <v>628</v>
      </c>
      <c r="BN154" s="907">
        <v>3034</v>
      </c>
      <c r="BO154" s="891">
        <v>322</v>
      </c>
      <c r="BP154" s="892">
        <f>IF(G154="Front",0.5*9.81*0.4535924*(BJ154+BL154*(BM154/BN154)*1.1)*1.1*(BO154/1000),IF(G154="Rear",0.5*9.81*0.4535924*(BK154+BL154*(BM154/BN154)*0.9)*0.9*(BO154/1000),"TBD"))</f>
        <v>2013.3301091415562</v>
      </c>
      <c r="BQ154" s="891">
        <v>0.35</v>
      </c>
      <c r="BR154" s="904">
        <v>32.6</v>
      </c>
      <c r="BS154" s="904">
        <v>32.6</v>
      </c>
      <c r="BT154" s="908">
        <v>240</v>
      </c>
      <c r="BU154" s="892">
        <f>(2.4525*(BL154*0.4535924)*(0.8*(1000/3600)*BT154)*(BR154/100))/(AF154*2)</f>
        <v>1219.9060844075873</v>
      </c>
      <c r="BV154" s="892">
        <f>(BP154/(M154/1000))/(2*AF154)</f>
        <v>213.84190711261513</v>
      </c>
      <c r="BW154" s="892">
        <f>(1.4*BP154/(M154/1000))/(2*AF154)</f>
        <v>299.3786699576612</v>
      </c>
      <c r="BX154" s="893">
        <f>0.5*(BL154/32.2)*((BO154*0.00328084)^2)*(BS154/100)</f>
        <v>26.795798494024581</v>
      </c>
      <c r="BY154" s="891">
        <v>14</v>
      </c>
      <c r="BZ154" s="909">
        <f>BX154/(L154*BY154)</f>
        <v>6.6457833566529222E-3</v>
      </c>
      <c r="CA154" s="891"/>
      <c r="CB154" s="891"/>
      <c r="CC154" s="893">
        <f>BU154*(2*AF154)/(2*1600)</f>
        <v>28.667792983578302</v>
      </c>
      <c r="CD154" s="893">
        <f>BV154*(2*AF154)/(2*250)</f>
        <v>32.161822829737318</v>
      </c>
      <c r="CE154" s="890" t="str">
        <f>IF((CD154-CC154)&gt;0, "Shear","Power")</f>
        <v>Shear</v>
      </c>
      <c r="CF154" s="915">
        <f>(AF154/MAX(CC154,CD154))-1</f>
        <v>0.16908796491579636</v>
      </c>
      <c r="CG154" s="890"/>
      <c r="CH154" s="890"/>
      <c r="CI154" s="890"/>
      <c r="CJ154" s="873"/>
      <c r="CK154" s="955"/>
    </row>
    <row r="155" spans="1:89" ht="25.5" x14ac:dyDescent="0.2">
      <c r="A155" s="890">
        <v>43</v>
      </c>
      <c r="B155" s="883" t="s">
        <v>1360</v>
      </c>
      <c r="C155" s="883"/>
      <c r="D155" s="883" t="s">
        <v>1365</v>
      </c>
      <c r="E155" s="883" t="s">
        <v>4225</v>
      </c>
      <c r="F155" s="883"/>
      <c r="G155" s="901" t="s">
        <v>1797</v>
      </c>
      <c r="H155" s="870" t="s">
        <v>50</v>
      </c>
      <c r="I155" s="886" t="s">
        <v>44</v>
      </c>
      <c r="J155" s="883" t="s">
        <v>114</v>
      </c>
      <c r="K155" s="883" t="s">
        <v>45</v>
      </c>
      <c r="L155" s="883">
        <v>288</v>
      </c>
      <c r="M155" s="883">
        <v>125.2</v>
      </c>
      <c r="N155" s="883" t="s">
        <v>1361</v>
      </c>
      <c r="O155" s="870" t="s">
        <v>1706</v>
      </c>
      <c r="P155" s="870"/>
      <c r="Q155" s="870"/>
      <c r="R155" s="870"/>
      <c r="S155" s="870"/>
      <c r="T155" s="870"/>
      <c r="U155" s="870"/>
      <c r="V155" s="870"/>
      <c r="W155" s="870"/>
      <c r="X155" s="870"/>
      <c r="Y155" s="870"/>
      <c r="Z155" s="870"/>
      <c r="AA155" s="870"/>
      <c r="AB155" s="870" t="s">
        <v>46</v>
      </c>
      <c r="AC155" s="870" t="s">
        <v>119</v>
      </c>
      <c r="AD155" s="870" t="s">
        <v>47</v>
      </c>
      <c r="AE155" s="870" t="s">
        <v>120</v>
      </c>
      <c r="AF155" s="883">
        <v>37.6</v>
      </c>
      <c r="AG155" s="883" t="s">
        <v>1363</v>
      </c>
      <c r="AH155" s="883" t="s">
        <v>122</v>
      </c>
      <c r="AI155" s="883" t="s">
        <v>122</v>
      </c>
      <c r="AJ155" s="870" t="s">
        <v>48</v>
      </c>
      <c r="AK155" s="870" t="s">
        <v>49</v>
      </c>
      <c r="AL155" s="883"/>
      <c r="AM155" s="883"/>
      <c r="AN155" s="883" t="s">
        <v>1784</v>
      </c>
      <c r="AO155" s="883">
        <v>0.22</v>
      </c>
      <c r="AP155" s="883">
        <v>0.23</v>
      </c>
      <c r="AQ155" s="883"/>
      <c r="AR155" s="918">
        <v>7.6</v>
      </c>
      <c r="AS155" s="888">
        <f>1.26*2.204622</f>
        <v>2.7778237200000002</v>
      </c>
      <c r="AT155" s="918">
        <f>1.01*2.204622</f>
        <v>2.2266682200000001</v>
      </c>
      <c r="AU155" s="888">
        <v>2.75</v>
      </c>
      <c r="AV155" s="888">
        <v>2.3650000000000002</v>
      </c>
      <c r="AW155" s="904">
        <f>(100*PI()*(A155^2))/(40*AO155*AV155*453.5924)</f>
        <v>61.532873617845233</v>
      </c>
      <c r="AX155" s="889" t="s">
        <v>51</v>
      </c>
      <c r="AY155" s="883" t="s">
        <v>189</v>
      </c>
      <c r="AZ155" s="870" t="s">
        <v>52</v>
      </c>
      <c r="BA155" s="870" t="s">
        <v>53</v>
      </c>
      <c r="BB155" s="883" t="s">
        <v>54</v>
      </c>
      <c r="BC155" s="883" t="s">
        <v>55</v>
      </c>
      <c r="BD155" s="870" t="s">
        <v>699</v>
      </c>
      <c r="BE155" s="870"/>
      <c r="BF155" s="870"/>
      <c r="BG155" s="870"/>
      <c r="BH155" s="891" t="s">
        <v>195</v>
      </c>
      <c r="BI155" s="906"/>
      <c r="BJ155" s="907">
        <v>2292</v>
      </c>
      <c r="BK155" s="907">
        <v>2563</v>
      </c>
      <c r="BL155" s="892">
        <f>BJ155+BK155</f>
        <v>4855</v>
      </c>
      <c r="BM155" s="907">
        <v>628</v>
      </c>
      <c r="BN155" s="907">
        <v>3034</v>
      </c>
      <c r="BO155" s="891">
        <v>322</v>
      </c>
      <c r="BP155" s="892">
        <f>IF(G155="Front",0.5*9.81*0.4535924*(BJ155+BL155*(BM155/BN155)*1.1)*1.1*(BO155/1000),IF(G155="Rear",0.5*9.81*0.4535924*(BK155+BL155*(BM155/BN155)*0.9)*0.9*(BO155/1000),"TBD"))</f>
        <v>2235.6874380274021</v>
      </c>
      <c r="BQ155" s="891"/>
      <c r="BR155" s="904"/>
      <c r="BS155" s="904"/>
      <c r="BT155" s="908"/>
      <c r="BU155" s="892">
        <f>(2.4525*(BL155*0.4535924)*(0.8*(1000/3600)*BT155)*(BR155/100))/(AF155*2)</f>
        <v>0</v>
      </c>
      <c r="BV155" s="892">
        <f>(BP155/(M155/1000))/(2*AF155)</f>
        <v>237.45915450464381</v>
      </c>
      <c r="BW155" s="892">
        <f>(1.4*BP155/(M155/1000))/(2*AF155)</f>
        <v>332.44281630650136</v>
      </c>
      <c r="BX155" s="893">
        <f>0.5*(BL155/32.2)*((BO155*0.00328084)^2)*(BS155/100)</f>
        <v>0</v>
      </c>
      <c r="BY155" s="891">
        <v>20</v>
      </c>
      <c r="BZ155" s="909">
        <f>BX155/(L155*BY155)</f>
        <v>0</v>
      </c>
      <c r="CA155" s="891"/>
      <c r="CB155" s="891"/>
      <c r="CC155" s="893">
        <f>BU155*(2*AF155)/(2*1600)</f>
        <v>0</v>
      </c>
      <c r="CD155" s="893">
        <f>BV155*(2*AF155)/(2*250)</f>
        <v>35.713856837498433</v>
      </c>
      <c r="CE155" s="890" t="str">
        <f>IF((CD155-CC155)&gt;0, "Shear","Power")</f>
        <v>Shear</v>
      </c>
      <c r="CF155" s="915">
        <f>(AF155/MAX(CC155,CD155))-1</f>
        <v>5.2812642753307326E-2</v>
      </c>
      <c r="CG155" s="890"/>
      <c r="CH155" s="890"/>
      <c r="CI155" s="890"/>
      <c r="CJ155" s="873"/>
      <c r="CK155" s="955"/>
    </row>
    <row r="156" spans="1:89" ht="38.25" x14ac:dyDescent="0.2">
      <c r="A156" s="894">
        <v>43</v>
      </c>
      <c r="B156" s="883" t="s">
        <v>2183</v>
      </c>
      <c r="C156" s="883"/>
      <c r="D156" s="870" t="s">
        <v>788</v>
      </c>
      <c r="E156" s="883" t="s">
        <v>4225</v>
      </c>
      <c r="F156" s="883">
        <v>2013</v>
      </c>
      <c r="G156" s="901" t="s">
        <v>1797</v>
      </c>
      <c r="H156" s="870" t="s">
        <v>2409</v>
      </c>
      <c r="I156" s="886" t="s">
        <v>2518</v>
      </c>
      <c r="J156" s="883" t="s">
        <v>114</v>
      </c>
      <c r="K156" s="870" t="s">
        <v>1059</v>
      </c>
      <c r="L156" s="870">
        <v>300</v>
      </c>
      <c r="M156" s="870">
        <v>131.5</v>
      </c>
      <c r="N156" s="870"/>
      <c r="O156" s="870" t="s">
        <v>1706</v>
      </c>
      <c r="P156" s="870"/>
      <c r="Q156" s="870"/>
      <c r="R156" s="870"/>
      <c r="S156" s="870"/>
      <c r="T156" s="870"/>
      <c r="U156" s="870"/>
      <c r="V156" s="870"/>
      <c r="W156" s="870"/>
      <c r="X156" s="870"/>
      <c r="Y156" s="870"/>
      <c r="Z156" s="870"/>
      <c r="AA156" s="870">
        <v>144</v>
      </c>
      <c r="AB156" s="870" t="s">
        <v>633</v>
      </c>
      <c r="AC156" s="870"/>
      <c r="AD156" s="870" t="s">
        <v>1061</v>
      </c>
      <c r="AE156" s="870"/>
      <c r="AF156" s="883">
        <v>30.32</v>
      </c>
      <c r="AG156" s="883">
        <v>35.29</v>
      </c>
      <c r="AH156" s="883"/>
      <c r="AI156" s="883"/>
      <c r="AJ156" s="870" t="s">
        <v>369</v>
      </c>
      <c r="AK156" s="870" t="s">
        <v>1364</v>
      </c>
      <c r="AL156" s="883"/>
      <c r="AM156" s="883"/>
      <c r="AN156" s="883"/>
      <c r="AO156" s="948"/>
      <c r="AP156" s="883"/>
      <c r="AQ156" s="883"/>
      <c r="AR156" s="918">
        <f>4.352*2.2</f>
        <v>9.5744000000000007</v>
      </c>
      <c r="AS156" s="888"/>
      <c r="AT156" s="887"/>
      <c r="AU156" s="888"/>
      <c r="AV156" s="888"/>
      <c r="AW156" s="904"/>
      <c r="AX156" s="889"/>
      <c r="AY156" s="883" t="s">
        <v>2093</v>
      </c>
      <c r="AZ156" s="949"/>
      <c r="BA156" s="870" t="s">
        <v>2206</v>
      </c>
      <c r="BB156" s="870" t="s">
        <v>2207</v>
      </c>
      <c r="BC156" s="883">
        <v>18071601</v>
      </c>
      <c r="BD156" s="870" t="s">
        <v>2410</v>
      </c>
      <c r="BE156" s="870"/>
      <c r="BF156" s="870">
        <v>17410606</v>
      </c>
      <c r="BG156" s="870" t="s">
        <v>243</v>
      </c>
      <c r="BH156" s="891"/>
      <c r="BI156" s="906">
        <v>40800</v>
      </c>
      <c r="BJ156" s="907"/>
      <c r="BK156" s="907"/>
      <c r="BL156" s="892">
        <f>2005*2.2</f>
        <v>4411</v>
      </c>
      <c r="BM156" s="907"/>
      <c r="BN156" s="907"/>
      <c r="BO156" s="891">
        <v>318</v>
      </c>
      <c r="BP156" s="892"/>
      <c r="BQ156" s="891"/>
      <c r="BR156" s="891"/>
      <c r="BS156" s="891"/>
      <c r="BT156" s="908"/>
      <c r="BU156" s="891"/>
      <c r="BV156" s="892"/>
      <c r="BW156" s="892"/>
      <c r="BX156" s="893"/>
      <c r="BY156" s="891">
        <v>19</v>
      </c>
      <c r="BZ156" s="909"/>
      <c r="CA156" s="891"/>
      <c r="CB156" s="891"/>
      <c r="CC156" s="891"/>
      <c r="CD156" s="893"/>
      <c r="CE156" s="890"/>
      <c r="CF156" s="915"/>
      <c r="CG156" s="891"/>
      <c r="CH156" s="891"/>
      <c r="CI156" s="891"/>
      <c r="CJ156" s="873"/>
      <c r="CK156" s="955"/>
    </row>
    <row r="157" spans="1:89" ht="25.5" x14ac:dyDescent="0.2">
      <c r="A157" s="894">
        <v>43</v>
      </c>
      <c r="B157" s="883" t="s">
        <v>1604</v>
      </c>
      <c r="C157" s="883"/>
      <c r="D157" s="883" t="s">
        <v>616</v>
      </c>
      <c r="E157" s="883" t="s">
        <v>4225</v>
      </c>
      <c r="F157" s="883">
        <v>2012</v>
      </c>
      <c r="G157" s="901" t="s">
        <v>1797</v>
      </c>
      <c r="H157" s="870" t="s">
        <v>1574</v>
      </c>
      <c r="I157" s="886" t="s">
        <v>2518</v>
      </c>
      <c r="J157" s="883" t="s">
        <v>114</v>
      </c>
      <c r="K157" s="883"/>
      <c r="L157" s="870">
        <v>350</v>
      </c>
      <c r="M157" s="870">
        <v>159</v>
      </c>
      <c r="N157" s="870"/>
      <c r="O157" s="870" t="s">
        <v>1706</v>
      </c>
      <c r="P157" s="870"/>
      <c r="Q157" s="870"/>
      <c r="R157" s="870"/>
      <c r="S157" s="870"/>
      <c r="T157" s="870"/>
      <c r="U157" s="870"/>
      <c r="V157" s="870"/>
      <c r="W157" s="870"/>
      <c r="X157" s="870"/>
      <c r="Y157" s="870"/>
      <c r="Z157" s="870"/>
      <c r="AA157" s="870"/>
      <c r="AB157" s="870" t="s">
        <v>2211</v>
      </c>
      <c r="AC157" s="870"/>
      <c r="AD157" s="870" t="s">
        <v>2213</v>
      </c>
      <c r="AE157" s="870"/>
      <c r="AF157" s="883"/>
      <c r="AG157" s="883"/>
      <c r="AH157" s="883" t="s">
        <v>1744</v>
      </c>
      <c r="AI157" s="883"/>
      <c r="AJ157" s="883"/>
      <c r="AK157" s="870" t="s">
        <v>1364</v>
      </c>
      <c r="AL157" s="883"/>
      <c r="AM157" s="883"/>
      <c r="AN157" s="883"/>
      <c r="AO157" s="948"/>
      <c r="AP157" s="883"/>
      <c r="AQ157" s="883"/>
      <c r="AR157" s="887"/>
      <c r="AS157" s="888"/>
      <c r="AT157" s="887"/>
      <c r="AU157" s="888"/>
      <c r="AV157" s="888"/>
      <c r="AW157" s="904"/>
      <c r="AX157" s="889"/>
      <c r="AY157" s="883" t="s">
        <v>540</v>
      </c>
      <c r="AZ157" s="949"/>
      <c r="BA157" s="870" t="s">
        <v>1577</v>
      </c>
      <c r="BB157" s="870" t="s">
        <v>1578</v>
      </c>
      <c r="BC157" s="883" t="s">
        <v>1772</v>
      </c>
      <c r="BD157" s="870" t="s">
        <v>1771</v>
      </c>
      <c r="BE157" s="870"/>
      <c r="BF157" s="870"/>
      <c r="BG157" s="870"/>
      <c r="BH157" s="891"/>
      <c r="BI157" s="906">
        <v>40137</v>
      </c>
      <c r="BJ157" s="907"/>
      <c r="BK157" s="907"/>
      <c r="BL157" s="892"/>
      <c r="BM157" s="907"/>
      <c r="BN157" s="907"/>
      <c r="BO157" s="891"/>
      <c r="BP157" s="892"/>
      <c r="BQ157" s="891"/>
      <c r="BR157" s="891"/>
      <c r="BS157" s="891"/>
      <c r="BT157" s="908"/>
      <c r="BU157" s="891"/>
      <c r="BV157" s="892"/>
      <c r="BW157" s="892"/>
      <c r="BX157" s="893"/>
      <c r="BY157" s="891"/>
      <c r="BZ157" s="909"/>
      <c r="CA157" s="891"/>
      <c r="CB157" s="891"/>
      <c r="CC157" s="891"/>
      <c r="CD157" s="893"/>
      <c r="CE157" s="890"/>
      <c r="CF157" s="915"/>
      <c r="CG157" s="891"/>
      <c r="CH157" s="891"/>
      <c r="CI157" s="891"/>
      <c r="CJ157" s="873"/>
      <c r="CK157" s="870"/>
    </row>
    <row r="158" spans="1:89" ht="25.5" x14ac:dyDescent="0.2">
      <c r="A158" s="894">
        <v>43</v>
      </c>
      <c r="B158" s="883" t="s">
        <v>1604</v>
      </c>
      <c r="C158" s="883"/>
      <c r="D158" s="883" t="s">
        <v>616</v>
      </c>
      <c r="E158" s="883" t="s">
        <v>4225</v>
      </c>
      <c r="F158" s="883">
        <v>2011</v>
      </c>
      <c r="G158" s="901" t="s">
        <v>1797</v>
      </c>
      <c r="H158" s="870" t="s">
        <v>1574</v>
      </c>
      <c r="I158" s="886" t="s">
        <v>2518</v>
      </c>
      <c r="J158" s="883" t="s">
        <v>114</v>
      </c>
      <c r="K158" s="883"/>
      <c r="L158" s="870">
        <v>300</v>
      </c>
      <c r="M158" s="870">
        <v>131.5</v>
      </c>
      <c r="N158" s="870"/>
      <c r="O158" s="870" t="s">
        <v>1706</v>
      </c>
      <c r="P158" s="870"/>
      <c r="Q158" s="870"/>
      <c r="R158" s="870"/>
      <c r="S158" s="870"/>
      <c r="T158" s="870"/>
      <c r="U158" s="870"/>
      <c r="V158" s="870"/>
      <c r="W158" s="870"/>
      <c r="X158" s="870"/>
      <c r="Y158" s="870"/>
      <c r="Z158" s="870"/>
      <c r="AA158" s="870"/>
      <c r="AB158" s="870" t="s">
        <v>2211</v>
      </c>
      <c r="AC158" s="870"/>
      <c r="AD158" s="870" t="s">
        <v>2213</v>
      </c>
      <c r="AE158" s="870"/>
      <c r="AF158" s="883"/>
      <c r="AG158" s="883"/>
      <c r="AH158" s="883" t="s">
        <v>1744</v>
      </c>
      <c r="AI158" s="883"/>
      <c r="AJ158" s="883"/>
      <c r="AK158" s="870" t="s">
        <v>1364</v>
      </c>
      <c r="AL158" s="883"/>
      <c r="AM158" s="883"/>
      <c r="AN158" s="883"/>
      <c r="AO158" s="948"/>
      <c r="AP158" s="883"/>
      <c r="AQ158" s="883"/>
      <c r="AR158" s="887"/>
      <c r="AS158" s="888"/>
      <c r="AT158" s="887"/>
      <c r="AU158" s="888"/>
      <c r="AV158" s="888"/>
      <c r="AW158" s="904"/>
      <c r="AX158" s="889"/>
      <c r="AY158" s="883" t="s">
        <v>540</v>
      </c>
      <c r="AZ158" s="949"/>
      <c r="BA158" s="870" t="s">
        <v>1575</v>
      </c>
      <c r="BB158" s="870" t="s">
        <v>1576</v>
      </c>
      <c r="BC158" s="883" t="s">
        <v>1770</v>
      </c>
      <c r="BD158" s="870" t="s">
        <v>1769</v>
      </c>
      <c r="BE158" s="870"/>
      <c r="BF158" s="870"/>
      <c r="BG158" s="870"/>
      <c r="BH158" s="891"/>
      <c r="BI158" s="906">
        <v>40137</v>
      </c>
      <c r="BJ158" s="907"/>
      <c r="BK158" s="907"/>
      <c r="BL158" s="892"/>
      <c r="BM158" s="907"/>
      <c r="BN158" s="907"/>
      <c r="BO158" s="891"/>
      <c r="BP158" s="892"/>
      <c r="BQ158" s="891"/>
      <c r="BR158" s="891"/>
      <c r="BS158" s="891"/>
      <c r="BT158" s="908"/>
      <c r="BU158" s="891"/>
      <c r="BV158" s="892"/>
      <c r="BW158" s="892"/>
      <c r="BX158" s="893"/>
      <c r="BY158" s="891"/>
      <c r="BZ158" s="909"/>
      <c r="CA158" s="891"/>
      <c r="CB158" s="891"/>
      <c r="CC158" s="891"/>
      <c r="CD158" s="893"/>
      <c r="CE158" s="890"/>
      <c r="CF158" s="915"/>
      <c r="CG158" s="891"/>
      <c r="CH158" s="891"/>
      <c r="CI158" s="891"/>
      <c r="CJ158" s="873"/>
      <c r="CK158" s="870"/>
    </row>
    <row r="159" spans="1:89" ht="25.5" x14ac:dyDescent="0.2">
      <c r="A159" s="894">
        <v>43</v>
      </c>
      <c r="B159" s="883" t="s">
        <v>1604</v>
      </c>
      <c r="C159" s="883"/>
      <c r="D159" s="883" t="s">
        <v>616</v>
      </c>
      <c r="E159" s="883" t="s">
        <v>4225</v>
      </c>
      <c r="F159" s="883">
        <v>2011</v>
      </c>
      <c r="G159" s="901" t="s">
        <v>1797</v>
      </c>
      <c r="H159" s="870" t="s">
        <v>1666</v>
      </c>
      <c r="I159" s="886" t="s">
        <v>2518</v>
      </c>
      <c r="J159" s="883" t="s">
        <v>114</v>
      </c>
      <c r="K159" s="883"/>
      <c r="L159" s="870"/>
      <c r="M159" s="870"/>
      <c r="N159" s="870">
        <v>17</v>
      </c>
      <c r="O159" s="870" t="s">
        <v>1706</v>
      </c>
      <c r="P159" s="870"/>
      <c r="Q159" s="870"/>
      <c r="R159" s="870"/>
      <c r="S159" s="870"/>
      <c r="T159" s="870"/>
      <c r="U159" s="870"/>
      <c r="V159" s="870"/>
      <c r="W159" s="870"/>
      <c r="X159" s="870"/>
      <c r="Y159" s="870"/>
      <c r="Z159" s="870"/>
      <c r="AA159" s="870"/>
      <c r="AB159" s="870" t="s">
        <v>633</v>
      </c>
      <c r="AC159" s="870"/>
      <c r="AD159" s="870" t="s">
        <v>2213</v>
      </c>
      <c r="AE159" s="870"/>
      <c r="AF159" s="883"/>
      <c r="AG159" s="883"/>
      <c r="AH159" s="883" t="s">
        <v>1744</v>
      </c>
      <c r="AI159" s="883"/>
      <c r="AJ159" s="883"/>
      <c r="AK159" s="870" t="s">
        <v>1372</v>
      </c>
      <c r="AL159" s="883"/>
      <c r="AM159" s="883"/>
      <c r="AN159" s="883"/>
      <c r="AO159" s="948"/>
      <c r="AP159" s="883"/>
      <c r="AQ159" s="883"/>
      <c r="AR159" s="887"/>
      <c r="AS159" s="888"/>
      <c r="AT159" s="887"/>
      <c r="AU159" s="888"/>
      <c r="AV159" s="888"/>
      <c r="AW159" s="904"/>
      <c r="AX159" s="889"/>
      <c r="AY159" s="883" t="s">
        <v>540</v>
      </c>
      <c r="AZ159" s="949"/>
      <c r="BA159" s="870" t="s">
        <v>1573</v>
      </c>
      <c r="BB159" s="883" t="s">
        <v>1768</v>
      </c>
      <c r="BC159" s="883" t="s">
        <v>1765</v>
      </c>
      <c r="BD159" s="870" t="s">
        <v>1766</v>
      </c>
      <c r="BE159" s="870"/>
      <c r="BF159" s="870"/>
      <c r="BG159" s="870"/>
      <c r="BH159" s="891"/>
      <c r="BI159" s="906">
        <v>40137</v>
      </c>
      <c r="BJ159" s="907"/>
      <c r="BK159" s="907"/>
      <c r="BL159" s="892"/>
      <c r="BM159" s="907"/>
      <c r="BN159" s="907"/>
      <c r="BO159" s="891"/>
      <c r="BP159" s="892"/>
      <c r="BQ159" s="891"/>
      <c r="BR159" s="891"/>
      <c r="BS159" s="891"/>
      <c r="BT159" s="908"/>
      <c r="BU159" s="891"/>
      <c r="BV159" s="892"/>
      <c r="BW159" s="892"/>
      <c r="BX159" s="893"/>
      <c r="BY159" s="891"/>
      <c r="BZ159" s="909"/>
      <c r="CA159" s="891"/>
      <c r="CB159" s="891"/>
      <c r="CC159" s="891"/>
      <c r="CD159" s="893"/>
      <c r="CE159" s="890"/>
      <c r="CF159" s="915"/>
      <c r="CG159" s="891"/>
      <c r="CH159" s="891"/>
      <c r="CI159" s="891"/>
      <c r="CJ159" s="873"/>
      <c r="CK159" s="955"/>
    </row>
    <row r="160" spans="1:89" x14ac:dyDescent="0.2">
      <c r="A160" s="894">
        <v>43</v>
      </c>
      <c r="B160" s="883" t="s">
        <v>1568</v>
      </c>
      <c r="C160" s="883"/>
      <c r="D160" s="883" t="s">
        <v>616</v>
      </c>
      <c r="E160" s="883" t="s">
        <v>4225</v>
      </c>
      <c r="F160" s="883">
        <v>2011</v>
      </c>
      <c r="G160" s="901" t="s">
        <v>1797</v>
      </c>
      <c r="H160" s="870" t="s">
        <v>587</v>
      </c>
      <c r="I160" s="886" t="s">
        <v>2518</v>
      </c>
      <c r="J160" s="883" t="s">
        <v>114</v>
      </c>
      <c r="K160" s="883"/>
      <c r="L160" s="870"/>
      <c r="M160" s="870"/>
      <c r="N160" s="870"/>
      <c r="O160" s="870" t="s">
        <v>1706</v>
      </c>
      <c r="P160" s="870"/>
      <c r="Q160" s="870"/>
      <c r="R160" s="870"/>
      <c r="S160" s="870"/>
      <c r="T160" s="870"/>
      <c r="U160" s="870"/>
      <c r="V160" s="870"/>
      <c r="W160" s="870"/>
      <c r="X160" s="870"/>
      <c r="Y160" s="870"/>
      <c r="Z160" s="870"/>
      <c r="AA160" s="870"/>
      <c r="AB160" s="870" t="s">
        <v>2212</v>
      </c>
      <c r="AC160" s="870"/>
      <c r="AD160" s="870" t="s">
        <v>2213</v>
      </c>
      <c r="AE160" s="870"/>
      <c r="AF160" s="883"/>
      <c r="AG160" s="883"/>
      <c r="AH160" s="883" t="s">
        <v>1744</v>
      </c>
      <c r="AI160" s="883"/>
      <c r="AJ160" s="883"/>
      <c r="AK160" s="870" t="s">
        <v>1372</v>
      </c>
      <c r="AL160" s="883"/>
      <c r="AM160" s="883"/>
      <c r="AN160" s="883"/>
      <c r="AO160" s="948"/>
      <c r="AP160" s="883"/>
      <c r="AQ160" s="883"/>
      <c r="AR160" s="887"/>
      <c r="AS160" s="888"/>
      <c r="AT160" s="887"/>
      <c r="AU160" s="888"/>
      <c r="AV160" s="888"/>
      <c r="AW160" s="904"/>
      <c r="AX160" s="889"/>
      <c r="AY160" s="883" t="s">
        <v>540</v>
      </c>
      <c r="AZ160" s="949"/>
      <c r="BA160" s="870" t="s">
        <v>1569</v>
      </c>
      <c r="BB160" s="870" t="s">
        <v>1570</v>
      </c>
      <c r="BC160" s="883" t="s">
        <v>1767</v>
      </c>
      <c r="BD160" s="870" t="s">
        <v>1766</v>
      </c>
      <c r="BE160" s="870"/>
      <c r="BF160" s="870"/>
      <c r="BG160" s="870"/>
      <c r="BH160" s="891"/>
      <c r="BI160" s="906">
        <v>40137</v>
      </c>
      <c r="BJ160" s="907"/>
      <c r="BK160" s="907"/>
      <c r="BL160" s="892"/>
      <c r="BM160" s="907"/>
      <c r="BN160" s="907"/>
      <c r="BO160" s="891"/>
      <c r="BP160" s="892"/>
      <c r="BQ160" s="891"/>
      <c r="BR160" s="891"/>
      <c r="BS160" s="891"/>
      <c r="BT160" s="908"/>
      <c r="BU160" s="891"/>
      <c r="BV160" s="892"/>
      <c r="BW160" s="892"/>
      <c r="BX160" s="893"/>
      <c r="BY160" s="891"/>
      <c r="BZ160" s="909"/>
      <c r="CA160" s="891"/>
      <c r="CB160" s="891"/>
      <c r="CC160" s="891"/>
      <c r="CD160" s="893"/>
      <c r="CE160" s="890"/>
      <c r="CF160" s="915"/>
      <c r="CG160" s="891"/>
      <c r="CH160" s="891"/>
      <c r="CI160" s="891"/>
      <c r="CJ160" s="873"/>
      <c r="CK160" s="955"/>
    </row>
    <row r="161" spans="1:89" ht="25.5" x14ac:dyDescent="0.2">
      <c r="A161" s="894">
        <v>43</v>
      </c>
      <c r="B161" s="883" t="s">
        <v>590</v>
      </c>
      <c r="C161" s="883"/>
      <c r="D161" s="883" t="s">
        <v>616</v>
      </c>
      <c r="E161" s="883" t="s">
        <v>4225</v>
      </c>
      <c r="F161" s="883">
        <v>2010</v>
      </c>
      <c r="G161" s="901" t="s">
        <v>1797</v>
      </c>
      <c r="H161" s="870" t="s">
        <v>1666</v>
      </c>
      <c r="I161" s="886" t="s">
        <v>2518</v>
      </c>
      <c r="J161" s="883" t="s">
        <v>114</v>
      </c>
      <c r="K161" s="883"/>
      <c r="L161" s="870"/>
      <c r="M161" s="870"/>
      <c r="N161" s="870">
        <v>17</v>
      </c>
      <c r="O161" s="870" t="s">
        <v>1706</v>
      </c>
      <c r="P161" s="870"/>
      <c r="Q161" s="870"/>
      <c r="R161" s="870"/>
      <c r="S161" s="870"/>
      <c r="T161" s="870"/>
      <c r="U161" s="870"/>
      <c r="V161" s="870"/>
      <c r="W161" s="870"/>
      <c r="X161" s="870"/>
      <c r="Y161" s="870"/>
      <c r="Z161" s="870"/>
      <c r="AA161" s="870"/>
      <c r="AB161" s="870" t="s">
        <v>633</v>
      </c>
      <c r="AC161" s="870"/>
      <c r="AD161" s="870" t="s">
        <v>2213</v>
      </c>
      <c r="AE161" s="870"/>
      <c r="AF161" s="883"/>
      <c r="AG161" s="883"/>
      <c r="AH161" s="883"/>
      <c r="AI161" s="883"/>
      <c r="AJ161" s="883"/>
      <c r="AK161" s="870" t="s">
        <v>1372</v>
      </c>
      <c r="AL161" s="883"/>
      <c r="AM161" s="883"/>
      <c r="AN161" s="883"/>
      <c r="AO161" s="948"/>
      <c r="AP161" s="883"/>
      <c r="AQ161" s="883"/>
      <c r="AR161" s="887"/>
      <c r="AS161" s="888"/>
      <c r="AT161" s="887"/>
      <c r="AU161" s="888"/>
      <c r="AV161" s="888"/>
      <c r="AW161" s="904"/>
      <c r="AX161" s="889"/>
      <c r="AY161" s="883" t="s">
        <v>540</v>
      </c>
      <c r="AZ161" s="949"/>
      <c r="BA161" s="870" t="s">
        <v>2542</v>
      </c>
      <c r="BB161" s="870" t="s">
        <v>2543</v>
      </c>
      <c r="BC161" s="883" t="s">
        <v>2542</v>
      </c>
      <c r="BD161" s="870" t="s">
        <v>1766</v>
      </c>
      <c r="BE161" s="870"/>
      <c r="BF161" s="870"/>
      <c r="BG161" s="870"/>
      <c r="BH161" s="891"/>
      <c r="BI161" s="906">
        <v>40137</v>
      </c>
      <c r="BJ161" s="907"/>
      <c r="BK161" s="907"/>
      <c r="BL161" s="892"/>
      <c r="BM161" s="907"/>
      <c r="BN161" s="907"/>
      <c r="BO161" s="891"/>
      <c r="BP161" s="892"/>
      <c r="BQ161" s="891"/>
      <c r="BR161" s="891"/>
      <c r="BS161" s="891"/>
      <c r="BT161" s="908"/>
      <c r="BU161" s="891"/>
      <c r="BV161" s="892"/>
      <c r="BW161" s="892"/>
      <c r="BX161" s="893"/>
      <c r="BY161" s="891"/>
      <c r="BZ161" s="909"/>
      <c r="CA161" s="891"/>
      <c r="CB161" s="891"/>
      <c r="CC161" s="891"/>
      <c r="CD161" s="893"/>
      <c r="CE161" s="890"/>
      <c r="CF161" s="915"/>
      <c r="CG161" s="891"/>
      <c r="CH161" s="891"/>
      <c r="CI161" s="891"/>
      <c r="CJ161" s="873"/>
      <c r="CK161" s="955"/>
    </row>
    <row r="162" spans="1:89" x14ac:dyDescent="0.2">
      <c r="A162" s="894">
        <v>43</v>
      </c>
      <c r="B162" s="883" t="s">
        <v>590</v>
      </c>
      <c r="C162" s="883"/>
      <c r="D162" s="883" t="s">
        <v>616</v>
      </c>
      <c r="E162" s="883" t="s">
        <v>4225</v>
      </c>
      <c r="F162" s="883">
        <v>2010</v>
      </c>
      <c r="G162" s="901" t="s">
        <v>1797</v>
      </c>
      <c r="H162" s="870" t="s">
        <v>587</v>
      </c>
      <c r="I162" s="886" t="s">
        <v>2518</v>
      </c>
      <c r="J162" s="883" t="s">
        <v>114</v>
      </c>
      <c r="K162" s="883"/>
      <c r="L162" s="870"/>
      <c r="M162" s="870"/>
      <c r="N162" s="870"/>
      <c r="O162" s="870" t="s">
        <v>1706</v>
      </c>
      <c r="P162" s="870"/>
      <c r="Q162" s="870"/>
      <c r="R162" s="870"/>
      <c r="S162" s="870"/>
      <c r="T162" s="870"/>
      <c r="U162" s="870"/>
      <c r="V162" s="870"/>
      <c r="W162" s="870"/>
      <c r="X162" s="870"/>
      <c r="Y162" s="870"/>
      <c r="Z162" s="870"/>
      <c r="AA162" s="870"/>
      <c r="AB162" s="870"/>
      <c r="AC162" s="870"/>
      <c r="AD162" s="870"/>
      <c r="AE162" s="870"/>
      <c r="AF162" s="883"/>
      <c r="AG162" s="883"/>
      <c r="AH162" s="883"/>
      <c r="AI162" s="883"/>
      <c r="AJ162" s="883"/>
      <c r="AK162" s="870" t="s">
        <v>1372</v>
      </c>
      <c r="AL162" s="883"/>
      <c r="AM162" s="883"/>
      <c r="AN162" s="883"/>
      <c r="AO162" s="948"/>
      <c r="AP162" s="883"/>
      <c r="AQ162" s="883"/>
      <c r="AR162" s="887"/>
      <c r="AS162" s="888"/>
      <c r="AT162" s="887"/>
      <c r="AU162" s="888"/>
      <c r="AV162" s="888"/>
      <c r="AW162" s="904"/>
      <c r="AX162" s="889"/>
      <c r="AY162" s="883" t="s">
        <v>540</v>
      </c>
      <c r="AZ162" s="949"/>
      <c r="BA162" s="870" t="s">
        <v>1664</v>
      </c>
      <c r="BB162" s="870" t="s">
        <v>1665</v>
      </c>
      <c r="BC162" s="883" t="s">
        <v>1765</v>
      </c>
      <c r="BD162" s="870" t="s">
        <v>1766</v>
      </c>
      <c r="BE162" s="870"/>
      <c r="BF162" s="870"/>
      <c r="BG162" s="870"/>
      <c r="BH162" s="891"/>
      <c r="BI162" s="906">
        <v>40137</v>
      </c>
      <c r="BJ162" s="907"/>
      <c r="BK162" s="907"/>
      <c r="BL162" s="892"/>
      <c r="BM162" s="907"/>
      <c r="BN162" s="907"/>
      <c r="BO162" s="891"/>
      <c r="BP162" s="892"/>
      <c r="BQ162" s="891"/>
      <c r="BR162" s="891"/>
      <c r="BS162" s="891"/>
      <c r="BT162" s="908"/>
      <c r="BU162" s="891"/>
      <c r="BV162" s="892"/>
      <c r="BW162" s="892"/>
      <c r="BX162" s="893"/>
      <c r="BY162" s="891"/>
      <c r="BZ162" s="909"/>
      <c r="CA162" s="891"/>
      <c r="CB162" s="891"/>
      <c r="CC162" s="891"/>
      <c r="CD162" s="893"/>
      <c r="CE162" s="890"/>
      <c r="CF162" s="915"/>
      <c r="CG162" s="891"/>
      <c r="CH162" s="891"/>
      <c r="CI162" s="891"/>
      <c r="CJ162" s="873"/>
      <c r="CK162" s="955"/>
    </row>
    <row r="163" spans="1:89" ht="25.5" x14ac:dyDescent="0.2">
      <c r="A163" s="894">
        <v>43</v>
      </c>
      <c r="B163" s="883" t="s">
        <v>1604</v>
      </c>
      <c r="C163" s="883"/>
      <c r="D163" s="870" t="s">
        <v>788</v>
      </c>
      <c r="E163" s="883" t="s">
        <v>4225</v>
      </c>
      <c r="F163" s="883">
        <v>2012</v>
      </c>
      <c r="G163" s="901" t="s">
        <v>1797</v>
      </c>
      <c r="H163" s="870" t="s">
        <v>2408</v>
      </c>
      <c r="I163" s="886" t="s">
        <v>2518</v>
      </c>
      <c r="J163" s="883" t="s">
        <v>114</v>
      </c>
      <c r="K163" s="883" t="s">
        <v>1057</v>
      </c>
      <c r="L163" s="870">
        <v>300</v>
      </c>
      <c r="M163" s="870">
        <v>131.5</v>
      </c>
      <c r="N163" s="870"/>
      <c r="O163" s="870" t="s">
        <v>1706</v>
      </c>
      <c r="P163" s="870"/>
      <c r="Q163" s="870"/>
      <c r="R163" s="870"/>
      <c r="S163" s="870"/>
      <c r="T163" s="870"/>
      <c r="U163" s="870"/>
      <c r="V163" s="870"/>
      <c r="W163" s="870"/>
      <c r="X163" s="870"/>
      <c r="Y163" s="870"/>
      <c r="Z163" s="870"/>
      <c r="AA163" s="870"/>
      <c r="AB163" s="870" t="s">
        <v>2211</v>
      </c>
      <c r="AC163" s="870"/>
      <c r="AD163" s="870" t="s">
        <v>1062</v>
      </c>
      <c r="AE163" s="870"/>
      <c r="AF163" s="883">
        <v>34.6</v>
      </c>
      <c r="AG163" s="883">
        <v>39.1</v>
      </c>
      <c r="AH163" s="883" t="s">
        <v>1744</v>
      </c>
      <c r="AI163" s="883"/>
      <c r="AJ163" s="883"/>
      <c r="AK163" s="870" t="s">
        <v>1364</v>
      </c>
      <c r="AL163" s="883"/>
      <c r="AM163" s="883"/>
      <c r="AN163" s="883"/>
      <c r="AO163" s="948"/>
      <c r="AP163" s="883"/>
      <c r="AQ163" s="883"/>
      <c r="AR163" s="918">
        <f>4.352*2.2</f>
        <v>9.5744000000000007</v>
      </c>
      <c r="AS163" s="888"/>
      <c r="AT163" s="887"/>
      <c r="AU163" s="888"/>
      <c r="AV163" s="888"/>
      <c r="AW163" s="904"/>
      <c r="AX163" s="889"/>
      <c r="AY163" s="883" t="s">
        <v>2093</v>
      </c>
      <c r="AZ163" s="949"/>
      <c r="BA163" s="870" t="s">
        <v>2990</v>
      </c>
      <c r="BB163" s="870" t="s">
        <v>2412</v>
      </c>
      <c r="BC163" s="883">
        <v>18071601</v>
      </c>
      <c r="BD163" s="870" t="s">
        <v>2410</v>
      </c>
      <c r="BE163" s="870"/>
      <c r="BF163" s="870">
        <v>17410606</v>
      </c>
      <c r="BG163" s="870" t="s">
        <v>243</v>
      </c>
      <c r="BH163" s="891"/>
      <c r="BI163" s="906">
        <v>40800</v>
      </c>
      <c r="BJ163" s="907"/>
      <c r="BK163" s="907"/>
      <c r="BL163" s="892">
        <f>2116*2.2</f>
        <v>4655.2000000000007</v>
      </c>
      <c r="BM163" s="907"/>
      <c r="BN163" s="907"/>
      <c r="BO163" s="891">
        <v>333</v>
      </c>
      <c r="BP163" s="892"/>
      <c r="BQ163" s="891"/>
      <c r="BR163" s="891"/>
      <c r="BS163" s="891"/>
      <c r="BT163" s="908"/>
      <c r="BU163" s="891"/>
      <c r="BV163" s="892"/>
      <c r="BW163" s="892"/>
      <c r="BX163" s="893"/>
      <c r="BY163" s="891">
        <v>19</v>
      </c>
      <c r="BZ163" s="909"/>
      <c r="CA163" s="891"/>
      <c r="CB163" s="891"/>
      <c r="CC163" s="891"/>
      <c r="CD163" s="893"/>
      <c r="CE163" s="890"/>
      <c r="CF163" s="915"/>
      <c r="CG163" s="891"/>
      <c r="CH163" s="891"/>
      <c r="CI163" s="891"/>
      <c r="CJ163" s="873"/>
      <c r="CK163" s="955"/>
    </row>
    <row r="164" spans="1:89" ht="38.25" x14ac:dyDescent="0.2">
      <c r="A164" s="884">
        <v>42.8</v>
      </c>
      <c r="B164" s="883" t="s">
        <v>3839</v>
      </c>
      <c r="C164" s="916" t="s">
        <v>3980</v>
      </c>
      <c r="D164" s="870" t="s">
        <v>788</v>
      </c>
      <c r="E164" s="870" t="s">
        <v>1824</v>
      </c>
      <c r="F164" s="883">
        <v>2012</v>
      </c>
      <c r="G164" s="901" t="s">
        <v>1797</v>
      </c>
      <c r="H164" s="870" t="s">
        <v>4021</v>
      </c>
      <c r="I164" s="886" t="s">
        <v>3217</v>
      </c>
      <c r="J164" s="883" t="s">
        <v>114</v>
      </c>
      <c r="K164" s="883" t="s">
        <v>3840</v>
      </c>
      <c r="L164" s="883">
        <v>330</v>
      </c>
      <c r="M164" s="883">
        <v>144</v>
      </c>
      <c r="N164" s="883" t="s">
        <v>2030</v>
      </c>
      <c r="O164" s="870" t="s">
        <v>1706</v>
      </c>
      <c r="P164" s="870" t="s">
        <v>4002</v>
      </c>
      <c r="Q164" s="870" t="s">
        <v>1127</v>
      </c>
      <c r="R164" s="870" t="s">
        <v>2373</v>
      </c>
      <c r="S164" s="870" t="s">
        <v>3652</v>
      </c>
      <c r="T164" s="870" t="s">
        <v>3652</v>
      </c>
      <c r="U164" s="870">
        <v>0.14499999999999999</v>
      </c>
      <c r="V164" s="870">
        <v>0.14499999999999999</v>
      </c>
      <c r="W164" s="870" t="s">
        <v>3816</v>
      </c>
      <c r="X164" s="947">
        <v>0.1192</v>
      </c>
      <c r="Y164" s="870" t="s">
        <v>3682</v>
      </c>
      <c r="Z164" s="870" t="s">
        <v>3845</v>
      </c>
      <c r="AA164" s="870">
        <v>144</v>
      </c>
      <c r="AB164" s="870" t="s">
        <v>3841</v>
      </c>
      <c r="AC164" s="870" t="s">
        <v>119</v>
      </c>
      <c r="AD164" s="870" t="s">
        <v>3842</v>
      </c>
      <c r="AE164" s="870" t="s">
        <v>1668</v>
      </c>
      <c r="AF164" s="883">
        <v>37.799999999999997</v>
      </c>
      <c r="AG164" s="883">
        <v>31.4</v>
      </c>
      <c r="AH164" s="883" t="s">
        <v>122</v>
      </c>
      <c r="AI164" s="883" t="s">
        <v>122</v>
      </c>
      <c r="AJ164" s="870" t="s">
        <v>369</v>
      </c>
      <c r="AK164" s="870" t="s">
        <v>1372</v>
      </c>
      <c r="AL164" s="883"/>
      <c r="AM164" s="883"/>
      <c r="AN164" s="883" t="s">
        <v>1784</v>
      </c>
      <c r="AO164" s="883">
        <v>0.21</v>
      </c>
      <c r="AP164" s="883"/>
      <c r="AQ164" s="883"/>
      <c r="AR164" s="959">
        <v>4.3428712448000004</v>
      </c>
      <c r="AS164" s="959">
        <v>1.4968535999999999</v>
      </c>
      <c r="AT164" s="959">
        <v>1.2246984000000001</v>
      </c>
      <c r="AU164" s="959">
        <v>1.9958048000000002</v>
      </c>
      <c r="AV164" s="959">
        <v>1.6782904000000001</v>
      </c>
      <c r="AW164" s="904"/>
      <c r="AX164" s="889"/>
      <c r="AY164" s="883" t="s">
        <v>1669</v>
      </c>
      <c r="AZ164" s="870"/>
      <c r="BA164" s="870" t="s">
        <v>3843</v>
      </c>
      <c r="BB164" s="870" t="s">
        <v>3844</v>
      </c>
      <c r="BC164" s="883" t="s">
        <v>1375</v>
      </c>
      <c r="BD164" s="870" t="s">
        <v>1385</v>
      </c>
      <c r="BE164" s="870">
        <v>16243203</v>
      </c>
      <c r="BF164" s="870">
        <v>17410606</v>
      </c>
      <c r="BG164" s="870" t="s">
        <v>243</v>
      </c>
      <c r="BH164" s="891" t="s">
        <v>1386</v>
      </c>
      <c r="BI164" s="906">
        <v>41733</v>
      </c>
      <c r="BJ164" s="907"/>
      <c r="BK164" s="907"/>
      <c r="BL164" s="907">
        <v>5972</v>
      </c>
      <c r="BM164" s="907"/>
      <c r="BN164" s="907"/>
      <c r="BO164" s="891">
        <v>418.5</v>
      </c>
      <c r="BP164" s="892"/>
      <c r="BQ164" s="891"/>
      <c r="BR164" s="904"/>
      <c r="BS164" s="904"/>
      <c r="BT164" s="891"/>
      <c r="BU164" s="891"/>
      <c r="BV164" s="892"/>
      <c r="BW164" s="892"/>
      <c r="BX164" s="893">
        <v>52.5</v>
      </c>
      <c r="BY164" s="891">
        <v>11</v>
      </c>
      <c r="BZ164" s="909">
        <v>1.4500000000000001E-2</v>
      </c>
      <c r="CA164" s="891" t="s">
        <v>2952</v>
      </c>
      <c r="CB164" s="891"/>
      <c r="CC164" s="891"/>
      <c r="CD164" s="893"/>
      <c r="CE164" s="890"/>
      <c r="CF164" s="915"/>
      <c r="CG164" s="891"/>
      <c r="CH164" s="891"/>
      <c r="CI164" s="911"/>
      <c r="CJ164" s="873"/>
      <c r="CK164" s="955"/>
    </row>
    <row r="165" spans="1:89" ht="38.25" x14ac:dyDescent="0.2">
      <c r="A165" s="884">
        <v>42.8</v>
      </c>
      <c r="B165" s="883" t="s">
        <v>3839</v>
      </c>
      <c r="C165" s="916" t="s">
        <v>3980</v>
      </c>
      <c r="D165" s="870" t="s">
        <v>788</v>
      </c>
      <c r="E165" s="870" t="s">
        <v>1824</v>
      </c>
      <c r="F165" s="883">
        <v>2013</v>
      </c>
      <c r="G165" s="901" t="s">
        <v>1797</v>
      </c>
      <c r="H165" s="870" t="s">
        <v>4022</v>
      </c>
      <c r="I165" s="886" t="s">
        <v>3217</v>
      </c>
      <c r="J165" s="883" t="s">
        <v>114</v>
      </c>
      <c r="K165" s="883" t="s">
        <v>3840</v>
      </c>
      <c r="L165" s="883">
        <v>330</v>
      </c>
      <c r="M165" s="883">
        <v>144</v>
      </c>
      <c r="N165" s="883" t="s">
        <v>2030</v>
      </c>
      <c r="O165" s="870" t="s">
        <v>1706</v>
      </c>
      <c r="P165" s="870" t="s">
        <v>4002</v>
      </c>
      <c r="Q165" s="870" t="s">
        <v>1127</v>
      </c>
      <c r="R165" s="870" t="s">
        <v>2373</v>
      </c>
      <c r="S165" s="870" t="s">
        <v>3652</v>
      </c>
      <c r="T165" s="870" t="s">
        <v>3652</v>
      </c>
      <c r="U165" s="870">
        <v>0.14499999999999999</v>
      </c>
      <c r="V165" s="870">
        <v>0.14499999999999999</v>
      </c>
      <c r="W165" s="870" t="s">
        <v>3816</v>
      </c>
      <c r="X165" s="947">
        <v>0.1192</v>
      </c>
      <c r="Y165" s="870" t="s">
        <v>3682</v>
      </c>
      <c r="Z165" s="870" t="s">
        <v>3845</v>
      </c>
      <c r="AA165" s="870">
        <v>144</v>
      </c>
      <c r="AB165" s="870" t="s">
        <v>3841</v>
      </c>
      <c r="AC165" s="870" t="s">
        <v>119</v>
      </c>
      <c r="AD165" s="870" t="s">
        <v>3842</v>
      </c>
      <c r="AE165" s="870" t="s">
        <v>1668</v>
      </c>
      <c r="AF165" s="883">
        <v>37.799999999999997</v>
      </c>
      <c r="AG165" s="883">
        <v>31.4</v>
      </c>
      <c r="AH165" s="883" t="s">
        <v>122</v>
      </c>
      <c r="AI165" s="883" t="s">
        <v>122</v>
      </c>
      <c r="AJ165" s="870" t="s">
        <v>369</v>
      </c>
      <c r="AK165" s="870" t="s">
        <v>3846</v>
      </c>
      <c r="AL165" s="883"/>
      <c r="AM165" s="883"/>
      <c r="AN165" s="883" t="s">
        <v>1784</v>
      </c>
      <c r="AO165" s="883">
        <v>0.21</v>
      </c>
      <c r="AP165" s="883"/>
      <c r="AQ165" s="883"/>
      <c r="AR165" s="959">
        <v>4.3428712448000004</v>
      </c>
      <c r="AS165" s="959">
        <v>1.4968535999999999</v>
      </c>
      <c r="AT165" s="959">
        <v>1.2246984000000001</v>
      </c>
      <c r="AU165" s="959">
        <v>1.9958048000000002</v>
      </c>
      <c r="AV165" s="959">
        <v>1.6782904000000001</v>
      </c>
      <c r="AW165" s="904"/>
      <c r="AX165" s="889"/>
      <c r="AY165" s="883" t="s">
        <v>1669</v>
      </c>
      <c r="AZ165" s="870"/>
      <c r="BA165" s="870" t="s">
        <v>3847</v>
      </c>
      <c r="BB165" s="870" t="s">
        <v>3848</v>
      </c>
      <c r="BC165" s="883" t="s">
        <v>1375</v>
      </c>
      <c r="BD165" s="870" t="s">
        <v>1228</v>
      </c>
      <c r="BE165" s="870">
        <v>16243205</v>
      </c>
      <c r="BF165" s="870">
        <v>17410606</v>
      </c>
      <c r="BG165" s="870" t="s">
        <v>243</v>
      </c>
      <c r="BH165" s="891" t="s">
        <v>1386</v>
      </c>
      <c r="BI165" s="906">
        <v>41733</v>
      </c>
      <c r="BJ165" s="907"/>
      <c r="BK165" s="907"/>
      <c r="BL165" s="907">
        <v>5972</v>
      </c>
      <c r="BM165" s="907"/>
      <c r="BN165" s="907"/>
      <c r="BO165" s="891">
        <v>418.5</v>
      </c>
      <c r="BP165" s="892"/>
      <c r="BQ165" s="891"/>
      <c r="BR165" s="904"/>
      <c r="BS165" s="904"/>
      <c r="BT165" s="891"/>
      <c r="BU165" s="891"/>
      <c r="BV165" s="892"/>
      <c r="BW165" s="892"/>
      <c r="BX165" s="893">
        <v>52.5</v>
      </c>
      <c r="BY165" s="891">
        <v>11</v>
      </c>
      <c r="BZ165" s="909">
        <v>1.4500000000000001E-2</v>
      </c>
      <c r="CA165" s="891" t="s">
        <v>2952</v>
      </c>
      <c r="CB165" s="891"/>
      <c r="CC165" s="891"/>
      <c r="CD165" s="893"/>
      <c r="CE165" s="890"/>
      <c r="CF165" s="915"/>
      <c r="CG165" s="891"/>
      <c r="CH165" s="891"/>
      <c r="CI165" s="911"/>
      <c r="CJ165" s="873"/>
      <c r="CK165" s="955"/>
    </row>
    <row r="166" spans="1:89" ht="75" x14ac:dyDescent="0.2">
      <c r="A166" s="884">
        <v>45.4</v>
      </c>
      <c r="B166" s="883" t="s">
        <v>2237</v>
      </c>
      <c r="C166" s="870" t="s">
        <v>3980</v>
      </c>
      <c r="D166" s="870" t="s">
        <v>788</v>
      </c>
      <c r="E166" s="870" t="s">
        <v>4366</v>
      </c>
      <c r="F166" s="883">
        <v>2014</v>
      </c>
      <c r="G166" s="901" t="s">
        <v>1797</v>
      </c>
      <c r="H166" s="870" t="s">
        <v>3850</v>
      </c>
      <c r="I166" s="886" t="s">
        <v>3217</v>
      </c>
      <c r="J166" s="883" t="s">
        <v>114</v>
      </c>
      <c r="K166" s="883" t="s">
        <v>3854</v>
      </c>
      <c r="L166" s="883">
        <v>345</v>
      </c>
      <c r="M166" s="883">
        <v>151</v>
      </c>
      <c r="N166" s="883" t="s">
        <v>197</v>
      </c>
      <c r="O166" s="870" t="s">
        <v>1706</v>
      </c>
      <c r="P166" s="870" t="s">
        <v>4001</v>
      </c>
      <c r="Q166" s="870" t="s">
        <v>1127</v>
      </c>
      <c r="R166" s="870" t="s">
        <v>2373</v>
      </c>
      <c r="S166" s="870" t="s">
        <v>3653</v>
      </c>
      <c r="T166" s="870" t="s">
        <v>3652</v>
      </c>
      <c r="U166" s="870">
        <v>0.40649999999999997</v>
      </c>
      <c r="V166" s="870">
        <v>0.1065</v>
      </c>
      <c r="W166" s="870" t="s">
        <v>3869</v>
      </c>
      <c r="X166" s="947">
        <v>0.18160000000000001</v>
      </c>
      <c r="Y166" s="870"/>
      <c r="Z166" s="870" t="s">
        <v>3845</v>
      </c>
      <c r="AA166" s="870">
        <v>144</v>
      </c>
      <c r="AB166" s="870" t="s">
        <v>3855</v>
      </c>
      <c r="AC166" s="870" t="s">
        <v>119</v>
      </c>
      <c r="AD166" s="870" t="s">
        <v>3842</v>
      </c>
      <c r="AE166" s="870" t="s">
        <v>1668</v>
      </c>
      <c r="AF166" s="883">
        <v>37.9</v>
      </c>
      <c r="AG166" s="883">
        <v>30.4</v>
      </c>
      <c r="AH166" s="883" t="s">
        <v>122</v>
      </c>
      <c r="AI166" s="883" t="s">
        <v>122</v>
      </c>
      <c r="AJ166" s="870" t="s">
        <v>369</v>
      </c>
      <c r="AK166" s="870" t="s">
        <v>1372</v>
      </c>
      <c r="AL166" s="883"/>
      <c r="AM166" s="883"/>
      <c r="AN166" s="883" t="s">
        <v>1784</v>
      </c>
      <c r="AO166" s="883">
        <v>0.15</v>
      </c>
      <c r="AP166" s="883"/>
      <c r="AQ166" s="883"/>
      <c r="AR166" s="959">
        <v>5.6245408000000001</v>
      </c>
      <c r="AS166" s="959">
        <v>1.4514944000000001</v>
      </c>
      <c r="AT166" s="959">
        <v>1.1793392</v>
      </c>
      <c r="AU166" s="959">
        <v>2.721552</v>
      </c>
      <c r="AV166" s="959">
        <v>2.4040376000000001</v>
      </c>
      <c r="AW166" s="904"/>
      <c r="AX166" s="889"/>
      <c r="AY166" s="870" t="s">
        <v>1669</v>
      </c>
      <c r="AZ166" s="870"/>
      <c r="BA166" s="870" t="s">
        <v>3858</v>
      </c>
      <c r="BB166" s="870" t="s">
        <v>3862</v>
      </c>
      <c r="BC166" s="883" t="s">
        <v>3866</v>
      </c>
      <c r="BD166" s="870" t="s">
        <v>3867</v>
      </c>
      <c r="BE166" s="870">
        <v>17751308</v>
      </c>
      <c r="BF166" s="870">
        <v>17410606</v>
      </c>
      <c r="BG166" s="870" t="s">
        <v>243</v>
      </c>
      <c r="BH166" s="891" t="s">
        <v>1380</v>
      </c>
      <c r="BI166" s="906">
        <v>41733</v>
      </c>
      <c r="BJ166" s="907"/>
      <c r="BK166" s="907"/>
      <c r="BL166" s="907">
        <v>6349</v>
      </c>
      <c r="BM166" s="907"/>
      <c r="BN166" s="907"/>
      <c r="BO166" s="891">
        <v>346</v>
      </c>
      <c r="BP166" s="892"/>
      <c r="BQ166" s="891"/>
      <c r="BR166" s="904"/>
      <c r="BS166" s="904"/>
      <c r="BT166" s="891"/>
      <c r="BU166" s="891"/>
      <c r="BV166" s="892"/>
      <c r="BW166" s="892"/>
      <c r="BX166" s="893">
        <v>37.299999999999997</v>
      </c>
      <c r="BY166" s="891">
        <v>19</v>
      </c>
      <c r="BZ166" s="909">
        <v>5.7000000000000002E-3</v>
      </c>
      <c r="CA166" s="891" t="s">
        <v>2952</v>
      </c>
      <c r="CB166" s="891"/>
      <c r="CC166" s="891"/>
      <c r="CD166" s="893"/>
      <c r="CE166" s="890"/>
      <c r="CF166" s="915"/>
      <c r="CG166" s="891"/>
      <c r="CH166" s="891"/>
      <c r="CI166" s="911"/>
      <c r="CJ166" s="873"/>
      <c r="CK166" s="955"/>
    </row>
    <row r="167" spans="1:89" ht="75" x14ac:dyDescent="0.2">
      <c r="A167" s="884">
        <v>45.4</v>
      </c>
      <c r="B167" s="883" t="s">
        <v>2237</v>
      </c>
      <c r="C167" s="870" t="s">
        <v>3980</v>
      </c>
      <c r="D167" s="870" t="s">
        <v>788</v>
      </c>
      <c r="E167" s="870" t="s">
        <v>4366</v>
      </c>
      <c r="F167" s="883">
        <v>2014</v>
      </c>
      <c r="G167" s="901" t="s">
        <v>1797</v>
      </c>
      <c r="H167" s="870" t="s">
        <v>3851</v>
      </c>
      <c r="I167" s="886" t="s">
        <v>3217</v>
      </c>
      <c r="J167" s="883" t="s">
        <v>114</v>
      </c>
      <c r="K167" s="883" t="s">
        <v>3854</v>
      </c>
      <c r="L167" s="883">
        <v>345</v>
      </c>
      <c r="M167" s="883">
        <v>151</v>
      </c>
      <c r="N167" s="883" t="s">
        <v>197</v>
      </c>
      <c r="O167" s="870" t="s">
        <v>1706</v>
      </c>
      <c r="P167" s="870" t="s">
        <v>4001</v>
      </c>
      <c r="Q167" s="870" t="s">
        <v>1127</v>
      </c>
      <c r="R167" s="870" t="s">
        <v>2373</v>
      </c>
      <c r="S167" s="870" t="s">
        <v>3653</v>
      </c>
      <c r="T167" s="870" t="s">
        <v>3652</v>
      </c>
      <c r="U167" s="870">
        <v>0.40649999999999997</v>
      </c>
      <c r="V167" s="870">
        <v>0.1065</v>
      </c>
      <c r="W167" s="870" t="s">
        <v>3869</v>
      </c>
      <c r="X167" s="947">
        <v>0.18160000000000001</v>
      </c>
      <c r="Y167" s="870"/>
      <c r="Z167" s="870" t="s">
        <v>3845</v>
      </c>
      <c r="AA167" s="870">
        <v>144</v>
      </c>
      <c r="AB167" s="870" t="s">
        <v>3856</v>
      </c>
      <c r="AC167" s="870" t="s">
        <v>3810</v>
      </c>
      <c r="AD167" s="870" t="s">
        <v>3857</v>
      </c>
      <c r="AE167" s="870" t="s">
        <v>1668</v>
      </c>
      <c r="AF167" s="883">
        <v>37.9</v>
      </c>
      <c r="AG167" s="883">
        <v>30.3</v>
      </c>
      <c r="AH167" s="883" t="s">
        <v>122</v>
      </c>
      <c r="AI167" s="883" t="s">
        <v>122</v>
      </c>
      <c r="AJ167" s="870" t="s">
        <v>369</v>
      </c>
      <c r="AK167" s="870" t="s">
        <v>1372</v>
      </c>
      <c r="AL167" s="883"/>
      <c r="AM167" s="883"/>
      <c r="AN167" s="883" t="s">
        <v>1784</v>
      </c>
      <c r="AO167" s="883">
        <v>0.15</v>
      </c>
      <c r="AP167" s="883"/>
      <c r="AQ167" s="883"/>
      <c r="AR167" s="959">
        <v>5.6245408000000001</v>
      </c>
      <c r="AS167" s="959">
        <v>1.4514944000000001</v>
      </c>
      <c r="AT167" s="959">
        <v>1.1793392</v>
      </c>
      <c r="AU167" s="959">
        <v>2.721552</v>
      </c>
      <c r="AV167" s="959">
        <v>2.4040376000000001</v>
      </c>
      <c r="AW167" s="904"/>
      <c r="AX167" s="889"/>
      <c r="AY167" s="870" t="s">
        <v>1669</v>
      </c>
      <c r="AZ167" s="870"/>
      <c r="BA167" s="870" t="s">
        <v>3859</v>
      </c>
      <c r="BB167" s="870" t="s">
        <v>3863</v>
      </c>
      <c r="BC167" s="883" t="s">
        <v>3866</v>
      </c>
      <c r="BD167" s="870" t="s">
        <v>3867</v>
      </c>
      <c r="BE167" s="870">
        <v>17751308</v>
      </c>
      <c r="BF167" s="870">
        <v>17410613</v>
      </c>
      <c r="BG167" s="870" t="s">
        <v>243</v>
      </c>
      <c r="BH167" s="891" t="s">
        <v>1380</v>
      </c>
      <c r="BI167" s="906">
        <v>41733</v>
      </c>
      <c r="BJ167" s="907"/>
      <c r="BK167" s="907"/>
      <c r="BL167" s="907">
        <v>6349</v>
      </c>
      <c r="BM167" s="907"/>
      <c r="BN167" s="907"/>
      <c r="BO167" s="891">
        <v>346</v>
      </c>
      <c r="BP167" s="892"/>
      <c r="BQ167" s="891"/>
      <c r="BR167" s="904"/>
      <c r="BS167" s="904"/>
      <c r="BT167" s="891"/>
      <c r="BU167" s="891"/>
      <c r="BV167" s="892"/>
      <c r="BW167" s="892"/>
      <c r="BX167" s="893">
        <v>37.299999999999997</v>
      </c>
      <c r="BY167" s="891">
        <v>19</v>
      </c>
      <c r="BZ167" s="909">
        <v>5.7000000000000002E-3</v>
      </c>
      <c r="CA167" s="891" t="s">
        <v>2952</v>
      </c>
      <c r="CB167" s="891"/>
      <c r="CC167" s="891"/>
      <c r="CD167" s="893"/>
      <c r="CE167" s="890"/>
      <c r="CF167" s="915"/>
      <c r="CG167" s="891"/>
      <c r="CH167" s="891"/>
      <c r="CI167" s="911"/>
      <c r="CJ167" s="873"/>
      <c r="CK167" s="960"/>
    </row>
    <row r="168" spans="1:89" ht="45" customHeight="1" x14ac:dyDescent="0.2">
      <c r="A168" s="884">
        <v>45.4</v>
      </c>
      <c r="B168" s="883" t="s">
        <v>2237</v>
      </c>
      <c r="C168" s="870" t="s">
        <v>3980</v>
      </c>
      <c r="D168" s="870" t="s">
        <v>788</v>
      </c>
      <c r="E168" s="870" t="s">
        <v>4366</v>
      </c>
      <c r="F168" s="883">
        <v>2014</v>
      </c>
      <c r="G168" s="901" t="s">
        <v>1797</v>
      </c>
      <c r="H168" s="870" t="s">
        <v>3852</v>
      </c>
      <c r="I168" s="886" t="s">
        <v>3217</v>
      </c>
      <c r="J168" s="883" t="s">
        <v>114</v>
      </c>
      <c r="K168" s="883" t="s">
        <v>3854</v>
      </c>
      <c r="L168" s="883">
        <v>345</v>
      </c>
      <c r="M168" s="883">
        <v>151</v>
      </c>
      <c r="N168" s="883" t="s">
        <v>197</v>
      </c>
      <c r="O168" s="870" t="s">
        <v>1706</v>
      </c>
      <c r="P168" s="870" t="s">
        <v>4001</v>
      </c>
      <c r="Q168" s="870" t="s">
        <v>1127</v>
      </c>
      <c r="R168" s="870" t="s">
        <v>2373</v>
      </c>
      <c r="S168" s="870" t="s">
        <v>3653</v>
      </c>
      <c r="T168" s="870" t="s">
        <v>3652</v>
      </c>
      <c r="U168" s="870">
        <v>0.40649999999999997</v>
      </c>
      <c r="V168" s="870">
        <v>0.1065</v>
      </c>
      <c r="W168" s="870" t="s">
        <v>3869</v>
      </c>
      <c r="X168" s="947">
        <v>0.18160000000000001</v>
      </c>
      <c r="Y168" s="870"/>
      <c r="Z168" s="870" t="s">
        <v>3845</v>
      </c>
      <c r="AA168" s="870">
        <v>144</v>
      </c>
      <c r="AB168" s="870" t="s">
        <v>3856</v>
      </c>
      <c r="AC168" s="870" t="s">
        <v>3810</v>
      </c>
      <c r="AD168" s="870" t="s">
        <v>3857</v>
      </c>
      <c r="AE168" s="870" t="s">
        <v>1668</v>
      </c>
      <c r="AF168" s="883">
        <v>37.9</v>
      </c>
      <c r="AG168" s="883">
        <v>30.3</v>
      </c>
      <c r="AH168" s="883" t="s">
        <v>1744</v>
      </c>
      <c r="AI168" s="883" t="s">
        <v>1744</v>
      </c>
      <c r="AJ168" s="870" t="s">
        <v>369</v>
      </c>
      <c r="AK168" s="870" t="s">
        <v>1372</v>
      </c>
      <c r="AL168" s="883"/>
      <c r="AM168" s="883"/>
      <c r="AN168" s="883" t="s">
        <v>1784</v>
      </c>
      <c r="AO168" s="883">
        <v>0.15</v>
      </c>
      <c r="AP168" s="883"/>
      <c r="AQ168" s="883"/>
      <c r="AR168" s="959">
        <v>5.6245408000000001</v>
      </c>
      <c r="AS168" s="959">
        <v>1.4514944000000001</v>
      </c>
      <c r="AT168" s="959">
        <v>1.1793392</v>
      </c>
      <c r="AU168" s="959">
        <v>2.721552</v>
      </c>
      <c r="AV168" s="959">
        <v>2.4040376000000001</v>
      </c>
      <c r="AW168" s="904"/>
      <c r="AX168" s="889"/>
      <c r="AY168" s="870" t="s">
        <v>1669</v>
      </c>
      <c r="AZ168" s="870"/>
      <c r="BA168" s="870" t="s">
        <v>3860</v>
      </c>
      <c r="BB168" s="870" t="s">
        <v>3864</v>
      </c>
      <c r="BC168" s="883" t="s">
        <v>3866</v>
      </c>
      <c r="BD168" s="870" t="s">
        <v>3867</v>
      </c>
      <c r="BE168" s="870">
        <v>17751308</v>
      </c>
      <c r="BF168" s="870">
        <v>17410613</v>
      </c>
      <c r="BG168" s="870" t="s">
        <v>243</v>
      </c>
      <c r="BH168" s="891" t="s">
        <v>1380</v>
      </c>
      <c r="BI168" s="906">
        <v>41733</v>
      </c>
      <c r="BJ168" s="907"/>
      <c r="BK168" s="907"/>
      <c r="BL168" s="907">
        <v>6349</v>
      </c>
      <c r="BM168" s="907"/>
      <c r="BN168" s="907"/>
      <c r="BO168" s="891">
        <v>346</v>
      </c>
      <c r="BP168" s="892"/>
      <c r="BQ168" s="891"/>
      <c r="BR168" s="904"/>
      <c r="BS168" s="904"/>
      <c r="BT168" s="891"/>
      <c r="BU168" s="891"/>
      <c r="BV168" s="892"/>
      <c r="BW168" s="892"/>
      <c r="BX168" s="893">
        <v>37.299999999999997</v>
      </c>
      <c r="BY168" s="891">
        <v>19</v>
      </c>
      <c r="BZ168" s="909">
        <v>5.7000000000000002E-3</v>
      </c>
      <c r="CA168" s="891" t="s">
        <v>2952</v>
      </c>
      <c r="CB168" s="891"/>
      <c r="CC168" s="891"/>
      <c r="CD168" s="893"/>
      <c r="CE168" s="890"/>
      <c r="CF168" s="915"/>
      <c r="CG168" s="891"/>
      <c r="CH168" s="891"/>
      <c r="CI168" s="911"/>
      <c r="CJ168" s="873"/>
      <c r="CK168" s="870"/>
    </row>
    <row r="169" spans="1:89" ht="45" customHeight="1" x14ac:dyDescent="0.2">
      <c r="A169" s="884">
        <v>45.4</v>
      </c>
      <c r="B169" s="883" t="s">
        <v>3849</v>
      </c>
      <c r="C169" s="870" t="s">
        <v>3980</v>
      </c>
      <c r="D169" s="870" t="s">
        <v>788</v>
      </c>
      <c r="E169" s="870" t="s">
        <v>4366</v>
      </c>
      <c r="F169" s="883">
        <v>2014</v>
      </c>
      <c r="G169" s="901" t="s">
        <v>1797</v>
      </c>
      <c r="H169" s="870" t="s">
        <v>3853</v>
      </c>
      <c r="I169" s="886" t="s">
        <v>3217</v>
      </c>
      <c r="J169" s="883" t="s">
        <v>114</v>
      </c>
      <c r="K169" s="883" t="s">
        <v>2170</v>
      </c>
      <c r="L169" s="883">
        <v>330</v>
      </c>
      <c r="M169" s="883">
        <v>144</v>
      </c>
      <c r="N169" s="883" t="s">
        <v>197</v>
      </c>
      <c r="O169" s="870" t="s">
        <v>1706</v>
      </c>
      <c r="P169" s="870" t="s">
        <v>4002</v>
      </c>
      <c r="Q169" s="870" t="s">
        <v>1127</v>
      </c>
      <c r="R169" s="870" t="s">
        <v>2373</v>
      </c>
      <c r="S169" s="870" t="s">
        <v>3652</v>
      </c>
      <c r="T169" s="870" t="s">
        <v>3652</v>
      </c>
      <c r="U169" s="870">
        <v>0.14499999999999999</v>
      </c>
      <c r="V169" s="870">
        <v>0.14499999999999999</v>
      </c>
      <c r="W169" s="870" t="s">
        <v>3868</v>
      </c>
      <c r="X169" s="947">
        <v>0.1128</v>
      </c>
      <c r="Y169" s="870"/>
      <c r="Z169" s="870" t="s">
        <v>3845</v>
      </c>
      <c r="AA169" s="870">
        <v>144</v>
      </c>
      <c r="AB169" s="870" t="s">
        <v>3855</v>
      </c>
      <c r="AC169" s="870" t="s">
        <v>119</v>
      </c>
      <c r="AD169" s="870" t="s">
        <v>3842</v>
      </c>
      <c r="AE169" s="870" t="s">
        <v>1668</v>
      </c>
      <c r="AF169" s="883">
        <v>37.9</v>
      </c>
      <c r="AG169" s="883">
        <v>32.200000000000003</v>
      </c>
      <c r="AH169" s="883" t="s">
        <v>122</v>
      </c>
      <c r="AI169" s="883" t="s">
        <v>122</v>
      </c>
      <c r="AJ169" s="870" t="s">
        <v>369</v>
      </c>
      <c r="AK169" s="870" t="s">
        <v>1372</v>
      </c>
      <c r="AL169" s="883"/>
      <c r="AM169" s="883"/>
      <c r="AN169" s="883" t="s">
        <v>1784</v>
      </c>
      <c r="AO169" s="883">
        <v>0.15</v>
      </c>
      <c r="AP169" s="883"/>
      <c r="AQ169" s="883"/>
      <c r="AR169" s="959">
        <v>4.5673992847999996</v>
      </c>
      <c r="AS169" s="959">
        <v>1.4968535999999999</v>
      </c>
      <c r="AT169" s="959">
        <v>1.2246984000000001</v>
      </c>
      <c r="AU169" s="959">
        <v>2.1318823999999998</v>
      </c>
      <c r="AV169" s="959">
        <v>1.7690087999999999</v>
      </c>
      <c r="AW169" s="904"/>
      <c r="AX169" s="889"/>
      <c r="AY169" s="870" t="s">
        <v>540</v>
      </c>
      <c r="AZ169" s="870"/>
      <c r="BA169" s="870" t="s">
        <v>3861</v>
      </c>
      <c r="BB169" s="870" t="s">
        <v>3865</v>
      </c>
      <c r="BC169" s="883" t="s">
        <v>205</v>
      </c>
      <c r="BD169" s="870" t="s">
        <v>206</v>
      </c>
      <c r="BE169" s="870">
        <v>16243202</v>
      </c>
      <c r="BF169" s="870">
        <v>16411301</v>
      </c>
      <c r="BG169" s="870" t="s">
        <v>243</v>
      </c>
      <c r="BH169" s="891" t="s">
        <v>1380</v>
      </c>
      <c r="BI169" s="906">
        <v>41733</v>
      </c>
      <c r="BJ169" s="907"/>
      <c r="BK169" s="907"/>
      <c r="BL169" s="907">
        <v>6349</v>
      </c>
      <c r="BM169" s="907"/>
      <c r="BN169" s="907"/>
      <c r="BO169" s="891">
        <v>346</v>
      </c>
      <c r="BP169" s="892"/>
      <c r="BQ169" s="891"/>
      <c r="BR169" s="904"/>
      <c r="BS169" s="904"/>
      <c r="BT169" s="891"/>
      <c r="BU169" s="891"/>
      <c r="BV169" s="892"/>
      <c r="BW169" s="892"/>
      <c r="BX169" s="893">
        <v>38.1</v>
      </c>
      <c r="BY169" s="891">
        <v>11</v>
      </c>
      <c r="BZ169" s="909">
        <v>1.0500000000000001E-2</v>
      </c>
      <c r="CA169" s="891" t="s">
        <v>2952</v>
      </c>
      <c r="CB169" s="891"/>
      <c r="CC169" s="891"/>
      <c r="CD169" s="893"/>
      <c r="CE169" s="890"/>
      <c r="CF169" s="915"/>
      <c r="CG169" s="891"/>
      <c r="CH169" s="891"/>
      <c r="CI169" s="911"/>
      <c r="CJ169" s="873"/>
      <c r="CK169" s="870"/>
    </row>
    <row r="170" spans="1:89" ht="45" customHeight="1" x14ac:dyDescent="0.2">
      <c r="A170" s="890">
        <v>45</v>
      </c>
      <c r="B170" s="870" t="s">
        <v>2947</v>
      </c>
      <c r="C170" s="870"/>
      <c r="D170" s="870" t="s">
        <v>848</v>
      </c>
      <c r="E170" s="883" t="s">
        <v>4225</v>
      </c>
      <c r="F170" s="870"/>
      <c r="G170" s="934"/>
      <c r="H170" s="870" t="s">
        <v>2701</v>
      </c>
      <c r="I170" s="886" t="s">
        <v>84</v>
      </c>
      <c r="J170" s="870" t="s">
        <v>114</v>
      </c>
      <c r="K170" s="870"/>
      <c r="L170" s="870">
        <v>300</v>
      </c>
      <c r="M170" s="870">
        <v>131</v>
      </c>
      <c r="N170" s="870" t="s">
        <v>197</v>
      </c>
      <c r="O170" s="870" t="s">
        <v>2948</v>
      </c>
      <c r="P170" s="870"/>
      <c r="Q170" s="870"/>
      <c r="R170" s="870"/>
      <c r="S170" s="870"/>
      <c r="T170" s="870"/>
      <c r="U170" s="870"/>
      <c r="V170" s="870"/>
      <c r="W170" s="870"/>
      <c r="X170" s="870"/>
      <c r="Y170" s="870"/>
      <c r="Z170" s="870"/>
      <c r="AA170" s="870"/>
      <c r="AB170" s="870"/>
      <c r="AC170" s="870"/>
      <c r="AD170" s="870"/>
      <c r="AE170" s="870" t="s">
        <v>120</v>
      </c>
      <c r="AF170" s="870">
        <v>41.5</v>
      </c>
      <c r="AG170" s="870"/>
      <c r="AH170" s="870" t="s">
        <v>122</v>
      </c>
      <c r="AI170" s="870" t="s">
        <v>122</v>
      </c>
      <c r="AJ170" s="870" t="s">
        <v>2155</v>
      </c>
      <c r="AK170" s="870" t="s">
        <v>2949</v>
      </c>
      <c r="AL170" s="870"/>
      <c r="AM170" s="870"/>
      <c r="AN170" s="870" t="s">
        <v>1784</v>
      </c>
      <c r="AO170" s="870">
        <v>0.22</v>
      </c>
      <c r="AP170" s="870"/>
      <c r="AQ170" s="870"/>
      <c r="AR170" s="888"/>
      <c r="AS170" s="888"/>
      <c r="AT170" s="888"/>
      <c r="AU170" s="888"/>
      <c r="AV170" s="888"/>
      <c r="AW170" s="888"/>
      <c r="AX170" s="935" t="s">
        <v>2702</v>
      </c>
      <c r="AY170" s="883"/>
      <c r="AZ170" s="949">
        <v>288</v>
      </c>
      <c r="BA170" s="870" t="s">
        <v>2703</v>
      </c>
      <c r="BB170" s="883" t="s">
        <v>2704</v>
      </c>
      <c r="BC170" s="883" t="s">
        <v>2705</v>
      </c>
      <c r="BD170" s="870" t="s">
        <v>2706</v>
      </c>
      <c r="BE170" s="870"/>
      <c r="BF170" s="870"/>
      <c r="BG170" s="870"/>
      <c r="BH170" s="891" t="s">
        <v>1796</v>
      </c>
      <c r="BI170" s="891"/>
      <c r="BJ170" s="907"/>
      <c r="BK170" s="907"/>
      <c r="BL170" s="907"/>
      <c r="BM170" s="907"/>
      <c r="BN170" s="907"/>
      <c r="BO170" s="891"/>
      <c r="BP170" s="907"/>
      <c r="BQ170" s="891"/>
      <c r="BR170" s="904"/>
      <c r="BS170" s="904"/>
      <c r="BT170" s="908"/>
      <c r="BU170" s="907"/>
      <c r="BV170" s="907"/>
      <c r="BW170" s="907"/>
      <c r="BX170" s="890"/>
      <c r="BY170" s="891"/>
      <c r="BZ170" s="909"/>
      <c r="CA170" s="890"/>
      <c r="CB170" s="890"/>
      <c r="CC170" s="893"/>
      <c r="CD170" s="893"/>
      <c r="CE170" s="890"/>
      <c r="CF170" s="890"/>
      <c r="CG170" s="890"/>
      <c r="CH170" s="890"/>
      <c r="CI170" s="890"/>
      <c r="CJ170" s="873"/>
      <c r="CK170" s="870"/>
    </row>
    <row r="171" spans="1:89" ht="45" customHeight="1" x14ac:dyDescent="0.2">
      <c r="A171" s="884">
        <v>45</v>
      </c>
      <c r="B171" s="870" t="s">
        <v>1257</v>
      </c>
      <c r="C171" s="870"/>
      <c r="D171" s="870" t="s">
        <v>702</v>
      </c>
      <c r="E171" s="883" t="s">
        <v>4225</v>
      </c>
      <c r="F171" s="870"/>
      <c r="G171" s="901" t="s">
        <v>1797</v>
      </c>
      <c r="H171" s="870" t="s">
        <v>1261</v>
      </c>
      <c r="I171" s="902" t="s">
        <v>78</v>
      </c>
      <c r="J171" s="870" t="s">
        <v>114</v>
      </c>
      <c r="K171" s="870">
        <v>1562</v>
      </c>
      <c r="L171" s="870">
        <v>316</v>
      </c>
      <c r="M171" s="870">
        <v>137</v>
      </c>
      <c r="N171" s="870" t="s">
        <v>1361</v>
      </c>
      <c r="O171" s="870" t="s">
        <v>1706</v>
      </c>
      <c r="P171" s="870"/>
      <c r="Q171" s="870"/>
      <c r="R171" s="870"/>
      <c r="S171" s="870"/>
      <c r="T171" s="870"/>
      <c r="U171" s="870"/>
      <c r="V171" s="870"/>
      <c r="W171" s="870"/>
      <c r="X171" s="870"/>
      <c r="Y171" s="870"/>
      <c r="Z171" s="870"/>
      <c r="AA171" s="870"/>
      <c r="AB171" s="870" t="s">
        <v>1258</v>
      </c>
      <c r="AC171" s="870" t="s">
        <v>119</v>
      </c>
      <c r="AD171" s="870" t="s">
        <v>1259</v>
      </c>
      <c r="AE171" s="870" t="s">
        <v>120</v>
      </c>
      <c r="AF171" s="870">
        <v>43.62</v>
      </c>
      <c r="AG171" s="870">
        <v>46.28</v>
      </c>
      <c r="AH171" s="870" t="s">
        <v>122</v>
      </c>
      <c r="AI171" s="870" t="s">
        <v>122</v>
      </c>
      <c r="AJ171" s="870" t="s">
        <v>234</v>
      </c>
      <c r="AK171" s="870" t="s">
        <v>1260</v>
      </c>
      <c r="AL171" s="870"/>
      <c r="AM171" s="870"/>
      <c r="AN171" s="870" t="s">
        <v>1784</v>
      </c>
      <c r="AO171" s="870">
        <v>0.19</v>
      </c>
      <c r="AP171" s="870">
        <v>0.24</v>
      </c>
      <c r="AQ171" s="870"/>
      <c r="AR171" s="888">
        <v>11.4</v>
      </c>
      <c r="AS171" s="903">
        <f>1.81*2.204622</f>
        <v>3.9903658200000001</v>
      </c>
      <c r="AT171" s="903">
        <f>1.43*2.204622</f>
        <v>3.1526094599999999</v>
      </c>
      <c r="AU171" s="903">
        <f>2.4*2.204622</f>
        <v>5.2910928000000004</v>
      </c>
      <c r="AV171" s="903">
        <f>2.27*2.204622</f>
        <v>5.0044919400000003</v>
      </c>
      <c r="AW171" s="903">
        <f>(100*PI()*(A171^2))/(40*AO171*AV171*453.5924)</f>
        <v>36.875298499821007</v>
      </c>
      <c r="AX171" s="935">
        <v>37622</v>
      </c>
      <c r="AY171" s="870" t="s">
        <v>189</v>
      </c>
      <c r="AZ171" s="870">
        <v>596</v>
      </c>
      <c r="BA171" s="870" t="s">
        <v>1262</v>
      </c>
      <c r="BB171" s="870" t="s">
        <v>1263</v>
      </c>
      <c r="BC171" s="870">
        <v>13862400</v>
      </c>
      <c r="BD171" s="870" t="s">
        <v>77</v>
      </c>
      <c r="BE171" s="870"/>
      <c r="BF171" s="870"/>
      <c r="BG171" s="870"/>
      <c r="BH171" s="870" t="s">
        <v>79</v>
      </c>
      <c r="BI171" s="906"/>
      <c r="BJ171" s="907">
        <v>3035</v>
      </c>
      <c r="BK171" s="907">
        <v>2915</v>
      </c>
      <c r="BL171" s="907">
        <f>BJ171+BK171</f>
        <v>5950</v>
      </c>
      <c r="BM171" s="907">
        <f>25*25.4</f>
        <v>635</v>
      </c>
      <c r="BN171" s="907">
        <f>120.7*25.4</f>
        <v>3065.7799999999997</v>
      </c>
      <c r="BO171" s="891">
        <f>1.08*12*25.4</f>
        <v>329.18400000000003</v>
      </c>
      <c r="BP171" s="892">
        <f>IF(G171="Front",0.5*9.81*0.4535924*(BJ171+BL171*(BM171/BN171)*1.1)*1.1*(BO171/1000),IF(G171="Rear",0.5*9.81*0.4535924*(BK171+BL171*(BM171/BN171)*0.9)*0.9*(BO171/1000),"TBD"))</f>
        <v>2652.5324235710737</v>
      </c>
      <c r="BQ171" s="891">
        <v>0.35</v>
      </c>
      <c r="BR171" s="904">
        <v>32</v>
      </c>
      <c r="BS171" s="904">
        <v>32</v>
      </c>
      <c r="BT171" s="943">
        <v>196</v>
      </c>
      <c r="BU171" s="892">
        <f>(2.4525*(BL171*0.4535924)*(0.8*(1000/3600)*BT171)*(BR171/100))/(AF171*2)</f>
        <v>1057.4738340196241</v>
      </c>
      <c r="BV171" s="892">
        <f>(BP171/(M171/1000))/(2*AF171)</f>
        <v>221.93432527527665</v>
      </c>
      <c r="BW171" s="892">
        <f>(1.4*BP171/(M171/1000))/(2*AF171)</f>
        <v>310.7080553853873</v>
      </c>
      <c r="BX171" s="893">
        <f>0.5*(BL171/32.2)*((BO171*0.00328084)^2)*(BS171/100)</f>
        <v>34.484871772249079</v>
      </c>
      <c r="BY171" s="891">
        <v>10</v>
      </c>
      <c r="BZ171" s="909">
        <f>BX171/(L171*BY171)</f>
        <v>1.0912934105142113E-2</v>
      </c>
      <c r="CA171" s="891"/>
      <c r="CB171" s="891">
        <v>266</v>
      </c>
      <c r="CC171" s="893">
        <f>BU171*(2*AF171)/(2*1600)</f>
        <v>28.829380399960002</v>
      </c>
      <c r="CD171" s="893">
        <f>BV171*(2*AF171)/(2*250)</f>
        <v>38.723101074030268</v>
      </c>
      <c r="CE171" s="890" t="str">
        <f>IF((CD171-CC171)&gt;0, "Shear","Power")</f>
        <v>Shear</v>
      </c>
      <c r="CF171" s="915">
        <f>(AF171/MAX(CC171,CD171))-1</f>
        <v>0.1264593689593172</v>
      </c>
      <c r="CG171" s="890"/>
      <c r="CH171" s="890"/>
      <c r="CI171" s="896"/>
      <c r="CJ171" s="873"/>
      <c r="CK171" s="891"/>
    </row>
    <row r="172" spans="1:89" ht="45" customHeight="1" x14ac:dyDescent="0.2">
      <c r="A172" s="884">
        <v>45.4</v>
      </c>
      <c r="B172" s="883" t="s">
        <v>1387</v>
      </c>
      <c r="C172" s="883"/>
      <c r="D172" s="870" t="s">
        <v>788</v>
      </c>
      <c r="E172" s="883" t="s">
        <v>4225</v>
      </c>
      <c r="F172" s="883">
        <v>2013</v>
      </c>
      <c r="G172" s="901" t="s">
        <v>1797</v>
      </c>
      <c r="H172" s="870" t="s">
        <v>1063</v>
      </c>
      <c r="I172" s="886" t="s">
        <v>2518</v>
      </c>
      <c r="J172" s="883" t="s">
        <v>114</v>
      </c>
      <c r="K172" s="883" t="s">
        <v>2170</v>
      </c>
      <c r="L172" s="883">
        <v>330</v>
      </c>
      <c r="M172" s="883">
        <v>144</v>
      </c>
      <c r="N172" s="883" t="s">
        <v>197</v>
      </c>
      <c r="O172" s="870" t="s">
        <v>1706</v>
      </c>
      <c r="P172" s="870"/>
      <c r="Q172" s="870"/>
      <c r="R172" s="870"/>
      <c r="S172" s="870"/>
      <c r="T172" s="870"/>
      <c r="U172" s="870"/>
      <c r="V172" s="870"/>
      <c r="W172" s="870"/>
      <c r="X172" s="870"/>
      <c r="Y172" s="870"/>
      <c r="Z172" s="870"/>
      <c r="AA172" s="870">
        <v>144</v>
      </c>
      <c r="AB172" s="870" t="s">
        <v>1370</v>
      </c>
      <c r="AC172" s="870" t="s">
        <v>119</v>
      </c>
      <c r="AD172" s="870" t="s">
        <v>1371</v>
      </c>
      <c r="AE172" s="870" t="s">
        <v>1668</v>
      </c>
      <c r="AF172" s="883">
        <v>37.799999999999997</v>
      </c>
      <c r="AG172" s="883">
        <v>29</v>
      </c>
      <c r="AH172" s="883" t="s">
        <v>122</v>
      </c>
      <c r="AI172" s="883" t="s">
        <v>122</v>
      </c>
      <c r="AJ172" s="870" t="s">
        <v>234</v>
      </c>
      <c r="AK172" s="870" t="s">
        <v>1372</v>
      </c>
      <c r="AL172" s="883"/>
      <c r="AM172" s="883"/>
      <c r="AN172" s="883" t="s">
        <v>1784</v>
      </c>
      <c r="AO172" s="883">
        <v>0.15</v>
      </c>
      <c r="AP172" s="883"/>
      <c r="AQ172" s="883"/>
      <c r="AR172" s="918">
        <v>10.1</v>
      </c>
      <c r="AS172" s="888">
        <v>3.3</v>
      </c>
      <c r="AT172" s="887">
        <v>2.6</v>
      </c>
      <c r="AU172" s="888">
        <v>4.5999999999999996</v>
      </c>
      <c r="AV172" s="888">
        <v>3.9</v>
      </c>
      <c r="AW172" s="904"/>
      <c r="AX172" s="889"/>
      <c r="AY172" s="883" t="s">
        <v>2093</v>
      </c>
      <c r="AZ172" s="870"/>
      <c r="BA172" s="870" t="s">
        <v>446</v>
      </c>
      <c r="BB172" s="870" t="s">
        <v>445</v>
      </c>
      <c r="BC172" s="883" t="s">
        <v>1065</v>
      </c>
      <c r="BD172" s="870" t="s">
        <v>1066</v>
      </c>
      <c r="BE172" s="870">
        <v>18081601</v>
      </c>
      <c r="BF172" s="870">
        <v>17410606</v>
      </c>
      <c r="BG172" s="870" t="s">
        <v>243</v>
      </c>
      <c r="BH172" s="891" t="s">
        <v>1380</v>
      </c>
      <c r="BI172" s="906">
        <v>40800</v>
      </c>
      <c r="BJ172" s="907"/>
      <c r="BK172" s="907"/>
      <c r="BL172" s="907"/>
      <c r="BM172" s="907"/>
      <c r="BN172" s="907"/>
      <c r="BO172" s="891" t="s">
        <v>1921</v>
      </c>
      <c r="BP172" s="892"/>
      <c r="BQ172" s="891"/>
      <c r="BR172" s="904"/>
      <c r="BS172" s="904"/>
      <c r="BT172" s="891"/>
      <c r="BU172" s="891"/>
      <c r="BV172" s="892"/>
      <c r="BW172" s="892"/>
      <c r="BX172" s="893"/>
      <c r="BY172" s="891">
        <v>11</v>
      </c>
      <c r="BZ172" s="909"/>
      <c r="CA172" s="891" t="s">
        <v>2952</v>
      </c>
      <c r="CB172" s="891"/>
      <c r="CC172" s="891"/>
      <c r="CD172" s="893"/>
      <c r="CE172" s="890"/>
      <c r="CF172" s="915"/>
      <c r="CG172" s="891"/>
      <c r="CH172" s="891"/>
      <c r="CI172" s="911"/>
      <c r="CJ172" s="873"/>
      <c r="CK172" s="870"/>
    </row>
    <row r="173" spans="1:89" ht="25.5" x14ac:dyDescent="0.2">
      <c r="A173" s="890">
        <v>45.4</v>
      </c>
      <c r="B173" s="883" t="s">
        <v>1387</v>
      </c>
      <c r="C173" s="883"/>
      <c r="D173" s="870" t="s">
        <v>788</v>
      </c>
      <c r="E173" s="883" t="s">
        <v>4225</v>
      </c>
      <c r="F173" s="883">
        <v>2013</v>
      </c>
      <c r="G173" s="901" t="s">
        <v>1797</v>
      </c>
      <c r="H173" s="870" t="s">
        <v>1388</v>
      </c>
      <c r="I173" s="886" t="s">
        <v>2518</v>
      </c>
      <c r="J173" s="883" t="s">
        <v>114</v>
      </c>
      <c r="K173" s="883" t="s">
        <v>2174</v>
      </c>
      <c r="L173" s="883">
        <v>330</v>
      </c>
      <c r="M173" s="883">
        <v>144</v>
      </c>
      <c r="N173" s="883" t="s">
        <v>197</v>
      </c>
      <c r="O173" s="870" t="s">
        <v>1706</v>
      </c>
      <c r="P173" s="870"/>
      <c r="Q173" s="870"/>
      <c r="R173" s="870"/>
      <c r="S173" s="870"/>
      <c r="T173" s="870"/>
      <c r="U173" s="870"/>
      <c r="V173" s="870"/>
      <c r="W173" s="870"/>
      <c r="X173" s="870"/>
      <c r="Y173" s="870"/>
      <c r="Z173" s="870"/>
      <c r="AA173" s="870">
        <v>144</v>
      </c>
      <c r="AB173" s="870" t="s">
        <v>1370</v>
      </c>
      <c r="AC173" s="870" t="s">
        <v>119</v>
      </c>
      <c r="AD173" s="870" t="s">
        <v>1371</v>
      </c>
      <c r="AE173" s="870" t="s">
        <v>1668</v>
      </c>
      <c r="AF173" s="883">
        <v>37.799999999999997</v>
      </c>
      <c r="AG173" s="883">
        <v>29</v>
      </c>
      <c r="AH173" s="883" t="s">
        <v>122</v>
      </c>
      <c r="AI173" s="883" t="s">
        <v>122</v>
      </c>
      <c r="AJ173" s="870" t="s">
        <v>234</v>
      </c>
      <c r="AK173" s="870" t="s">
        <v>1372</v>
      </c>
      <c r="AL173" s="883"/>
      <c r="AM173" s="883"/>
      <c r="AN173" s="883" t="s">
        <v>1784</v>
      </c>
      <c r="AO173" s="883">
        <v>0.15</v>
      </c>
      <c r="AP173" s="883"/>
      <c r="AQ173" s="883"/>
      <c r="AR173" s="918">
        <v>10.1</v>
      </c>
      <c r="AS173" s="888">
        <v>3.3</v>
      </c>
      <c r="AT173" s="887">
        <v>2.6</v>
      </c>
      <c r="AU173" s="888">
        <v>4.5999999999999996</v>
      </c>
      <c r="AV173" s="888">
        <v>3.9</v>
      </c>
      <c r="AW173" s="904"/>
      <c r="AX173" s="889"/>
      <c r="AY173" s="883" t="s">
        <v>2093</v>
      </c>
      <c r="AZ173" s="870"/>
      <c r="BA173" s="870" t="s">
        <v>446</v>
      </c>
      <c r="BB173" s="870" t="s">
        <v>445</v>
      </c>
      <c r="BC173" s="883" t="s">
        <v>1065</v>
      </c>
      <c r="BD173" s="870" t="s">
        <v>1066</v>
      </c>
      <c r="BE173" s="870">
        <v>18081601</v>
      </c>
      <c r="BF173" s="870">
        <v>17410606</v>
      </c>
      <c r="BG173" s="870" t="s">
        <v>243</v>
      </c>
      <c r="BH173" s="891" t="s">
        <v>1380</v>
      </c>
      <c r="BI173" s="906">
        <v>40800</v>
      </c>
      <c r="BJ173" s="907"/>
      <c r="BK173" s="907"/>
      <c r="BL173" s="907"/>
      <c r="BM173" s="907"/>
      <c r="BN173" s="907"/>
      <c r="BO173" s="891" t="s">
        <v>1921</v>
      </c>
      <c r="BP173" s="892"/>
      <c r="BQ173" s="891"/>
      <c r="BR173" s="904"/>
      <c r="BS173" s="904"/>
      <c r="BT173" s="891"/>
      <c r="BU173" s="891"/>
      <c r="BV173" s="892"/>
      <c r="BW173" s="892"/>
      <c r="BX173" s="893"/>
      <c r="BY173" s="891">
        <v>11</v>
      </c>
      <c r="BZ173" s="909"/>
      <c r="CA173" s="891" t="s">
        <v>2952</v>
      </c>
      <c r="CB173" s="891"/>
      <c r="CC173" s="891"/>
      <c r="CD173" s="893"/>
      <c r="CE173" s="890"/>
      <c r="CF173" s="915"/>
      <c r="CG173" s="891"/>
      <c r="CH173" s="891"/>
      <c r="CI173" s="891"/>
      <c r="CJ173" s="873"/>
      <c r="CK173" s="960"/>
    </row>
    <row r="174" spans="1:89" ht="25.5" x14ac:dyDescent="0.2">
      <c r="A174" s="890">
        <v>45.4</v>
      </c>
      <c r="B174" s="883" t="s">
        <v>1387</v>
      </c>
      <c r="C174" s="883"/>
      <c r="D174" s="870" t="s">
        <v>788</v>
      </c>
      <c r="E174" s="883" t="s">
        <v>4225</v>
      </c>
      <c r="F174" s="883">
        <v>2013</v>
      </c>
      <c r="G174" s="901" t="s">
        <v>1797</v>
      </c>
      <c r="H174" s="870" t="s">
        <v>207</v>
      </c>
      <c r="I174" s="886" t="s">
        <v>2518</v>
      </c>
      <c r="J174" s="883" t="s">
        <v>114</v>
      </c>
      <c r="K174" s="883" t="s">
        <v>2175</v>
      </c>
      <c r="L174" s="883">
        <v>330</v>
      </c>
      <c r="M174" s="883">
        <v>144</v>
      </c>
      <c r="N174" s="883" t="s">
        <v>197</v>
      </c>
      <c r="O174" s="870" t="s">
        <v>1706</v>
      </c>
      <c r="P174" s="870"/>
      <c r="Q174" s="870"/>
      <c r="R174" s="870"/>
      <c r="S174" s="870"/>
      <c r="T174" s="870"/>
      <c r="U174" s="870"/>
      <c r="V174" s="870"/>
      <c r="W174" s="870"/>
      <c r="X174" s="870"/>
      <c r="Y174" s="870"/>
      <c r="Z174" s="870"/>
      <c r="AA174" s="870">
        <v>144</v>
      </c>
      <c r="AB174" s="870" t="s">
        <v>1370</v>
      </c>
      <c r="AC174" s="870" t="s">
        <v>119</v>
      </c>
      <c r="AD174" s="870" t="s">
        <v>1371</v>
      </c>
      <c r="AE174" s="870" t="s">
        <v>1668</v>
      </c>
      <c r="AF174" s="883">
        <v>37.799999999999997</v>
      </c>
      <c r="AG174" s="883">
        <v>29</v>
      </c>
      <c r="AH174" s="883" t="s">
        <v>122</v>
      </c>
      <c r="AI174" s="883" t="s">
        <v>122</v>
      </c>
      <c r="AJ174" s="870" t="s">
        <v>234</v>
      </c>
      <c r="AK174" s="870" t="s">
        <v>1372</v>
      </c>
      <c r="AL174" s="883"/>
      <c r="AM174" s="883"/>
      <c r="AN174" s="883" t="s">
        <v>1784</v>
      </c>
      <c r="AO174" s="883">
        <v>0.15</v>
      </c>
      <c r="AP174" s="883"/>
      <c r="AQ174" s="883"/>
      <c r="AR174" s="918">
        <v>10.1</v>
      </c>
      <c r="AS174" s="888">
        <v>3.3</v>
      </c>
      <c r="AT174" s="887">
        <v>2.6</v>
      </c>
      <c r="AU174" s="888">
        <v>4.5999999999999996</v>
      </c>
      <c r="AV174" s="888">
        <v>3.9</v>
      </c>
      <c r="AW174" s="904"/>
      <c r="AX174" s="889"/>
      <c r="AY174" s="883" t="s">
        <v>2093</v>
      </c>
      <c r="AZ174" s="870"/>
      <c r="BA174" s="870" t="s">
        <v>446</v>
      </c>
      <c r="BB174" s="870" t="s">
        <v>445</v>
      </c>
      <c r="BC174" s="883" t="s">
        <v>1065</v>
      </c>
      <c r="BD174" s="870" t="s">
        <v>1066</v>
      </c>
      <c r="BE174" s="870">
        <v>18081601</v>
      </c>
      <c r="BF174" s="870">
        <v>17410606</v>
      </c>
      <c r="BG174" s="870" t="s">
        <v>243</v>
      </c>
      <c r="BH174" s="891" t="s">
        <v>1380</v>
      </c>
      <c r="BI174" s="906">
        <v>40800</v>
      </c>
      <c r="BJ174" s="907"/>
      <c r="BK174" s="907"/>
      <c r="BL174" s="907">
        <f>2879*2.2</f>
        <v>6333.8</v>
      </c>
      <c r="BM174" s="907"/>
      <c r="BN174" s="907"/>
      <c r="BO174" s="891">
        <v>346</v>
      </c>
      <c r="BP174" s="892"/>
      <c r="BQ174" s="891"/>
      <c r="BR174" s="904"/>
      <c r="BS174" s="904"/>
      <c r="BT174" s="891"/>
      <c r="BU174" s="891"/>
      <c r="BV174" s="892"/>
      <c r="BW174" s="892"/>
      <c r="BX174" s="893"/>
      <c r="BY174" s="891">
        <v>11</v>
      </c>
      <c r="BZ174" s="909"/>
      <c r="CA174" s="891" t="s">
        <v>2952</v>
      </c>
      <c r="CB174" s="891"/>
      <c r="CC174" s="891"/>
      <c r="CD174" s="893"/>
      <c r="CE174" s="890"/>
      <c r="CF174" s="915"/>
      <c r="CG174" s="891"/>
      <c r="CH174" s="891"/>
      <c r="CI174" s="891"/>
      <c r="CJ174" s="873"/>
      <c r="CK174" s="955"/>
    </row>
    <row r="175" spans="1:89" ht="25.5" x14ac:dyDescent="0.2">
      <c r="A175" s="890">
        <v>45.4</v>
      </c>
      <c r="B175" s="883" t="s">
        <v>1387</v>
      </c>
      <c r="C175" s="883"/>
      <c r="D175" s="870" t="s">
        <v>788</v>
      </c>
      <c r="E175" s="883" t="s">
        <v>4225</v>
      </c>
      <c r="F175" s="883">
        <v>2013</v>
      </c>
      <c r="G175" s="901" t="s">
        <v>1797</v>
      </c>
      <c r="H175" s="870" t="s">
        <v>1064</v>
      </c>
      <c r="I175" s="886" t="s">
        <v>2518</v>
      </c>
      <c r="J175" s="883" t="s">
        <v>114</v>
      </c>
      <c r="K175" s="883" t="s">
        <v>2176</v>
      </c>
      <c r="L175" s="883">
        <v>330</v>
      </c>
      <c r="M175" s="883">
        <v>144</v>
      </c>
      <c r="N175" s="883" t="s">
        <v>197</v>
      </c>
      <c r="O175" s="870" t="s">
        <v>1706</v>
      </c>
      <c r="P175" s="870"/>
      <c r="Q175" s="870"/>
      <c r="R175" s="870"/>
      <c r="S175" s="870"/>
      <c r="T175" s="870"/>
      <c r="U175" s="870"/>
      <c r="V175" s="870"/>
      <c r="W175" s="870"/>
      <c r="X175" s="870"/>
      <c r="Y175" s="870"/>
      <c r="Z175" s="870"/>
      <c r="AA175" s="870">
        <v>144</v>
      </c>
      <c r="AB175" s="870" t="s">
        <v>1370</v>
      </c>
      <c r="AC175" s="870" t="s">
        <v>119</v>
      </c>
      <c r="AD175" s="870" t="s">
        <v>1371</v>
      </c>
      <c r="AE175" s="870" t="s">
        <v>1668</v>
      </c>
      <c r="AF175" s="883">
        <v>37.799999999999997</v>
      </c>
      <c r="AG175" s="883">
        <v>29</v>
      </c>
      <c r="AH175" s="883" t="s">
        <v>122</v>
      </c>
      <c r="AI175" s="883" t="s">
        <v>122</v>
      </c>
      <c r="AJ175" s="870" t="s">
        <v>234</v>
      </c>
      <c r="AK175" s="870" t="s">
        <v>1372</v>
      </c>
      <c r="AL175" s="883"/>
      <c r="AM175" s="883"/>
      <c r="AN175" s="883" t="s">
        <v>1784</v>
      </c>
      <c r="AO175" s="883">
        <v>0.15</v>
      </c>
      <c r="AP175" s="883"/>
      <c r="AQ175" s="883"/>
      <c r="AR175" s="918">
        <f>4.577*2.2</f>
        <v>10.0694</v>
      </c>
      <c r="AS175" s="888">
        <v>3.3</v>
      </c>
      <c r="AT175" s="887">
        <v>2.6</v>
      </c>
      <c r="AU175" s="888">
        <v>4.5999999999999996</v>
      </c>
      <c r="AV175" s="888">
        <v>3.9</v>
      </c>
      <c r="AW175" s="904"/>
      <c r="AX175" s="889"/>
      <c r="AY175" s="883" t="s">
        <v>2093</v>
      </c>
      <c r="AZ175" s="870"/>
      <c r="BA175" s="870" t="s">
        <v>446</v>
      </c>
      <c r="BB175" s="870" t="s">
        <v>445</v>
      </c>
      <c r="BC175" s="883" t="s">
        <v>1065</v>
      </c>
      <c r="BD175" s="870" t="s">
        <v>1066</v>
      </c>
      <c r="BE175" s="870">
        <v>18081601</v>
      </c>
      <c r="BF175" s="870">
        <v>17410606</v>
      </c>
      <c r="BG175" s="870" t="s">
        <v>243</v>
      </c>
      <c r="BH175" s="891" t="s">
        <v>1380</v>
      </c>
      <c r="BI175" s="906">
        <v>40800</v>
      </c>
      <c r="BJ175" s="907"/>
      <c r="BK175" s="907"/>
      <c r="BL175" s="907">
        <f>2879*2.2</f>
        <v>6333.8</v>
      </c>
      <c r="BM175" s="907"/>
      <c r="BN175" s="907"/>
      <c r="BO175" s="891">
        <v>346</v>
      </c>
      <c r="BP175" s="892"/>
      <c r="BQ175" s="891"/>
      <c r="BR175" s="904"/>
      <c r="BS175" s="904"/>
      <c r="BT175" s="891"/>
      <c r="BU175" s="891"/>
      <c r="BV175" s="892"/>
      <c r="BW175" s="892"/>
      <c r="BX175" s="893"/>
      <c r="BY175" s="891">
        <v>11</v>
      </c>
      <c r="BZ175" s="909"/>
      <c r="CA175" s="891" t="s">
        <v>2952</v>
      </c>
      <c r="CB175" s="891"/>
      <c r="CC175" s="891"/>
      <c r="CD175" s="893"/>
      <c r="CE175" s="890"/>
      <c r="CF175" s="915"/>
      <c r="CG175" s="891"/>
      <c r="CH175" s="891"/>
      <c r="CI175" s="891"/>
      <c r="CJ175" s="873"/>
      <c r="CK175" s="955"/>
    </row>
    <row r="176" spans="1:89" ht="25.5" x14ac:dyDescent="0.2">
      <c r="A176" s="890">
        <v>45.4</v>
      </c>
      <c r="B176" s="883" t="s">
        <v>2237</v>
      </c>
      <c r="C176" s="883"/>
      <c r="D176" s="870" t="s">
        <v>788</v>
      </c>
      <c r="E176" s="883" t="s">
        <v>4225</v>
      </c>
      <c r="F176" s="883">
        <v>2013</v>
      </c>
      <c r="G176" s="901" t="s">
        <v>1797</v>
      </c>
      <c r="H176" s="870" t="s">
        <v>2238</v>
      </c>
      <c r="I176" s="886" t="s">
        <v>2518</v>
      </c>
      <c r="J176" s="883" t="s">
        <v>114</v>
      </c>
      <c r="K176" s="883" t="s">
        <v>2177</v>
      </c>
      <c r="L176" s="883">
        <v>345</v>
      </c>
      <c r="M176" s="883">
        <v>151</v>
      </c>
      <c r="N176" s="883"/>
      <c r="O176" s="870" t="s">
        <v>1706</v>
      </c>
      <c r="P176" s="870"/>
      <c r="Q176" s="870"/>
      <c r="R176" s="870"/>
      <c r="S176" s="870"/>
      <c r="T176" s="870"/>
      <c r="U176" s="870"/>
      <c r="V176" s="870"/>
      <c r="W176" s="870"/>
      <c r="X176" s="870"/>
      <c r="Y176" s="870"/>
      <c r="Z176" s="870"/>
      <c r="AA176" s="870">
        <v>144</v>
      </c>
      <c r="AB176" s="870"/>
      <c r="AC176" s="870"/>
      <c r="AD176" s="870"/>
      <c r="AE176" s="870"/>
      <c r="AF176" s="883"/>
      <c r="AG176" s="883"/>
      <c r="AH176" s="883"/>
      <c r="AI176" s="883"/>
      <c r="AJ176" s="870" t="s">
        <v>369</v>
      </c>
      <c r="AK176" s="870"/>
      <c r="AL176" s="883"/>
      <c r="AM176" s="883"/>
      <c r="AN176" s="883"/>
      <c r="AO176" s="883"/>
      <c r="AP176" s="883"/>
      <c r="AQ176" s="883"/>
      <c r="AR176" s="918"/>
      <c r="AS176" s="888"/>
      <c r="AT176" s="887"/>
      <c r="AU176" s="888"/>
      <c r="AV176" s="888"/>
      <c r="AW176" s="904"/>
      <c r="AX176" s="889"/>
      <c r="AY176" s="883" t="s">
        <v>1669</v>
      </c>
      <c r="AZ176" s="870"/>
      <c r="BA176" s="870" t="s">
        <v>2171</v>
      </c>
      <c r="BB176" s="883" t="s">
        <v>1287</v>
      </c>
      <c r="BC176" s="883">
        <v>17751500</v>
      </c>
      <c r="BD176" s="870" t="s">
        <v>1286</v>
      </c>
      <c r="BE176" s="870">
        <v>17751308</v>
      </c>
      <c r="BF176" s="870">
        <v>17410606</v>
      </c>
      <c r="BG176" s="870" t="s">
        <v>243</v>
      </c>
      <c r="BH176" s="891"/>
      <c r="BI176" s="914">
        <v>40800</v>
      </c>
      <c r="BJ176" s="907"/>
      <c r="BK176" s="907"/>
      <c r="BL176" s="907"/>
      <c r="BM176" s="907"/>
      <c r="BN176" s="907"/>
      <c r="BO176" s="891"/>
      <c r="BP176" s="892"/>
      <c r="BQ176" s="891"/>
      <c r="BR176" s="904"/>
      <c r="BS176" s="904"/>
      <c r="BT176" s="891"/>
      <c r="BU176" s="891"/>
      <c r="BV176" s="892"/>
      <c r="BW176" s="892"/>
      <c r="BX176" s="893"/>
      <c r="BY176" s="891"/>
      <c r="BZ176" s="909"/>
      <c r="CA176" s="891"/>
      <c r="CB176" s="891"/>
      <c r="CC176" s="891"/>
      <c r="CD176" s="893"/>
      <c r="CE176" s="890"/>
      <c r="CF176" s="915"/>
      <c r="CG176" s="891"/>
      <c r="CH176" s="891"/>
      <c r="CI176" s="891"/>
      <c r="CJ176" s="873"/>
      <c r="CK176" s="955"/>
    </row>
    <row r="177" spans="1:89" ht="25.5" x14ac:dyDescent="0.2">
      <c r="A177" s="890">
        <v>45.4</v>
      </c>
      <c r="B177" s="883" t="s">
        <v>1387</v>
      </c>
      <c r="C177" s="883"/>
      <c r="D177" s="870" t="s">
        <v>616</v>
      </c>
      <c r="E177" s="883" t="s">
        <v>4225</v>
      </c>
      <c r="F177" s="883">
        <v>2010</v>
      </c>
      <c r="G177" s="901" t="s">
        <v>1797</v>
      </c>
      <c r="H177" s="870" t="s">
        <v>1388</v>
      </c>
      <c r="I177" s="886" t="s">
        <v>2518</v>
      </c>
      <c r="J177" s="883" t="s">
        <v>114</v>
      </c>
      <c r="K177" s="883" t="s">
        <v>1921</v>
      </c>
      <c r="L177" s="883">
        <v>330</v>
      </c>
      <c r="M177" s="883">
        <v>144</v>
      </c>
      <c r="N177" s="883" t="s">
        <v>1369</v>
      </c>
      <c r="O177" s="870" t="s">
        <v>1706</v>
      </c>
      <c r="P177" s="870"/>
      <c r="Q177" s="870"/>
      <c r="R177" s="870"/>
      <c r="S177" s="870"/>
      <c r="T177" s="870"/>
      <c r="U177" s="870"/>
      <c r="V177" s="870"/>
      <c r="W177" s="870"/>
      <c r="X177" s="870"/>
      <c r="Y177" s="870"/>
      <c r="Z177" s="870"/>
      <c r="AA177" s="870"/>
      <c r="AB177" s="870" t="s">
        <v>1370</v>
      </c>
      <c r="AC177" s="870" t="s">
        <v>119</v>
      </c>
      <c r="AD177" s="870" t="s">
        <v>1371</v>
      </c>
      <c r="AE177" s="870" t="s">
        <v>1668</v>
      </c>
      <c r="AF177" s="883">
        <v>37.799999999999997</v>
      </c>
      <c r="AG177" s="883">
        <v>29</v>
      </c>
      <c r="AH177" s="883" t="s">
        <v>122</v>
      </c>
      <c r="AI177" s="883" t="s">
        <v>122</v>
      </c>
      <c r="AJ177" s="870" t="s">
        <v>234</v>
      </c>
      <c r="AK177" s="870" t="s">
        <v>1372</v>
      </c>
      <c r="AL177" s="883"/>
      <c r="AM177" s="883"/>
      <c r="AN177" s="883" t="s">
        <v>1784</v>
      </c>
      <c r="AO177" s="883">
        <v>0.15</v>
      </c>
      <c r="AP177" s="883"/>
      <c r="AQ177" s="883"/>
      <c r="AR177" s="918">
        <v>10.1</v>
      </c>
      <c r="AS177" s="888">
        <v>3.3</v>
      </c>
      <c r="AT177" s="887">
        <v>2.6</v>
      </c>
      <c r="AU177" s="888">
        <v>4.5999999999999996</v>
      </c>
      <c r="AV177" s="888">
        <v>3.9</v>
      </c>
      <c r="AW177" s="904"/>
      <c r="AX177" s="889"/>
      <c r="AY177" s="883" t="s">
        <v>540</v>
      </c>
      <c r="AZ177" s="870"/>
      <c r="BA177" s="870" t="s">
        <v>1389</v>
      </c>
      <c r="BB177" s="883" t="s">
        <v>1390</v>
      </c>
      <c r="BC177" s="883" t="s">
        <v>205</v>
      </c>
      <c r="BD177" s="870" t="s">
        <v>206</v>
      </c>
      <c r="BE177" s="870"/>
      <c r="BF177" s="870"/>
      <c r="BG177" s="870"/>
      <c r="BH177" s="891" t="s">
        <v>1380</v>
      </c>
      <c r="BI177" s="914">
        <v>39953</v>
      </c>
      <c r="BJ177" s="907"/>
      <c r="BK177" s="907"/>
      <c r="BL177" s="907"/>
      <c r="BM177" s="907"/>
      <c r="BN177" s="907"/>
      <c r="BO177" s="891" t="s">
        <v>1921</v>
      </c>
      <c r="BP177" s="892"/>
      <c r="BQ177" s="891"/>
      <c r="BR177" s="904"/>
      <c r="BS177" s="904"/>
      <c r="BT177" s="891"/>
      <c r="BU177" s="891"/>
      <c r="BV177" s="892"/>
      <c r="BW177" s="892"/>
      <c r="BX177" s="893"/>
      <c r="BY177" s="891">
        <v>11</v>
      </c>
      <c r="BZ177" s="909"/>
      <c r="CA177" s="891" t="s">
        <v>2952</v>
      </c>
      <c r="CB177" s="891"/>
      <c r="CC177" s="891"/>
      <c r="CD177" s="893"/>
      <c r="CE177" s="890"/>
      <c r="CF177" s="915"/>
      <c r="CG177" s="891"/>
      <c r="CH177" s="891"/>
      <c r="CI177" s="891"/>
      <c r="CJ177" s="873"/>
      <c r="CK177" s="955"/>
    </row>
    <row r="178" spans="1:89" ht="25.5" x14ac:dyDescent="0.2">
      <c r="A178" s="890">
        <v>45.4</v>
      </c>
      <c r="B178" s="883" t="s">
        <v>1387</v>
      </c>
      <c r="C178" s="883"/>
      <c r="D178" s="870" t="s">
        <v>616</v>
      </c>
      <c r="E178" s="883" t="s">
        <v>4225</v>
      </c>
      <c r="F178" s="883">
        <v>2011</v>
      </c>
      <c r="G178" s="901" t="s">
        <v>1797</v>
      </c>
      <c r="H178" s="870" t="s">
        <v>207</v>
      </c>
      <c r="I178" s="886" t="s">
        <v>2518</v>
      </c>
      <c r="J178" s="883" t="s">
        <v>114</v>
      </c>
      <c r="K178" s="883" t="s">
        <v>1384</v>
      </c>
      <c r="L178" s="883">
        <v>330</v>
      </c>
      <c r="M178" s="883">
        <v>144</v>
      </c>
      <c r="N178" s="883" t="s">
        <v>1369</v>
      </c>
      <c r="O178" s="870" t="s">
        <v>1706</v>
      </c>
      <c r="P178" s="870"/>
      <c r="Q178" s="870"/>
      <c r="R178" s="870"/>
      <c r="S178" s="870"/>
      <c r="T178" s="870"/>
      <c r="U178" s="870"/>
      <c r="V178" s="870"/>
      <c r="W178" s="870"/>
      <c r="X178" s="870"/>
      <c r="Y178" s="870"/>
      <c r="Z178" s="870"/>
      <c r="AA178" s="870"/>
      <c r="AB178" s="870" t="s">
        <v>1370</v>
      </c>
      <c r="AC178" s="870" t="s">
        <v>119</v>
      </c>
      <c r="AD178" s="870" t="s">
        <v>1371</v>
      </c>
      <c r="AE178" s="870" t="s">
        <v>1668</v>
      </c>
      <c r="AF178" s="883">
        <v>37.799999999999997</v>
      </c>
      <c r="AG178" s="883">
        <v>29</v>
      </c>
      <c r="AH178" s="883" t="s">
        <v>122</v>
      </c>
      <c r="AI178" s="883" t="s">
        <v>122</v>
      </c>
      <c r="AJ178" s="870" t="s">
        <v>234</v>
      </c>
      <c r="AK178" s="870" t="s">
        <v>1372</v>
      </c>
      <c r="AL178" s="883"/>
      <c r="AM178" s="883"/>
      <c r="AN178" s="883" t="s">
        <v>1784</v>
      </c>
      <c r="AO178" s="883">
        <v>0.15</v>
      </c>
      <c r="AP178" s="883"/>
      <c r="AQ178" s="883"/>
      <c r="AR178" s="918">
        <v>10.1</v>
      </c>
      <c r="AS178" s="888">
        <v>3.3</v>
      </c>
      <c r="AT178" s="887">
        <v>2.6</v>
      </c>
      <c r="AU178" s="888">
        <v>4.5999999999999996</v>
      </c>
      <c r="AV178" s="888">
        <v>3.9</v>
      </c>
      <c r="AW178" s="904"/>
      <c r="AX178" s="889"/>
      <c r="AY178" s="883" t="s">
        <v>540</v>
      </c>
      <c r="AZ178" s="870"/>
      <c r="BA178" s="870" t="s">
        <v>208</v>
      </c>
      <c r="BB178" s="883" t="s">
        <v>209</v>
      </c>
      <c r="BC178" s="883" t="s">
        <v>205</v>
      </c>
      <c r="BD178" s="870" t="s">
        <v>206</v>
      </c>
      <c r="BE178" s="870"/>
      <c r="BF178" s="870"/>
      <c r="BG178" s="870"/>
      <c r="BH178" s="891" t="s">
        <v>1380</v>
      </c>
      <c r="BI178" s="914">
        <v>39953</v>
      </c>
      <c r="BJ178" s="907"/>
      <c r="BK178" s="907"/>
      <c r="BL178" s="907"/>
      <c r="BM178" s="907"/>
      <c r="BN178" s="907"/>
      <c r="BO178" s="891">
        <v>346</v>
      </c>
      <c r="BP178" s="892"/>
      <c r="BQ178" s="891"/>
      <c r="BR178" s="904"/>
      <c r="BS178" s="904"/>
      <c r="BT178" s="891"/>
      <c r="BU178" s="891"/>
      <c r="BV178" s="892"/>
      <c r="BW178" s="892"/>
      <c r="BX178" s="893"/>
      <c r="BY178" s="891">
        <v>11</v>
      </c>
      <c r="BZ178" s="909"/>
      <c r="CA178" s="891" t="s">
        <v>2952</v>
      </c>
      <c r="CB178" s="891"/>
      <c r="CC178" s="891"/>
      <c r="CD178" s="893"/>
      <c r="CE178" s="890"/>
      <c r="CF178" s="915"/>
      <c r="CG178" s="891"/>
      <c r="CH178" s="891"/>
      <c r="CI178" s="891"/>
      <c r="CJ178" s="873"/>
      <c r="CK178" s="955"/>
    </row>
    <row r="179" spans="1:89" ht="25.5" x14ac:dyDescent="0.2">
      <c r="A179" s="890">
        <v>48</v>
      </c>
      <c r="B179" s="870" t="s">
        <v>1897</v>
      </c>
      <c r="C179" s="870"/>
      <c r="D179" s="870" t="s">
        <v>638</v>
      </c>
      <c r="E179" s="883" t="s">
        <v>4225</v>
      </c>
      <c r="F179" s="870"/>
      <c r="G179" s="901" t="s">
        <v>1797</v>
      </c>
      <c r="H179" s="870" t="s">
        <v>1900</v>
      </c>
      <c r="I179" s="902" t="s">
        <v>194</v>
      </c>
      <c r="J179" s="870" t="s">
        <v>114</v>
      </c>
      <c r="K179" s="870" t="s">
        <v>2717</v>
      </c>
      <c r="L179" s="870">
        <v>337</v>
      </c>
      <c r="M179" s="870">
        <v>148</v>
      </c>
      <c r="N179" s="870" t="s">
        <v>1898</v>
      </c>
      <c r="O179" s="870" t="s">
        <v>1706</v>
      </c>
      <c r="P179" s="870"/>
      <c r="Q179" s="870"/>
      <c r="R179" s="870"/>
      <c r="S179" s="870"/>
      <c r="T179" s="870"/>
      <c r="U179" s="870"/>
      <c r="V179" s="870"/>
      <c r="W179" s="870"/>
      <c r="X179" s="870"/>
      <c r="Y179" s="870"/>
      <c r="Z179" s="870"/>
      <c r="AA179" s="870"/>
      <c r="AB179" s="870" t="s">
        <v>2717</v>
      </c>
      <c r="AC179" s="870" t="s">
        <v>83</v>
      </c>
      <c r="AD179" s="870" t="s">
        <v>2717</v>
      </c>
      <c r="AE179" s="870" t="s">
        <v>120</v>
      </c>
      <c r="AF179" s="870">
        <v>43.62</v>
      </c>
      <c r="AG179" s="870">
        <v>46.68</v>
      </c>
      <c r="AH179" s="870" t="s">
        <v>122</v>
      </c>
      <c r="AI179" s="870" t="s">
        <v>122</v>
      </c>
      <c r="AJ179" s="870" t="s">
        <v>234</v>
      </c>
      <c r="AK179" s="870" t="s">
        <v>1899</v>
      </c>
      <c r="AL179" s="870"/>
      <c r="AM179" s="870"/>
      <c r="AN179" s="870" t="s">
        <v>1784</v>
      </c>
      <c r="AO179" s="870"/>
      <c r="AP179" s="870" t="s">
        <v>2717</v>
      </c>
      <c r="AQ179" s="870"/>
      <c r="AR179" s="888">
        <v>11.4</v>
      </c>
      <c r="AS179" s="888" t="s">
        <v>2717</v>
      </c>
      <c r="AT179" s="888" t="s">
        <v>2717</v>
      </c>
      <c r="AU179" s="888" t="s">
        <v>2717</v>
      </c>
      <c r="AV179" s="888"/>
      <c r="AW179" s="904" t="e">
        <f>(100*PI()*(A179^2))/(40*AO179*AV179*453.5924)</f>
        <v>#DIV/0!</v>
      </c>
      <c r="AX179" s="935">
        <v>2005</v>
      </c>
      <c r="AY179" s="870" t="s">
        <v>1659</v>
      </c>
      <c r="AZ179" s="870">
        <v>630</v>
      </c>
      <c r="BA179" s="870" t="s">
        <v>2717</v>
      </c>
      <c r="BB179" s="870" t="s">
        <v>2717</v>
      </c>
      <c r="BC179" s="870" t="s">
        <v>2717</v>
      </c>
      <c r="BD179" s="870" t="s">
        <v>2717</v>
      </c>
      <c r="BE179" s="870"/>
      <c r="BF179" s="870"/>
      <c r="BG179" s="870"/>
      <c r="BH179" s="870" t="s">
        <v>2720</v>
      </c>
      <c r="BI179" s="906"/>
      <c r="BJ179" s="907"/>
      <c r="BK179" s="907"/>
      <c r="BL179" s="892">
        <f>BJ179+BK179</f>
        <v>0</v>
      </c>
      <c r="BM179" s="907"/>
      <c r="BN179" s="907"/>
      <c r="BO179" s="891"/>
      <c r="BP179" s="892" t="e">
        <f>IF(G179="Front",0.5*9.81*0.4535924*(BJ179+BL179*(BM179/BN179))*(BO179/1000),IF(G179="Rear",0.5*9.81*0.4535924*(BK179+BL179*(BM179/BN179))*(BO179/1000),"TBD"))</f>
        <v>#DIV/0!</v>
      </c>
      <c r="BQ179" s="891"/>
      <c r="BR179" s="904"/>
      <c r="BS179" s="904"/>
      <c r="BT179" s="908"/>
      <c r="BU179" s="892">
        <f>(2.4525*(BL179*0.4535924)*(0.8*(1000/3600)*BT179)*(BR179/100))/(AF179*2)</f>
        <v>0</v>
      </c>
      <c r="BV179" s="892" t="e">
        <f>(BP179/(M179/1000))/(2*AF179)</f>
        <v>#DIV/0!</v>
      </c>
      <c r="BW179" s="892" t="e">
        <f>(1.4*BP179/(M179/1000))/(2*AF179)</f>
        <v>#DIV/0!</v>
      </c>
      <c r="BX179" s="893">
        <f>0.5*(BL179/32.2)*((BO179*0.00328084)^2)*(BS179/100)</f>
        <v>0</v>
      </c>
      <c r="BY179" s="891">
        <v>20</v>
      </c>
      <c r="BZ179" s="909">
        <f>BX179/(L179*BY179)</f>
        <v>0</v>
      </c>
      <c r="CA179" s="891"/>
      <c r="CB179" s="891"/>
      <c r="CC179" s="893"/>
      <c r="CD179" s="893"/>
      <c r="CE179" s="890"/>
      <c r="CF179" s="890"/>
      <c r="CG179" s="890"/>
      <c r="CH179" s="890"/>
      <c r="CI179" s="890"/>
      <c r="CJ179" s="873"/>
      <c r="CK179" s="955"/>
    </row>
    <row r="180" spans="1:89" ht="25.5" x14ac:dyDescent="0.2">
      <c r="A180" s="893">
        <f>SQRT(2*36^2)</f>
        <v>50.911688245431421</v>
      </c>
      <c r="B180" s="870" t="s">
        <v>85</v>
      </c>
      <c r="C180" s="870"/>
      <c r="D180" s="870" t="s">
        <v>1787</v>
      </c>
      <c r="E180" s="883" t="s">
        <v>4225</v>
      </c>
      <c r="F180" s="870"/>
      <c r="G180" s="901" t="s">
        <v>1797</v>
      </c>
      <c r="H180" s="870" t="s">
        <v>95</v>
      </c>
      <c r="I180" s="902" t="s">
        <v>100</v>
      </c>
      <c r="J180" s="870" t="s">
        <v>114</v>
      </c>
      <c r="K180" s="870" t="s">
        <v>86</v>
      </c>
      <c r="L180" s="870">
        <v>350</v>
      </c>
      <c r="M180" s="870">
        <v>154.4</v>
      </c>
      <c r="N180" s="870" t="s">
        <v>87</v>
      </c>
      <c r="O180" s="870" t="s">
        <v>88</v>
      </c>
      <c r="P180" s="870"/>
      <c r="Q180" s="870"/>
      <c r="R180" s="870"/>
      <c r="S180" s="870"/>
      <c r="T180" s="870"/>
      <c r="U180" s="870"/>
      <c r="V180" s="870"/>
      <c r="W180" s="870"/>
      <c r="X180" s="870"/>
      <c r="Y180" s="870"/>
      <c r="Z180" s="870"/>
      <c r="AA180" s="870"/>
      <c r="AB180" s="870" t="s">
        <v>89</v>
      </c>
      <c r="AC180" s="870"/>
      <c r="AD180" s="870" t="s">
        <v>90</v>
      </c>
      <c r="AE180" s="870" t="s">
        <v>91</v>
      </c>
      <c r="AF180" s="870">
        <v>61.6</v>
      </c>
      <c r="AG180" s="870">
        <v>72.7</v>
      </c>
      <c r="AH180" s="870" t="s">
        <v>80</v>
      </c>
      <c r="AI180" s="870" t="s">
        <v>92</v>
      </c>
      <c r="AJ180" s="961" t="s">
        <v>93</v>
      </c>
      <c r="AK180" s="870" t="s">
        <v>94</v>
      </c>
      <c r="AL180" s="870"/>
      <c r="AM180" s="870"/>
      <c r="AN180" s="870" t="s">
        <v>1784</v>
      </c>
      <c r="AO180" s="870">
        <v>0.16</v>
      </c>
      <c r="AP180" s="870">
        <v>0.12</v>
      </c>
      <c r="AQ180" s="870"/>
      <c r="AR180" s="888">
        <v>20.9</v>
      </c>
      <c r="AS180" s="888">
        <v>6</v>
      </c>
      <c r="AT180" s="888">
        <v>5.4</v>
      </c>
      <c r="AU180" s="888">
        <v>12.2</v>
      </c>
      <c r="AV180" s="888">
        <v>11.7</v>
      </c>
      <c r="AW180" s="904">
        <v>24</v>
      </c>
      <c r="AX180" s="935">
        <v>37926</v>
      </c>
      <c r="AY180" s="870" t="s">
        <v>1790</v>
      </c>
      <c r="AZ180" s="870">
        <v>10</v>
      </c>
      <c r="BA180" s="870" t="s">
        <v>96</v>
      </c>
      <c r="BB180" s="870" t="s">
        <v>97</v>
      </c>
      <c r="BC180" s="870" t="s">
        <v>98</v>
      </c>
      <c r="BD180" s="870" t="s">
        <v>99</v>
      </c>
      <c r="BE180" s="870"/>
      <c r="BF180" s="870"/>
      <c r="BG180" s="870"/>
      <c r="BH180" s="870" t="s">
        <v>101</v>
      </c>
      <c r="BI180" s="906">
        <v>38117</v>
      </c>
      <c r="BJ180" s="892">
        <v>3073</v>
      </c>
      <c r="BK180" s="892">
        <v>2726</v>
      </c>
      <c r="BL180" s="892">
        <v>5799</v>
      </c>
      <c r="BM180" s="907">
        <v>608</v>
      </c>
      <c r="BN180" s="907">
        <v>2997</v>
      </c>
      <c r="BO180" s="891">
        <v>402</v>
      </c>
      <c r="BP180" s="892" t="s">
        <v>102</v>
      </c>
      <c r="BQ180" s="891">
        <v>0.38</v>
      </c>
      <c r="BR180" s="904" t="s">
        <v>819</v>
      </c>
      <c r="BS180" s="904" t="s">
        <v>819</v>
      </c>
      <c r="BT180" s="943">
        <v>256</v>
      </c>
      <c r="BU180" s="892">
        <v>978.8</v>
      </c>
      <c r="BV180" s="892">
        <v>89.6</v>
      </c>
      <c r="BW180" s="892" t="s">
        <v>819</v>
      </c>
      <c r="BX180" s="893">
        <v>63.7</v>
      </c>
      <c r="BY180" s="891">
        <v>30</v>
      </c>
      <c r="BZ180" s="909">
        <v>2.02E-4</v>
      </c>
      <c r="CA180" s="891" t="s">
        <v>819</v>
      </c>
      <c r="CB180" s="891" t="s">
        <v>92</v>
      </c>
      <c r="CC180" s="893">
        <v>37.700000000000003</v>
      </c>
      <c r="CD180" s="893">
        <v>22.1</v>
      </c>
      <c r="CE180" s="890" t="s">
        <v>103</v>
      </c>
      <c r="CF180" s="915">
        <v>0.38800000000000001</v>
      </c>
      <c r="CG180" s="890" t="s">
        <v>2523</v>
      </c>
      <c r="CH180" s="890"/>
      <c r="CI180" s="890">
        <v>1.0743000000000001E-2</v>
      </c>
      <c r="CJ180" s="873"/>
      <c r="CK180" s="955"/>
    </row>
    <row r="181" spans="1:89" ht="25.5" x14ac:dyDescent="0.2">
      <c r="A181" s="894">
        <v>51</v>
      </c>
      <c r="B181" s="883" t="s">
        <v>2869</v>
      </c>
      <c r="C181" s="883"/>
      <c r="D181" s="883" t="s">
        <v>2877</v>
      </c>
      <c r="E181" s="883" t="s">
        <v>4225</v>
      </c>
      <c r="F181" s="883"/>
      <c r="G181" s="901" t="s">
        <v>1797</v>
      </c>
      <c r="H181" s="883" t="s">
        <v>2873</v>
      </c>
      <c r="I181" s="886" t="s">
        <v>2906</v>
      </c>
      <c r="J181" s="883" t="s">
        <v>114</v>
      </c>
      <c r="K181" s="883"/>
      <c r="L181" s="883">
        <v>348</v>
      </c>
      <c r="M181" s="883">
        <v>155.5</v>
      </c>
      <c r="N181" s="883" t="s">
        <v>197</v>
      </c>
      <c r="O181" s="870" t="s">
        <v>2870</v>
      </c>
      <c r="P181" s="870"/>
      <c r="Q181" s="870"/>
      <c r="R181" s="870"/>
      <c r="S181" s="870"/>
      <c r="T181" s="870"/>
      <c r="U181" s="870"/>
      <c r="V181" s="870"/>
      <c r="W181" s="870"/>
      <c r="X181" s="870"/>
      <c r="Y181" s="870"/>
      <c r="Z181" s="870"/>
      <c r="AA181" s="870"/>
      <c r="AB181" s="870" t="s">
        <v>819</v>
      </c>
      <c r="AC181" s="883" t="s">
        <v>119</v>
      </c>
      <c r="AD181" s="870" t="s">
        <v>819</v>
      </c>
      <c r="AE181" s="883" t="s">
        <v>819</v>
      </c>
      <c r="AF181" s="883">
        <v>48</v>
      </c>
      <c r="AG181" s="883">
        <v>57.6</v>
      </c>
      <c r="AH181" s="883" t="s">
        <v>122</v>
      </c>
      <c r="AI181" s="883" t="s">
        <v>122</v>
      </c>
      <c r="AJ181" s="870" t="s">
        <v>2871</v>
      </c>
      <c r="AK181" s="891" t="s">
        <v>2872</v>
      </c>
      <c r="AL181" s="883"/>
      <c r="AM181" s="883"/>
      <c r="AN181" s="883" t="s">
        <v>1784</v>
      </c>
      <c r="AO181" s="883" t="s">
        <v>1921</v>
      </c>
      <c r="AP181" s="883" t="s">
        <v>1921</v>
      </c>
      <c r="AQ181" s="883"/>
      <c r="AR181" s="887" t="s">
        <v>1921</v>
      </c>
      <c r="AS181" s="888" t="s">
        <v>1921</v>
      </c>
      <c r="AT181" s="887" t="s">
        <v>1921</v>
      </c>
      <c r="AU181" s="888" t="s">
        <v>1921</v>
      </c>
      <c r="AV181" s="888" t="s">
        <v>1921</v>
      </c>
      <c r="AW181" s="904"/>
      <c r="AX181" s="889" t="s">
        <v>1921</v>
      </c>
      <c r="AY181" s="883" t="s">
        <v>1921</v>
      </c>
      <c r="AZ181" s="870" t="s">
        <v>1921</v>
      </c>
      <c r="BA181" s="870" t="s">
        <v>1921</v>
      </c>
      <c r="BB181" s="870" t="s">
        <v>1921</v>
      </c>
      <c r="BC181" s="883" t="s">
        <v>1921</v>
      </c>
      <c r="BD181" s="870" t="s">
        <v>1921</v>
      </c>
      <c r="BE181" s="870"/>
      <c r="BF181" s="870"/>
      <c r="BG181" s="870"/>
      <c r="BH181" s="891"/>
      <c r="BI181" s="906">
        <v>37462</v>
      </c>
      <c r="BJ181" s="907" t="s">
        <v>1921</v>
      </c>
      <c r="BK181" s="907" t="s">
        <v>1921</v>
      </c>
      <c r="BL181" s="892"/>
      <c r="BM181" s="907">
        <v>762</v>
      </c>
      <c r="BN181" s="907">
        <v>3302</v>
      </c>
      <c r="BO181" s="891">
        <v>373</v>
      </c>
      <c r="BP181" s="892"/>
      <c r="BQ181" s="891" t="s">
        <v>1921</v>
      </c>
      <c r="BR181" s="904" t="s">
        <v>1921</v>
      </c>
      <c r="BS181" s="904" t="s">
        <v>1921</v>
      </c>
      <c r="BT181" s="943">
        <v>179</v>
      </c>
      <c r="BU181" s="892"/>
      <c r="BV181" s="892"/>
      <c r="BW181" s="892"/>
      <c r="BX181" s="893"/>
      <c r="BY181" s="891">
        <v>30</v>
      </c>
      <c r="BZ181" s="909">
        <f>BX181/(L181*BY181)</f>
        <v>0</v>
      </c>
      <c r="CA181" s="891"/>
      <c r="CB181" s="891"/>
      <c r="CC181" s="893">
        <f>BU181*(2*AF181)/(2*1600)</f>
        <v>0</v>
      </c>
      <c r="CD181" s="893"/>
      <c r="CE181" s="890"/>
      <c r="CF181" s="915"/>
      <c r="CG181" s="890"/>
      <c r="CH181" s="890"/>
      <c r="CI181" s="890"/>
      <c r="CJ181" s="873"/>
      <c r="CK181" s="955"/>
    </row>
    <row r="182" spans="1:89" x14ac:dyDescent="0.2">
      <c r="A182" s="884">
        <v>51</v>
      </c>
      <c r="B182" s="883" t="s">
        <v>2934</v>
      </c>
      <c r="C182" s="883"/>
      <c r="D182" s="883" t="s">
        <v>848</v>
      </c>
      <c r="E182" s="883" t="s">
        <v>4225</v>
      </c>
      <c r="F182" s="883"/>
      <c r="G182" s="934"/>
      <c r="H182" s="870" t="s">
        <v>2937</v>
      </c>
      <c r="I182" s="886" t="s">
        <v>2932</v>
      </c>
      <c r="J182" s="883" t="s">
        <v>114</v>
      </c>
      <c r="K182" s="883">
        <v>1652</v>
      </c>
      <c r="L182" s="870">
        <v>332</v>
      </c>
      <c r="M182" s="883">
        <v>145.68</v>
      </c>
      <c r="N182" s="883" t="s">
        <v>1361</v>
      </c>
      <c r="O182" s="870" t="s">
        <v>2935</v>
      </c>
      <c r="P182" s="870"/>
      <c r="Q182" s="870"/>
      <c r="R182" s="870"/>
      <c r="S182" s="870"/>
      <c r="T182" s="870"/>
      <c r="U182" s="870"/>
      <c r="V182" s="870"/>
      <c r="W182" s="870"/>
      <c r="X182" s="870"/>
      <c r="Y182" s="870"/>
      <c r="Z182" s="870"/>
      <c r="AA182" s="870"/>
      <c r="AB182" s="870" t="s">
        <v>1742</v>
      </c>
      <c r="AC182" s="883" t="s">
        <v>710</v>
      </c>
      <c r="AD182" s="883" t="s">
        <v>2936</v>
      </c>
      <c r="AE182" s="883" t="s">
        <v>1668</v>
      </c>
      <c r="AF182" s="883">
        <v>44.1</v>
      </c>
      <c r="AG182" s="883">
        <v>41.7</v>
      </c>
      <c r="AH182" s="883" t="s">
        <v>122</v>
      </c>
      <c r="AI182" s="883" t="s">
        <v>1744</v>
      </c>
      <c r="AJ182" s="883" t="s">
        <v>234</v>
      </c>
      <c r="AK182" s="870" t="s">
        <v>373</v>
      </c>
      <c r="AL182" s="883"/>
      <c r="AM182" s="883"/>
      <c r="AN182" s="883" t="s">
        <v>1784</v>
      </c>
      <c r="AO182" s="883">
        <v>0.28000000000000003</v>
      </c>
      <c r="AP182" s="962">
        <v>0.28000000000000003</v>
      </c>
      <c r="AQ182" s="962"/>
      <c r="AR182" s="887">
        <v>5</v>
      </c>
      <c r="AS182" s="888">
        <v>1.47</v>
      </c>
      <c r="AT182" s="887">
        <v>1.3</v>
      </c>
      <c r="AU182" s="888">
        <v>3</v>
      </c>
      <c r="AV182" s="888"/>
      <c r="AW182" s="888"/>
      <c r="AX182" s="889">
        <v>2002.5</v>
      </c>
      <c r="AY182" s="883" t="s">
        <v>2938</v>
      </c>
      <c r="AZ182" s="870"/>
      <c r="BA182" s="870" t="s">
        <v>2939</v>
      </c>
      <c r="BB182" s="883" t="s">
        <v>2940</v>
      </c>
      <c r="BC182" s="883">
        <v>13646401</v>
      </c>
      <c r="BD182" s="870" t="s">
        <v>2941</v>
      </c>
      <c r="BE182" s="870"/>
      <c r="BF182" s="870"/>
      <c r="BG182" s="870"/>
      <c r="BH182" s="891" t="s">
        <v>2933</v>
      </c>
      <c r="BI182" s="891"/>
      <c r="BJ182" s="907">
        <v>3223</v>
      </c>
      <c r="BK182" s="907">
        <v>3779</v>
      </c>
      <c r="BL182" s="907">
        <v>7002</v>
      </c>
      <c r="BM182" s="907">
        <v>774.7</v>
      </c>
      <c r="BN182" s="907">
        <v>3505.2</v>
      </c>
      <c r="BO182" s="891">
        <v>332.74</v>
      </c>
      <c r="BP182" s="907">
        <f>1/2*9.8*(BJ182/2.2+BL182/2.2*BM182/BN182*1)*1*BO182/1000</f>
        <v>3535.4627823122532</v>
      </c>
      <c r="BQ182" s="891">
        <v>0.35</v>
      </c>
      <c r="BR182" s="904">
        <v>66.67</v>
      </c>
      <c r="BS182" s="904"/>
      <c r="BT182" s="943"/>
      <c r="BU182" s="898"/>
      <c r="BV182" s="898"/>
      <c r="BW182" s="898"/>
      <c r="BX182" s="890"/>
      <c r="BY182" s="891"/>
      <c r="BZ182" s="909"/>
      <c r="CA182" s="890"/>
      <c r="CB182" s="890"/>
      <c r="CC182" s="893"/>
      <c r="CD182" s="893"/>
      <c r="CE182" s="890"/>
      <c r="CF182" s="890"/>
      <c r="CG182" s="890"/>
      <c r="CH182" s="890"/>
      <c r="CI182" s="896"/>
      <c r="CJ182" s="873"/>
      <c r="CK182" s="955"/>
    </row>
    <row r="183" spans="1:89" ht="25.5" x14ac:dyDescent="0.2">
      <c r="A183" s="884">
        <v>54</v>
      </c>
      <c r="B183" s="883" t="s">
        <v>1654</v>
      </c>
      <c r="C183" s="883"/>
      <c r="D183" s="870" t="s">
        <v>2879</v>
      </c>
      <c r="E183" s="883" t="s">
        <v>4225</v>
      </c>
      <c r="F183" s="883">
        <v>2002</v>
      </c>
      <c r="G183" s="913" t="s">
        <v>1797</v>
      </c>
      <c r="H183" s="870" t="s">
        <v>2883</v>
      </c>
      <c r="I183" s="902" t="s">
        <v>2905</v>
      </c>
      <c r="J183" s="883" t="s">
        <v>114</v>
      </c>
      <c r="K183" s="883" t="s">
        <v>1655</v>
      </c>
      <c r="L183" s="883">
        <v>350</v>
      </c>
      <c r="M183" s="883">
        <v>154</v>
      </c>
      <c r="N183" s="883" t="s">
        <v>197</v>
      </c>
      <c r="O183" s="870" t="s">
        <v>116</v>
      </c>
      <c r="P183" s="870"/>
      <c r="Q183" s="870"/>
      <c r="R183" s="870"/>
      <c r="S183" s="870"/>
      <c r="T183" s="870"/>
      <c r="U183" s="870"/>
      <c r="V183" s="870"/>
      <c r="W183" s="870"/>
      <c r="X183" s="870"/>
      <c r="Y183" s="870"/>
      <c r="Z183" s="870"/>
      <c r="AA183" s="870"/>
      <c r="AB183" s="870" t="s">
        <v>1656</v>
      </c>
      <c r="AC183" s="870" t="s">
        <v>710</v>
      </c>
      <c r="AD183" s="870" t="s">
        <v>1657</v>
      </c>
      <c r="AE183" s="870" t="s">
        <v>120</v>
      </c>
      <c r="AF183" s="883">
        <v>47.8</v>
      </c>
      <c r="AG183" s="883">
        <v>39.5</v>
      </c>
      <c r="AH183" s="883" t="s">
        <v>80</v>
      </c>
      <c r="AI183" s="883" t="s">
        <v>80</v>
      </c>
      <c r="AJ183" s="883" t="s">
        <v>234</v>
      </c>
      <c r="AK183" s="870" t="s">
        <v>1658</v>
      </c>
      <c r="AL183" s="883"/>
      <c r="AM183" s="883"/>
      <c r="AN183" s="883" t="s">
        <v>1784</v>
      </c>
      <c r="AO183" s="883">
        <v>0.27</v>
      </c>
      <c r="AP183" s="962">
        <v>0.23</v>
      </c>
      <c r="AQ183" s="962"/>
      <c r="AR183" s="887">
        <v>11.4</v>
      </c>
      <c r="AS183" s="888">
        <v>3.3</v>
      </c>
      <c r="AT183" s="887">
        <v>2.9</v>
      </c>
      <c r="AU183" s="888">
        <v>6.8</v>
      </c>
      <c r="AV183" s="888">
        <v>5.8</v>
      </c>
      <c r="AW183" s="904">
        <f>(100*PI()*(A183^2))/(40*AO183*AV183*453.5924)</f>
        <v>32.241844123416264</v>
      </c>
      <c r="AX183" s="935">
        <v>37073</v>
      </c>
      <c r="AY183" s="883" t="s">
        <v>1659</v>
      </c>
      <c r="AZ183" s="870">
        <v>674</v>
      </c>
      <c r="BA183" s="870" t="s">
        <v>1711</v>
      </c>
      <c r="BB183" s="883" t="s">
        <v>1712</v>
      </c>
      <c r="BC183" s="883">
        <v>14518401</v>
      </c>
      <c r="BD183" s="870" t="s">
        <v>1713</v>
      </c>
      <c r="BE183" s="870"/>
      <c r="BF183" s="870"/>
      <c r="BG183" s="870"/>
      <c r="BH183" s="891" t="s">
        <v>1796</v>
      </c>
      <c r="BI183" s="914">
        <v>37809</v>
      </c>
      <c r="BJ183" s="892">
        <v>3279</v>
      </c>
      <c r="BK183" s="892">
        <v>3321</v>
      </c>
      <c r="BL183" s="892">
        <f>BJ183+BK183</f>
        <v>6600</v>
      </c>
      <c r="BM183" s="892">
        <v>777</v>
      </c>
      <c r="BN183" s="892">
        <v>3429</v>
      </c>
      <c r="BO183" s="890">
        <v>405.4</v>
      </c>
      <c r="BP183" s="892">
        <f>IF(G183="Front",0.5*9.81*0.4535924*(BJ183+BL183*(BM183/BN183)*1.1)*1.1*(BO183/1000),IF(G183="Rear",0.5*9.81*0.4535924*(BK183+BL183*(BM183/BN183)*0.9)*0.9*(BO183/1000),"TBD"))</f>
        <v>3788.5006859904133</v>
      </c>
      <c r="BQ183" s="890">
        <v>0.35</v>
      </c>
      <c r="BR183" s="893">
        <v>35</v>
      </c>
      <c r="BS183" s="893">
        <v>32</v>
      </c>
      <c r="BT183" s="894">
        <v>161</v>
      </c>
      <c r="BU183" s="892">
        <f>(2.4525*(BL183*0.4535924)*(0.8*(1000/3600)*BT183)*(BR183/100))/(AF183*2)</f>
        <v>961.70579988263603</v>
      </c>
      <c r="BV183" s="892">
        <f>(BP183/(M183/1000))/(2*AF183)</f>
        <v>257.32901469803932</v>
      </c>
      <c r="BW183" s="892">
        <f>(1.4*BP183/(M183/1000))/(2*AF183)</f>
        <v>360.26062057725494</v>
      </c>
      <c r="BX183" s="893">
        <f>0.5*(BL183/32.2)*((BO183*0.00328084)^2)*(BS183/100)</f>
        <v>58.01571349183704</v>
      </c>
      <c r="BY183" s="891">
        <v>20</v>
      </c>
      <c r="BZ183" s="909">
        <f>BX183/(L183*BY183)</f>
        <v>8.287959070262434E-3</v>
      </c>
      <c r="CA183" s="891">
        <v>179</v>
      </c>
      <c r="CB183" s="891">
        <v>215</v>
      </c>
      <c r="CC183" s="893">
        <f>BU183*(2*AF183)/(2*1600)</f>
        <v>28.730960771493752</v>
      </c>
      <c r="CD183" s="893">
        <f>BV183*(2*AF183)/(2*250)</f>
        <v>49.201307610265118</v>
      </c>
      <c r="CE183" s="890" t="str">
        <f>IF((CD183-CC183)&gt;0, "Shear","Power")</f>
        <v>Shear</v>
      </c>
      <c r="CF183" s="915">
        <f>(AF183/MAX(CC183,CD183))-1</f>
        <v>-2.8481105042272525E-2</v>
      </c>
      <c r="CG183" s="890"/>
      <c r="CH183" s="890"/>
      <c r="CI183" s="896"/>
      <c r="CJ183" s="873"/>
      <c r="CK183" s="955"/>
    </row>
    <row r="184" spans="1:89" ht="25.5" x14ac:dyDescent="0.2">
      <c r="A184" s="884">
        <v>54</v>
      </c>
      <c r="B184" s="883" t="s">
        <v>1654</v>
      </c>
      <c r="C184" s="883"/>
      <c r="D184" s="870" t="s">
        <v>2879</v>
      </c>
      <c r="E184" s="883" t="s">
        <v>4225</v>
      </c>
      <c r="F184" s="883">
        <v>2003</v>
      </c>
      <c r="G184" s="913" t="s">
        <v>1797</v>
      </c>
      <c r="H184" s="870" t="s">
        <v>2884</v>
      </c>
      <c r="I184" s="902" t="s">
        <v>2905</v>
      </c>
      <c r="J184" s="883" t="s">
        <v>114</v>
      </c>
      <c r="K184" s="883" t="s">
        <v>1715</v>
      </c>
      <c r="L184" s="883">
        <v>322</v>
      </c>
      <c r="M184" s="883">
        <v>139</v>
      </c>
      <c r="N184" s="883" t="s">
        <v>1361</v>
      </c>
      <c r="O184" s="870" t="s">
        <v>116</v>
      </c>
      <c r="P184" s="870"/>
      <c r="Q184" s="870"/>
      <c r="R184" s="870"/>
      <c r="S184" s="870"/>
      <c r="T184" s="870"/>
      <c r="U184" s="870"/>
      <c r="V184" s="870"/>
      <c r="W184" s="870"/>
      <c r="X184" s="870"/>
      <c r="Y184" s="870"/>
      <c r="Z184" s="870"/>
      <c r="AA184" s="870"/>
      <c r="AB184" s="870" t="s">
        <v>1656</v>
      </c>
      <c r="AC184" s="870" t="s">
        <v>710</v>
      </c>
      <c r="AD184" s="870" t="s">
        <v>1657</v>
      </c>
      <c r="AE184" s="870" t="s">
        <v>120</v>
      </c>
      <c r="AF184" s="883">
        <v>44.4</v>
      </c>
      <c r="AG184" s="883">
        <v>36.700000000000003</v>
      </c>
      <c r="AH184" s="883" t="s">
        <v>80</v>
      </c>
      <c r="AI184" s="883" t="s">
        <v>80</v>
      </c>
      <c r="AJ184" s="883" t="s">
        <v>234</v>
      </c>
      <c r="AK184" s="870" t="s">
        <v>1658</v>
      </c>
      <c r="AL184" s="883"/>
      <c r="AM184" s="883"/>
      <c r="AN184" s="883" t="s">
        <v>1784</v>
      </c>
      <c r="AO184" s="883">
        <v>0.27</v>
      </c>
      <c r="AP184" s="962">
        <v>0.23</v>
      </c>
      <c r="AQ184" s="962"/>
      <c r="AR184" s="887">
        <v>11.4</v>
      </c>
      <c r="AS184" s="888">
        <v>3.3</v>
      </c>
      <c r="AT184" s="887">
        <v>2.9</v>
      </c>
      <c r="AU184" s="888">
        <v>6.8</v>
      </c>
      <c r="AV184" s="888">
        <v>5.8</v>
      </c>
      <c r="AW184" s="904">
        <f>(100*PI()*(A184^2))/(40*AO184*AV184*453.5924)</f>
        <v>32.241844123416264</v>
      </c>
      <c r="AX184" s="889">
        <v>37438</v>
      </c>
      <c r="AY184" s="883" t="s">
        <v>1659</v>
      </c>
      <c r="AZ184" s="870">
        <v>400</v>
      </c>
      <c r="BA184" s="870" t="s">
        <v>1716</v>
      </c>
      <c r="BB184" s="883" t="s">
        <v>1717</v>
      </c>
      <c r="BC184" s="883">
        <v>14518401</v>
      </c>
      <c r="BD184" s="870" t="s">
        <v>1713</v>
      </c>
      <c r="BE184" s="870"/>
      <c r="BF184" s="870"/>
      <c r="BG184" s="870"/>
      <c r="BH184" s="891" t="s">
        <v>1796</v>
      </c>
      <c r="BI184" s="914">
        <v>37809</v>
      </c>
      <c r="BJ184" s="892">
        <v>3093</v>
      </c>
      <c r="BK184" s="892">
        <v>3307</v>
      </c>
      <c r="BL184" s="892">
        <f>BJ184+BK184</f>
        <v>6400</v>
      </c>
      <c r="BM184" s="892">
        <v>729</v>
      </c>
      <c r="BN184" s="892">
        <v>2946</v>
      </c>
      <c r="BO184" s="890">
        <v>369.6</v>
      </c>
      <c r="BP184" s="892">
        <f>IF(G184="Front",0.5*9.81*0.4535924*(BJ184+BL184*(BM184/BN184)*1.1)*1.1*(BO184/1000),IF(G184="Rear",0.5*9.81*0.4535924*(BK184+BL184*(BM184/BN184)*0.9)*0.9*(BO184/1000),"TBD"))</f>
        <v>3502.3119810335106</v>
      </c>
      <c r="BQ184" s="890">
        <v>0.35</v>
      </c>
      <c r="BR184" s="893">
        <v>35</v>
      </c>
      <c r="BS184" s="893">
        <v>34</v>
      </c>
      <c r="BT184" s="894">
        <v>177</v>
      </c>
      <c r="BU184" s="892">
        <f>(2.4525*(BL184*0.4535924)*(0.8*(1000/3600)*BT184)*(BR184/100))/(AF184*2)</f>
        <v>1103.749679502703</v>
      </c>
      <c r="BV184" s="892">
        <f>(BP184/(M184/1000))/(2*AF184)</f>
        <v>283.74424630837308</v>
      </c>
      <c r="BW184" s="892">
        <f>(1.4*BP184/(M184/1000))/(2*AF184)</f>
        <v>397.24194483172226</v>
      </c>
      <c r="BX184" s="893">
        <f>0.5*(BL184/32.2)*((BO184*0.00328084)^2)*(BS184/100)</f>
        <v>49.682912980308487</v>
      </c>
      <c r="BY184" s="891">
        <v>22</v>
      </c>
      <c r="BZ184" s="909">
        <f>BX184/(L184*BY184)</f>
        <v>7.0133982185641569E-3</v>
      </c>
      <c r="CA184" s="891">
        <v>186</v>
      </c>
      <c r="CB184" s="891">
        <v>216</v>
      </c>
      <c r="CC184" s="893">
        <f>BU184*(2*AF184)/(2*1600)</f>
        <v>30.629053606200003</v>
      </c>
      <c r="CD184" s="893">
        <f>BV184*(2*AF184)/(2*250)</f>
        <v>50.392978144367056</v>
      </c>
      <c r="CE184" s="890" t="str">
        <f>IF((CD184-CC184)&gt;0, "Shear","Power")</f>
        <v>Shear</v>
      </c>
      <c r="CF184" s="915">
        <f>(AF184/MAX(CC184,CD184))-1</f>
        <v>-0.11892486542863623</v>
      </c>
      <c r="CG184" s="892">
        <f>SUM(BJ184:BK184)</f>
        <v>6400</v>
      </c>
      <c r="CH184" s="890"/>
      <c r="CI184" s="896"/>
      <c r="CJ184" s="873"/>
      <c r="CK184" s="955"/>
    </row>
    <row r="185" spans="1:89" ht="25.5" x14ac:dyDescent="0.2">
      <c r="A185" s="884">
        <v>54</v>
      </c>
      <c r="B185" s="883" t="s">
        <v>1739</v>
      </c>
      <c r="C185" s="883"/>
      <c r="D185" s="883" t="s">
        <v>1091</v>
      </c>
      <c r="E185" s="883" t="s">
        <v>4225</v>
      </c>
      <c r="F185" s="883">
        <v>2004</v>
      </c>
      <c r="G185" s="913" t="s">
        <v>1797</v>
      </c>
      <c r="H185" s="891" t="s">
        <v>2886</v>
      </c>
      <c r="I185" s="886" t="s">
        <v>2864</v>
      </c>
      <c r="J185" s="883" t="s">
        <v>114</v>
      </c>
      <c r="K185" s="883" t="s">
        <v>1740</v>
      </c>
      <c r="L185" s="883">
        <v>331</v>
      </c>
      <c r="M185" s="883">
        <v>143.69999999999999</v>
      </c>
      <c r="N185" s="883" t="s">
        <v>1361</v>
      </c>
      <c r="O185" s="870" t="s">
        <v>1741</v>
      </c>
      <c r="P185" s="870"/>
      <c r="Q185" s="870"/>
      <c r="R185" s="870"/>
      <c r="S185" s="870"/>
      <c r="T185" s="870"/>
      <c r="U185" s="870"/>
      <c r="V185" s="870"/>
      <c r="W185" s="870"/>
      <c r="X185" s="870"/>
      <c r="Y185" s="870"/>
      <c r="Z185" s="870"/>
      <c r="AA185" s="870"/>
      <c r="AB185" s="870" t="s">
        <v>1742</v>
      </c>
      <c r="AC185" s="870" t="s">
        <v>710</v>
      </c>
      <c r="AD185" s="870" t="s">
        <v>1743</v>
      </c>
      <c r="AE185" s="870" t="s">
        <v>1668</v>
      </c>
      <c r="AF185" s="883">
        <v>32.200000000000003</v>
      </c>
      <c r="AG185" s="883">
        <v>29.62</v>
      </c>
      <c r="AH185" s="883" t="s">
        <v>122</v>
      </c>
      <c r="AI185" s="883" t="s">
        <v>1744</v>
      </c>
      <c r="AJ185" s="883" t="s">
        <v>234</v>
      </c>
      <c r="AK185" s="870" t="s">
        <v>2477</v>
      </c>
      <c r="AL185" s="883"/>
      <c r="AM185" s="883"/>
      <c r="AN185" s="883" t="s">
        <v>1784</v>
      </c>
      <c r="AO185" s="883">
        <v>0.28000000000000003</v>
      </c>
      <c r="AP185" s="962">
        <v>0.25</v>
      </c>
      <c r="AQ185" s="962"/>
      <c r="AR185" s="887">
        <v>11.9</v>
      </c>
      <c r="AS185" s="888">
        <v>4</v>
      </c>
      <c r="AT185" s="887">
        <v>3.5</v>
      </c>
      <c r="AU185" s="888">
        <v>6.9</v>
      </c>
      <c r="AV185" s="888">
        <v>6.4</v>
      </c>
      <c r="AW185" s="904">
        <v>28.175629406958631</v>
      </c>
      <c r="AX185" s="889">
        <v>37837</v>
      </c>
      <c r="AY185" s="883" t="s">
        <v>1669</v>
      </c>
      <c r="AZ185" s="870">
        <v>144</v>
      </c>
      <c r="BA185" s="870" t="s">
        <v>2478</v>
      </c>
      <c r="BB185" s="883" t="s">
        <v>2479</v>
      </c>
      <c r="BC185" s="883">
        <v>14586801</v>
      </c>
      <c r="BD185" s="870" t="s">
        <v>2480</v>
      </c>
      <c r="BE185" s="870"/>
      <c r="BF185" s="870"/>
      <c r="BG185" s="870"/>
      <c r="BH185" s="891" t="s">
        <v>2481</v>
      </c>
      <c r="BI185" s="914">
        <v>39595</v>
      </c>
      <c r="BJ185" s="892">
        <v>3405</v>
      </c>
      <c r="BK185" s="892">
        <v>3595</v>
      </c>
      <c r="BL185" s="892">
        <v>7000</v>
      </c>
      <c r="BM185" s="892">
        <v>770</v>
      </c>
      <c r="BN185" s="892">
        <v>3505</v>
      </c>
      <c r="BO185" s="890">
        <v>335.3</v>
      </c>
      <c r="BP185" s="892">
        <v>3342.9121292726895</v>
      </c>
      <c r="BQ185" s="890">
        <v>0.35</v>
      </c>
      <c r="BR185" s="893">
        <v>42</v>
      </c>
      <c r="BS185" s="893">
        <v>46</v>
      </c>
      <c r="BT185" s="894">
        <v>165</v>
      </c>
      <c r="BU185" s="892">
        <v>1862.1200608043478</v>
      </c>
      <c r="BV185" s="892">
        <v>361.22876434176288</v>
      </c>
      <c r="BW185" s="892">
        <v>505.72027007846799</v>
      </c>
      <c r="BX185" s="893">
        <v>44.7</v>
      </c>
      <c r="BY185" s="891">
        <v>22</v>
      </c>
      <c r="BZ185" s="909">
        <v>6.1384235100247191E-3</v>
      </c>
      <c r="CA185" s="891" t="s">
        <v>2952</v>
      </c>
      <c r="CB185" s="904" t="s">
        <v>1814</v>
      </c>
      <c r="CC185" s="893">
        <v>37.475166223687502</v>
      </c>
      <c r="CD185" s="893">
        <v>46.526264847219061</v>
      </c>
      <c r="CE185" s="890" t="s">
        <v>1049</v>
      </c>
      <c r="CF185" s="915">
        <v>-0.30791779426659394</v>
      </c>
      <c r="CG185" s="890">
        <v>1.7649999999999999</v>
      </c>
      <c r="CH185" s="890">
        <v>1.1759999999999999</v>
      </c>
      <c r="CI185" s="896">
        <v>1.1769999999999999E-2</v>
      </c>
      <c r="CJ185" s="873"/>
      <c r="CK185" s="955"/>
    </row>
    <row r="186" spans="1:89" ht="25.5" x14ac:dyDescent="0.2">
      <c r="A186" s="884">
        <v>54</v>
      </c>
      <c r="B186" s="883" t="s">
        <v>1654</v>
      </c>
      <c r="C186" s="883"/>
      <c r="D186" s="870" t="s">
        <v>2879</v>
      </c>
      <c r="E186" s="883" t="s">
        <v>4225</v>
      </c>
      <c r="F186" s="883">
        <v>2004</v>
      </c>
      <c r="G186" s="913" t="s">
        <v>1797</v>
      </c>
      <c r="H186" s="870" t="s">
        <v>2885</v>
      </c>
      <c r="I186" s="902" t="s">
        <v>2905</v>
      </c>
      <c r="J186" s="883" t="s">
        <v>114</v>
      </c>
      <c r="K186" s="883" t="s">
        <v>1655</v>
      </c>
      <c r="L186" s="883">
        <v>350</v>
      </c>
      <c r="M186" s="883">
        <v>154</v>
      </c>
      <c r="N186" s="883" t="s">
        <v>197</v>
      </c>
      <c r="O186" s="870" t="s">
        <v>116</v>
      </c>
      <c r="P186" s="870"/>
      <c r="Q186" s="870"/>
      <c r="R186" s="870"/>
      <c r="S186" s="870"/>
      <c r="T186" s="870"/>
      <c r="U186" s="870"/>
      <c r="V186" s="870"/>
      <c r="W186" s="870"/>
      <c r="X186" s="870"/>
      <c r="Y186" s="870"/>
      <c r="Z186" s="870"/>
      <c r="AA186" s="870"/>
      <c r="AB186" s="870" t="s">
        <v>1656</v>
      </c>
      <c r="AC186" s="870" t="s">
        <v>710</v>
      </c>
      <c r="AD186" s="870" t="s">
        <v>1657</v>
      </c>
      <c r="AE186" s="870" t="s">
        <v>120</v>
      </c>
      <c r="AF186" s="883">
        <v>47.8</v>
      </c>
      <c r="AG186" s="883">
        <v>39.5</v>
      </c>
      <c r="AH186" s="883" t="s">
        <v>80</v>
      </c>
      <c r="AI186" s="883" t="s">
        <v>80</v>
      </c>
      <c r="AJ186" s="883" t="s">
        <v>234</v>
      </c>
      <c r="AK186" s="870" t="s">
        <v>1658</v>
      </c>
      <c r="AL186" s="883"/>
      <c r="AM186" s="883"/>
      <c r="AN186" s="883" t="s">
        <v>1784</v>
      </c>
      <c r="AO186" s="883">
        <v>0.27</v>
      </c>
      <c r="AP186" s="962">
        <v>0.23</v>
      </c>
      <c r="AQ186" s="962"/>
      <c r="AR186" s="887">
        <v>11.4</v>
      </c>
      <c r="AS186" s="888">
        <v>3.3</v>
      </c>
      <c r="AT186" s="887">
        <v>2.9</v>
      </c>
      <c r="AU186" s="888">
        <v>6.8</v>
      </c>
      <c r="AV186" s="888">
        <v>5.8</v>
      </c>
      <c r="AW186" s="904">
        <f>(100*PI()*(A186^2))/(40*AO186*AV186*453.5924)</f>
        <v>32.241844123416264</v>
      </c>
      <c r="AX186" s="935">
        <v>37865</v>
      </c>
      <c r="AY186" s="883" t="s">
        <v>1659</v>
      </c>
      <c r="AZ186" s="870">
        <v>400</v>
      </c>
      <c r="BA186" s="870" t="s">
        <v>1711</v>
      </c>
      <c r="BB186" s="883" t="s">
        <v>1712</v>
      </c>
      <c r="BC186" s="883">
        <v>14518401</v>
      </c>
      <c r="BD186" s="870" t="s">
        <v>1713</v>
      </c>
      <c r="BE186" s="870"/>
      <c r="BF186" s="870"/>
      <c r="BG186" s="870"/>
      <c r="BH186" s="891" t="s">
        <v>1796</v>
      </c>
      <c r="BI186" s="914">
        <v>37809</v>
      </c>
      <c r="BJ186" s="892">
        <v>3150</v>
      </c>
      <c r="BK186" s="892">
        <v>3450</v>
      </c>
      <c r="BL186" s="892">
        <f>BJ186+BK186</f>
        <v>6600</v>
      </c>
      <c r="BM186" s="892">
        <v>729</v>
      </c>
      <c r="BN186" s="892">
        <v>2944</v>
      </c>
      <c r="BO186" s="890">
        <v>394</v>
      </c>
      <c r="BP186" s="892">
        <f>IF(G186="Front",0.5*9.81*0.4535924*(BJ186+BL186*(BM186/BN186)*1.1)*1.1*(BO186/1000),IF(G186="Rear",0.5*9.81*0.4535924*(BK186+BL186*(BM186/BN186)*0.9)*0.9*(BO186/1000),"TBD"))</f>
        <v>3882.2720511557773</v>
      </c>
      <c r="BQ186" s="890">
        <v>0.35</v>
      </c>
      <c r="BR186" s="893">
        <v>35</v>
      </c>
      <c r="BS186" s="893">
        <v>34</v>
      </c>
      <c r="BT186" s="894">
        <v>161</v>
      </c>
      <c r="BU186" s="892">
        <f>(2.4525*(BL186*0.4535924)*(0.8*(1000/3600)*BT186)*(BR186/100))/(AF186*2)</f>
        <v>961.70579988263603</v>
      </c>
      <c r="BV186" s="892">
        <f>(BP186/(M186/1000))/(2*AF186)</f>
        <v>263.6983135328328</v>
      </c>
      <c r="BW186" s="892">
        <f>(1.4*BP186/(M186/1000))/(2*AF186)</f>
        <v>369.1776389459659</v>
      </c>
      <c r="BX186" s="893">
        <f>0.5*(BL186/32.2)*((BO186*0.00328084)^2)*(BS186/100)</f>
        <v>58.223663910694711</v>
      </c>
      <c r="BY186" s="891">
        <v>22</v>
      </c>
      <c r="BZ186" s="909">
        <f>BX186/(L186*BY186)</f>
        <v>7.5615147935967153E-3</v>
      </c>
      <c r="CA186" s="891"/>
      <c r="CB186" s="891"/>
      <c r="CC186" s="893">
        <f>BU186*(2*AF186)/(2*1600)</f>
        <v>28.730960771493752</v>
      </c>
      <c r="CD186" s="893">
        <f>BV186*(2*AF186)/(2*250)</f>
        <v>50.419117547477626</v>
      </c>
      <c r="CE186" s="890" t="str">
        <f>IF((CD186-CC186)&gt;0, "Shear","Power")</f>
        <v>Shear</v>
      </c>
      <c r="CF186" s="915">
        <f>(AF186/MAX(CC186,CD186))-1</f>
        <v>-5.1946913688271423E-2</v>
      </c>
      <c r="CG186" s="890"/>
      <c r="CH186" s="890"/>
      <c r="CI186" s="896"/>
      <c r="CJ186" s="873"/>
      <c r="CK186" s="960"/>
    </row>
    <row r="187" spans="1:89" ht="25.5" x14ac:dyDescent="0.2">
      <c r="A187" s="894">
        <v>54</v>
      </c>
      <c r="B187" s="883" t="s">
        <v>2875</v>
      </c>
      <c r="C187" s="883"/>
      <c r="D187" s="883" t="s">
        <v>2877</v>
      </c>
      <c r="E187" s="883" t="s">
        <v>4225</v>
      </c>
      <c r="F187" s="883"/>
      <c r="G187" s="901" t="s">
        <v>1797</v>
      </c>
      <c r="H187" s="883" t="s">
        <v>2873</v>
      </c>
      <c r="I187" s="886" t="s">
        <v>2906</v>
      </c>
      <c r="J187" s="883" t="s">
        <v>114</v>
      </c>
      <c r="K187" s="883" t="s">
        <v>2876</v>
      </c>
      <c r="L187" s="883">
        <v>348</v>
      </c>
      <c r="M187" s="883">
        <v>155.5</v>
      </c>
      <c r="N187" s="883" t="s">
        <v>197</v>
      </c>
      <c r="O187" s="870"/>
      <c r="P187" s="870"/>
      <c r="Q187" s="870"/>
      <c r="R187" s="870"/>
      <c r="S187" s="870"/>
      <c r="T187" s="870"/>
      <c r="U187" s="870"/>
      <c r="V187" s="870"/>
      <c r="W187" s="870"/>
      <c r="X187" s="870"/>
      <c r="Y187" s="870"/>
      <c r="Z187" s="870"/>
      <c r="AA187" s="870"/>
      <c r="AB187" s="870" t="s">
        <v>819</v>
      </c>
      <c r="AC187" s="883" t="s">
        <v>119</v>
      </c>
      <c r="AD187" s="870" t="s">
        <v>819</v>
      </c>
      <c r="AE187" s="883" t="s">
        <v>819</v>
      </c>
      <c r="AF187" s="883">
        <v>48</v>
      </c>
      <c r="AG187" s="883">
        <v>57.6</v>
      </c>
      <c r="AH187" s="883" t="s">
        <v>122</v>
      </c>
      <c r="AI187" s="883" t="s">
        <v>122</v>
      </c>
      <c r="AJ187" s="870" t="s">
        <v>2871</v>
      </c>
      <c r="AK187" s="891" t="s">
        <v>2872</v>
      </c>
      <c r="AL187" s="883"/>
      <c r="AM187" s="883"/>
      <c r="AN187" s="883" t="s">
        <v>1784</v>
      </c>
      <c r="AO187" s="883">
        <v>0.2</v>
      </c>
      <c r="AP187" s="883"/>
      <c r="AQ187" s="883"/>
      <c r="AR187" s="887"/>
      <c r="AS187" s="888"/>
      <c r="AT187" s="887"/>
      <c r="AU187" s="888"/>
      <c r="AV187" s="888">
        <v>5.55</v>
      </c>
      <c r="AW187" s="904">
        <f>(100*PI()*(A187^2))/(40*AO187*AV187*453.5924)</f>
        <v>45.487142249792676</v>
      </c>
      <c r="AX187" s="889"/>
      <c r="AY187" s="883"/>
      <c r="AZ187" s="870"/>
      <c r="BA187" s="870"/>
      <c r="BB187" s="870"/>
      <c r="BC187" s="883"/>
      <c r="BD187" s="870"/>
      <c r="BE187" s="870"/>
      <c r="BF187" s="870"/>
      <c r="BG187" s="870"/>
      <c r="BH187" s="891"/>
      <c r="BI187" s="906">
        <v>37462</v>
      </c>
      <c r="BJ187" s="907">
        <v>3381</v>
      </c>
      <c r="BK187" s="907">
        <v>4302</v>
      </c>
      <c r="BL187" s="892">
        <f>BJ187+BK187</f>
        <v>7683</v>
      </c>
      <c r="BM187" s="907">
        <v>762</v>
      </c>
      <c r="BN187" s="907">
        <v>3302</v>
      </c>
      <c r="BO187" s="891">
        <v>373</v>
      </c>
      <c r="BP187" s="892">
        <f>IF(G187="Front",0.5*9.81*0.4535924*(BJ187+BL187*(BM187/BN187)*1.1)*1.1*(BO187/1000),IF(G187="Rear",0.5*9.81*0.4535924*(BK187+BL187*(BM187/BN187)*0.9)*0.9*(BO187/1000),"TBD"))</f>
        <v>4404.9278531816972</v>
      </c>
      <c r="BQ187" s="891">
        <v>0.36</v>
      </c>
      <c r="BR187" s="904">
        <v>46</v>
      </c>
      <c r="BS187" s="904" t="s">
        <v>1921</v>
      </c>
      <c r="BT187" s="943">
        <v>179</v>
      </c>
      <c r="BU187" s="892">
        <f>(2.4525*(BL187*0.4535924)*(0.8*(1000/3600)*BT187)*(BR187/100))/(AF187*2)</f>
        <v>1629.0436989372165</v>
      </c>
      <c r="BV187" s="892">
        <f>(BP187/(M187/1000))/(2*AF187)</f>
        <v>295.07823239427233</v>
      </c>
      <c r="BW187" s="892">
        <f>(1.4*BP187/(M187/1000))/(2*AF187)</f>
        <v>413.10952535198118</v>
      </c>
      <c r="BX187" s="893"/>
      <c r="BY187" s="891">
        <v>30</v>
      </c>
      <c r="BZ187" s="909"/>
      <c r="CA187" s="891"/>
      <c r="CB187" s="891"/>
      <c r="CC187" s="893">
        <f>BU187*(2*AF187)/(2*1600)</f>
        <v>48.871310968116497</v>
      </c>
      <c r="CD187" s="893">
        <f>BV187*(2*AF187)/(2*250)</f>
        <v>56.655020619700288</v>
      </c>
      <c r="CE187" s="890" t="str">
        <f>IF((CD187-CC187)&gt;0, "Shear","Power")</f>
        <v>Shear</v>
      </c>
      <c r="CF187" s="915">
        <f>(AF187/MAX(CC187,CD187))-1</f>
        <v>-0.15276705444690519</v>
      </c>
      <c r="CG187" s="890"/>
      <c r="CH187" s="890"/>
      <c r="CI187" s="890"/>
      <c r="CJ187" s="873"/>
      <c r="CK187" s="955"/>
    </row>
    <row r="188" spans="1:89" ht="25.5" x14ac:dyDescent="0.2">
      <c r="A188" s="890">
        <v>54</v>
      </c>
      <c r="B188" s="883" t="s">
        <v>1718</v>
      </c>
      <c r="C188" s="883"/>
      <c r="D188" s="883" t="s">
        <v>1787</v>
      </c>
      <c r="E188" s="883" t="s">
        <v>4225</v>
      </c>
      <c r="F188" s="883"/>
      <c r="G188" s="913" t="s">
        <v>1738</v>
      </c>
      <c r="H188" s="870" t="s">
        <v>1734</v>
      </c>
      <c r="I188" s="886" t="s">
        <v>1795</v>
      </c>
      <c r="J188" s="883" t="s">
        <v>114</v>
      </c>
      <c r="K188" s="883" t="s">
        <v>1719</v>
      </c>
      <c r="L188" s="883">
        <v>257</v>
      </c>
      <c r="M188" s="883">
        <v>102.9</v>
      </c>
      <c r="N188" s="883" t="s">
        <v>115</v>
      </c>
      <c r="O188" s="870" t="s">
        <v>116</v>
      </c>
      <c r="P188" s="870"/>
      <c r="Q188" s="870"/>
      <c r="R188" s="870"/>
      <c r="S188" s="870"/>
      <c r="T188" s="870"/>
      <c r="U188" s="870"/>
      <c r="V188" s="870"/>
      <c r="W188" s="870"/>
      <c r="X188" s="870"/>
      <c r="Y188" s="870"/>
      <c r="Z188" s="870"/>
      <c r="AA188" s="870"/>
      <c r="AB188" s="870" t="s">
        <v>1720</v>
      </c>
      <c r="AC188" s="870" t="s">
        <v>119</v>
      </c>
      <c r="AD188" s="870" t="s">
        <v>1721</v>
      </c>
      <c r="AE188" s="870" t="s">
        <v>120</v>
      </c>
      <c r="AF188" s="948">
        <f>(45.24+42.22)/2</f>
        <v>43.730000000000004</v>
      </c>
      <c r="AG188" s="883" t="s">
        <v>1722</v>
      </c>
      <c r="AH188" s="883" t="s">
        <v>122</v>
      </c>
      <c r="AI188" s="883" t="s">
        <v>80</v>
      </c>
      <c r="AJ188" s="883" t="s">
        <v>234</v>
      </c>
      <c r="AK188" s="870" t="s">
        <v>1723</v>
      </c>
      <c r="AL188" s="883" t="s">
        <v>1784</v>
      </c>
      <c r="AM188" s="883"/>
      <c r="AN188" s="883"/>
      <c r="AO188" s="883">
        <v>0.33</v>
      </c>
      <c r="AP188" s="962">
        <v>0.32</v>
      </c>
      <c r="AQ188" s="962"/>
      <c r="AR188" s="887">
        <v>8.3000000000000007</v>
      </c>
      <c r="AS188" s="888" t="s">
        <v>157</v>
      </c>
      <c r="AT188" s="887" t="s">
        <v>157</v>
      </c>
      <c r="AU188" s="888">
        <v>6.8</v>
      </c>
      <c r="AV188" s="888">
        <v>6.2</v>
      </c>
      <c r="AW188" s="904">
        <f>(100*PI()*(A188^2))/(40*AO188*AV188*453.5924)</f>
        <v>24.677775120855266</v>
      </c>
      <c r="AX188" s="889">
        <v>36100</v>
      </c>
      <c r="AY188" s="883" t="s">
        <v>1659</v>
      </c>
      <c r="AZ188" s="870">
        <v>400</v>
      </c>
      <c r="BA188" s="870" t="s">
        <v>1735</v>
      </c>
      <c r="BB188" s="870" t="s">
        <v>1736</v>
      </c>
      <c r="BC188" s="883">
        <v>13682603</v>
      </c>
      <c r="BD188" s="870" t="s">
        <v>1737</v>
      </c>
      <c r="BE188" s="870"/>
      <c r="BF188" s="870"/>
      <c r="BG188" s="870"/>
      <c r="BH188" s="891" t="s">
        <v>1796</v>
      </c>
      <c r="BI188" s="914">
        <v>38441</v>
      </c>
      <c r="BJ188" s="892">
        <v>1971</v>
      </c>
      <c r="BK188" s="892">
        <v>1651</v>
      </c>
      <c r="BL188" s="892">
        <v>3622</v>
      </c>
      <c r="BM188" s="892">
        <v>477.5</v>
      </c>
      <c r="BN188" s="892">
        <v>2641.6</v>
      </c>
      <c r="BO188" s="890">
        <v>278</v>
      </c>
      <c r="BP188" s="892">
        <f>IF(G188="Front",0.5*9.81*0.4535924*(BJ188+BL188*(BM188/BN188)*1.1)*1.1*(BO188/1000),IF(G188="Rear",0.5*9.81*0.4535924*(BK188+BL188*(BM188/BN188)*0.9)*0.9*(BO188/1000),"TBD"))</f>
        <v>1830.9931516268437</v>
      </c>
      <c r="BQ188" s="890">
        <v>0.35</v>
      </c>
      <c r="BR188" s="893">
        <v>65</v>
      </c>
      <c r="BS188" s="893">
        <v>64</v>
      </c>
      <c r="BT188" s="894">
        <v>190</v>
      </c>
      <c r="BU188" s="892">
        <f>(2.4525*(BL188*0.4535924)*(0.8*(1000/3600)*BT188)*(BR188/100))/(AF188*2)</f>
        <v>1264.3525888061517</v>
      </c>
      <c r="BV188" s="892">
        <f>(BP188/(M188/1000))/(2*AF188)</f>
        <v>203.45195722702096</v>
      </c>
      <c r="BW188" s="892">
        <f>(1.4*BP188/(M188/1000))/(2*AF188)</f>
        <v>284.8327401178293</v>
      </c>
      <c r="BX188" s="893">
        <f>0.5*(BL188/32.2)*((BO188*0.00328084)^2)*(BS188/100)</f>
        <v>29.943478256061216</v>
      </c>
      <c r="BY188" s="891">
        <v>22</v>
      </c>
      <c r="BZ188" s="909">
        <f>BX188/(L188*BY188)</f>
        <v>5.2959812974993307E-3</v>
      </c>
      <c r="CA188" s="891">
        <v>214</v>
      </c>
      <c r="CB188" s="891">
        <v>230</v>
      </c>
      <c r="CC188" s="893">
        <f>BU188*(2*AF188)/(2*1600)</f>
        <v>34.556336692808138</v>
      </c>
      <c r="CD188" s="893">
        <f>BV188*(2*AF188)/(2*250)</f>
        <v>35.587816358150505</v>
      </c>
      <c r="CE188" s="890" t="str">
        <f>IF((CD188-CC188)&gt;0, "Shear","Power")</f>
        <v>Shear</v>
      </c>
      <c r="CF188" s="915">
        <f>(AF188/MAX(CC188,CD188))-1</f>
        <v>0.2287913245338733</v>
      </c>
      <c r="CG188" s="890" t="s">
        <v>1786</v>
      </c>
      <c r="CH188" s="890" t="s">
        <v>1786</v>
      </c>
      <c r="CI188" s="890" t="s">
        <v>1786</v>
      </c>
      <c r="CJ188" s="873"/>
      <c r="CK188" s="955"/>
    </row>
    <row r="189" spans="1:89" ht="45" customHeight="1" x14ac:dyDescent="0.2">
      <c r="A189" s="890">
        <v>54</v>
      </c>
      <c r="B189" s="883" t="s">
        <v>1413</v>
      </c>
      <c r="C189" s="883"/>
      <c r="D189" s="883" t="s">
        <v>2338</v>
      </c>
      <c r="E189" s="883" t="s">
        <v>4225</v>
      </c>
      <c r="F189" s="883"/>
      <c r="G189" s="885"/>
      <c r="H189" s="870" t="s">
        <v>1417</v>
      </c>
      <c r="I189" s="886" t="s">
        <v>1421</v>
      </c>
      <c r="J189" s="883"/>
      <c r="K189" s="883"/>
      <c r="L189" s="883">
        <v>257</v>
      </c>
      <c r="M189" s="883">
        <v>102.9</v>
      </c>
      <c r="N189" s="883" t="s">
        <v>115</v>
      </c>
      <c r="O189" s="870" t="s">
        <v>1741</v>
      </c>
      <c r="P189" s="870"/>
      <c r="Q189" s="870"/>
      <c r="R189" s="870"/>
      <c r="S189" s="870"/>
      <c r="T189" s="870"/>
      <c r="U189" s="870"/>
      <c r="V189" s="870"/>
      <c r="W189" s="870"/>
      <c r="X189" s="870"/>
      <c r="Y189" s="870"/>
      <c r="Z189" s="870"/>
      <c r="AA189" s="870"/>
      <c r="AB189" s="870" t="s">
        <v>1414</v>
      </c>
      <c r="AC189" s="870" t="s">
        <v>710</v>
      </c>
      <c r="AD189" s="870"/>
      <c r="AE189" s="870" t="s">
        <v>1801</v>
      </c>
      <c r="AF189" s="883" t="s">
        <v>1415</v>
      </c>
      <c r="AG189" s="883" t="s">
        <v>1416</v>
      </c>
      <c r="AH189" s="883"/>
      <c r="AI189" s="883" t="s">
        <v>80</v>
      </c>
      <c r="AJ189" s="883" t="s">
        <v>234</v>
      </c>
      <c r="AK189" s="870" t="s">
        <v>1620</v>
      </c>
      <c r="AL189" s="883" t="s">
        <v>1784</v>
      </c>
      <c r="AM189" s="883"/>
      <c r="AN189" s="883"/>
      <c r="AO189" s="883">
        <v>0.46</v>
      </c>
      <c r="AP189" s="883">
        <v>0.52</v>
      </c>
      <c r="AQ189" s="883"/>
      <c r="AR189" s="887">
        <v>7</v>
      </c>
      <c r="AS189" s="888" t="s">
        <v>157</v>
      </c>
      <c r="AT189" s="887" t="s">
        <v>157</v>
      </c>
      <c r="AU189" s="888">
        <v>5.4</v>
      </c>
      <c r="AV189" s="888"/>
      <c r="AW189" s="888"/>
      <c r="AX189" s="889" t="s">
        <v>1970</v>
      </c>
      <c r="AY189" s="883" t="s">
        <v>1659</v>
      </c>
      <c r="AZ189" s="870">
        <v>571</v>
      </c>
      <c r="BA189" s="870" t="s">
        <v>1418</v>
      </c>
      <c r="BB189" s="883" t="s">
        <v>1419</v>
      </c>
      <c r="BC189" s="883">
        <v>12576903</v>
      </c>
      <c r="BD189" s="870" t="s">
        <v>1420</v>
      </c>
      <c r="BE189" s="870"/>
      <c r="BF189" s="870"/>
      <c r="BG189" s="870"/>
      <c r="BH189" s="870" t="s">
        <v>1809</v>
      </c>
      <c r="BI189" s="890"/>
      <c r="BJ189" s="892"/>
      <c r="BK189" s="892"/>
      <c r="BL189" s="892"/>
      <c r="BM189" s="892"/>
      <c r="BN189" s="892"/>
      <c r="BO189" s="890"/>
      <c r="BP189" s="892" t="e">
        <f>1/2*9.8*(BJ189/2.2+BL189/2.2*BM189/BN189*1)*1*BO189/1000</f>
        <v>#DIV/0!</v>
      </c>
      <c r="BQ189" s="890">
        <v>0.35</v>
      </c>
      <c r="BR189" s="893"/>
      <c r="BS189" s="893"/>
      <c r="BT189" s="894"/>
      <c r="BU189" s="892"/>
      <c r="BV189" s="892"/>
      <c r="BW189" s="892"/>
      <c r="BX189" s="890"/>
      <c r="BY189" s="890"/>
      <c r="BZ189" s="895"/>
      <c r="CA189" s="890"/>
      <c r="CB189" s="890"/>
      <c r="CC189" s="893"/>
      <c r="CD189" s="893"/>
      <c r="CE189" s="890"/>
      <c r="CF189" s="890"/>
      <c r="CG189" s="890"/>
      <c r="CH189" s="890"/>
      <c r="CI189" s="890"/>
      <c r="CJ189" s="873"/>
      <c r="CK189" s="870"/>
    </row>
    <row r="190" spans="1:89" ht="25.5" x14ac:dyDescent="0.2">
      <c r="A190" s="890">
        <v>54</v>
      </c>
      <c r="B190" s="883" t="s">
        <v>1422</v>
      </c>
      <c r="C190" s="883"/>
      <c r="D190" s="883" t="s">
        <v>2338</v>
      </c>
      <c r="E190" s="883" t="s">
        <v>4225</v>
      </c>
      <c r="F190" s="883"/>
      <c r="G190" s="885"/>
      <c r="H190" s="870" t="s">
        <v>1427</v>
      </c>
      <c r="I190" s="886" t="s">
        <v>1421</v>
      </c>
      <c r="J190" s="883"/>
      <c r="K190" s="883"/>
      <c r="L190" s="883">
        <v>257</v>
      </c>
      <c r="M190" s="883">
        <v>102.9</v>
      </c>
      <c r="N190" s="883" t="s">
        <v>115</v>
      </c>
      <c r="O190" s="870" t="s">
        <v>1741</v>
      </c>
      <c r="P190" s="870"/>
      <c r="Q190" s="870"/>
      <c r="R190" s="870"/>
      <c r="S190" s="870"/>
      <c r="T190" s="870"/>
      <c r="U190" s="870"/>
      <c r="V190" s="870"/>
      <c r="W190" s="870"/>
      <c r="X190" s="870"/>
      <c r="Y190" s="870"/>
      <c r="Z190" s="870"/>
      <c r="AA190" s="870"/>
      <c r="AB190" s="870" t="s">
        <v>1423</v>
      </c>
      <c r="AC190" s="870" t="s">
        <v>119</v>
      </c>
      <c r="AD190" s="870"/>
      <c r="AE190" s="870" t="s">
        <v>120</v>
      </c>
      <c r="AF190" s="883" t="s">
        <v>1424</v>
      </c>
      <c r="AG190" s="883" t="s">
        <v>1425</v>
      </c>
      <c r="AH190" s="883"/>
      <c r="AI190" s="883" t="s">
        <v>80</v>
      </c>
      <c r="AJ190" s="883" t="s">
        <v>234</v>
      </c>
      <c r="AK190" s="870" t="s">
        <v>1723</v>
      </c>
      <c r="AL190" s="883" t="s">
        <v>1784</v>
      </c>
      <c r="AM190" s="883"/>
      <c r="AN190" s="883"/>
      <c r="AO190" s="883">
        <v>0.36</v>
      </c>
      <c r="AP190" s="883" t="s">
        <v>1426</v>
      </c>
      <c r="AQ190" s="883"/>
      <c r="AR190" s="887">
        <v>7.6</v>
      </c>
      <c r="AS190" s="888" t="s">
        <v>157</v>
      </c>
      <c r="AT190" s="887" t="s">
        <v>157</v>
      </c>
      <c r="AU190" s="888">
        <v>6</v>
      </c>
      <c r="AV190" s="888"/>
      <c r="AW190" s="888"/>
      <c r="AX190" s="889" t="s">
        <v>1970</v>
      </c>
      <c r="AY190" s="883" t="s">
        <v>1659</v>
      </c>
      <c r="AZ190" s="870">
        <v>660</v>
      </c>
      <c r="BA190" s="870" t="s">
        <v>1428</v>
      </c>
      <c r="BB190" s="883" t="s">
        <v>1429</v>
      </c>
      <c r="BC190" s="883" t="s">
        <v>1430</v>
      </c>
      <c r="BD190" s="870" t="s">
        <v>1431</v>
      </c>
      <c r="BE190" s="870"/>
      <c r="BF190" s="870"/>
      <c r="BG190" s="870"/>
      <c r="BH190" s="870" t="s">
        <v>1809</v>
      </c>
      <c r="BI190" s="890"/>
      <c r="BJ190" s="897"/>
      <c r="BK190" s="897"/>
      <c r="BL190" s="897"/>
      <c r="BM190" s="897"/>
      <c r="BN190" s="897"/>
      <c r="BO190" s="870"/>
      <c r="BP190" s="898" t="e">
        <f>1/2*9.8*(BJ190/2.2+BL190/2.2*BM190/BN190*1)*1*BO190/1000</f>
        <v>#DIV/0!</v>
      </c>
      <c r="BQ190" s="870">
        <v>0.35</v>
      </c>
      <c r="BR190" s="888"/>
      <c r="BS190" s="888"/>
      <c r="BT190" s="899"/>
      <c r="BU190" s="897"/>
      <c r="BV190" s="897"/>
      <c r="BW190" s="897"/>
      <c r="BX190" s="890"/>
      <c r="BY190" s="890"/>
      <c r="BZ190" s="895"/>
      <c r="CA190" s="890"/>
      <c r="CB190" s="890"/>
      <c r="CC190" s="893"/>
      <c r="CD190" s="893"/>
      <c r="CE190" s="890"/>
      <c r="CF190" s="890"/>
      <c r="CG190" s="890"/>
      <c r="CH190" s="890"/>
      <c r="CI190" s="890"/>
      <c r="CJ190" s="873"/>
      <c r="CK190" s="955"/>
    </row>
    <row r="191" spans="1:89" x14ac:dyDescent="0.2">
      <c r="A191" s="890">
        <v>54</v>
      </c>
      <c r="B191" s="883" t="s">
        <v>1432</v>
      </c>
      <c r="C191" s="883"/>
      <c r="D191" s="883" t="s">
        <v>2338</v>
      </c>
      <c r="E191" s="883" t="s">
        <v>4225</v>
      </c>
      <c r="F191" s="883"/>
      <c r="G191" s="885"/>
      <c r="H191" s="870" t="s">
        <v>1436</v>
      </c>
      <c r="I191" s="886" t="s">
        <v>1421</v>
      </c>
      <c r="J191" s="883"/>
      <c r="K191" s="883"/>
      <c r="L191" s="883"/>
      <c r="M191" s="883"/>
      <c r="N191" s="883"/>
      <c r="O191" s="870" t="s">
        <v>1741</v>
      </c>
      <c r="P191" s="870"/>
      <c r="Q191" s="870"/>
      <c r="R191" s="870"/>
      <c r="S191" s="870"/>
      <c r="T191" s="870"/>
      <c r="U191" s="870"/>
      <c r="V191" s="870"/>
      <c r="W191" s="870"/>
      <c r="X191" s="870"/>
      <c r="Y191" s="870"/>
      <c r="Z191" s="870"/>
      <c r="AA191" s="870"/>
      <c r="AB191" s="870" t="s">
        <v>1433</v>
      </c>
      <c r="AC191" s="870" t="s">
        <v>710</v>
      </c>
      <c r="AD191" s="870"/>
      <c r="AE191" s="870"/>
      <c r="AF191" s="883" t="s">
        <v>1434</v>
      </c>
      <c r="AG191" s="883" t="s">
        <v>1435</v>
      </c>
      <c r="AH191" s="883"/>
      <c r="AI191" s="883"/>
      <c r="AJ191" s="883" t="s">
        <v>234</v>
      </c>
      <c r="AK191" s="870" t="s">
        <v>1620</v>
      </c>
      <c r="AL191" s="883" t="s">
        <v>1784</v>
      </c>
      <c r="AM191" s="883"/>
      <c r="AN191" s="883"/>
      <c r="AO191" s="883"/>
      <c r="AP191" s="883"/>
      <c r="AQ191" s="883"/>
      <c r="AR191" s="887">
        <v>6.2</v>
      </c>
      <c r="AS191" s="888"/>
      <c r="AT191" s="887" t="s">
        <v>157</v>
      </c>
      <c r="AU191" s="888"/>
      <c r="AV191" s="888"/>
      <c r="AW191" s="888"/>
      <c r="AX191" s="889" t="s">
        <v>1970</v>
      </c>
      <c r="AY191" s="883" t="s">
        <v>1659</v>
      </c>
      <c r="AZ191" s="870"/>
      <c r="BA191" s="870" t="s">
        <v>1437</v>
      </c>
      <c r="BB191" s="883" t="s">
        <v>1438</v>
      </c>
      <c r="BC191" s="883">
        <v>125769</v>
      </c>
      <c r="BD191" s="870" t="s">
        <v>1439</v>
      </c>
      <c r="BE191" s="870"/>
      <c r="BF191" s="870"/>
      <c r="BG191" s="870"/>
      <c r="BH191" s="870" t="s">
        <v>1809</v>
      </c>
      <c r="BI191" s="890"/>
      <c r="BJ191" s="892"/>
      <c r="BK191" s="892"/>
      <c r="BL191" s="892"/>
      <c r="BM191" s="892"/>
      <c r="BN191" s="892"/>
      <c r="BO191" s="890"/>
      <c r="BP191" s="892"/>
      <c r="BQ191" s="890"/>
      <c r="BR191" s="893"/>
      <c r="BS191" s="893"/>
      <c r="BT191" s="894"/>
      <c r="BU191" s="892"/>
      <c r="BV191" s="892"/>
      <c r="BW191" s="892"/>
      <c r="BX191" s="890"/>
      <c r="BY191" s="890"/>
      <c r="BZ191" s="895"/>
      <c r="CA191" s="890"/>
      <c r="CB191" s="890"/>
      <c r="CC191" s="893"/>
      <c r="CD191" s="893"/>
      <c r="CE191" s="890"/>
      <c r="CF191" s="890"/>
      <c r="CG191" s="890"/>
      <c r="CH191" s="890"/>
      <c r="CI191" s="890"/>
      <c r="CJ191" s="873"/>
      <c r="CK191" s="955"/>
    </row>
    <row r="192" spans="1:89" x14ac:dyDescent="0.2">
      <c r="A192" s="890">
        <v>54</v>
      </c>
      <c r="B192" s="883" t="s">
        <v>1432</v>
      </c>
      <c r="C192" s="883"/>
      <c r="D192" s="883" t="s">
        <v>2338</v>
      </c>
      <c r="E192" s="883" t="s">
        <v>4225</v>
      </c>
      <c r="F192" s="883"/>
      <c r="G192" s="885"/>
      <c r="H192" s="870" t="s">
        <v>1444</v>
      </c>
      <c r="I192" s="886" t="s">
        <v>1448</v>
      </c>
      <c r="J192" s="883"/>
      <c r="K192" s="883"/>
      <c r="L192" s="883"/>
      <c r="M192" s="883"/>
      <c r="N192" s="883"/>
      <c r="O192" s="870" t="s">
        <v>1741</v>
      </c>
      <c r="P192" s="870"/>
      <c r="Q192" s="870"/>
      <c r="R192" s="870"/>
      <c r="S192" s="870"/>
      <c r="T192" s="870"/>
      <c r="U192" s="870"/>
      <c r="V192" s="870"/>
      <c r="W192" s="870"/>
      <c r="X192" s="870"/>
      <c r="Y192" s="870"/>
      <c r="Z192" s="870"/>
      <c r="AA192" s="870"/>
      <c r="AB192" s="870" t="s">
        <v>1440</v>
      </c>
      <c r="AC192" s="870" t="s">
        <v>710</v>
      </c>
      <c r="AD192" s="870"/>
      <c r="AE192" s="870"/>
      <c r="AF192" s="883" t="s">
        <v>1441</v>
      </c>
      <c r="AG192" s="883" t="s">
        <v>1442</v>
      </c>
      <c r="AH192" s="883"/>
      <c r="AI192" s="883"/>
      <c r="AJ192" s="883" t="s">
        <v>234</v>
      </c>
      <c r="AK192" s="870" t="s">
        <v>1443</v>
      </c>
      <c r="AL192" s="883"/>
      <c r="AM192" s="883" t="s">
        <v>1784</v>
      </c>
      <c r="AN192" s="883"/>
      <c r="AO192" s="883"/>
      <c r="AP192" s="883"/>
      <c r="AQ192" s="883"/>
      <c r="AR192" s="887">
        <v>12.4</v>
      </c>
      <c r="AS192" s="888"/>
      <c r="AT192" s="887" t="s">
        <v>1874</v>
      </c>
      <c r="AU192" s="888"/>
      <c r="AV192" s="888"/>
      <c r="AW192" s="888"/>
      <c r="AX192" s="889" t="s">
        <v>1970</v>
      </c>
      <c r="AY192" s="883" t="s">
        <v>1659</v>
      </c>
      <c r="AZ192" s="870"/>
      <c r="BA192" s="870" t="s">
        <v>1445</v>
      </c>
      <c r="BB192" s="883" t="s">
        <v>1447</v>
      </c>
      <c r="BC192" s="883">
        <v>122249</v>
      </c>
      <c r="BD192" s="870">
        <v>122250</v>
      </c>
      <c r="BE192" s="870"/>
      <c r="BF192" s="870"/>
      <c r="BG192" s="870"/>
      <c r="BH192" s="870" t="s">
        <v>1809</v>
      </c>
      <c r="BI192" s="890"/>
      <c r="BJ192" s="892"/>
      <c r="BK192" s="892"/>
      <c r="BL192" s="892"/>
      <c r="BM192" s="892"/>
      <c r="BN192" s="892"/>
      <c r="BO192" s="890"/>
      <c r="BP192" s="892"/>
      <c r="BQ192" s="890"/>
      <c r="BR192" s="893"/>
      <c r="BS192" s="893"/>
      <c r="BT192" s="894"/>
      <c r="BU192" s="892"/>
      <c r="BV192" s="892"/>
      <c r="BW192" s="892"/>
      <c r="BX192" s="890"/>
      <c r="BY192" s="890"/>
      <c r="BZ192" s="895"/>
      <c r="CA192" s="890"/>
      <c r="CB192" s="890"/>
      <c r="CC192" s="893"/>
      <c r="CD192" s="893"/>
      <c r="CE192" s="890"/>
      <c r="CF192" s="890"/>
      <c r="CG192" s="890"/>
      <c r="CH192" s="890"/>
      <c r="CI192" s="890"/>
      <c r="CJ192" s="873"/>
      <c r="CK192" s="955"/>
    </row>
    <row r="193" spans="1:89" ht="25.5" x14ac:dyDescent="0.2">
      <c r="A193" s="890">
        <v>54</v>
      </c>
      <c r="B193" s="883" t="s">
        <v>1413</v>
      </c>
      <c r="C193" s="883"/>
      <c r="D193" s="883" t="s">
        <v>1787</v>
      </c>
      <c r="E193" s="883" t="s">
        <v>4225</v>
      </c>
      <c r="F193" s="883"/>
      <c r="G193" s="913" t="s">
        <v>1797</v>
      </c>
      <c r="H193" s="870" t="s">
        <v>2425</v>
      </c>
      <c r="I193" s="886" t="s">
        <v>1795</v>
      </c>
      <c r="J193" s="883" t="s">
        <v>114</v>
      </c>
      <c r="K193" s="883" t="s">
        <v>1449</v>
      </c>
      <c r="L193" s="883">
        <v>313.5</v>
      </c>
      <c r="M193" s="963">
        <v>136</v>
      </c>
      <c r="N193" s="883" t="s">
        <v>1450</v>
      </c>
      <c r="O193" s="870" t="s">
        <v>116</v>
      </c>
      <c r="P193" s="870"/>
      <c r="Q193" s="870"/>
      <c r="R193" s="870"/>
      <c r="S193" s="870"/>
      <c r="T193" s="870"/>
      <c r="U193" s="870"/>
      <c r="V193" s="870"/>
      <c r="W193" s="870"/>
      <c r="X193" s="870"/>
      <c r="Y193" s="870"/>
      <c r="Z193" s="870"/>
      <c r="AA193" s="870"/>
      <c r="AB193" s="870" t="s">
        <v>1451</v>
      </c>
      <c r="AC193" s="883" t="s">
        <v>119</v>
      </c>
      <c r="AD193" s="964" t="s">
        <v>1452</v>
      </c>
      <c r="AE193" s="883" t="s">
        <v>120</v>
      </c>
      <c r="AF193" s="948">
        <f>(24.38+25)/2</f>
        <v>24.689999999999998</v>
      </c>
      <c r="AG193" s="883" t="s">
        <v>1453</v>
      </c>
      <c r="AH193" s="883" t="s">
        <v>122</v>
      </c>
      <c r="AI193" s="883" t="s">
        <v>80</v>
      </c>
      <c r="AJ193" s="883" t="s">
        <v>234</v>
      </c>
      <c r="AK193" s="870" t="s">
        <v>235</v>
      </c>
      <c r="AL193" s="870" t="s">
        <v>1784</v>
      </c>
      <c r="AM193" s="870"/>
      <c r="AN193" s="870"/>
      <c r="AO193" s="870">
        <v>0.36</v>
      </c>
      <c r="AP193" s="870" t="s">
        <v>1426</v>
      </c>
      <c r="AQ193" s="870"/>
      <c r="AR193" s="887">
        <v>7.3</v>
      </c>
      <c r="AS193" s="888" t="s">
        <v>157</v>
      </c>
      <c r="AT193" s="887" t="s">
        <v>157</v>
      </c>
      <c r="AU193" s="888">
        <v>6</v>
      </c>
      <c r="AV193" s="888">
        <v>5.4</v>
      </c>
      <c r="AW193" s="904">
        <f>(100*PI()*(A193^2))/(40*AO193*AV193*453.5924)</f>
        <v>25.972596654974218</v>
      </c>
      <c r="AX193" s="889" t="s">
        <v>1970</v>
      </c>
      <c r="AY193" s="883" t="s">
        <v>1659</v>
      </c>
      <c r="AZ193" s="870">
        <v>6</v>
      </c>
      <c r="BA193" s="870" t="s">
        <v>2426</v>
      </c>
      <c r="BB193" s="883" t="s">
        <v>2427</v>
      </c>
      <c r="BC193" s="883">
        <v>13165003</v>
      </c>
      <c r="BD193" s="870" t="s">
        <v>2428</v>
      </c>
      <c r="BE193" s="870"/>
      <c r="BF193" s="870"/>
      <c r="BG193" s="870"/>
      <c r="BH193" s="891" t="s">
        <v>1809</v>
      </c>
      <c r="BI193" s="914">
        <v>37809</v>
      </c>
      <c r="BJ193" s="892">
        <v>1568</v>
      </c>
      <c r="BK193" s="892">
        <v>1631</v>
      </c>
      <c r="BL193" s="892">
        <f>BJ193+BK193</f>
        <v>3199</v>
      </c>
      <c r="BM193" s="892">
        <v>457</v>
      </c>
      <c r="BN193" s="892">
        <v>2870</v>
      </c>
      <c r="BO193" s="890">
        <v>360</v>
      </c>
      <c r="BP193" s="892">
        <f>IF(G193="Front",0.5*9.81*0.4535924*(BJ193+BL193*(BM193/BN193)*1.1)*1.1*(BO193/1000),IF(G193="Rear",0.5*9.81*0.4535924*(BK193+BL193*(BM193/BN193)*0.9)*0.9*(BO193/1000),"TBD"))</f>
        <v>1506.196282870651</v>
      </c>
      <c r="BQ193" s="890">
        <v>0.35</v>
      </c>
      <c r="BR193" s="893">
        <v>35</v>
      </c>
      <c r="BS193" s="893">
        <v>34</v>
      </c>
      <c r="BT193" s="894">
        <v>209</v>
      </c>
      <c r="BU193" s="892">
        <f>(2.4525*(BL193*0.4535924)*(0.8*(1000/3600)*BT193)*(BR193/100))/(AF193*2)</f>
        <v>1171.4931580766972</v>
      </c>
      <c r="BV193" s="892">
        <f>(BP193/(M193/1000))/(2*AF193)</f>
        <v>224.28053195963045</v>
      </c>
      <c r="BW193" s="892">
        <f>(1.4*BP193/(M193/1000))/(2*AF193)</f>
        <v>313.99274474348266</v>
      </c>
      <c r="BX193" s="893">
        <f>0.5*(BL193/32.2)*((BO193*0.00328084)^2)*(BS193/100)</f>
        <v>23.560385585154503</v>
      </c>
      <c r="BY193" s="891">
        <v>12</v>
      </c>
      <c r="BZ193" s="909">
        <f>BX193/(L193*BY193)</f>
        <v>6.2627287573510104E-3</v>
      </c>
      <c r="CA193" s="891"/>
      <c r="CB193" s="891"/>
      <c r="CC193" s="893">
        <f>BU193*(2*AF193)/(2*1600)</f>
        <v>18.077603795571033</v>
      </c>
      <c r="CD193" s="893">
        <f>BV193*(2*AF193)/(2*250)</f>
        <v>22.149945336333101</v>
      </c>
      <c r="CE193" s="890" t="str">
        <f>IF((CD193-CC193)&gt;0, "Shear","Power")</f>
        <v>Shear</v>
      </c>
      <c r="CF193" s="915">
        <f>(AF193/MAX(CC193,CD193))-1</f>
        <v>0.11467543712175132</v>
      </c>
      <c r="CG193" s="890"/>
      <c r="CH193" s="890"/>
      <c r="CI193" s="890"/>
      <c r="CJ193" s="873"/>
      <c r="CK193" s="955"/>
    </row>
    <row r="194" spans="1:89" ht="25.5" x14ac:dyDescent="0.2">
      <c r="A194" s="890">
        <v>54</v>
      </c>
      <c r="B194" s="883" t="s">
        <v>2584</v>
      </c>
      <c r="C194" s="883"/>
      <c r="D194" s="883" t="s">
        <v>2567</v>
      </c>
      <c r="E194" s="883" t="s">
        <v>4225</v>
      </c>
      <c r="F194" s="883"/>
      <c r="G194" s="885"/>
      <c r="H194" s="870" t="s">
        <v>2590</v>
      </c>
      <c r="I194" s="886" t="s">
        <v>1421</v>
      </c>
      <c r="J194" s="883" t="s">
        <v>114</v>
      </c>
      <c r="K194" s="883" t="s">
        <v>2585</v>
      </c>
      <c r="L194" s="883">
        <v>284</v>
      </c>
      <c r="M194" s="883">
        <v>118.3</v>
      </c>
      <c r="N194" s="883" t="s">
        <v>2484</v>
      </c>
      <c r="O194" s="870" t="s">
        <v>116</v>
      </c>
      <c r="P194" s="870"/>
      <c r="Q194" s="870"/>
      <c r="R194" s="870"/>
      <c r="S194" s="870"/>
      <c r="T194" s="870"/>
      <c r="U194" s="870"/>
      <c r="V194" s="870"/>
      <c r="W194" s="870"/>
      <c r="X194" s="870"/>
      <c r="Y194" s="870"/>
      <c r="Z194" s="870"/>
      <c r="AA194" s="870"/>
      <c r="AB194" s="870" t="s">
        <v>2586</v>
      </c>
      <c r="AC194" s="870" t="s">
        <v>710</v>
      </c>
      <c r="AD194" s="964" t="s">
        <v>2587</v>
      </c>
      <c r="AE194" s="870" t="s">
        <v>1801</v>
      </c>
      <c r="AF194" s="883" t="s">
        <v>2588</v>
      </c>
      <c r="AG194" s="883" t="s">
        <v>2589</v>
      </c>
      <c r="AH194" s="883" t="s">
        <v>122</v>
      </c>
      <c r="AI194" s="883" t="s">
        <v>80</v>
      </c>
      <c r="AJ194" s="883" t="s">
        <v>234</v>
      </c>
      <c r="AK194" s="870" t="s">
        <v>1620</v>
      </c>
      <c r="AL194" s="883"/>
      <c r="AM194" s="883" t="s">
        <v>1784</v>
      </c>
      <c r="AN194" s="883"/>
      <c r="AO194" s="883"/>
      <c r="AP194" s="883"/>
      <c r="AQ194" s="883"/>
      <c r="AR194" s="918">
        <v>11.5</v>
      </c>
      <c r="AS194" s="888"/>
      <c r="AT194" s="887">
        <v>2.4</v>
      </c>
      <c r="AU194" s="888">
        <v>7.2</v>
      </c>
      <c r="AV194" s="888"/>
      <c r="AW194" s="888"/>
      <c r="AX194" s="889" t="s">
        <v>1789</v>
      </c>
      <c r="AY194" s="883" t="s">
        <v>1659</v>
      </c>
      <c r="AZ194" s="870">
        <v>112</v>
      </c>
      <c r="BA194" s="870" t="s">
        <v>2591</v>
      </c>
      <c r="BB194" s="883" t="s">
        <v>2592</v>
      </c>
      <c r="BC194" s="883">
        <v>12693501</v>
      </c>
      <c r="BD194" s="870" t="s">
        <v>2593</v>
      </c>
      <c r="BE194" s="870"/>
      <c r="BF194" s="870"/>
      <c r="BG194" s="870"/>
      <c r="BH194" s="891" t="s">
        <v>1796</v>
      </c>
      <c r="BI194" s="890"/>
      <c r="BJ194" s="892"/>
      <c r="BK194" s="892"/>
      <c r="BL194" s="892"/>
      <c r="BM194" s="892"/>
      <c r="BN194" s="892"/>
      <c r="BO194" s="890"/>
      <c r="BP194" s="892" t="e">
        <f>1/2*9.8*(BJ194/2.2+BL194/2.2*BM194/BN194*1)*1*BO194/1000</f>
        <v>#DIV/0!</v>
      </c>
      <c r="BQ194" s="890">
        <v>0.35</v>
      </c>
      <c r="BR194" s="893"/>
      <c r="BS194" s="893"/>
      <c r="BT194" s="894"/>
      <c r="BU194" s="892"/>
      <c r="BV194" s="892"/>
      <c r="BW194" s="892"/>
      <c r="BX194" s="890"/>
      <c r="BY194" s="890"/>
      <c r="BZ194" s="895"/>
      <c r="CA194" s="890"/>
      <c r="CB194" s="890"/>
      <c r="CC194" s="893"/>
      <c r="CD194" s="893"/>
      <c r="CE194" s="890"/>
      <c r="CF194" s="890"/>
      <c r="CG194" s="890"/>
      <c r="CH194" s="890"/>
      <c r="CI194" s="890"/>
      <c r="CJ194" s="873"/>
      <c r="CK194" s="955"/>
    </row>
    <row r="195" spans="1:89" ht="25.5" x14ac:dyDescent="0.2">
      <c r="A195" s="890">
        <v>54</v>
      </c>
      <c r="B195" s="883" t="s">
        <v>2098</v>
      </c>
      <c r="C195" s="883"/>
      <c r="D195" s="870" t="s">
        <v>791</v>
      </c>
      <c r="E195" s="883" t="s">
        <v>4225</v>
      </c>
      <c r="F195" s="883">
        <v>2008</v>
      </c>
      <c r="G195" s="913" t="s">
        <v>1797</v>
      </c>
      <c r="H195" s="870" t="s">
        <v>731</v>
      </c>
      <c r="I195" s="902" t="s">
        <v>2226</v>
      </c>
      <c r="J195" s="883" t="s">
        <v>114</v>
      </c>
      <c r="K195" s="883" t="s">
        <v>2664</v>
      </c>
      <c r="L195" s="883">
        <v>352</v>
      </c>
      <c r="M195" s="883">
        <v>154</v>
      </c>
      <c r="N195" s="883" t="s">
        <v>197</v>
      </c>
      <c r="O195" s="870" t="s">
        <v>1741</v>
      </c>
      <c r="P195" s="870"/>
      <c r="Q195" s="870"/>
      <c r="R195" s="870"/>
      <c r="S195" s="870"/>
      <c r="T195" s="870"/>
      <c r="U195" s="870"/>
      <c r="V195" s="870"/>
      <c r="W195" s="870"/>
      <c r="X195" s="870"/>
      <c r="Y195" s="870"/>
      <c r="Z195" s="870"/>
      <c r="AA195" s="870"/>
      <c r="AB195" s="870" t="s">
        <v>3260</v>
      </c>
      <c r="AC195" s="870" t="s">
        <v>710</v>
      </c>
      <c r="AD195" s="870" t="s">
        <v>2517</v>
      </c>
      <c r="AE195" s="870" t="s">
        <v>1668</v>
      </c>
      <c r="AF195" s="883">
        <v>47.8</v>
      </c>
      <c r="AG195" s="883">
        <v>39.9</v>
      </c>
      <c r="AH195" s="883" t="s">
        <v>122</v>
      </c>
      <c r="AI195" s="883" t="s">
        <v>122</v>
      </c>
      <c r="AJ195" s="883" t="s">
        <v>234</v>
      </c>
      <c r="AK195" s="870" t="s">
        <v>978</v>
      </c>
      <c r="AL195" s="883"/>
      <c r="AM195" s="883"/>
      <c r="AN195" s="883" t="s">
        <v>1784</v>
      </c>
      <c r="AO195" s="883">
        <v>0.27</v>
      </c>
      <c r="AP195" s="962">
        <v>0.23</v>
      </c>
      <c r="AQ195" s="962"/>
      <c r="AR195" s="887">
        <v>11.8</v>
      </c>
      <c r="AS195" s="888">
        <v>3.4</v>
      </c>
      <c r="AT195" s="887">
        <v>3</v>
      </c>
      <c r="AU195" s="888">
        <v>6.8</v>
      </c>
      <c r="AV195" s="888">
        <v>5.8</v>
      </c>
      <c r="AW195" s="904">
        <v>32.241844123416264</v>
      </c>
      <c r="AX195" s="935">
        <v>37073</v>
      </c>
      <c r="AY195" s="870" t="s">
        <v>1669</v>
      </c>
      <c r="AZ195" s="870">
        <v>98</v>
      </c>
      <c r="BA195" s="870" t="s">
        <v>3067</v>
      </c>
      <c r="BB195" s="965" t="s">
        <v>3068</v>
      </c>
      <c r="BC195" s="883" t="s">
        <v>1776</v>
      </c>
      <c r="BD195" s="870" t="s">
        <v>1775</v>
      </c>
      <c r="BE195" s="870">
        <v>13536401</v>
      </c>
      <c r="BF195" s="870"/>
      <c r="BG195" s="870"/>
      <c r="BH195" s="891" t="s">
        <v>1796</v>
      </c>
      <c r="BI195" s="914">
        <v>40800</v>
      </c>
      <c r="BJ195" s="892">
        <v>2773</v>
      </c>
      <c r="BK195" s="892">
        <v>3578</v>
      </c>
      <c r="BL195" s="892">
        <v>6350</v>
      </c>
      <c r="BM195" s="892">
        <v>777.24</v>
      </c>
      <c r="BN195" s="892">
        <v>3060.7</v>
      </c>
      <c r="BO195" s="890">
        <v>405.4</v>
      </c>
      <c r="BP195" s="892">
        <v>3788.5006859904133</v>
      </c>
      <c r="BQ195" s="890">
        <v>0.35</v>
      </c>
      <c r="BR195" s="893">
        <v>35</v>
      </c>
      <c r="BS195" s="893">
        <v>32</v>
      </c>
      <c r="BT195" s="894">
        <v>161</v>
      </c>
      <c r="BU195" s="892">
        <v>961.70579988263603</v>
      </c>
      <c r="BV195" s="892">
        <v>257.32901469803932</v>
      </c>
      <c r="BW195" s="892">
        <v>360.26062057725494</v>
      </c>
      <c r="BX195" s="893">
        <v>63.4</v>
      </c>
      <c r="BY195" s="891">
        <v>22</v>
      </c>
      <c r="BZ195" s="909">
        <v>8.287959070262434E-3</v>
      </c>
      <c r="CA195" s="891">
        <v>179</v>
      </c>
      <c r="CB195" s="891">
        <v>215</v>
      </c>
      <c r="CC195" s="893">
        <v>28.730960771493752</v>
      </c>
      <c r="CD195" s="893">
        <v>49.201307610265118</v>
      </c>
      <c r="CE195" s="890" t="s">
        <v>1049</v>
      </c>
      <c r="CF195" s="915">
        <v>-2.8481105042272525E-2</v>
      </c>
      <c r="CG195" s="891"/>
      <c r="CH195" s="891"/>
      <c r="CI195" s="891"/>
      <c r="CJ195" s="873"/>
      <c r="CK195" s="955"/>
    </row>
    <row r="196" spans="1:89" ht="25.5" x14ac:dyDescent="0.2">
      <c r="A196" s="891">
        <v>57</v>
      </c>
      <c r="B196" s="870" t="s">
        <v>2482</v>
      </c>
      <c r="C196" s="870"/>
      <c r="D196" s="870" t="s">
        <v>2878</v>
      </c>
      <c r="E196" s="883" t="s">
        <v>4225</v>
      </c>
      <c r="F196" s="870">
        <v>2000.5</v>
      </c>
      <c r="G196" s="901" t="s">
        <v>1738</v>
      </c>
      <c r="H196" s="870" t="s">
        <v>2887</v>
      </c>
      <c r="I196" s="902" t="s">
        <v>2907</v>
      </c>
      <c r="J196" s="870" t="s">
        <v>114</v>
      </c>
      <c r="K196" s="870" t="s">
        <v>2483</v>
      </c>
      <c r="L196" s="870">
        <v>280</v>
      </c>
      <c r="M196" s="870">
        <v>118.1</v>
      </c>
      <c r="N196" s="870" t="s">
        <v>2484</v>
      </c>
      <c r="O196" s="870" t="s">
        <v>2485</v>
      </c>
      <c r="P196" s="870"/>
      <c r="Q196" s="870"/>
      <c r="R196" s="870"/>
      <c r="S196" s="870"/>
      <c r="T196" s="870"/>
      <c r="U196" s="870"/>
      <c r="V196" s="870"/>
      <c r="W196" s="870"/>
      <c r="X196" s="870"/>
      <c r="Y196" s="870"/>
      <c r="Z196" s="870"/>
      <c r="AA196" s="870"/>
      <c r="AB196" s="870" t="s">
        <v>2486</v>
      </c>
      <c r="AC196" s="870" t="s">
        <v>2487</v>
      </c>
      <c r="AD196" s="870" t="s">
        <v>2228</v>
      </c>
      <c r="AE196" s="870" t="s">
        <v>1668</v>
      </c>
      <c r="AF196" s="870">
        <v>51.2</v>
      </c>
      <c r="AG196" s="966">
        <v>54.9</v>
      </c>
      <c r="AH196" s="870" t="s">
        <v>80</v>
      </c>
      <c r="AI196" s="870" t="s">
        <v>122</v>
      </c>
      <c r="AJ196" s="870" t="s">
        <v>234</v>
      </c>
      <c r="AK196" s="870" t="s">
        <v>2488</v>
      </c>
      <c r="AL196" s="870"/>
      <c r="AM196" s="870"/>
      <c r="AN196" s="870" t="s">
        <v>1784</v>
      </c>
      <c r="AO196" s="870">
        <v>0.22</v>
      </c>
      <c r="AP196" s="870">
        <v>0.24</v>
      </c>
      <c r="AQ196" s="870"/>
      <c r="AR196" s="888">
        <v>11.95</v>
      </c>
      <c r="AS196" s="888">
        <v>3.4</v>
      </c>
      <c r="AT196" s="888">
        <v>3.1</v>
      </c>
      <c r="AU196" s="888">
        <v>7.2</v>
      </c>
      <c r="AV196" s="888">
        <v>6.2</v>
      </c>
      <c r="AW196" s="904">
        <v>41.243874160318278</v>
      </c>
      <c r="AX196" s="905">
        <v>36526</v>
      </c>
      <c r="AY196" s="870" t="s">
        <v>2229</v>
      </c>
      <c r="AZ196" s="870">
        <v>480</v>
      </c>
      <c r="BA196" s="870" t="s">
        <v>2490</v>
      </c>
      <c r="BB196" s="870" t="s">
        <v>2491</v>
      </c>
      <c r="BC196" s="870">
        <v>13446901</v>
      </c>
      <c r="BD196" s="870" t="s">
        <v>2492</v>
      </c>
      <c r="BE196" s="870"/>
      <c r="BF196" s="870"/>
      <c r="BG196" s="870"/>
      <c r="BH196" s="891" t="s">
        <v>1796</v>
      </c>
      <c r="BI196" s="906">
        <v>38441</v>
      </c>
      <c r="BJ196" s="907">
        <v>2311</v>
      </c>
      <c r="BK196" s="907">
        <v>1922</v>
      </c>
      <c r="BL196" s="907">
        <v>4233</v>
      </c>
      <c r="BM196" s="907">
        <v>579.1</v>
      </c>
      <c r="BN196" s="907">
        <v>2616</v>
      </c>
      <c r="BO196" s="891">
        <v>300</v>
      </c>
      <c r="BP196" s="892">
        <v>2453.5433591145011</v>
      </c>
      <c r="BQ196" s="891">
        <v>0.35</v>
      </c>
      <c r="BR196" s="904">
        <v>84</v>
      </c>
      <c r="BS196" s="904">
        <v>80</v>
      </c>
      <c r="BT196" s="908">
        <v>201</v>
      </c>
      <c r="BU196" s="907">
        <v>1725.3846376406229</v>
      </c>
      <c r="BV196" s="907">
        <v>202.88217075658383</v>
      </c>
      <c r="BW196" s="907">
        <v>284.03503905921735</v>
      </c>
      <c r="BX196" s="904">
        <v>50.94071073168238</v>
      </c>
      <c r="BY196" s="891">
        <v>23</v>
      </c>
      <c r="BZ196" s="909">
        <v>7.9100482502612399E-3</v>
      </c>
      <c r="CA196" s="891">
        <v>215</v>
      </c>
      <c r="CB196" s="904" t="s">
        <v>1814</v>
      </c>
      <c r="CC196" s="893">
        <v>55.212308404499936</v>
      </c>
      <c r="CD196" s="893">
        <v>41.550268570948369</v>
      </c>
      <c r="CE196" s="891" t="s">
        <v>103</v>
      </c>
      <c r="CF196" s="910">
        <v>-7.2670542501224622E-2</v>
      </c>
      <c r="CG196" s="891">
        <v>1.1499999999999999</v>
      </c>
      <c r="CH196" s="891"/>
      <c r="CI196" s="891">
        <v>1.4E-2</v>
      </c>
      <c r="CJ196" s="873"/>
      <c r="CK196" s="955"/>
    </row>
    <row r="197" spans="1:89" ht="25.5" x14ac:dyDescent="0.2">
      <c r="A197" s="891">
        <v>57</v>
      </c>
      <c r="B197" s="870" t="s">
        <v>2493</v>
      </c>
      <c r="C197" s="870"/>
      <c r="D197" s="870" t="s">
        <v>2878</v>
      </c>
      <c r="E197" s="883" t="s">
        <v>4225</v>
      </c>
      <c r="F197" s="870">
        <v>2003</v>
      </c>
      <c r="G197" s="901" t="s">
        <v>1738</v>
      </c>
      <c r="H197" s="870" t="s">
        <v>617</v>
      </c>
      <c r="I197" s="902" t="s">
        <v>2907</v>
      </c>
      <c r="J197" s="870" t="s">
        <v>114</v>
      </c>
      <c r="K197" s="870" t="s">
        <v>2494</v>
      </c>
      <c r="L197" s="870">
        <v>280</v>
      </c>
      <c r="M197" s="870">
        <v>118.1</v>
      </c>
      <c r="N197" s="870" t="s">
        <v>2484</v>
      </c>
      <c r="O197" s="870" t="s">
        <v>2485</v>
      </c>
      <c r="P197" s="870"/>
      <c r="Q197" s="870"/>
      <c r="R197" s="870"/>
      <c r="S197" s="870"/>
      <c r="T197" s="870"/>
      <c r="U197" s="870"/>
      <c r="V197" s="870"/>
      <c r="W197" s="870"/>
      <c r="X197" s="870"/>
      <c r="Y197" s="870"/>
      <c r="Z197" s="870"/>
      <c r="AA197" s="870"/>
      <c r="AB197" s="870" t="s">
        <v>2486</v>
      </c>
      <c r="AC197" s="870" t="s">
        <v>2487</v>
      </c>
      <c r="AD197" s="870" t="s">
        <v>2228</v>
      </c>
      <c r="AE197" s="870" t="s">
        <v>1668</v>
      </c>
      <c r="AF197" s="870">
        <v>51.2</v>
      </c>
      <c r="AG197" s="870">
        <v>54.9</v>
      </c>
      <c r="AH197" s="870" t="s">
        <v>80</v>
      </c>
      <c r="AI197" s="870" t="s">
        <v>122</v>
      </c>
      <c r="AJ197" s="870" t="s">
        <v>234</v>
      </c>
      <c r="AK197" s="870" t="s">
        <v>2488</v>
      </c>
      <c r="AL197" s="870"/>
      <c r="AM197" s="870"/>
      <c r="AN197" s="870" t="s">
        <v>1784</v>
      </c>
      <c r="AO197" s="870">
        <v>0.23</v>
      </c>
      <c r="AP197" s="967">
        <v>0.26</v>
      </c>
      <c r="AQ197" s="967"/>
      <c r="AR197" s="888">
        <v>12.2</v>
      </c>
      <c r="AS197" s="888">
        <v>3.5</v>
      </c>
      <c r="AT197" s="888">
        <v>3.2</v>
      </c>
      <c r="AU197" s="888">
        <v>7.3</v>
      </c>
      <c r="AV197" s="888">
        <v>6.3</v>
      </c>
      <c r="AW197" s="904">
        <v>38.824461252363101</v>
      </c>
      <c r="AX197" s="968">
        <v>37408</v>
      </c>
      <c r="AY197" s="870" t="s">
        <v>2229</v>
      </c>
      <c r="AZ197" s="870">
        <v>150</v>
      </c>
      <c r="BA197" s="870" t="s">
        <v>2495</v>
      </c>
      <c r="BB197" s="870" t="s">
        <v>2496</v>
      </c>
      <c r="BC197" s="870">
        <v>13748801</v>
      </c>
      <c r="BD197" s="870" t="s">
        <v>2497</v>
      </c>
      <c r="BE197" s="870"/>
      <c r="BF197" s="870"/>
      <c r="BG197" s="870"/>
      <c r="BH197" s="891" t="s">
        <v>1796</v>
      </c>
      <c r="BI197" s="906">
        <v>38441</v>
      </c>
      <c r="BJ197" s="907">
        <v>2263</v>
      </c>
      <c r="BK197" s="907">
        <v>1981</v>
      </c>
      <c r="BL197" s="907">
        <v>4244</v>
      </c>
      <c r="BM197" s="907">
        <v>568.9</v>
      </c>
      <c r="BN197" s="907">
        <v>2616</v>
      </c>
      <c r="BO197" s="891">
        <v>300</v>
      </c>
      <c r="BP197" s="892">
        <v>2406.9036322201769</v>
      </c>
      <c r="BQ197" s="891">
        <v>0.35</v>
      </c>
      <c r="BR197" s="904">
        <v>84</v>
      </c>
      <c r="BS197" s="904">
        <v>80</v>
      </c>
      <c r="BT197" s="908">
        <v>220</v>
      </c>
      <c r="BU197" s="907">
        <v>1893.3881601586875</v>
      </c>
      <c r="BV197" s="907">
        <v>199.02555701439599</v>
      </c>
      <c r="BW197" s="907">
        <v>278.63577982015431</v>
      </c>
      <c r="BX197" s="904">
        <v>51.073086781304049</v>
      </c>
      <c r="BY197" s="891">
        <v>28</v>
      </c>
      <c r="BZ197" s="909">
        <v>6.5144243343500064E-3</v>
      </c>
      <c r="CA197" s="891">
        <v>184</v>
      </c>
      <c r="CB197" s="904" t="s">
        <v>1814</v>
      </c>
      <c r="CC197" s="893">
        <v>60.588421125078</v>
      </c>
      <c r="CD197" s="893">
        <v>40.7604340765483</v>
      </c>
      <c r="CE197" s="891" t="s">
        <v>103</v>
      </c>
      <c r="CF197" s="910">
        <v>-0.15495404816205149</v>
      </c>
      <c r="CG197" s="891"/>
      <c r="CH197" s="891"/>
      <c r="CI197" s="891"/>
      <c r="CJ197" s="873"/>
      <c r="CK197" s="955"/>
    </row>
    <row r="198" spans="1:89" ht="25.5" x14ac:dyDescent="0.2">
      <c r="A198" s="893">
        <f>SQRT(38^2+45^2)</f>
        <v>58.898217290508889</v>
      </c>
      <c r="B198" s="883" t="s">
        <v>2498</v>
      </c>
      <c r="C198" s="883"/>
      <c r="D198" s="883" t="s">
        <v>2505</v>
      </c>
      <c r="E198" s="883" t="s">
        <v>4225</v>
      </c>
      <c r="F198" s="883"/>
      <c r="G198" s="913" t="s">
        <v>1738</v>
      </c>
      <c r="H198" s="870" t="s">
        <v>2506</v>
      </c>
      <c r="I198" s="886" t="s">
        <v>2511</v>
      </c>
      <c r="J198" s="883" t="s">
        <v>114</v>
      </c>
      <c r="K198" s="883" t="s">
        <v>2499</v>
      </c>
      <c r="L198" s="883">
        <v>320</v>
      </c>
      <c r="M198" s="883">
        <v>137</v>
      </c>
      <c r="N198" s="883" t="s">
        <v>197</v>
      </c>
      <c r="O198" s="870" t="s">
        <v>2485</v>
      </c>
      <c r="P198" s="870"/>
      <c r="Q198" s="870"/>
      <c r="R198" s="870"/>
      <c r="S198" s="870"/>
      <c r="T198" s="870"/>
      <c r="U198" s="870"/>
      <c r="V198" s="870"/>
      <c r="W198" s="870"/>
      <c r="X198" s="870"/>
      <c r="Y198" s="870"/>
      <c r="Z198" s="870"/>
      <c r="AA198" s="870"/>
      <c r="AB198" s="870" t="s">
        <v>2500</v>
      </c>
      <c r="AC198" s="870" t="s">
        <v>710</v>
      </c>
      <c r="AD198" s="870" t="s">
        <v>2501</v>
      </c>
      <c r="AE198" s="870" t="s">
        <v>2502</v>
      </c>
      <c r="AF198" s="883">
        <v>60.46</v>
      </c>
      <c r="AG198" s="883">
        <v>64.290000000000006</v>
      </c>
      <c r="AH198" s="883" t="s">
        <v>122</v>
      </c>
      <c r="AI198" s="883" t="s">
        <v>122</v>
      </c>
      <c r="AJ198" s="870" t="s">
        <v>2503</v>
      </c>
      <c r="AK198" s="870" t="s">
        <v>2504</v>
      </c>
      <c r="AL198" s="883"/>
      <c r="AM198" s="883"/>
      <c r="AN198" s="883" t="s">
        <v>1784</v>
      </c>
      <c r="AO198" s="948">
        <f>0.38*0.75</f>
        <v>0.28500000000000003</v>
      </c>
      <c r="AP198" s="883">
        <v>0.27</v>
      </c>
      <c r="AQ198" s="883"/>
      <c r="AR198" s="918">
        <v>9.9</v>
      </c>
      <c r="AS198" s="888">
        <v>4.2</v>
      </c>
      <c r="AT198" s="887">
        <v>2.7</v>
      </c>
      <c r="AU198" s="888">
        <v>5.3</v>
      </c>
      <c r="AV198" s="888">
        <v>4.2</v>
      </c>
      <c r="AW198" s="904">
        <f>(100*PI()*(A198^2))/(40*AO198*AV198*453.5924)</f>
        <v>50.180416483489559</v>
      </c>
      <c r="AX198" s="935">
        <v>37408</v>
      </c>
      <c r="AY198" s="883" t="s">
        <v>2489</v>
      </c>
      <c r="AZ198" s="870"/>
      <c r="BA198" s="870" t="s">
        <v>2507</v>
      </c>
      <c r="BB198" s="883" t="s">
        <v>2508</v>
      </c>
      <c r="BC198" s="883" t="s">
        <v>2509</v>
      </c>
      <c r="BD198" s="870" t="s">
        <v>2510</v>
      </c>
      <c r="BE198" s="870"/>
      <c r="BF198" s="870"/>
      <c r="BG198" s="870"/>
      <c r="BH198" s="891" t="s">
        <v>1796</v>
      </c>
      <c r="BI198" s="914">
        <v>38099</v>
      </c>
      <c r="BJ198" s="892">
        <v>2255</v>
      </c>
      <c r="BK198" s="892">
        <v>2608</v>
      </c>
      <c r="BL198" s="892">
        <f>BJ198+BK198</f>
        <v>4863</v>
      </c>
      <c r="BM198" s="892">
        <v>537.5</v>
      </c>
      <c r="BN198" s="892">
        <v>2909</v>
      </c>
      <c r="BO198" s="890">
        <v>322</v>
      </c>
      <c r="BP198" s="892">
        <f>IF(G198="Front",0.5*9.81*0.4535924*(BJ198+BL198*(BM198/BN198)*1.1)*1.1*(BO198/1000),IF(G198="Rear",0.5*9.81*0.4535924*(BK198+BL198*(BM198/BN198)*0.9)*0.9*(BO198/1000),"TBD"))</f>
        <v>2555.9569511784534</v>
      </c>
      <c r="BQ198" s="890">
        <v>0.42</v>
      </c>
      <c r="BR198" s="893">
        <v>78</v>
      </c>
      <c r="BS198" s="904">
        <v>78</v>
      </c>
      <c r="BT198" s="969">
        <v>240</v>
      </c>
      <c r="BU198" s="892">
        <f>(2.4525*(BL198*0.4535924)*(0.8*(1000/3600)*BT198)*(BR198/100))/(AF198*2)</f>
        <v>1861.1194465645788</v>
      </c>
      <c r="BV198" s="892">
        <f>(BP198/(M198/1000))/(2*AF198)</f>
        <v>154.2889520475897</v>
      </c>
      <c r="BW198" s="892">
        <f>(1.4*BP198/(M198/1000))/(2*AF198)</f>
        <v>216.0045328666256</v>
      </c>
      <c r="BX198" s="893">
        <f>0.5*(BL198/32.2)*((BO198*0.00328084)^2)*(BS198/100)</f>
        <v>65.734725051463883</v>
      </c>
      <c r="BY198" s="891">
        <v>30</v>
      </c>
      <c r="BZ198" s="909">
        <f>BX198/(L198*BY198)</f>
        <v>6.8473671928608211E-3</v>
      </c>
      <c r="CA198" s="891"/>
      <c r="CB198" s="891"/>
      <c r="CC198" s="893">
        <f>BU198*(2*AF198)/(2*1600)</f>
        <v>70.327051087059019</v>
      </c>
      <c r="CD198" s="893">
        <f>BV198*(2*AF198)/(2*250)</f>
        <v>37.3132401631891</v>
      </c>
      <c r="CE198" s="890" t="str">
        <f>IF((CD198-CC198)&gt;0, "Shear","Power")</f>
        <v>Power</v>
      </c>
      <c r="CF198" s="915">
        <f>(AF198/MAX(CC198,CD198))-1</f>
        <v>-0.14030235783446166</v>
      </c>
      <c r="CG198" s="890">
        <v>2.78</v>
      </c>
      <c r="CH198" s="944">
        <f>CG198-(CI198*50)</f>
        <v>1.8649999999999998</v>
      </c>
      <c r="CI198" s="890">
        <v>1.83E-2</v>
      </c>
      <c r="CJ198" s="873"/>
      <c r="CK198" s="955"/>
    </row>
    <row r="199" spans="1:89" ht="38.25" x14ac:dyDescent="0.2">
      <c r="A199" s="893">
        <f>SQRT(38^2+45^2)</f>
        <v>58.898217290508889</v>
      </c>
      <c r="B199" s="883" t="s">
        <v>2498</v>
      </c>
      <c r="C199" s="883"/>
      <c r="D199" s="870" t="s">
        <v>2514</v>
      </c>
      <c r="E199" s="883" t="s">
        <v>4225</v>
      </c>
      <c r="F199" s="870"/>
      <c r="G199" s="901" t="s">
        <v>1738</v>
      </c>
      <c r="H199" s="870" t="s">
        <v>2515</v>
      </c>
      <c r="I199" s="886" t="s">
        <v>2511</v>
      </c>
      <c r="J199" s="883" t="s">
        <v>114</v>
      </c>
      <c r="K199" s="883" t="s">
        <v>2512</v>
      </c>
      <c r="L199" s="970">
        <v>300</v>
      </c>
      <c r="M199" s="883">
        <v>127</v>
      </c>
      <c r="N199" s="883" t="s">
        <v>1361</v>
      </c>
      <c r="O199" s="870" t="s">
        <v>2485</v>
      </c>
      <c r="P199" s="870"/>
      <c r="Q199" s="870"/>
      <c r="R199" s="870"/>
      <c r="S199" s="870"/>
      <c r="T199" s="870"/>
      <c r="U199" s="870"/>
      <c r="V199" s="870"/>
      <c r="W199" s="870"/>
      <c r="X199" s="870"/>
      <c r="Y199" s="870"/>
      <c r="Z199" s="870"/>
      <c r="AA199" s="870"/>
      <c r="AB199" s="870" t="s">
        <v>2486</v>
      </c>
      <c r="AC199" s="883" t="s">
        <v>2487</v>
      </c>
      <c r="AD199" s="870" t="s">
        <v>2513</v>
      </c>
      <c r="AE199" s="883" t="s">
        <v>120</v>
      </c>
      <c r="AF199" s="970">
        <v>60.46</v>
      </c>
      <c r="AG199" s="883">
        <v>64.290000000000006</v>
      </c>
      <c r="AH199" s="883" t="s">
        <v>122</v>
      </c>
      <c r="AI199" s="883" t="s">
        <v>122</v>
      </c>
      <c r="AJ199" s="870" t="s">
        <v>2503</v>
      </c>
      <c r="AK199" s="870" t="s">
        <v>2504</v>
      </c>
      <c r="AL199" s="883"/>
      <c r="AM199" s="883"/>
      <c r="AN199" s="883" t="s">
        <v>1784</v>
      </c>
      <c r="AO199" s="948">
        <f>0.38*0.75</f>
        <v>0.28500000000000003</v>
      </c>
      <c r="AP199" s="883">
        <v>0.27</v>
      </c>
      <c r="AQ199" s="883"/>
      <c r="AR199" s="918">
        <f>6.94+2.72</f>
        <v>9.66</v>
      </c>
      <c r="AS199" s="888">
        <v>3.9</v>
      </c>
      <c r="AT199" s="887">
        <v>2.4</v>
      </c>
      <c r="AU199" s="888">
        <v>5.3</v>
      </c>
      <c r="AV199" s="888">
        <v>4.2</v>
      </c>
      <c r="AW199" s="904">
        <f>(100*PI()*(A199^2))/(40*AO199*AV199*453.5924)</f>
        <v>50.180416483489559</v>
      </c>
      <c r="AX199" s="889">
        <v>36161</v>
      </c>
      <c r="AY199" s="883" t="s">
        <v>2489</v>
      </c>
      <c r="AZ199" s="870">
        <v>302</v>
      </c>
      <c r="BA199" s="870" t="s">
        <v>2516</v>
      </c>
      <c r="BB199" s="870" t="s">
        <v>2865</v>
      </c>
      <c r="BC199" s="883" t="s">
        <v>2509</v>
      </c>
      <c r="BD199" s="870" t="s">
        <v>2510</v>
      </c>
      <c r="BE199" s="870"/>
      <c r="BF199" s="870"/>
      <c r="BG199" s="870"/>
      <c r="BH199" s="891" t="s">
        <v>1796</v>
      </c>
      <c r="BI199" s="906">
        <v>38099</v>
      </c>
      <c r="BJ199" s="907">
        <v>2146</v>
      </c>
      <c r="BK199" s="907">
        <v>2458</v>
      </c>
      <c r="BL199" s="892">
        <f>BJ199+BK199</f>
        <v>4604</v>
      </c>
      <c r="BM199" s="907">
        <v>556</v>
      </c>
      <c r="BN199" s="907">
        <v>2909</v>
      </c>
      <c r="BO199" s="891">
        <v>317</v>
      </c>
      <c r="BP199" s="892">
        <f>IF(G199="Front",0.5*9.81*0.4535924*(BJ199+BL199*(BM199/BN199)*1.1)*1.1*(BO199/1000),IF(G199="Rear",0.5*9.81*0.4535924*(BK199+BL199*(BM199/BN199)*0.9)*0.9*(BO199/1000),"TBD"))</f>
        <v>2415.8517153800367</v>
      </c>
      <c r="BQ199" s="891">
        <v>0.38</v>
      </c>
      <c r="BR199" s="904">
        <v>78</v>
      </c>
      <c r="BS199" s="893">
        <v>78</v>
      </c>
      <c r="BT199" s="943">
        <v>240</v>
      </c>
      <c r="BU199" s="892">
        <f>(2.4525*(BL199*0.4535924)*(0.8*(1000/3600)*BT199)*(BR199/100))/(AF199*2)</f>
        <v>1761.9975184008472</v>
      </c>
      <c r="BV199" s="892">
        <f>(BP199/(M199/1000))/(2*AF199)</f>
        <v>157.31437687571378</v>
      </c>
      <c r="BW199" s="892">
        <f>(1.4*BP199/(M199/1000))/(2*AF199)</f>
        <v>220.24012762599929</v>
      </c>
      <c r="BX199" s="893">
        <f>0.5*(BL199/32.2)*((BO199*0.00328084)^2)*(BS199/100)</f>
        <v>60.316020088789642</v>
      </c>
      <c r="BY199" s="891">
        <v>30</v>
      </c>
      <c r="BZ199" s="909">
        <f>BX199/(L199*BY199)</f>
        <v>6.7017800098655156E-3</v>
      </c>
      <c r="CA199" s="891">
        <v>229</v>
      </c>
      <c r="CB199" s="891"/>
      <c r="CC199" s="893">
        <f>BU199*(2*AF199)/(2*1600)</f>
        <v>66.581481226572009</v>
      </c>
      <c r="CD199" s="893">
        <f>BV199*(2*AF199)/(2*250)</f>
        <v>38.04490890362262</v>
      </c>
      <c r="CE199" s="890" t="str">
        <f>IF((CD199-CC199)&gt;0, "Shear","Power")</f>
        <v>Power</v>
      </c>
      <c r="CF199" s="915">
        <f>(AF199/MAX(CC199,CD199))-1</f>
        <v>-9.1939697252169106E-2</v>
      </c>
      <c r="CG199" s="890">
        <v>2.2000000000000002</v>
      </c>
      <c r="CH199" s="944">
        <f>CG199-(CI199*50)</f>
        <v>1.4250000000000003</v>
      </c>
      <c r="CI199" s="890">
        <v>1.55E-2</v>
      </c>
      <c r="CJ199" s="873"/>
      <c r="CK199" s="955"/>
    </row>
    <row r="200" spans="1:89" ht="25.5" x14ac:dyDescent="0.2">
      <c r="A200" s="893">
        <f>SQRT(38^2+45^2)</f>
        <v>58.898217290508889</v>
      </c>
      <c r="B200" s="883" t="s">
        <v>2498</v>
      </c>
      <c r="C200" s="883"/>
      <c r="D200" s="883" t="s">
        <v>2505</v>
      </c>
      <c r="E200" s="883" t="s">
        <v>4225</v>
      </c>
      <c r="F200" s="883"/>
      <c r="G200" s="901" t="s">
        <v>1738</v>
      </c>
      <c r="H200" s="883" t="s">
        <v>2866</v>
      </c>
      <c r="I200" s="886" t="s">
        <v>2511</v>
      </c>
      <c r="J200" s="883" t="s">
        <v>114</v>
      </c>
      <c r="K200" s="883" t="s">
        <v>2499</v>
      </c>
      <c r="L200" s="970">
        <v>300</v>
      </c>
      <c r="M200" s="883">
        <v>127</v>
      </c>
      <c r="N200" s="883" t="s">
        <v>1361</v>
      </c>
      <c r="O200" s="870" t="s">
        <v>2485</v>
      </c>
      <c r="P200" s="870"/>
      <c r="Q200" s="870"/>
      <c r="R200" s="870"/>
      <c r="S200" s="870"/>
      <c r="T200" s="870"/>
      <c r="U200" s="870"/>
      <c r="V200" s="870"/>
      <c r="W200" s="870"/>
      <c r="X200" s="870"/>
      <c r="Y200" s="870"/>
      <c r="Z200" s="870"/>
      <c r="AA200" s="870"/>
      <c r="AB200" s="870" t="s">
        <v>2500</v>
      </c>
      <c r="AC200" s="883" t="s">
        <v>710</v>
      </c>
      <c r="AD200" s="870" t="s">
        <v>2501</v>
      </c>
      <c r="AE200" s="870" t="s">
        <v>2502</v>
      </c>
      <c r="AF200" s="970">
        <v>60.46</v>
      </c>
      <c r="AG200" s="883">
        <v>64.290000000000006</v>
      </c>
      <c r="AH200" s="883" t="s">
        <v>122</v>
      </c>
      <c r="AI200" s="883" t="s">
        <v>122</v>
      </c>
      <c r="AJ200" s="870" t="s">
        <v>2503</v>
      </c>
      <c r="AK200" s="870" t="s">
        <v>2504</v>
      </c>
      <c r="AL200" s="883"/>
      <c r="AM200" s="883"/>
      <c r="AN200" s="883" t="s">
        <v>1784</v>
      </c>
      <c r="AO200" s="948">
        <f>0.38*0.75</f>
        <v>0.28500000000000003</v>
      </c>
      <c r="AP200" s="883">
        <v>0.27</v>
      </c>
      <c r="AQ200" s="883"/>
      <c r="AR200" s="887">
        <v>9.6999999999999993</v>
      </c>
      <c r="AS200" s="888">
        <v>3.9</v>
      </c>
      <c r="AT200" s="887">
        <v>2.4</v>
      </c>
      <c r="AU200" s="888">
        <v>5.3</v>
      </c>
      <c r="AV200" s="888">
        <v>4.2</v>
      </c>
      <c r="AW200" s="904">
        <f>(100*PI()*(A200^2))/(40*AO200*AV200*453.5924)</f>
        <v>50.180416483489559</v>
      </c>
      <c r="AX200" s="889">
        <v>37226</v>
      </c>
      <c r="AY200" s="883" t="s">
        <v>2489</v>
      </c>
      <c r="AZ200" s="870"/>
      <c r="BA200" s="870" t="s">
        <v>2867</v>
      </c>
      <c r="BB200" s="870" t="s">
        <v>2868</v>
      </c>
      <c r="BC200" s="883" t="s">
        <v>2509</v>
      </c>
      <c r="BD200" s="870" t="s">
        <v>2510</v>
      </c>
      <c r="BE200" s="870"/>
      <c r="BF200" s="870"/>
      <c r="BG200" s="870"/>
      <c r="BH200" s="891" t="s">
        <v>1796</v>
      </c>
      <c r="BI200" s="906">
        <v>38099</v>
      </c>
      <c r="BJ200" s="907">
        <v>2255</v>
      </c>
      <c r="BK200" s="907">
        <v>2608</v>
      </c>
      <c r="BL200" s="892">
        <f>BJ200+BK200</f>
        <v>4863</v>
      </c>
      <c r="BM200" s="907">
        <v>537.5</v>
      </c>
      <c r="BN200" s="907">
        <v>2909</v>
      </c>
      <c r="BO200" s="891">
        <v>322</v>
      </c>
      <c r="BP200" s="892">
        <f>IF(G200="Front",0.5*9.81*0.4535924*(BJ200+BL200*(BM200/BN200)*1.1)*1.1*(BO200/1000),IF(G200="Rear",0.5*9.81*0.4535924*(BK200+BL200*(BM200/BN200)*0.9)*0.9*(BO200/1000),"TBD"))</f>
        <v>2555.9569511784534</v>
      </c>
      <c r="BQ200" s="891">
        <v>0.42</v>
      </c>
      <c r="BR200" s="904">
        <v>78</v>
      </c>
      <c r="BS200" s="904">
        <v>78</v>
      </c>
      <c r="BT200" s="943">
        <v>240</v>
      </c>
      <c r="BU200" s="892">
        <f>(2.4525*(BL200*0.4535924)*(0.8*(1000/3600)*BT200)*(BR200/100))/(AF200*2)</f>
        <v>1861.1194465645788</v>
      </c>
      <c r="BV200" s="892">
        <f>(BP200/(M200/1000))/(2*AF200)</f>
        <v>166.43768842928972</v>
      </c>
      <c r="BW200" s="892">
        <f>(1.4*BP200/(M200/1000))/(2*AF200)</f>
        <v>233.01276380100558</v>
      </c>
      <c r="BX200" s="893">
        <f>0.5*(BL200/32.2)*((BO200*0.00328084)^2)*(BS200/100)</f>
        <v>65.734725051463883</v>
      </c>
      <c r="BY200" s="891">
        <v>30</v>
      </c>
      <c r="BZ200" s="909">
        <f>BX200/(L200*BY200)</f>
        <v>7.3038583390515428E-3</v>
      </c>
      <c r="CA200" s="891"/>
      <c r="CB200" s="891"/>
      <c r="CC200" s="893">
        <f>BU200*(2*AF200)/(2*1600)</f>
        <v>70.327051087059019</v>
      </c>
      <c r="CD200" s="893">
        <f>BV200*(2*AF200)/(2*250)</f>
        <v>40.251290569739425</v>
      </c>
      <c r="CE200" s="890" t="str">
        <f>IF((CD200-CC200)&gt;0, "Shear","Power")</f>
        <v>Power</v>
      </c>
      <c r="CF200" s="915">
        <f>(AF200/MAX(CC200,CD200))-1</f>
        <v>-0.14030235783446166</v>
      </c>
      <c r="CG200" s="890">
        <v>2.78</v>
      </c>
      <c r="CH200" s="944">
        <f>CG200-(CI200*50)</f>
        <v>1.8649999999999998</v>
      </c>
      <c r="CI200" s="890">
        <v>1.83E-2</v>
      </c>
      <c r="CJ200" s="873"/>
      <c r="CK200" s="955"/>
    </row>
    <row r="201" spans="1:89" ht="25.5" x14ac:dyDescent="0.2">
      <c r="A201" s="890">
        <v>60</v>
      </c>
      <c r="B201" s="883" t="s">
        <v>2325</v>
      </c>
      <c r="C201" s="883"/>
      <c r="D201" s="883" t="s">
        <v>1787</v>
      </c>
      <c r="E201" s="883" t="s">
        <v>4225</v>
      </c>
      <c r="F201" s="883"/>
      <c r="G201" s="934"/>
      <c r="H201" s="870" t="s">
        <v>2332</v>
      </c>
      <c r="I201" s="886" t="s">
        <v>2874</v>
      </c>
      <c r="J201" s="883" t="s">
        <v>114</v>
      </c>
      <c r="K201" s="883" t="s">
        <v>2326</v>
      </c>
      <c r="L201" s="883">
        <v>302</v>
      </c>
      <c r="M201" s="883">
        <v>128</v>
      </c>
      <c r="N201" s="883" t="s">
        <v>197</v>
      </c>
      <c r="O201" s="870" t="s">
        <v>2327</v>
      </c>
      <c r="P201" s="870"/>
      <c r="Q201" s="870"/>
      <c r="R201" s="870"/>
      <c r="S201" s="870"/>
      <c r="T201" s="870"/>
      <c r="U201" s="870"/>
      <c r="V201" s="870"/>
      <c r="W201" s="870"/>
      <c r="X201" s="870"/>
      <c r="Y201" s="870"/>
      <c r="Z201" s="870"/>
      <c r="AA201" s="870"/>
      <c r="AB201" s="870" t="s">
        <v>2328</v>
      </c>
      <c r="AC201" s="870" t="s">
        <v>119</v>
      </c>
      <c r="AD201" s="870" t="s">
        <v>2329</v>
      </c>
      <c r="AE201" s="870" t="s">
        <v>1668</v>
      </c>
      <c r="AF201" s="883">
        <v>60</v>
      </c>
      <c r="AG201" s="883">
        <v>69</v>
      </c>
      <c r="AH201" s="883" t="s">
        <v>122</v>
      </c>
      <c r="AI201" s="883" t="s">
        <v>1744</v>
      </c>
      <c r="AJ201" s="870" t="s">
        <v>2330</v>
      </c>
      <c r="AK201" s="870" t="s">
        <v>2331</v>
      </c>
      <c r="AL201" s="883"/>
      <c r="AM201" s="883"/>
      <c r="AN201" s="883" t="s">
        <v>1784</v>
      </c>
      <c r="AO201" s="883">
        <v>0.23</v>
      </c>
      <c r="AP201" s="883">
        <v>0.22</v>
      </c>
      <c r="AQ201" s="883"/>
      <c r="AR201" s="887">
        <v>10.7</v>
      </c>
      <c r="AS201" s="888">
        <v>4.0999999999999996</v>
      </c>
      <c r="AT201" s="887">
        <v>3.3</v>
      </c>
      <c r="AU201" s="888">
        <v>5.3</v>
      </c>
      <c r="AV201" s="888"/>
      <c r="AW201" s="904" t="e">
        <f>(100*PI()*(A201^2))/(40*AO201*AV201*453.5924)</f>
        <v>#DIV/0!</v>
      </c>
      <c r="AX201" s="889">
        <v>37987</v>
      </c>
      <c r="AY201" s="883"/>
      <c r="AZ201" s="949">
        <v>200</v>
      </c>
      <c r="BA201" s="870" t="s">
        <v>2333</v>
      </c>
      <c r="BB201" s="883"/>
      <c r="BC201" s="883" t="s">
        <v>2334</v>
      </c>
      <c r="BD201" s="870" t="s">
        <v>2335</v>
      </c>
      <c r="BE201" s="870"/>
      <c r="BF201" s="870"/>
      <c r="BG201" s="870"/>
      <c r="BH201" s="891" t="s">
        <v>1796</v>
      </c>
      <c r="BI201" s="891"/>
      <c r="BJ201" s="907">
        <v>2576</v>
      </c>
      <c r="BK201" s="907">
        <f>BL201-BJ201</f>
        <v>2348</v>
      </c>
      <c r="BL201" s="907">
        <v>4924</v>
      </c>
      <c r="BM201" s="907">
        <v>551</v>
      </c>
      <c r="BN201" s="907">
        <v>3048</v>
      </c>
      <c r="BO201" s="971">
        <v>344</v>
      </c>
      <c r="BP201" s="907">
        <f>1/2*9.8*(BJ201/2.2+BL201/2.2*BM201/BN201*1)*1*BO201/1000</f>
        <v>2655.6877361011693</v>
      </c>
      <c r="BQ201" s="891">
        <v>0.35</v>
      </c>
      <c r="BR201" s="904">
        <v>68</v>
      </c>
      <c r="BS201" s="904"/>
      <c r="BT201" s="908">
        <v>128</v>
      </c>
      <c r="BU201" s="907">
        <v>1430</v>
      </c>
      <c r="BV201" s="907"/>
      <c r="BW201" s="907"/>
      <c r="BX201" s="893">
        <f>0.5*(BL201/32.2)*((BO201*0.00328084)^2)*(BS201/100)</f>
        <v>0</v>
      </c>
      <c r="BY201" s="891"/>
      <c r="BZ201" s="909"/>
      <c r="CA201" s="891"/>
      <c r="CB201" s="891"/>
      <c r="CC201" s="893"/>
      <c r="CD201" s="893"/>
      <c r="CE201" s="890"/>
      <c r="CF201" s="890"/>
      <c r="CG201" s="890"/>
      <c r="CH201" s="890"/>
      <c r="CI201" s="890"/>
      <c r="CJ201" s="972"/>
      <c r="CK201" s="955"/>
    </row>
    <row r="202" spans="1:89" ht="25.5" x14ac:dyDescent="0.2">
      <c r="A202" s="890">
        <v>60</v>
      </c>
      <c r="B202" s="883" t="s">
        <v>2325</v>
      </c>
      <c r="C202" s="883"/>
      <c r="D202" s="883" t="s">
        <v>1787</v>
      </c>
      <c r="E202" s="883" t="s">
        <v>4225</v>
      </c>
      <c r="F202" s="883"/>
      <c r="G202" s="901" t="s">
        <v>1738</v>
      </c>
      <c r="H202" s="870" t="s">
        <v>2332</v>
      </c>
      <c r="I202" s="886" t="s">
        <v>2874</v>
      </c>
      <c r="J202" s="883" t="s">
        <v>114</v>
      </c>
      <c r="K202" s="883" t="s">
        <v>2326</v>
      </c>
      <c r="L202" s="883">
        <v>320</v>
      </c>
      <c r="M202" s="883">
        <v>138</v>
      </c>
      <c r="N202" s="883" t="s">
        <v>197</v>
      </c>
      <c r="O202" s="870" t="s">
        <v>2327</v>
      </c>
      <c r="P202" s="870"/>
      <c r="Q202" s="870"/>
      <c r="R202" s="870"/>
      <c r="S202" s="870"/>
      <c r="T202" s="870"/>
      <c r="U202" s="870"/>
      <c r="V202" s="870"/>
      <c r="W202" s="870"/>
      <c r="X202" s="870"/>
      <c r="Y202" s="870"/>
      <c r="Z202" s="870"/>
      <c r="AA202" s="870"/>
      <c r="AB202" s="870" t="s">
        <v>819</v>
      </c>
      <c r="AC202" s="870" t="s">
        <v>119</v>
      </c>
      <c r="AD202" s="870" t="s">
        <v>819</v>
      </c>
      <c r="AE202" s="870" t="s">
        <v>1668</v>
      </c>
      <c r="AF202" s="883">
        <v>60</v>
      </c>
      <c r="AG202" s="883">
        <v>69</v>
      </c>
      <c r="AH202" s="883" t="s">
        <v>122</v>
      </c>
      <c r="AI202" s="883" t="s">
        <v>1744</v>
      </c>
      <c r="AJ202" s="870" t="s">
        <v>1871</v>
      </c>
      <c r="AK202" s="870" t="s">
        <v>1872</v>
      </c>
      <c r="AL202" s="883"/>
      <c r="AM202" s="883"/>
      <c r="AN202" s="883" t="s">
        <v>1784</v>
      </c>
      <c r="AO202" s="883">
        <v>0.27</v>
      </c>
      <c r="AP202" s="883" t="s">
        <v>1921</v>
      </c>
      <c r="AQ202" s="883"/>
      <c r="AR202" s="887">
        <v>14.5</v>
      </c>
      <c r="AS202" s="888">
        <v>4.7</v>
      </c>
      <c r="AT202" s="887"/>
      <c r="AU202" s="888">
        <v>7.6</v>
      </c>
      <c r="AV202" s="888"/>
      <c r="AW202" s="904" t="e">
        <f>(100*PI()*(A202^2))/(40*AO202*AV202*453.5924)</f>
        <v>#DIV/0!</v>
      </c>
      <c r="AX202" s="889">
        <v>37987</v>
      </c>
      <c r="AY202" s="883"/>
      <c r="AZ202" s="949">
        <v>200</v>
      </c>
      <c r="BA202" s="870"/>
      <c r="BB202" s="883"/>
      <c r="BC202" s="883"/>
      <c r="BD202" s="870"/>
      <c r="BE202" s="870"/>
      <c r="BF202" s="870"/>
      <c r="BG202" s="870"/>
      <c r="BH202" s="891" t="s">
        <v>1796</v>
      </c>
      <c r="BI202" s="906"/>
      <c r="BJ202" s="907">
        <v>2576</v>
      </c>
      <c r="BK202" s="907">
        <f>BL202-BJ202</f>
        <v>2348</v>
      </c>
      <c r="BL202" s="907">
        <v>4924</v>
      </c>
      <c r="BM202" s="907">
        <v>551</v>
      </c>
      <c r="BN202" s="907">
        <v>3048</v>
      </c>
      <c r="BO202" s="971">
        <v>344</v>
      </c>
      <c r="BP202" s="892">
        <f>IF(G202="Front",0.5*9.81*0.4535924*(BJ202+BL202*(BM202/BN202))*(BO202/1000),IF(G202="Rear",0.5*9.81*0.4535924*(BK202+BL202*(BM202/BN202))*(BO202/1000),"TBD"))</f>
        <v>2652.8237060851225</v>
      </c>
      <c r="BQ202" s="891">
        <v>0.35</v>
      </c>
      <c r="BR202" s="904">
        <v>68</v>
      </c>
      <c r="BS202" s="904">
        <v>68</v>
      </c>
      <c r="BT202" s="908">
        <v>128</v>
      </c>
      <c r="BU202" s="892">
        <f>(2.4525*(BL202*0.4535924)*(0.8*(1000/3600)*BT202)*(BR202/100))/(AF202*2)</f>
        <v>882.91308277179758</v>
      </c>
      <c r="BV202" s="892">
        <f>(BP202/(M202/1000))/(2*AF202)</f>
        <v>160.1946682418552</v>
      </c>
      <c r="BW202" s="892">
        <f>(1.4*BP202/(M202/1000))/(2*AF202)</f>
        <v>224.27253553859728</v>
      </c>
      <c r="BX202" s="893">
        <f>0.5*(BL202/32.2)*((BO202*0.00328084)^2)*(BS202/100)</f>
        <v>66.225931748975597</v>
      </c>
      <c r="BY202" s="891">
        <v>26</v>
      </c>
      <c r="BZ202" s="909">
        <f>BX202/(L202*BY202)</f>
        <v>7.9598475659826435E-3</v>
      </c>
      <c r="CA202" s="891"/>
      <c r="CB202" s="891"/>
      <c r="CC202" s="893"/>
      <c r="CD202" s="893"/>
      <c r="CE202" s="890"/>
      <c r="CF202" s="890"/>
      <c r="CG202" s="890"/>
      <c r="CH202" s="890"/>
      <c r="CI202" s="890"/>
      <c r="CJ202" s="972"/>
      <c r="CK202" s="955"/>
    </row>
    <row r="203" spans="1:89" ht="25.5" x14ac:dyDescent="0.2">
      <c r="A203" s="884">
        <v>60</v>
      </c>
      <c r="B203" s="883" t="s">
        <v>2429</v>
      </c>
      <c r="C203" s="883"/>
      <c r="D203" s="883" t="s">
        <v>2338</v>
      </c>
      <c r="E203" s="883" t="s">
        <v>4225</v>
      </c>
      <c r="F203" s="883"/>
      <c r="G203" s="885"/>
      <c r="H203" s="870" t="s">
        <v>2431</v>
      </c>
      <c r="I203" s="886" t="s">
        <v>2874</v>
      </c>
      <c r="J203" s="883"/>
      <c r="K203" s="883"/>
      <c r="L203" s="883">
        <v>282</v>
      </c>
      <c r="M203" s="883">
        <v>115.4</v>
      </c>
      <c r="N203" s="883" t="s">
        <v>2484</v>
      </c>
      <c r="O203" s="870" t="s">
        <v>1741</v>
      </c>
      <c r="P203" s="870"/>
      <c r="Q203" s="870"/>
      <c r="R203" s="870"/>
      <c r="S203" s="870"/>
      <c r="T203" s="870"/>
      <c r="U203" s="870"/>
      <c r="V203" s="870"/>
      <c r="W203" s="870"/>
      <c r="X203" s="870"/>
      <c r="Y203" s="870"/>
      <c r="Z203" s="870"/>
      <c r="AA203" s="870"/>
      <c r="AB203" s="870" t="s">
        <v>2430</v>
      </c>
      <c r="AC203" s="883" t="s">
        <v>710</v>
      </c>
      <c r="AD203" s="883"/>
      <c r="AE203" s="883" t="s">
        <v>1801</v>
      </c>
      <c r="AF203" s="883" t="s">
        <v>1441</v>
      </c>
      <c r="AG203" s="883" t="s">
        <v>1442</v>
      </c>
      <c r="AH203" s="883"/>
      <c r="AI203" s="883" t="s">
        <v>80</v>
      </c>
      <c r="AJ203" s="883" t="s">
        <v>234</v>
      </c>
      <c r="AK203" s="870" t="s">
        <v>1443</v>
      </c>
      <c r="AL203" s="883" t="s">
        <v>1784</v>
      </c>
      <c r="AM203" s="883"/>
      <c r="AN203" s="883"/>
      <c r="AO203" s="883">
        <v>0.52</v>
      </c>
      <c r="AP203" s="883"/>
      <c r="AQ203" s="883"/>
      <c r="AR203" s="887">
        <v>8.1999999999999993</v>
      </c>
      <c r="AS203" s="888" t="s">
        <v>157</v>
      </c>
      <c r="AT203" s="887" t="s">
        <v>157</v>
      </c>
      <c r="AU203" s="888">
        <v>6.5</v>
      </c>
      <c r="AV203" s="888"/>
      <c r="AW203" s="888"/>
      <c r="AX203" s="889" t="s">
        <v>1970</v>
      </c>
      <c r="AY203" s="883" t="s">
        <v>1790</v>
      </c>
      <c r="AZ203" s="870">
        <v>5</v>
      </c>
      <c r="BA203" s="870">
        <v>124451</v>
      </c>
      <c r="BB203" s="883" t="s">
        <v>2432</v>
      </c>
      <c r="BC203" s="883">
        <v>125805</v>
      </c>
      <c r="BD203" s="870">
        <v>125804</v>
      </c>
      <c r="BE203" s="870"/>
      <c r="BF203" s="870"/>
      <c r="BG203" s="870"/>
      <c r="BH203" s="891" t="s">
        <v>1809</v>
      </c>
      <c r="BI203" s="890"/>
      <c r="BJ203" s="907"/>
      <c r="BK203" s="907"/>
      <c r="BL203" s="907"/>
      <c r="BM203" s="907"/>
      <c r="BN203" s="907"/>
      <c r="BO203" s="891"/>
      <c r="BP203" s="907" t="e">
        <f>1/2*9.8*(BJ203/2.2+BL203/2.2*BM203/BN203*1)*1*BO203/1000</f>
        <v>#DIV/0!</v>
      </c>
      <c r="BQ203" s="891">
        <v>0.35</v>
      </c>
      <c r="BR203" s="904"/>
      <c r="BS203" s="904"/>
      <c r="BT203" s="908"/>
      <c r="BU203" s="907"/>
      <c r="BV203" s="907"/>
      <c r="BW203" s="907"/>
      <c r="BX203" s="890"/>
      <c r="BY203" s="890"/>
      <c r="BZ203" s="895"/>
      <c r="CA203" s="890"/>
      <c r="CB203" s="890"/>
      <c r="CC203" s="893"/>
      <c r="CD203" s="893"/>
      <c r="CE203" s="890"/>
      <c r="CF203" s="890"/>
      <c r="CG203" s="890"/>
      <c r="CH203" s="890"/>
      <c r="CI203" s="896"/>
      <c r="CJ203" s="972"/>
      <c r="CK203" s="955"/>
    </row>
    <row r="204" spans="1:89" ht="25.5" x14ac:dyDescent="0.2">
      <c r="A204" s="890">
        <v>60</v>
      </c>
      <c r="B204" s="883" t="s">
        <v>2433</v>
      </c>
      <c r="C204" s="883"/>
      <c r="D204" s="883" t="s">
        <v>2338</v>
      </c>
      <c r="E204" s="883" t="s">
        <v>4225</v>
      </c>
      <c r="F204" s="883"/>
      <c r="G204" s="885"/>
      <c r="H204" s="870" t="s">
        <v>989</v>
      </c>
      <c r="I204" s="886" t="s">
        <v>1448</v>
      </c>
      <c r="J204" s="883"/>
      <c r="K204" s="883"/>
      <c r="L204" s="883">
        <v>260</v>
      </c>
      <c r="M204" s="883">
        <v>104.1</v>
      </c>
      <c r="N204" s="883" t="s">
        <v>115</v>
      </c>
      <c r="O204" s="870" t="s">
        <v>1741</v>
      </c>
      <c r="P204" s="870"/>
      <c r="Q204" s="870"/>
      <c r="R204" s="870"/>
      <c r="S204" s="870"/>
      <c r="T204" s="870"/>
      <c r="U204" s="870"/>
      <c r="V204" s="870"/>
      <c r="W204" s="870"/>
      <c r="X204" s="870"/>
      <c r="Y204" s="870"/>
      <c r="Z204" s="870"/>
      <c r="AA204" s="870"/>
      <c r="AB204" s="870" t="s">
        <v>2430</v>
      </c>
      <c r="AC204" s="870" t="s">
        <v>710</v>
      </c>
      <c r="AD204" s="870"/>
      <c r="AE204" s="870" t="s">
        <v>1801</v>
      </c>
      <c r="AF204" s="883" t="s">
        <v>2434</v>
      </c>
      <c r="AG204" s="883" t="s">
        <v>2435</v>
      </c>
      <c r="AH204" s="883"/>
      <c r="AI204" s="883" t="s">
        <v>80</v>
      </c>
      <c r="AJ204" s="883" t="s">
        <v>234</v>
      </c>
      <c r="AK204" s="870" t="s">
        <v>1443</v>
      </c>
      <c r="AL204" s="883"/>
      <c r="AM204" s="883" t="s">
        <v>1784</v>
      </c>
      <c r="AN204" s="883"/>
      <c r="AO204" s="883"/>
      <c r="AP204" s="883"/>
      <c r="AQ204" s="883"/>
      <c r="AR204" s="887">
        <v>12.4</v>
      </c>
      <c r="AS204" s="888">
        <v>4.7</v>
      </c>
      <c r="AT204" s="887">
        <v>3.3</v>
      </c>
      <c r="AU204" s="888">
        <v>7</v>
      </c>
      <c r="AV204" s="888"/>
      <c r="AW204" s="888"/>
      <c r="AX204" s="889" t="s">
        <v>1970</v>
      </c>
      <c r="AY204" s="883" t="s">
        <v>1790</v>
      </c>
      <c r="AZ204" s="870">
        <v>5</v>
      </c>
      <c r="BA204" s="870" t="s">
        <v>990</v>
      </c>
      <c r="BB204" s="883" t="s">
        <v>991</v>
      </c>
      <c r="BC204" s="883" t="s">
        <v>992</v>
      </c>
      <c r="BD204" s="870" t="s">
        <v>993</v>
      </c>
      <c r="BE204" s="870"/>
      <c r="BF204" s="870"/>
      <c r="BG204" s="870"/>
      <c r="BH204" s="891" t="s">
        <v>1809</v>
      </c>
      <c r="BI204" s="890"/>
      <c r="BJ204" s="907"/>
      <c r="BK204" s="907"/>
      <c r="BL204" s="907"/>
      <c r="BM204" s="907"/>
      <c r="BN204" s="907"/>
      <c r="BO204" s="891"/>
      <c r="BP204" s="907" t="e">
        <f>1/2*9.8*(BJ204/2.2+BL204/2.2*BM204/BN204*1)*1*BO204/1000</f>
        <v>#DIV/0!</v>
      </c>
      <c r="BQ204" s="891">
        <v>0.35</v>
      </c>
      <c r="BR204" s="904"/>
      <c r="BS204" s="904"/>
      <c r="BT204" s="908"/>
      <c r="BU204" s="907"/>
      <c r="BV204" s="907"/>
      <c r="BW204" s="907"/>
      <c r="BX204" s="890"/>
      <c r="BY204" s="890"/>
      <c r="BZ204" s="895"/>
      <c r="CA204" s="890"/>
      <c r="CB204" s="890"/>
      <c r="CC204" s="893"/>
      <c r="CD204" s="893"/>
      <c r="CE204" s="890"/>
      <c r="CF204" s="890"/>
      <c r="CG204" s="890"/>
      <c r="CH204" s="890"/>
      <c r="CI204" s="890"/>
      <c r="CJ204" s="873"/>
      <c r="CK204" s="955"/>
    </row>
    <row r="205" spans="1:89" ht="25.5" x14ac:dyDescent="0.2">
      <c r="A205" s="890">
        <v>60</v>
      </c>
      <c r="B205" s="883" t="s">
        <v>994</v>
      </c>
      <c r="C205" s="883"/>
      <c r="D205" s="883" t="s">
        <v>2338</v>
      </c>
      <c r="E205" s="883" t="s">
        <v>4225</v>
      </c>
      <c r="F205" s="883"/>
      <c r="G205" s="885"/>
      <c r="H205" s="870" t="s">
        <v>995</v>
      </c>
      <c r="I205" s="886" t="s">
        <v>1448</v>
      </c>
      <c r="J205" s="883"/>
      <c r="K205" s="883"/>
      <c r="L205" s="883">
        <v>282.25</v>
      </c>
      <c r="M205" s="883">
        <v>115.2</v>
      </c>
      <c r="N205" s="883" t="s">
        <v>2484</v>
      </c>
      <c r="O205" s="870" t="s">
        <v>1741</v>
      </c>
      <c r="P205" s="870"/>
      <c r="Q205" s="870"/>
      <c r="R205" s="870"/>
      <c r="S205" s="870"/>
      <c r="T205" s="870"/>
      <c r="U205" s="870"/>
      <c r="V205" s="870"/>
      <c r="W205" s="870"/>
      <c r="X205" s="870"/>
      <c r="Y205" s="870"/>
      <c r="Z205" s="870"/>
      <c r="AA205" s="870"/>
      <c r="AB205" s="870" t="s">
        <v>2430</v>
      </c>
      <c r="AC205" s="870" t="s">
        <v>710</v>
      </c>
      <c r="AD205" s="870"/>
      <c r="AE205" s="870" t="s">
        <v>1801</v>
      </c>
      <c r="AF205" s="883" t="s">
        <v>2434</v>
      </c>
      <c r="AG205" s="883" t="s">
        <v>2435</v>
      </c>
      <c r="AH205" s="883"/>
      <c r="AI205" s="883" t="s">
        <v>80</v>
      </c>
      <c r="AJ205" s="883" t="s">
        <v>234</v>
      </c>
      <c r="AK205" s="870" t="s">
        <v>1620</v>
      </c>
      <c r="AL205" s="883"/>
      <c r="AM205" s="883" t="s">
        <v>1784</v>
      </c>
      <c r="AN205" s="883"/>
      <c r="AO205" s="883"/>
      <c r="AP205" s="883"/>
      <c r="AQ205" s="883"/>
      <c r="AR205" s="887">
        <v>13.5</v>
      </c>
      <c r="AS205" s="888">
        <v>5</v>
      </c>
      <c r="AT205" s="918">
        <f>13.5-9.4</f>
        <v>4.0999999999999996</v>
      </c>
      <c r="AU205" s="888">
        <v>7</v>
      </c>
      <c r="AV205" s="888"/>
      <c r="AW205" s="888"/>
      <c r="AX205" s="889" t="s">
        <v>1970</v>
      </c>
      <c r="AY205" s="883" t="s">
        <v>1790</v>
      </c>
      <c r="AZ205" s="870">
        <v>5</v>
      </c>
      <c r="BA205" s="870" t="s">
        <v>996</v>
      </c>
      <c r="BB205" s="883" t="s">
        <v>997</v>
      </c>
      <c r="BC205" s="883" t="s">
        <v>998</v>
      </c>
      <c r="BD205" s="870" t="s">
        <v>999</v>
      </c>
      <c r="BE205" s="870"/>
      <c r="BF205" s="870"/>
      <c r="BG205" s="870"/>
      <c r="BH205" s="891" t="s">
        <v>1809</v>
      </c>
      <c r="BI205" s="890"/>
      <c r="BJ205" s="907"/>
      <c r="BK205" s="907"/>
      <c r="BL205" s="907"/>
      <c r="BM205" s="907"/>
      <c r="BN205" s="907"/>
      <c r="BO205" s="891"/>
      <c r="BP205" s="907" t="e">
        <f>1/2*9.8*(BJ205/2.2+BL205/2.2*BM205/BN205*1)*1*BO205/1000</f>
        <v>#DIV/0!</v>
      </c>
      <c r="BQ205" s="891">
        <v>0.35</v>
      </c>
      <c r="BR205" s="904"/>
      <c r="BS205" s="904"/>
      <c r="BT205" s="908"/>
      <c r="BU205" s="907"/>
      <c r="BV205" s="907"/>
      <c r="BW205" s="907"/>
      <c r="BX205" s="890"/>
      <c r="BY205" s="890"/>
      <c r="BZ205" s="895"/>
      <c r="CA205" s="890"/>
      <c r="CB205" s="890"/>
      <c r="CC205" s="893"/>
      <c r="CD205" s="893"/>
      <c r="CE205" s="890"/>
      <c r="CF205" s="890"/>
      <c r="CG205" s="890"/>
      <c r="CH205" s="890"/>
      <c r="CI205" s="890"/>
      <c r="CJ205" s="873"/>
      <c r="CK205" s="955"/>
    </row>
    <row r="206" spans="1:89" ht="25.5" x14ac:dyDescent="0.2">
      <c r="A206" s="890">
        <v>60</v>
      </c>
      <c r="B206" s="883" t="s">
        <v>1000</v>
      </c>
      <c r="C206" s="883"/>
      <c r="D206" s="883" t="s">
        <v>848</v>
      </c>
      <c r="E206" s="883" t="s">
        <v>4225</v>
      </c>
      <c r="F206" s="883"/>
      <c r="G206" s="885"/>
      <c r="H206" s="870" t="s">
        <v>1005</v>
      </c>
      <c r="I206" s="886" t="s">
        <v>1448</v>
      </c>
      <c r="J206" s="883"/>
      <c r="K206" s="883"/>
      <c r="L206" s="883"/>
      <c r="M206" s="883"/>
      <c r="N206" s="883"/>
      <c r="O206" s="870" t="s">
        <v>1741</v>
      </c>
      <c r="P206" s="870"/>
      <c r="Q206" s="870"/>
      <c r="R206" s="870"/>
      <c r="S206" s="870"/>
      <c r="T206" s="870"/>
      <c r="U206" s="870"/>
      <c r="V206" s="870"/>
      <c r="W206" s="870"/>
      <c r="X206" s="870"/>
      <c r="Y206" s="870"/>
      <c r="Z206" s="870"/>
      <c r="AA206" s="870"/>
      <c r="AB206" s="870" t="s">
        <v>1001</v>
      </c>
      <c r="AC206" s="870" t="s">
        <v>1002</v>
      </c>
      <c r="AD206" s="870"/>
      <c r="AE206" s="870"/>
      <c r="AF206" s="883" t="s">
        <v>1003</v>
      </c>
      <c r="AG206" s="883" t="s">
        <v>1004</v>
      </c>
      <c r="AH206" s="883"/>
      <c r="AI206" s="883"/>
      <c r="AJ206" s="883" t="s">
        <v>234</v>
      </c>
      <c r="AK206" s="870" t="s">
        <v>1127</v>
      </c>
      <c r="AL206" s="883" t="s">
        <v>1784</v>
      </c>
      <c r="AM206" s="883"/>
      <c r="AN206" s="883"/>
      <c r="AO206" s="883"/>
      <c r="AP206" s="883"/>
      <c r="AQ206" s="883"/>
      <c r="AR206" s="887">
        <v>7</v>
      </c>
      <c r="AS206" s="888"/>
      <c r="AT206" s="887" t="s">
        <v>157</v>
      </c>
      <c r="AU206" s="888"/>
      <c r="AV206" s="888"/>
      <c r="AW206" s="888"/>
      <c r="AX206" s="889" t="s">
        <v>1970</v>
      </c>
      <c r="AY206" s="883" t="s">
        <v>1659</v>
      </c>
      <c r="AZ206" s="870"/>
      <c r="BA206" s="870" t="s">
        <v>2786</v>
      </c>
      <c r="BB206" s="883" t="s">
        <v>2787</v>
      </c>
      <c r="BC206" s="883" t="s">
        <v>2788</v>
      </c>
      <c r="BD206" s="870" t="s">
        <v>2436</v>
      </c>
      <c r="BE206" s="870"/>
      <c r="BF206" s="870"/>
      <c r="BG206" s="870"/>
      <c r="BH206" s="870" t="s">
        <v>1809</v>
      </c>
      <c r="BI206" s="890"/>
      <c r="BJ206" s="892"/>
      <c r="BK206" s="892"/>
      <c r="BL206" s="892"/>
      <c r="BM206" s="892"/>
      <c r="BN206" s="892"/>
      <c r="BO206" s="890"/>
      <c r="BP206" s="892"/>
      <c r="BQ206" s="890"/>
      <c r="BR206" s="893"/>
      <c r="BS206" s="893"/>
      <c r="BT206" s="894"/>
      <c r="BU206" s="892"/>
      <c r="BV206" s="892"/>
      <c r="BW206" s="892"/>
      <c r="BX206" s="890"/>
      <c r="BY206" s="890"/>
      <c r="BZ206" s="895"/>
      <c r="CA206" s="890"/>
      <c r="CB206" s="890"/>
      <c r="CC206" s="893"/>
      <c r="CD206" s="893"/>
      <c r="CE206" s="890"/>
      <c r="CF206" s="890"/>
      <c r="CG206" s="890"/>
      <c r="CH206" s="890"/>
      <c r="CI206" s="890"/>
      <c r="CJ206" s="972"/>
      <c r="CK206" s="955"/>
    </row>
    <row r="207" spans="1:89" ht="51" x14ac:dyDescent="0.2">
      <c r="A207" s="890">
        <v>60</v>
      </c>
      <c r="B207" s="883" t="s">
        <v>2437</v>
      </c>
      <c r="C207" s="883"/>
      <c r="D207" s="883" t="s">
        <v>1787</v>
      </c>
      <c r="E207" s="883" t="s">
        <v>4225</v>
      </c>
      <c r="F207" s="883"/>
      <c r="G207" s="901" t="s">
        <v>1738</v>
      </c>
      <c r="H207" s="870" t="s">
        <v>818</v>
      </c>
      <c r="I207" s="886" t="s">
        <v>2874</v>
      </c>
      <c r="J207" s="883" t="s">
        <v>114</v>
      </c>
      <c r="K207" s="883" t="s">
        <v>2438</v>
      </c>
      <c r="L207" s="870" t="s">
        <v>2439</v>
      </c>
      <c r="M207" s="870" t="s">
        <v>2440</v>
      </c>
      <c r="N207" s="883" t="s">
        <v>1705</v>
      </c>
      <c r="O207" s="870" t="s">
        <v>116</v>
      </c>
      <c r="P207" s="870"/>
      <c r="Q207" s="870"/>
      <c r="R207" s="870"/>
      <c r="S207" s="870"/>
      <c r="T207" s="870"/>
      <c r="U207" s="870"/>
      <c r="V207" s="870"/>
      <c r="W207" s="870"/>
      <c r="X207" s="870"/>
      <c r="Y207" s="870"/>
      <c r="Z207" s="870"/>
      <c r="AA207" s="870"/>
      <c r="AB207" s="870" t="s">
        <v>2441</v>
      </c>
      <c r="AC207" s="870" t="s">
        <v>2442</v>
      </c>
      <c r="AD207" s="964" t="s">
        <v>1800</v>
      </c>
      <c r="AE207" s="870" t="s">
        <v>1699</v>
      </c>
      <c r="AF207" s="948">
        <f>(57.6+50.4)/2</f>
        <v>54</v>
      </c>
      <c r="AG207" s="883" t="s">
        <v>2445</v>
      </c>
      <c r="AH207" s="883"/>
      <c r="AI207" s="883" t="s">
        <v>80</v>
      </c>
      <c r="AJ207" s="883" t="s">
        <v>234</v>
      </c>
      <c r="AK207" s="870" t="s">
        <v>1899</v>
      </c>
      <c r="AL207" s="883" t="s">
        <v>1784</v>
      </c>
      <c r="AM207" s="883"/>
      <c r="AN207" s="883"/>
      <c r="AO207" s="883">
        <v>0.43</v>
      </c>
      <c r="AP207" s="870">
        <v>0.36</v>
      </c>
      <c r="AQ207" s="870"/>
      <c r="AR207" s="887">
        <v>8.25</v>
      </c>
      <c r="AS207" s="888" t="s">
        <v>157</v>
      </c>
      <c r="AT207" s="887" t="s">
        <v>157</v>
      </c>
      <c r="AU207" s="888">
        <v>6.6</v>
      </c>
      <c r="AV207" s="888">
        <v>6.2</v>
      </c>
      <c r="AW207" s="904">
        <f>(100*PI()*(A207^2))/(40*AO207*AV207*453.5924)</f>
        <v>23.381182285048052</v>
      </c>
      <c r="AX207" s="889" t="s">
        <v>1789</v>
      </c>
      <c r="AY207" s="883" t="s">
        <v>1790</v>
      </c>
      <c r="AZ207" s="870">
        <v>600</v>
      </c>
      <c r="BA207" s="870" t="s">
        <v>1481</v>
      </c>
      <c r="BB207" s="870" t="s">
        <v>1482</v>
      </c>
      <c r="BC207" s="883">
        <v>132153</v>
      </c>
      <c r="BD207" s="870">
        <v>132154</v>
      </c>
      <c r="BE207" s="870"/>
      <c r="BF207" s="870"/>
      <c r="BG207" s="870"/>
      <c r="BH207" s="870" t="s">
        <v>1483</v>
      </c>
      <c r="BI207" s="906">
        <v>37244</v>
      </c>
      <c r="BJ207" s="907">
        <v>2669</v>
      </c>
      <c r="BK207" s="907">
        <v>2014</v>
      </c>
      <c r="BL207" s="892">
        <f>BJ207+BK207</f>
        <v>4683</v>
      </c>
      <c r="BM207" s="907">
        <v>569</v>
      </c>
      <c r="BN207" s="907">
        <v>2870</v>
      </c>
      <c r="BO207" s="891">
        <v>326</v>
      </c>
      <c r="BP207" s="892">
        <f>IF(G207="Front",0.5*9.81*0.4535924*(BJ207+BL207*(BM207/BN207)*1.1)*1.1*(BO207/1000),IF(G207="Rear",0.5*9.81*0.4535924*(BK207+BL207*(BM207/BN207)*0.9)*0.9*(BO207/1000),"TBD"))</f>
        <v>2944.2524554545839</v>
      </c>
      <c r="BQ207" s="891">
        <v>0.35</v>
      </c>
      <c r="BR207" s="904">
        <v>79</v>
      </c>
      <c r="BS207" s="904">
        <v>79</v>
      </c>
      <c r="BT207" s="908"/>
      <c r="BU207" s="892">
        <f>(2.4525*(BL207*0.4535924)*(0.8*(1000/3600)*BT207)*(BR207/100))/(AF207*2)</f>
        <v>0</v>
      </c>
      <c r="BV207" s="892" t="e">
        <f>(BP207/(M207/1000))/(2*AF207)</f>
        <v>#VALUE!</v>
      </c>
      <c r="BW207" s="892" t="e">
        <f>(1.4*BP207/(M207/1000))/(2*AF207)</f>
        <v>#VALUE!</v>
      </c>
      <c r="BX207" s="893">
        <v>68.099999999999994</v>
      </c>
      <c r="BY207" s="891">
        <v>26</v>
      </c>
      <c r="BZ207" s="909">
        <f>BX207/(282*BY207)</f>
        <v>9.2880523731587554E-3</v>
      </c>
      <c r="CA207" s="891">
        <v>225</v>
      </c>
      <c r="CB207" s="891"/>
      <c r="CC207" s="893">
        <f>BU207*(2*AF207)/(2*1600)</f>
        <v>0</v>
      </c>
      <c r="CD207" s="893" t="e">
        <f>BV207*(2*AF207)/(2*250)</f>
        <v>#VALUE!</v>
      </c>
      <c r="CE207" s="890" t="e">
        <f>IF((CD207-CC207)&gt;0, "Shear","Power")</f>
        <v>#VALUE!</v>
      </c>
      <c r="CF207" s="915" t="e">
        <f>(AF207/MAX(CC207,CD207))-1</f>
        <v>#VALUE!</v>
      </c>
      <c r="CG207" s="890"/>
      <c r="CH207" s="890"/>
      <c r="CI207" s="890"/>
      <c r="CJ207" s="972"/>
      <c r="CK207" s="955"/>
    </row>
    <row r="208" spans="1:89" ht="38.25" x14ac:dyDescent="0.2">
      <c r="A208" s="890">
        <v>60</v>
      </c>
      <c r="B208" s="883" t="s">
        <v>2437</v>
      </c>
      <c r="C208" s="883"/>
      <c r="D208" s="883" t="s">
        <v>1787</v>
      </c>
      <c r="E208" s="883" t="s">
        <v>4225</v>
      </c>
      <c r="F208" s="883"/>
      <c r="G208" s="901" t="s">
        <v>1738</v>
      </c>
      <c r="H208" s="870" t="s">
        <v>1490</v>
      </c>
      <c r="I208" s="886" t="s">
        <v>2874</v>
      </c>
      <c r="J208" s="883" t="s">
        <v>114</v>
      </c>
      <c r="K208" s="883" t="s">
        <v>1484</v>
      </c>
      <c r="L208" s="870" t="s">
        <v>1485</v>
      </c>
      <c r="M208" s="870" t="s">
        <v>1486</v>
      </c>
      <c r="N208" s="883" t="s">
        <v>1361</v>
      </c>
      <c r="O208" s="870" t="s">
        <v>1488</v>
      </c>
      <c r="P208" s="870"/>
      <c r="Q208" s="870"/>
      <c r="R208" s="870"/>
      <c r="S208" s="870"/>
      <c r="T208" s="870"/>
      <c r="U208" s="870"/>
      <c r="V208" s="870"/>
      <c r="W208" s="870"/>
      <c r="X208" s="870"/>
      <c r="Y208" s="870"/>
      <c r="Z208" s="870"/>
      <c r="AA208" s="870"/>
      <c r="AB208" s="870" t="s">
        <v>1489</v>
      </c>
      <c r="AC208" s="870" t="s">
        <v>119</v>
      </c>
      <c r="AD208" s="964" t="s">
        <v>1800</v>
      </c>
      <c r="AE208" s="870" t="s">
        <v>1668</v>
      </c>
      <c r="AF208" s="948">
        <f>(57.6+50.4)/2</f>
        <v>54</v>
      </c>
      <c r="AG208" s="883" t="s">
        <v>2445</v>
      </c>
      <c r="AH208" s="883"/>
      <c r="AI208" s="883" t="s">
        <v>80</v>
      </c>
      <c r="AJ208" s="883" t="s">
        <v>234</v>
      </c>
      <c r="AK208" s="870" t="s">
        <v>1899</v>
      </c>
      <c r="AL208" s="883" t="s">
        <v>1784</v>
      </c>
      <c r="AM208" s="883"/>
      <c r="AN208" s="883"/>
      <c r="AO208" s="883">
        <v>0.43</v>
      </c>
      <c r="AP208" s="870">
        <v>0.36</v>
      </c>
      <c r="AQ208" s="870"/>
      <c r="AR208" s="887">
        <v>8.25</v>
      </c>
      <c r="AS208" s="888" t="s">
        <v>157</v>
      </c>
      <c r="AT208" s="887"/>
      <c r="AU208" s="888">
        <v>6.6</v>
      </c>
      <c r="AV208" s="888">
        <v>6.2</v>
      </c>
      <c r="AW208" s="904">
        <f>(100*PI()*(A208^2))/(40*AO208*AV208*453.5924)</f>
        <v>23.381182285048052</v>
      </c>
      <c r="AX208" s="889">
        <v>37258</v>
      </c>
      <c r="AY208" s="883" t="s">
        <v>1790</v>
      </c>
      <c r="AZ208" s="870">
        <v>15</v>
      </c>
      <c r="BA208" s="870" t="s">
        <v>1491</v>
      </c>
      <c r="BB208" s="870" t="s">
        <v>1492</v>
      </c>
      <c r="BC208" s="883">
        <v>132153</v>
      </c>
      <c r="BD208" s="870">
        <v>132154</v>
      </c>
      <c r="BE208" s="870"/>
      <c r="BF208" s="870"/>
      <c r="BG208" s="870"/>
      <c r="BH208" s="870" t="s">
        <v>1493</v>
      </c>
      <c r="BI208" s="906">
        <v>37244</v>
      </c>
      <c r="BJ208" s="907">
        <v>2885</v>
      </c>
      <c r="BK208" s="907">
        <v>2177</v>
      </c>
      <c r="BL208" s="892">
        <f>BJ208+BK208</f>
        <v>5062</v>
      </c>
      <c r="BM208" s="907">
        <v>537</v>
      </c>
      <c r="BN208" s="907">
        <v>2870</v>
      </c>
      <c r="BO208" s="891">
        <v>326</v>
      </c>
      <c r="BP208" s="892">
        <f>IF(G208="Front",0.5*9.81*0.4535924*(BJ208+BL208*(BM208/BN208)*1.1)*1.1*(BO208/1000),IF(G208="Rear",0.5*9.81*0.4535924*(BK208+BL208*(BM208/BN208)*0.9)*0.9*(BO208/1000),"TBD"))</f>
        <v>3132.9965311508463</v>
      </c>
      <c r="BQ208" s="891"/>
      <c r="BR208" s="904">
        <v>83</v>
      </c>
      <c r="BS208" s="904">
        <v>83</v>
      </c>
      <c r="BT208" s="908"/>
      <c r="BU208" s="892">
        <f>(2.4525*(BL208*0.4535924)*(0.8*(1000/3600)*BT208)*(BR208/100))/(AF208*2)</f>
        <v>0</v>
      </c>
      <c r="BV208" s="892" t="e">
        <f>(BP208/(M208/1000))/(2*AF208)</f>
        <v>#VALUE!</v>
      </c>
      <c r="BW208" s="892" t="e">
        <f>(1.4*BP208/(M208/1000))/(2*AF208)</f>
        <v>#VALUE!</v>
      </c>
      <c r="BX208" s="893">
        <v>62.4</v>
      </c>
      <c r="BY208" s="891">
        <v>26</v>
      </c>
      <c r="BZ208" s="909">
        <f>BX208/(282*BY208)</f>
        <v>8.5106382978723406E-3</v>
      </c>
      <c r="CA208" s="891">
        <v>225</v>
      </c>
      <c r="CB208" s="891"/>
      <c r="CC208" s="893">
        <f>BU208*(2*AF208)/(2*1600)</f>
        <v>0</v>
      </c>
      <c r="CD208" s="893" t="e">
        <f>BV208*(2*AF208)/(2*250)</f>
        <v>#VALUE!</v>
      </c>
      <c r="CE208" s="890" t="e">
        <f>IF((CD208-CC208)&gt;0, "Shear","Power")</f>
        <v>#VALUE!</v>
      </c>
      <c r="CF208" s="915" t="e">
        <f>(AF208/MAX(CC208,CD208))-1</f>
        <v>#VALUE!</v>
      </c>
      <c r="CG208" s="890"/>
      <c r="CH208" s="890"/>
      <c r="CI208" s="890"/>
      <c r="CJ208" s="972"/>
      <c r="CK208" s="955"/>
    </row>
    <row r="209" spans="1:89" ht="25.5" x14ac:dyDescent="0.2">
      <c r="A209" s="890">
        <v>60</v>
      </c>
      <c r="B209" s="883" t="s">
        <v>994</v>
      </c>
      <c r="C209" s="883"/>
      <c r="D209" s="883" t="s">
        <v>1787</v>
      </c>
      <c r="E209" s="883" t="s">
        <v>4225</v>
      </c>
      <c r="F209" s="883"/>
      <c r="G209" s="901" t="s">
        <v>1738</v>
      </c>
      <c r="H209" s="870" t="s">
        <v>1496</v>
      </c>
      <c r="I209" s="886" t="s">
        <v>2874</v>
      </c>
      <c r="J209" s="883" t="s">
        <v>114</v>
      </c>
      <c r="K209" s="883" t="s">
        <v>2438</v>
      </c>
      <c r="L209" s="883">
        <v>282</v>
      </c>
      <c r="M209" s="883">
        <v>116.1</v>
      </c>
      <c r="N209" s="883" t="s">
        <v>197</v>
      </c>
      <c r="O209" s="870" t="s">
        <v>116</v>
      </c>
      <c r="P209" s="870"/>
      <c r="Q209" s="870"/>
      <c r="R209" s="870"/>
      <c r="S209" s="870"/>
      <c r="T209" s="870"/>
      <c r="U209" s="870"/>
      <c r="V209" s="870"/>
      <c r="W209" s="870"/>
      <c r="X209" s="870"/>
      <c r="Y209" s="870"/>
      <c r="Z209" s="870"/>
      <c r="AA209" s="870"/>
      <c r="AB209" s="870" t="s">
        <v>2486</v>
      </c>
      <c r="AC209" s="883" t="s">
        <v>119</v>
      </c>
      <c r="AD209" s="964" t="s">
        <v>1494</v>
      </c>
      <c r="AE209" s="883" t="s">
        <v>1668</v>
      </c>
      <c r="AF209" s="948">
        <f>(45.2+37.8)/2</f>
        <v>41.5</v>
      </c>
      <c r="AG209" s="883" t="s">
        <v>1495</v>
      </c>
      <c r="AH209" s="883"/>
      <c r="AI209" s="883" t="s">
        <v>80</v>
      </c>
      <c r="AJ209" s="883" t="s">
        <v>234</v>
      </c>
      <c r="AK209" s="870" t="s">
        <v>1899</v>
      </c>
      <c r="AL209" s="883" t="s">
        <v>1784</v>
      </c>
      <c r="AM209" s="883"/>
      <c r="AN209" s="883"/>
      <c r="AO209" s="883"/>
      <c r="AP209" s="883"/>
      <c r="AQ209" s="883"/>
      <c r="AR209" s="887">
        <v>8.5</v>
      </c>
      <c r="AS209" s="888" t="s">
        <v>157</v>
      </c>
      <c r="AT209" s="887" t="s">
        <v>157</v>
      </c>
      <c r="AU209" s="888">
        <v>6.6</v>
      </c>
      <c r="AV209" s="888"/>
      <c r="AW209" s="904" t="e">
        <f>(100*PI()*(A209^2))/(40*AO209*AV209*453.5924)</f>
        <v>#DIV/0!</v>
      </c>
      <c r="AX209" s="889" t="s">
        <v>1789</v>
      </c>
      <c r="AY209" s="883" t="s">
        <v>1790</v>
      </c>
      <c r="AZ209" s="870">
        <v>6</v>
      </c>
      <c r="BA209" s="870" t="s">
        <v>1497</v>
      </c>
      <c r="BB209" s="883" t="s">
        <v>1498</v>
      </c>
      <c r="BC209" s="883">
        <v>12658203</v>
      </c>
      <c r="BD209" s="870" t="s">
        <v>1499</v>
      </c>
      <c r="BE209" s="870"/>
      <c r="BF209" s="870"/>
      <c r="BG209" s="870"/>
      <c r="BH209" s="891" t="s">
        <v>1809</v>
      </c>
      <c r="BI209" s="906"/>
      <c r="BJ209" s="907">
        <v>2669</v>
      </c>
      <c r="BK209" s="907">
        <v>2014</v>
      </c>
      <c r="BL209" s="892">
        <f>BJ209+BK209</f>
        <v>4683</v>
      </c>
      <c r="BM209" s="907">
        <v>569</v>
      </c>
      <c r="BN209" s="907">
        <v>2870</v>
      </c>
      <c r="BO209" s="891">
        <v>326</v>
      </c>
      <c r="BP209" s="892">
        <f>IF(G209="Front",0.5*9.81*0.4535924*(BJ209+BL209*(BM209/BN209)*1.1)*1.1*(BO209/1000),IF(G209="Rear",0.5*9.81*0.4535924*(BK209+BL209*(BM209/BN209)*0.9)*0.9*(BO209/1000),"TBD"))</f>
        <v>2944.2524554545839</v>
      </c>
      <c r="BQ209" s="891">
        <v>0.35</v>
      </c>
      <c r="BR209" s="904" t="s">
        <v>1921</v>
      </c>
      <c r="BS209" s="904">
        <v>79</v>
      </c>
      <c r="BT209" s="908"/>
      <c r="BU209" s="892" t="e">
        <f>(2.4525*(BL209*0.4535924)*(0.8*(1000/3600)*BT209)*(BR209/100))/(AF209*2)</f>
        <v>#VALUE!</v>
      </c>
      <c r="BV209" s="892">
        <f>(BP209/(M209/1000))/(2*AF209)</f>
        <v>305.53764987127676</v>
      </c>
      <c r="BW209" s="892">
        <f>(1.4*BP209/(M209/1000))/(2*AF209)</f>
        <v>427.75270981978736</v>
      </c>
      <c r="BX209" s="893">
        <v>68.099999999999994</v>
      </c>
      <c r="BY209" s="891">
        <v>24</v>
      </c>
      <c r="BZ209" s="909">
        <f>BX209/(L209*BY209)</f>
        <v>1.0062056737588651E-2</v>
      </c>
      <c r="CA209" s="891">
        <v>225</v>
      </c>
      <c r="CB209" s="891"/>
      <c r="CC209" s="893" t="e">
        <f>BU209*(2*AF209)/(2*1600)</f>
        <v>#VALUE!</v>
      </c>
      <c r="CD209" s="893">
        <f>BV209*(2*AF209)/(2*250)</f>
        <v>50.719249878631942</v>
      </c>
      <c r="CE209" s="890" t="e">
        <f>IF((CD209-CC209)&gt;0, "Shear","Power")</f>
        <v>#VALUE!</v>
      </c>
      <c r="CF209" s="915" t="e">
        <f>(AF209/MAX(CC209,CD209))-1</f>
        <v>#VALUE!</v>
      </c>
      <c r="CG209" s="890"/>
      <c r="CH209" s="890"/>
      <c r="CI209" s="890"/>
      <c r="CJ209" s="972"/>
      <c r="CK209" s="955"/>
    </row>
    <row r="210" spans="1:89" ht="25.5" x14ac:dyDescent="0.2">
      <c r="A210" s="890">
        <v>60</v>
      </c>
      <c r="B210" s="883" t="s">
        <v>994</v>
      </c>
      <c r="C210" s="883"/>
      <c r="D210" s="883" t="s">
        <v>1787</v>
      </c>
      <c r="E210" s="883" t="s">
        <v>4225</v>
      </c>
      <c r="F210" s="883"/>
      <c r="G210" s="934"/>
      <c r="H210" s="870" t="s">
        <v>2610</v>
      </c>
      <c r="I210" s="886" t="s">
        <v>2874</v>
      </c>
      <c r="J210" s="883" t="s">
        <v>114</v>
      </c>
      <c r="K210" s="883" t="s">
        <v>2607</v>
      </c>
      <c r="L210" s="883">
        <v>256.35000000000002</v>
      </c>
      <c r="M210" s="883">
        <v>102.1</v>
      </c>
      <c r="N210" s="883" t="s">
        <v>115</v>
      </c>
      <c r="O210" s="870" t="s">
        <v>116</v>
      </c>
      <c r="P210" s="870"/>
      <c r="Q210" s="870"/>
      <c r="R210" s="870"/>
      <c r="S210" s="870"/>
      <c r="T210" s="870"/>
      <c r="U210" s="870"/>
      <c r="V210" s="870"/>
      <c r="W210" s="870"/>
      <c r="X210" s="870"/>
      <c r="Y210" s="870"/>
      <c r="Z210" s="870"/>
      <c r="AA210" s="870"/>
      <c r="AB210" s="870" t="s">
        <v>2608</v>
      </c>
      <c r="AC210" s="870" t="s">
        <v>710</v>
      </c>
      <c r="AD210" s="964" t="s">
        <v>2609</v>
      </c>
      <c r="AE210" s="870" t="s">
        <v>1801</v>
      </c>
      <c r="AF210" s="883" t="s">
        <v>2434</v>
      </c>
      <c r="AG210" s="883" t="s">
        <v>2435</v>
      </c>
      <c r="AH210" s="883"/>
      <c r="AI210" s="883" t="s">
        <v>80</v>
      </c>
      <c r="AJ210" s="883" t="s">
        <v>234</v>
      </c>
      <c r="AK210" s="870" t="s">
        <v>1443</v>
      </c>
      <c r="AL210" s="883" t="s">
        <v>1784</v>
      </c>
      <c r="AM210" s="883"/>
      <c r="AN210" s="883"/>
      <c r="AO210" s="883"/>
      <c r="AP210" s="883"/>
      <c r="AQ210" s="883"/>
      <c r="AR210" s="887">
        <v>8.3000000000000007</v>
      </c>
      <c r="AS210" s="888" t="s">
        <v>157</v>
      </c>
      <c r="AT210" s="887" t="s">
        <v>157</v>
      </c>
      <c r="AU210" s="888">
        <v>6.6</v>
      </c>
      <c r="AV210" s="888"/>
      <c r="AW210" s="888"/>
      <c r="AX210" s="889" t="s">
        <v>1789</v>
      </c>
      <c r="AY210" s="883" t="s">
        <v>1790</v>
      </c>
      <c r="AZ210" s="949">
        <v>1400</v>
      </c>
      <c r="BA210" s="870" t="s">
        <v>2611</v>
      </c>
      <c r="BB210" s="883" t="s">
        <v>2612</v>
      </c>
      <c r="BC210" s="883" t="s">
        <v>2613</v>
      </c>
      <c r="BD210" s="870" t="s">
        <v>2614</v>
      </c>
      <c r="BE210" s="870"/>
      <c r="BF210" s="870"/>
      <c r="BG210" s="870"/>
      <c r="BH210" s="891" t="s">
        <v>1809</v>
      </c>
      <c r="BI210" s="891"/>
      <c r="BJ210" s="907"/>
      <c r="BK210" s="907"/>
      <c r="BL210" s="907"/>
      <c r="BM210" s="907"/>
      <c r="BN210" s="907"/>
      <c r="BO210" s="891"/>
      <c r="BP210" s="907" t="e">
        <f>1/2*9.8*(BJ210/2.2+BL210/2.2*BM210/BN210*1)*1*BO210/1000</f>
        <v>#DIV/0!</v>
      </c>
      <c r="BQ210" s="891">
        <v>0.35</v>
      </c>
      <c r="BR210" s="904"/>
      <c r="BS210" s="904"/>
      <c r="BT210" s="908"/>
      <c r="BU210" s="907"/>
      <c r="BV210" s="907"/>
      <c r="BW210" s="907"/>
      <c r="BX210" s="890"/>
      <c r="BY210" s="890"/>
      <c r="BZ210" s="895"/>
      <c r="CA210" s="890"/>
      <c r="CB210" s="890"/>
      <c r="CC210" s="893"/>
      <c r="CD210" s="893"/>
      <c r="CE210" s="890"/>
      <c r="CF210" s="890"/>
      <c r="CG210" s="890"/>
      <c r="CH210" s="890"/>
      <c r="CI210" s="890"/>
      <c r="CJ210" s="972"/>
      <c r="CK210" s="955"/>
    </row>
    <row r="211" spans="1:89" ht="45" customHeight="1" x14ac:dyDescent="0.2">
      <c r="A211" s="890">
        <v>60</v>
      </c>
      <c r="B211" s="883" t="s">
        <v>994</v>
      </c>
      <c r="C211" s="883"/>
      <c r="D211" s="883" t="s">
        <v>1787</v>
      </c>
      <c r="E211" s="883" t="s">
        <v>4225</v>
      </c>
      <c r="F211" s="883"/>
      <c r="G211" s="934"/>
      <c r="H211" s="870" t="s">
        <v>1516</v>
      </c>
      <c r="I211" s="886" t="s">
        <v>2874</v>
      </c>
      <c r="J211" s="883" t="s">
        <v>114</v>
      </c>
      <c r="K211" s="883" t="s">
        <v>2607</v>
      </c>
      <c r="L211" s="883">
        <v>282.25</v>
      </c>
      <c r="M211" s="883">
        <v>116.1</v>
      </c>
      <c r="N211" s="883" t="s">
        <v>2484</v>
      </c>
      <c r="O211" s="870" t="s">
        <v>116</v>
      </c>
      <c r="P211" s="870"/>
      <c r="Q211" s="870"/>
      <c r="R211" s="870"/>
      <c r="S211" s="870"/>
      <c r="T211" s="870"/>
      <c r="U211" s="870"/>
      <c r="V211" s="870"/>
      <c r="W211" s="870"/>
      <c r="X211" s="870"/>
      <c r="Y211" s="870"/>
      <c r="Z211" s="870"/>
      <c r="AA211" s="870"/>
      <c r="AB211" s="870" t="s">
        <v>2608</v>
      </c>
      <c r="AC211" s="870" t="s">
        <v>710</v>
      </c>
      <c r="AD211" s="964" t="s">
        <v>2609</v>
      </c>
      <c r="AE211" s="870" t="s">
        <v>1801</v>
      </c>
      <c r="AF211" s="883" t="s">
        <v>2434</v>
      </c>
      <c r="AG211" s="883" t="s">
        <v>2435</v>
      </c>
      <c r="AH211" s="883"/>
      <c r="AI211" s="883" t="s">
        <v>80</v>
      </c>
      <c r="AJ211" s="883" t="s">
        <v>234</v>
      </c>
      <c r="AK211" s="870" t="s">
        <v>1443</v>
      </c>
      <c r="AL211" s="883" t="s">
        <v>1784</v>
      </c>
      <c r="AM211" s="883"/>
      <c r="AN211" s="883"/>
      <c r="AO211" s="883"/>
      <c r="AP211" s="883"/>
      <c r="AQ211" s="883"/>
      <c r="AR211" s="887">
        <v>8.3000000000000007</v>
      </c>
      <c r="AS211" s="888" t="s">
        <v>157</v>
      </c>
      <c r="AT211" s="887" t="s">
        <v>157</v>
      </c>
      <c r="AU211" s="888">
        <v>6.6</v>
      </c>
      <c r="AV211" s="888"/>
      <c r="AW211" s="888"/>
      <c r="AX211" s="889" t="s">
        <v>1789</v>
      </c>
      <c r="AY211" s="883" t="s">
        <v>1790</v>
      </c>
      <c r="AZ211" s="949" t="s">
        <v>157</v>
      </c>
      <c r="BA211" s="870" t="s">
        <v>2611</v>
      </c>
      <c r="BB211" s="883" t="s">
        <v>2612</v>
      </c>
      <c r="BC211" s="883" t="s">
        <v>2613</v>
      </c>
      <c r="BD211" s="870" t="s">
        <v>2614</v>
      </c>
      <c r="BE211" s="870"/>
      <c r="BF211" s="870"/>
      <c r="BG211" s="870"/>
      <c r="BH211" s="891" t="s">
        <v>1809</v>
      </c>
      <c r="BI211" s="891"/>
      <c r="BJ211" s="907"/>
      <c r="BK211" s="907"/>
      <c r="BL211" s="907"/>
      <c r="BM211" s="907"/>
      <c r="BN211" s="907"/>
      <c r="BO211" s="891"/>
      <c r="BP211" s="907" t="e">
        <f>1/2*9.8*(BJ211/2.2+BL211/2.2*BM211/BN211*1)*1*BO211/1000</f>
        <v>#DIV/0!</v>
      </c>
      <c r="BQ211" s="891">
        <v>0.35</v>
      </c>
      <c r="BR211" s="904"/>
      <c r="BS211" s="904"/>
      <c r="BT211" s="908"/>
      <c r="BU211" s="907"/>
      <c r="BV211" s="907"/>
      <c r="BW211" s="907"/>
      <c r="BX211" s="890"/>
      <c r="BY211" s="890"/>
      <c r="BZ211" s="895"/>
      <c r="CA211" s="890"/>
      <c r="CB211" s="890"/>
      <c r="CC211" s="893"/>
      <c r="CD211" s="893"/>
      <c r="CE211" s="890"/>
      <c r="CF211" s="890"/>
      <c r="CG211" s="890"/>
      <c r="CH211" s="890"/>
      <c r="CI211" s="890"/>
      <c r="CJ211" s="972"/>
      <c r="CK211" s="870"/>
    </row>
    <row r="212" spans="1:89" ht="45" customHeight="1" x14ac:dyDescent="0.2">
      <c r="A212" s="893">
        <v>60.8</v>
      </c>
      <c r="B212" s="883" t="s">
        <v>135</v>
      </c>
      <c r="C212" s="883"/>
      <c r="D212" s="870" t="s">
        <v>616</v>
      </c>
      <c r="E212" s="883" t="s">
        <v>4225</v>
      </c>
      <c r="F212" s="883">
        <v>2008</v>
      </c>
      <c r="G212" s="901" t="s">
        <v>1738</v>
      </c>
      <c r="H212" s="870" t="s">
        <v>632</v>
      </c>
      <c r="I212" s="886"/>
      <c r="J212" s="883" t="s">
        <v>114</v>
      </c>
      <c r="K212" s="883"/>
      <c r="L212" s="870"/>
      <c r="M212" s="870"/>
      <c r="N212" s="870"/>
      <c r="O212" s="870" t="s">
        <v>1741</v>
      </c>
      <c r="P212" s="870"/>
      <c r="Q212" s="870"/>
      <c r="R212" s="870"/>
      <c r="S212" s="870"/>
      <c r="T212" s="870"/>
      <c r="U212" s="870"/>
      <c r="V212" s="870"/>
      <c r="W212" s="870"/>
      <c r="X212" s="870"/>
      <c r="Y212" s="870"/>
      <c r="Z212" s="870"/>
      <c r="AA212" s="870"/>
      <c r="AB212" s="870" t="s">
        <v>633</v>
      </c>
      <c r="AC212" s="870"/>
      <c r="AD212" s="870"/>
      <c r="AE212" s="870"/>
      <c r="AF212" s="883"/>
      <c r="AG212" s="883"/>
      <c r="AH212" s="883"/>
      <c r="AI212" s="883"/>
      <c r="AJ212" s="883"/>
      <c r="AK212" s="870" t="s">
        <v>1297</v>
      </c>
      <c r="AL212" s="883"/>
      <c r="AM212" s="883"/>
      <c r="AN212" s="883"/>
      <c r="AO212" s="948"/>
      <c r="AP212" s="883"/>
      <c r="AQ212" s="883"/>
      <c r="AR212" s="887"/>
      <c r="AS212" s="888"/>
      <c r="AT212" s="887"/>
      <c r="AU212" s="888"/>
      <c r="AV212" s="888"/>
      <c r="AW212" s="904"/>
      <c r="AX212" s="889"/>
      <c r="AY212" s="883" t="s">
        <v>540</v>
      </c>
      <c r="AZ212" s="949"/>
      <c r="BA212" s="870" t="s">
        <v>585</v>
      </c>
      <c r="BB212" s="870" t="s">
        <v>586</v>
      </c>
      <c r="BC212" s="883"/>
      <c r="BD212" s="870"/>
      <c r="BE212" s="870"/>
      <c r="BF212" s="870"/>
      <c r="BG212" s="870"/>
      <c r="BH212" s="891"/>
      <c r="BI212" s="906">
        <v>40137</v>
      </c>
      <c r="BJ212" s="907"/>
      <c r="BK212" s="907"/>
      <c r="BL212" s="892"/>
      <c r="BM212" s="907"/>
      <c r="BN212" s="907"/>
      <c r="BO212" s="891"/>
      <c r="BP212" s="892"/>
      <c r="BQ212" s="891"/>
      <c r="BR212" s="891"/>
      <c r="BS212" s="891"/>
      <c r="BT212" s="908"/>
      <c r="BU212" s="891"/>
      <c r="BV212" s="892"/>
      <c r="BW212" s="892"/>
      <c r="BX212" s="893"/>
      <c r="BY212" s="891"/>
      <c r="BZ212" s="909"/>
      <c r="CA212" s="891"/>
      <c r="CB212" s="891"/>
      <c r="CC212" s="893"/>
      <c r="CD212" s="893"/>
      <c r="CE212" s="891"/>
      <c r="CF212" s="891"/>
      <c r="CG212" s="890"/>
      <c r="CH212" s="890"/>
      <c r="CI212" s="890"/>
      <c r="CJ212" s="873"/>
      <c r="CK212" s="870"/>
    </row>
    <row r="213" spans="1:89" ht="45" customHeight="1" x14ac:dyDescent="0.2">
      <c r="A213" s="893">
        <v>60.8</v>
      </c>
      <c r="B213" s="883" t="s">
        <v>135</v>
      </c>
      <c r="C213" s="883"/>
      <c r="D213" s="870" t="s">
        <v>616</v>
      </c>
      <c r="E213" s="883" t="s">
        <v>4225</v>
      </c>
      <c r="F213" s="883">
        <v>2009</v>
      </c>
      <c r="G213" s="901" t="s">
        <v>1738</v>
      </c>
      <c r="H213" s="870" t="s">
        <v>2890</v>
      </c>
      <c r="I213" s="886"/>
      <c r="J213" s="883" t="s">
        <v>114</v>
      </c>
      <c r="K213" s="883"/>
      <c r="L213" s="870"/>
      <c r="M213" s="870"/>
      <c r="N213" s="870"/>
      <c r="O213" s="870" t="s">
        <v>1741</v>
      </c>
      <c r="P213" s="870"/>
      <c r="Q213" s="870"/>
      <c r="R213" s="870"/>
      <c r="S213" s="870"/>
      <c r="T213" s="870"/>
      <c r="U213" s="870"/>
      <c r="V213" s="870"/>
      <c r="W213" s="870"/>
      <c r="X213" s="870"/>
      <c r="Y213" s="870"/>
      <c r="Z213" s="870"/>
      <c r="AA213" s="870"/>
      <c r="AB213" s="870"/>
      <c r="AC213" s="870"/>
      <c r="AD213" s="870"/>
      <c r="AE213" s="870"/>
      <c r="AF213" s="883"/>
      <c r="AG213" s="883"/>
      <c r="AH213" s="883"/>
      <c r="AI213" s="883"/>
      <c r="AJ213" s="883"/>
      <c r="AK213" s="870"/>
      <c r="AL213" s="883"/>
      <c r="AM213" s="883"/>
      <c r="AN213" s="883"/>
      <c r="AO213" s="948"/>
      <c r="AP213" s="883"/>
      <c r="AQ213" s="883"/>
      <c r="AR213" s="887"/>
      <c r="AS213" s="888"/>
      <c r="AT213" s="887"/>
      <c r="AU213" s="888"/>
      <c r="AV213" s="888"/>
      <c r="AW213" s="904"/>
      <c r="AX213" s="889"/>
      <c r="AY213" s="883" t="s">
        <v>540</v>
      </c>
      <c r="AZ213" s="949"/>
      <c r="BA213" s="870" t="s">
        <v>593</v>
      </c>
      <c r="BB213" s="870" t="s">
        <v>594</v>
      </c>
      <c r="BC213" s="883"/>
      <c r="BD213" s="870"/>
      <c r="BE213" s="870"/>
      <c r="BF213" s="870"/>
      <c r="BG213" s="870"/>
      <c r="BH213" s="891"/>
      <c r="BI213" s="906">
        <v>40137</v>
      </c>
      <c r="BJ213" s="907"/>
      <c r="BK213" s="907"/>
      <c r="BL213" s="892"/>
      <c r="BM213" s="907"/>
      <c r="BN213" s="907"/>
      <c r="BO213" s="891"/>
      <c r="BP213" s="892"/>
      <c r="BQ213" s="891"/>
      <c r="BR213" s="891"/>
      <c r="BS213" s="891"/>
      <c r="BT213" s="908"/>
      <c r="BU213" s="891"/>
      <c r="BV213" s="892"/>
      <c r="BW213" s="892"/>
      <c r="BX213" s="893"/>
      <c r="BY213" s="891"/>
      <c r="BZ213" s="909"/>
      <c r="CA213" s="891"/>
      <c r="CB213" s="891"/>
      <c r="CC213" s="893"/>
      <c r="CD213" s="893"/>
      <c r="CE213" s="891"/>
      <c r="CF213" s="891"/>
      <c r="CG213" s="890"/>
      <c r="CH213" s="890"/>
      <c r="CI213" s="890"/>
      <c r="CJ213" s="873"/>
      <c r="CK213" s="870"/>
    </row>
    <row r="214" spans="1:89" ht="45" customHeight="1" x14ac:dyDescent="0.2">
      <c r="A214" s="893">
        <v>60.8</v>
      </c>
      <c r="B214" s="883" t="s">
        <v>135</v>
      </c>
      <c r="C214" s="883"/>
      <c r="D214" s="870" t="s">
        <v>616</v>
      </c>
      <c r="E214" s="883" t="s">
        <v>4225</v>
      </c>
      <c r="F214" s="883">
        <v>2009</v>
      </c>
      <c r="G214" s="901" t="s">
        <v>1738</v>
      </c>
      <c r="H214" s="870" t="s">
        <v>2889</v>
      </c>
      <c r="I214" s="886"/>
      <c r="J214" s="883" t="s">
        <v>114</v>
      </c>
      <c r="K214" s="883"/>
      <c r="L214" s="870"/>
      <c r="M214" s="870"/>
      <c r="N214" s="870"/>
      <c r="O214" s="870" t="s">
        <v>1741</v>
      </c>
      <c r="P214" s="870"/>
      <c r="Q214" s="870"/>
      <c r="R214" s="870"/>
      <c r="S214" s="870"/>
      <c r="T214" s="870"/>
      <c r="U214" s="870"/>
      <c r="V214" s="870"/>
      <c r="W214" s="870"/>
      <c r="X214" s="870"/>
      <c r="Y214" s="870"/>
      <c r="Z214" s="870"/>
      <c r="AA214" s="870"/>
      <c r="AB214" s="870"/>
      <c r="AC214" s="870"/>
      <c r="AD214" s="870"/>
      <c r="AE214" s="870"/>
      <c r="AF214" s="883"/>
      <c r="AG214" s="883"/>
      <c r="AH214" s="883"/>
      <c r="AI214" s="883"/>
      <c r="AJ214" s="883"/>
      <c r="AK214" s="870"/>
      <c r="AL214" s="883"/>
      <c r="AM214" s="883"/>
      <c r="AN214" s="883"/>
      <c r="AO214" s="948"/>
      <c r="AP214" s="883"/>
      <c r="AQ214" s="883"/>
      <c r="AR214" s="887"/>
      <c r="AS214" s="888"/>
      <c r="AT214" s="887"/>
      <c r="AU214" s="888"/>
      <c r="AV214" s="888"/>
      <c r="AW214" s="904"/>
      <c r="AX214" s="889"/>
      <c r="AY214" s="883" t="s">
        <v>540</v>
      </c>
      <c r="AZ214" s="949"/>
      <c r="BA214" s="870" t="s">
        <v>591</v>
      </c>
      <c r="BB214" s="870" t="s">
        <v>592</v>
      </c>
      <c r="BC214" s="883"/>
      <c r="BD214" s="870"/>
      <c r="BE214" s="870"/>
      <c r="BF214" s="870"/>
      <c r="BG214" s="870"/>
      <c r="BH214" s="891"/>
      <c r="BI214" s="906">
        <v>40137</v>
      </c>
      <c r="BJ214" s="907"/>
      <c r="BK214" s="907"/>
      <c r="BL214" s="892"/>
      <c r="BM214" s="907"/>
      <c r="BN214" s="907"/>
      <c r="BO214" s="891"/>
      <c r="BP214" s="892"/>
      <c r="BQ214" s="891"/>
      <c r="BR214" s="891"/>
      <c r="BS214" s="891"/>
      <c r="BT214" s="908"/>
      <c r="BU214" s="891"/>
      <c r="BV214" s="892"/>
      <c r="BW214" s="892"/>
      <c r="BX214" s="893"/>
      <c r="BY214" s="891"/>
      <c r="BZ214" s="909"/>
      <c r="CA214" s="891"/>
      <c r="CB214" s="891"/>
      <c r="CC214" s="893"/>
      <c r="CD214" s="893"/>
      <c r="CE214" s="891"/>
      <c r="CF214" s="891"/>
      <c r="CG214" s="890"/>
      <c r="CH214" s="890"/>
      <c r="CI214" s="890"/>
      <c r="CJ214" s="873"/>
      <c r="CK214" s="870"/>
    </row>
    <row r="215" spans="1:89" ht="45" customHeight="1" x14ac:dyDescent="0.2">
      <c r="A215" s="893">
        <f>SQRT(2*43^2)</f>
        <v>60.811183182043088</v>
      </c>
      <c r="B215" s="883" t="s">
        <v>331</v>
      </c>
      <c r="C215" s="870" t="s">
        <v>3984</v>
      </c>
      <c r="D215" s="870" t="s">
        <v>788</v>
      </c>
      <c r="E215" s="883" t="s">
        <v>4225</v>
      </c>
      <c r="F215" s="883">
        <v>2012</v>
      </c>
      <c r="G215" s="901" t="s">
        <v>1571</v>
      </c>
      <c r="H215" s="870" t="s">
        <v>3872</v>
      </c>
      <c r="I215" s="886" t="s">
        <v>3217</v>
      </c>
      <c r="J215" s="883" t="s">
        <v>114</v>
      </c>
      <c r="K215" s="883" t="s">
        <v>2661</v>
      </c>
      <c r="L215" s="870">
        <v>316</v>
      </c>
      <c r="M215" s="870">
        <v>135.87</v>
      </c>
      <c r="N215" s="870" t="s">
        <v>197</v>
      </c>
      <c r="O215" s="870" t="s">
        <v>1741</v>
      </c>
      <c r="P215" s="870"/>
      <c r="Q215" s="870"/>
      <c r="R215" s="870"/>
      <c r="S215" s="870" t="s">
        <v>3652</v>
      </c>
      <c r="T215" s="870" t="s">
        <v>3652</v>
      </c>
      <c r="U215" s="870">
        <v>6.7000000000000004E-2</v>
      </c>
      <c r="V215" s="870">
        <v>6.7000000000000004E-2</v>
      </c>
      <c r="W215" s="870" t="s">
        <v>3892</v>
      </c>
      <c r="X215" s="947">
        <v>0.1416</v>
      </c>
      <c r="Y215" s="870"/>
      <c r="Z215" s="870" t="s">
        <v>3893</v>
      </c>
      <c r="AA215" s="870">
        <v>190</v>
      </c>
      <c r="AB215" s="870" t="s">
        <v>633</v>
      </c>
      <c r="AC215" s="870" t="s">
        <v>3810</v>
      </c>
      <c r="AD215" s="870" t="s">
        <v>1061</v>
      </c>
      <c r="AE215" s="870" t="s">
        <v>1668</v>
      </c>
      <c r="AF215" s="883">
        <v>59.1</v>
      </c>
      <c r="AG215" s="883">
        <v>63.03</v>
      </c>
      <c r="AH215" s="883" t="s">
        <v>1744</v>
      </c>
      <c r="AI215" s="883" t="s">
        <v>122</v>
      </c>
      <c r="AJ215" s="870" t="s">
        <v>3891</v>
      </c>
      <c r="AK215" s="870" t="s">
        <v>1297</v>
      </c>
      <c r="AL215" s="883"/>
      <c r="AM215" s="883"/>
      <c r="AN215" s="883"/>
      <c r="AO215" s="948"/>
      <c r="AP215" s="883"/>
      <c r="AQ215" s="883"/>
      <c r="AR215" s="887">
        <v>10.9</v>
      </c>
      <c r="AS215" s="888">
        <v>3.8</v>
      </c>
      <c r="AT215" s="887">
        <v>3.1</v>
      </c>
      <c r="AU215" s="888">
        <v>4.8</v>
      </c>
      <c r="AV215" s="888">
        <v>4.4000000000000004</v>
      </c>
      <c r="AW215" s="904"/>
      <c r="AX215" s="889"/>
      <c r="AY215" s="883" t="s">
        <v>540</v>
      </c>
      <c r="AZ215" s="949"/>
      <c r="BA215" s="870" t="s">
        <v>3876</v>
      </c>
      <c r="BB215" s="870" t="s">
        <v>3879</v>
      </c>
      <c r="BC215" s="883">
        <v>14862501</v>
      </c>
      <c r="BD215" s="870" t="s">
        <v>1300</v>
      </c>
      <c r="BE215" s="870">
        <v>15190301</v>
      </c>
      <c r="BF215" s="870" t="s">
        <v>157</v>
      </c>
      <c r="BG215" s="870" t="s">
        <v>157</v>
      </c>
      <c r="BH215" s="891" t="s">
        <v>1380</v>
      </c>
      <c r="BI215" s="906">
        <v>41733</v>
      </c>
      <c r="BJ215" s="907">
        <v>2196</v>
      </c>
      <c r="BK215" s="907">
        <v>2443</v>
      </c>
      <c r="BL215" s="892">
        <v>4641</v>
      </c>
      <c r="BM215" s="907">
        <v>535</v>
      </c>
      <c r="BN215" s="907">
        <v>2720</v>
      </c>
      <c r="BO215" s="891">
        <v>325</v>
      </c>
      <c r="BP215" s="892"/>
      <c r="BQ215" s="891"/>
      <c r="BR215" s="891"/>
      <c r="BS215" s="891"/>
      <c r="BT215" s="908"/>
      <c r="BU215" s="891"/>
      <c r="BV215" s="892"/>
      <c r="BW215" s="892"/>
      <c r="BX215" s="893">
        <v>58.7</v>
      </c>
      <c r="BY215" s="891">
        <v>30</v>
      </c>
      <c r="BZ215" s="909">
        <v>6.1999999999999998E-3</v>
      </c>
      <c r="CA215" s="891"/>
      <c r="CB215" s="891"/>
      <c r="CC215" s="893"/>
      <c r="CD215" s="893"/>
      <c r="CE215" s="890"/>
      <c r="CF215" s="915"/>
      <c r="CG215" s="890"/>
      <c r="CH215" s="890"/>
      <c r="CI215" s="890"/>
      <c r="CJ215" s="873"/>
      <c r="CK215" s="870"/>
    </row>
    <row r="216" spans="1:89" ht="45" customHeight="1" x14ac:dyDescent="0.2">
      <c r="A216" s="893">
        <f>SQRT(2*43^2)</f>
        <v>60.811183182043088</v>
      </c>
      <c r="B216" s="883" t="s">
        <v>331</v>
      </c>
      <c r="C216" s="870" t="s">
        <v>3984</v>
      </c>
      <c r="D216" s="870" t="s">
        <v>788</v>
      </c>
      <c r="E216" s="883" t="s">
        <v>4225</v>
      </c>
      <c r="F216" s="883">
        <v>2012</v>
      </c>
      <c r="G216" s="901" t="s">
        <v>1738</v>
      </c>
      <c r="H216" s="870" t="s">
        <v>3873</v>
      </c>
      <c r="I216" s="886" t="s">
        <v>3217</v>
      </c>
      <c r="J216" s="883" t="s">
        <v>114</v>
      </c>
      <c r="K216" s="883" t="s">
        <v>2662</v>
      </c>
      <c r="L216" s="870">
        <v>316</v>
      </c>
      <c r="M216" s="870">
        <v>135.87</v>
      </c>
      <c r="N216" s="870" t="s">
        <v>197</v>
      </c>
      <c r="O216" s="870" t="s">
        <v>1741</v>
      </c>
      <c r="P216" s="870"/>
      <c r="Q216" s="870"/>
      <c r="R216" s="870"/>
      <c r="S216" s="870" t="s">
        <v>3652</v>
      </c>
      <c r="T216" s="870" t="s">
        <v>3652</v>
      </c>
      <c r="U216" s="870">
        <v>6.7000000000000004E-2</v>
      </c>
      <c r="V216" s="870">
        <v>6.7000000000000004E-2</v>
      </c>
      <c r="W216" s="870" t="s">
        <v>3892</v>
      </c>
      <c r="X216" s="947">
        <v>0.1416</v>
      </c>
      <c r="Y216" s="870"/>
      <c r="Z216" s="870" t="s">
        <v>3893</v>
      </c>
      <c r="AA216" s="870">
        <v>190</v>
      </c>
      <c r="AB216" s="870" t="s">
        <v>2579</v>
      </c>
      <c r="AC216" s="870" t="s">
        <v>119</v>
      </c>
      <c r="AD216" s="870" t="s">
        <v>1600</v>
      </c>
      <c r="AE216" s="870" t="s">
        <v>1668</v>
      </c>
      <c r="AF216" s="883">
        <v>62.8</v>
      </c>
      <c r="AG216" s="883">
        <v>64.599999999999994</v>
      </c>
      <c r="AH216" s="883" t="s">
        <v>1744</v>
      </c>
      <c r="AI216" s="883" t="s">
        <v>122</v>
      </c>
      <c r="AJ216" s="870" t="s">
        <v>3891</v>
      </c>
      <c r="AK216" s="870" t="s">
        <v>1297</v>
      </c>
      <c r="AL216" s="883"/>
      <c r="AM216" s="883"/>
      <c r="AN216" s="883"/>
      <c r="AO216" s="948"/>
      <c r="AP216" s="883"/>
      <c r="AQ216" s="883"/>
      <c r="AR216" s="887">
        <v>10.9</v>
      </c>
      <c r="AS216" s="888">
        <v>3.8</v>
      </c>
      <c r="AT216" s="887">
        <v>3.1</v>
      </c>
      <c r="AU216" s="888">
        <v>4.8</v>
      </c>
      <c r="AV216" s="888">
        <v>4.4000000000000004</v>
      </c>
      <c r="AW216" s="904"/>
      <c r="AX216" s="889"/>
      <c r="AY216" s="883" t="s">
        <v>540</v>
      </c>
      <c r="AZ216" s="949"/>
      <c r="BA216" s="870" t="s">
        <v>3877</v>
      </c>
      <c r="BB216" s="870" t="s">
        <v>3880</v>
      </c>
      <c r="BC216" s="883">
        <v>14862501</v>
      </c>
      <c r="BD216" s="870" t="s">
        <v>1300</v>
      </c>
      <c r="BE216" s="870">
        <v>15190301</v>
      </c>
      <c r="BF216" s="870" t="s">
        <v>157</v>
      </c>
      <c r="BG216" s="870" t="s">
        <v>157</v>
      </c>
      <c r="BH216" s="891" t="s">
        <v>1380</v>
      </c>
      <c r="BI216" s="906">
        <v>41733</v>
      </c>
      <c r="BJ216" s="907">
        <v>2196</v>
      </c>
      <c r="BK216" s="907">
        <v>2443</v>
      </c>
      <c r="BL216" s="892">
        <v>4641</v>
      </c>
      <c r="BM216" s="907">
        <v>535</v>
      </c>
      <c r="BN216" s="907">
        <v>2720</v>
      </c>
      <c r="BO216" s="891">
        <v>325</v>
      </c>
      <c r="BP216" s="892"/>
      <c r="BQ216" s="891"/>
      <c r="BR216" s="891"/>
      <c r="BS216" s="891"/>
      <c r="BT216" s="908"/>
      <c r="BU216" s="891"/>
      <c r="BV216" s="892"/>
      <c r="BW216" s="892"/>
      <c r="BX216" s="893">
        <v>59.5</v>
      </c>
      <c r="BY216" s="891">
        <v>30</v>
      </c>
      <c r="BZ216" s="909">
        <v>6.3E-3</v>
      </c>
      <c r="CA216" s="891"/>
      <c r="CB216" s="891"/>
      <c r="CC216" s="893"/>
      <c r="CD216" s="893"/>
      <c r="CE216" s="890"/>
      <c r="CF216" s="915"/>
      <c r="CG216" s="890"/>
      <c r="CH216" s="890"/>
      <c r="CI216" s="890"/>
      <c r="CJ216" s="873"/>
      <c r="CK216" s="870"/>
    </row>
    <row r="217" spans="1:89" ht="38.25" x14ac:dyDescent="0.2">
      <c r="A217" s="893">
        <f>SQRT(2*43^2)</f>
        <v>60.811183182043088</v>
      </c>
      <c r="B217" s="883" t="s">
        <v>331</v>
      </c>
      <c r="C217" s="870" t="s">
        <v>3984</v>
      </c>
      <c r="D217" s="870" t="s">
        <v>788</v>
      </c>
      <c r="E217" s="883" t="s">
        <v>4225</v>
      </c>
      <c r="F217" s="883">
        <v>2012</v>
      </c>
      <c r="G217" s="901" t="s">
        <v>1738</v>
      </c>
      <c r="H217" s="870" t="s">
        <v>1564</v>
      </c>
      <c r="I217" s="886" t="s">
        <v>3217</v>
      </c>
      <c r="J217" s="883" t="s">
        <v>114</v>
      </c>
      <c r="K217" s="883" t="s">
        <v>2661</v>
      </c>
      <c r="L217" s="870">
        <v>336</v>
      </c>
      <c r="M217" s="870">
        <v>145.63</v>
      </c>
      <c r="N217" s="870" t="s">
        <v>1866</v>
      </c>
      <c r="O217" s="870" t="s">
        <v>1741</v>
      </c>
      <c r="P217" s="870"/>
      <c r="Q217" s="870"/>
      <c r="R217" s="870"/>
      <c r="S217" s="870" t="s">
        <v>3652</v>
      </c>
      <c r="T217" s="870" t="s">
        <v>3652</v>
      </c>
      <c r="U217" s="870">
        <v>6.7000000000000004E-2</v>
      </c>
      <c r="V217" s="870">
        <v>6.7000000000000004E-2</v>
      </c>
      <c r="W217" s="870" t="s">
        <v>3892</v>
      </c>
      <c r="X217" s="947">
        <v>0.1416</v>
      </c>
      <c r="Y217" s="870"/>
      <c r="Z217" s="870" t="s">
        <v>3893</v>
      </c>
      <c r="AA217" s="870">
        <v>190</v>
      </c>
      <c r="AB217" s="870" t="s">
        <v>3874</v>
      </c>
      <c r="AC217" s="870" t="s">
        <v>119</v>
      </c>
      <c r="AD217" s="870" t="s">
        <v>3875</v>
      </c>
      <c r="AE217" s="870" t="s">
        <v>1668</v>
      </c>
      <c r="AF217" s="883">
        <v>62.8</v>
      </c>
      <c r="AG217" s="883">
        <v>55.59</v>
      </c>
      <c r="AH217" s="883" t="s">
        <v>1744</v>
      </c>
      <c r="AI217" s="883" t="s">
        <v>122</v>
      </c>
      <c r="AJ217" s="870" t="s">
        <v>3891</v>
      </c>
      <c r="AK217" s="870" t="s">
        <v>1297</v>
      </c>
      <c r="AL217" s="883"/>
      <c r="AM217" s="883"/>
      <c r="AN217" s="883"/>
      <c r="AO217" s="948"/>
      <c r="AP217" s="883"/>
      <c r="AQ217" s="883"/>
      <c r="AR217" s="887">
        <v>10.9</v>
      </c>
      <c r="AS217" s="888">
        <v>4</v>
      </c>
      <c r="AT217" s="887">
        <v>3.4</v>
      </c>
      <c r="AU217" s="888">
        <v>4.8</v>
      </c>
      <c r="AV217" s="888">
        <v>4.4000000000000004</v>
      </c>
      <c r="AW217" s="904"/>
      <c r="AX217" s="889"/>
      <c r="AY217" s="883" t="s">
        <v>540</v>
      </c>
      <c r="AZ217" s="949"/>
      <c r="BA217" s="870" t="s">
        <v>3878</v>
      </c>
      <c r="BB217" s="870" t="s">
        <v>3881</v>
      </c>
      <c r="BC217" s="883">
        <v>14862501</v>
      </c>
      <c r="BD217" s="870" t="s">
        <v>1300</v>
      </c>
      <c r="BE217" s="870">
        <v>16538101</v>
      </c>
      <c r="BF217" s="870" t="s">
        <v>157</v>
      </c>
      <c r="BG217" s="870" t="s">
        <v>157</v>
      </c>
      <c r="BH217" s="891" t="s">
        <v>1380</v>
      </c>
      <c r="BI217" s="906">
        <v>41733</v>
      </c>
      <c r="BJ217" s="907">
        <v>2319</v>
      </c>
      <c r="BK217" s="907">
        <v>2469</v>
      </c>
      <c r="BL217" s="892">
        <v>4788</v>
      </c>
      <c r="BM217" s="907">
        <v>535</v>
      </c>
      <c r="BN217" s="907">
        <v>2720</v>
      </c>
      <c r="BO217" s="891">
        <v>325</v>
      </c>
      <c r="BP217" s="892"/>
      <c r="BQ217" s="891"/>
      <c r="BR217" s="891"/>
      <c r="BS217" s="891"/>
      <c r="BT217" s="908"/>
      <c r="BU217" s="891"/>
      <c r="BV217" s="892"/>
      <c r="BW217" s="892"/>
      <c r="BX217" s="893">
        <v>70.099999999999994</v>
      </c>
      <c r="BY217" s="891">
        <v>30</v>
      </c>
      <c r="BZ217" s="909">
        <v>7.0000000000000001E-3</v>
      </c>
      <c r="CA217" s="891"/>
      <c r="CB217" s="891"/>
      <c r="CC217" s="893"/>
      <c r="CD217" s="893"/>
      <c r="CE217" s="890"/>
      <c r="CF217" s="915"/>
      <c r="CG217" s="890"/>
      <c r="CH217" s="890"/>
      <c r="CI217" s="890"/>
      <c r="CJ217" s="873"/>
      <c r="CK217" s="955"/>
    </row>
    <row r="218" spans="1:89" ht="25.5" x14ac:dyDescent="0.2">
      <c r="A218" s="893">
        <f>SQRT(43^2+43^2)</f>
        <v>60.811183182043088</v>
      </c>
      <c r="B218" s="883" t="s">
        <v>135</v>
      </c>
      <c r="C218" s="883"/>
      <c r="D218" s="870" t="s">
        <v>616</v>
      </c>
      <c r="E218" s="883" t="s">
        <v>4225</v>
      </c>
      <c r="F218" s="883">
        <v>2005</v>
      </c>
      <c r="G218" s="901" t="s">
        <v>1738</v>
      </c>
      <c r="H218" s="870" t="s">
        <v>2889</v>
      </c>
      <c r="I218" s="886" t="s">
        <v>2518</v>
      </c>
      <c r="J218" s="883" t="s">
        <v>114</v>
      </c>
      <c r="K218" s="883" t="s">
        <v>136</v>
      </c>
      <c r="L218" s="870">
        <v>293</v>
      </c>
      <c r="M218" s="870">
        <v>124.7</v>
      </c>
      <c r="N218" s="870" t="s">
        <v>137</v>
      </c>
      <c r="O218" s="870" t="s">
        <v>88</v>
      </c>
      <c r="P218" s="870"/>
      <c r="Q218" s="870"/>
      <c r="R218" s="870"/>
      <c r="S218" s="870"/>
      <c r="T218" s="870"/>
      <c r="U218" s="870"/>
      <c r="V218" s="870"/>
      <c r="W218" s="870"/>
      <c r="X218" s="870"/>
      <c r="Y218" s="870"/>
      <c r="Z218" s="870"/>
      <c r="AA218" s="870"/>
      <c r="AB218" s="870" t="s">
        <v>138</v>
      </c>
      <c r="AC218" s="870" t="s">
        <v>119</v>
      </c>
      <c r="AD218" s="870" t="s">
        <v>139</v>
      </c>
      <c r="AE218" s="870" t="s">
        <v>1668</v>
      </c>
      <c r="AF218" s="883">
        <v>62.8</v>
      </c>
      <c r="AG218" s="883">
        <v>69.099999999999994</v>
      </c>
      <c r="AH218" s="883" t="s">
        <v>122</v>
      </c>
      <c r="AI218" s="883" t="s">
        <v>122</v>
      </c>
      <c r="AJ218" s="870" t="s">
        <v>140</v>
      </c>
      <c r="AK218" s="870" t="s">
        <v>1297</v>
      </c>
      <c r="AL218" s="883"/>
      <c r="AM218" s="883"/>
      <c r="AN218" s="883" t="s">
        <v>1784</v>
      </c>
      <c r="AO218" s="948">
        <f>0.38*0.75</f>
        <v>0.28500000000000003</v>
      </c>
      <c r="AP218" s="883">
        <v>0.28999999999999998</v>
      </c>
      <c r="AQ218" s="883"/>
      <c r="AR218" s="887">
        <v>10.4</v>
      </c>
      <c r="AS218" s="888">
        <v>3.7</v>
      </c>
      <c r="AT218" s="887">
        <v>2.9</v>
      </c>
      <c r="AU218" s="888">
        <v>4.8</v>
      </c>
      <c r="AV218" s="888">
        <v>4.4000000000000004</v>
      </c>
      <c r="AW218" s="904">
        <f>(100*PI()*(A218^2))/(40*AO218*AV218*453.5924)</f>
        <v>51.061489861825962</v>
      </c>
      <c r="AX218" s="889">
        <v>37868</v>
      </c>
      <c r="AY218" s="883" t="s">
        <v>540</v>
      </c>
      <c r="AZ218" s="949">
        <v>209</v>
      </c>
      <c r="BA218" s="870" t="s">
        <v>1298</v>
      </c>
      <c r="BB218" s="870" t="s">
        <v>1299</v>
      </c>
      <c r="BC218" s="883">
        <v>14862501</v>
      </c>
      <c r="BD218" s="870" t="s">
        <v>1300</v>
      </c>
      <c r="BE218" s="870"/>
      <c r="BF218" s="870"/>
      <c r="BG218" s="870"/>
      <c r="BH218" s="891" t="s">
        <v>1796</v>
      </c>
      <c r="BI218" s="906">
        <v>38099</v>
      </c>
      <c r="BJ218" s="907">
        <v>2000</v>
      </c>
      <c r="BK218" s="907">
        <v>2319</v>
      </c>
      <c r="BL218" s="892">
        <f t="shared" ref="BL218:BL225" si="3">BJ218+BK218</f>
        <v>4319</v>
      </c>
      <c r="BM218" s="907">
        <v>535</v>
      </c>
      <c r="BN218" s="907">
        <v>2720</v>
      </c>
      <c r="BO218" s="891">
        <v>311</v>
      </c>
      <c r="BP218" s="892">
        <f>IF(G218="Front",0.5*9.81*0.4535924*(BJ218+BL218*(BM218/BN218)*1.1)*1.1*(BO218/1000),IF(G218="Rear",0.5*9.81*0.4535924*(BK218+BL218*(BM218/BN218)*0.9)*0.9*(BO218/1000),"TBD"))</f>
        <v>2233.500558858861</v>
      </c>
      <c r="BQ218" s="891">
        <v>0.38</v>
      </c>
      <c r="BR218" s="904">
        <v>72</v>
      </c>
      <c r="BS218" s="904">
        <v>71.099999999999994</v>
      </c>
      <c r="BT218" s="908">
        <v>180</v>
      </c>
      <c r="BU218" s="892">
        <f>(2.4525*(BL218*0.4535924)*(0.8*(1000/3600)*BT218)*(BR218/100))/(AF218*2)</f>
        <v>1101.6936284695798</v>
      </c>
      <c r="BV218" s="892">
        <f>(BP218/(M218/1000))/(2*AF218)</f>
        <v>142.60343032570276</v>
      </c>
      <c r="BW218" s="892">
        <f>(1.4*BP218/(M218/1000))/(2*AF218)</f>
        <v>199.64480245598386</v>
      </c>
      <c r="BX218" s="893">
        <v>47.7</v>
      </c>
      <c r="BY218" s="891">
        <v>30</v>
      </c>
      <c r="BZ218" s="909">
        <f>BX218/(L218*BY218)</f>
        <v>5.4266211604095567E-3</v>
      </c>
      <c r="CA218" s="891"/>
      <c r="CB218" s="891"/>
      <c r="CC218" s="893">
        <f>BU218*(2*AF218)/(2*1600)</f>
        <v>43.241474917431006</v>
      </c>
      <c r="CD218" s="893">
        <f>BV218*(2*AF218)/(2*250)</f>
        <v>35.821981697816533</v>
      </c>
      <c r="CE218" s="890" t="str">
        <f>IF((CD218-CC218)&gt;0, "Shear","Power")</f>
        <v>Power</v>
      </c>
      <c r="CF218" s="915">
        <f>(AF218/MAX(CC218,CD218))-1</f>
        <v>0.45230938861164471</v>
      </c>
      <c r="CG218" s="890">
        <v>2.98</v>
      </c>
      <c r="CH218" s="890">
        <v>2.1</v>
      </c>
      <c r="CI218" s="890">
        <f>(CG218-CH218)/50</f>
        <v>1.7599999999999998E-2</v>
      </c>
      <c r="CJ218" s="873"/>
      <c r="CK218" s="955"/>
    </row>
    <row r="219" spans="1:89" ht="25.5" x14ac:dyDescent="0.2">
      <c r="A219" s="893">
        <f>SQRT(43^2+43^2)</f>
        <v>60.811183182043088</v>
      </c>
      <c r="B219" s="883" t="s">
        <v>135</v>
      </c>
      <c r="C219" s="883"/>
      <c r="D219" s="870" t="s">
        <v>616</v>
      </c>
      <c r="E219" s="883" t="s">
        <v>4225</v>
      </c>
      <c r="F219" s="883">
        <v>2005</v>
      </c>
      <c r="G219" s="901" t="s">
        <v>1738</v>
      </c>
      <c r="H219" s="870" t="s">
        <v>2890</v>
      </c>
      <c r="I219" s="886" t="s">
        <v>2518</v>
      </c>
      <c r="J219" s="883" t="s">
        <v>114</v>
      </c>
      <c r="K219" s="883" t="s">
        <v>1301</v>
      </c>
      <c r="L219" s="870">
        <v>317</v>
      </c>
      <c r="M219" s="870">
        <v>135.9</v>
      </c>
      <c r="N219" s="870" t="s">
        <v>1302</v>
      </c>
      <c r="O219" s="870" t="s">
        <v>88</v>
      </c>
      <c r="P219" s="870"/>
      <c r="Q219" s="870"/>
      <c r="R219" s="870"/>
      <c r="S219" s="870"/>
      <c r="T219" s="870"/>
      <c r="U219" s="870"/>
      <c r="V219" s="870"/>
      <c r="W219" s="870"/>
      <c r="X219" s="870"/>
      <c r="Y219" s="870"/>
      <c r="Z219" s="870"/>
      <c r="AA219" s="870"/>
      <c r="AB219" s="870" t="s">
        <v>138</v>
      </c>
      <c r="AC219" s="870" t="s">
        <v>119</v>
      </c>
      <c r="AD219" s="870" t="s">
        <v>1303</v>
      </c>
      <c r="AE219" s="870" t="s">
        <v>1668</v>
      </c>
      <c r="AF219" s="883">
        <v>62.8</v>
      </c>
      <c r="AG219" s="883">
        <v>69.099999999999994</v>
      </c>
      <c r="AH219" s="883" t="s">
        <v>122</v>
      </c>
      <c r="AI219" s="883" t="s">
        <v>122</v>
      </c>
      <c r="AJ219" s="870" t="s">
        <v>140</v>
      </c>
      <c r="AK219" s="870" t="s">
        <v>1297</v>
      </c>
      <c r="AL219" s="883"/>
      <c r="AM219" s="883"/>
      <c r="AN219" s="883" t="s">
        <v>1784</v>
      </c>
      <c r="AO219" s="948">
        <f>0.38*0.75</f>
        <v>0.28500000000000003</v>
      </c>
      <c r="AP219" s="883">
        <v>0.28999999999999998</v>
      </c>
      <c r="AQ219" s="883"/>
      <c r="AR219" s="887">
        <v>10.6</v>
      </c>
      <c r="AS219" s="888">
        <v>4</v>
      </c>
      <c r="AT219" s="887">
        <v>3.3</v>
      </c>
      <c r="AU219" s="888">
        <v>4.8</v>
      </c>
      <c r="AV219" s="888">
        <v>4.4000000000000004</v>
      </c>
      <c r="AW219" s="904">
        <f>(100*PI()*(A219^2))/(40*AO219*AV219*453.5924)</f>
        <v>51.061489861825962</v>
      </c>
      <c r="AX219" s="889">
        <v>37868</v>
      </c>
      <c r="AY219" s="883" t="s">
        <v>540</v>
      </c>
      <c r="AZ219" s="949">
        <v>98</v>
      </c>
      <c r="BA219" s="870" t="s">
        <v>1304</v>
      </c>
      <c r="BB219" s="870" t="s">
        <v>1305</v>
      </c>
      <c r="BC219" s="883">
        <v>14862501</v>
      </c>
      <c r="BD219" s="870" t="s">
        <v>1300</v>
      </c>
      <c r="BE219" s="870"/>
      <c r="BF219" s="870"/>
      <c r="BG219" s="870"/>
      <c r="BH219" s="891" t="s">
        <v>1796</v>
      </c>
      <c r="BI219" s="906">
        <v>38099</v>
      </c>
      <c r="BJ219" s="907">
        <v>2271</v>
      </c>
      <c r="BK219" s="907">
        <v>2138</v>
      </c>
      <c r="BL219" s="892">
        <f t="shared" si="3"/>
        <v>4409</v>
      </c>
      <c r="BM219" s="907">
        <v>535</v>
      </c>
      <c r="BN219" s="907">
        <v>2720</v>
      </c>
      <c r="BO219" s="891">
        <v>317</v>
      </c>
      <c r="BP219" s="892">
        <f>IF(G219="Front",0.5*9.81*0.4535924*(BJ219+BL219*(BM219/BN219)*1.1)*1.1*(BO219/1000),IF(G219="Rear",0.5*9.81*0.4535924*(BK219+BL219*(BM219/BN219)*0.9)*0.9*(BO219/1000),"TBD"))</f>
        <v>2501.94271813963</v>
      </c>
      <c r="BQ219" s="971">
        <v>0.38</v>
      </c>
      <c r="BR219" s="904">
        <v>75</v>
      </c>
      <c r="BS219" s="904">
        <v>72</v>
      </c>
      <c r="BT219" s="908">
        <v>233</v>
      </c>
      <c r="BU219" s="892">
        <f>(2.4525*(BL219*0.4535924)*(0.8*(1000/3600)*BT219)*(BR219/100))/(AF219*2)</f>
        <v>1516.4563548954579</v>
      </c>
      <c r="BV219" s="892">
        <f>(BP219/(M219/1000))/(2*AF219)</f>
        <v>146.57782266252994</v>
      </c>
      <c r="BW219" s="892">
        <f>(1.4*BP219/(M219/1000))/(2*AF219)</f>
        <v>205.20895172754192</v>
      </c>
      <c r="BX219" s="893">
        <v>51.7</v>
      </c>
      <c r="BY219" s="891">
        <v>30</v>
      </c>
      <c r="BZ219" s="909">
        <f>BX219/(L219*BY219)</f>
        <v>5.436382754994743E-3</v>
      </c>
      <c r="CA219" s="891" t="s">
        <v>2952</v>
      </c>
      <c r="CB219" s="891" t="s">
        <v>2952</v>
      </c>
      <c r="CC219" s="893">
        <f>BU219*(2*AF219)/(2*1600)</f>
        <v>59.520911929646715</v>
      </c>
      <c r="CD219" s="893">
        <f>BV219*(2*AF219)/(2*250)</f>
        <v>36.820349052827524</v>
      </c>
      <c r="CE219" s="890" t="str">
        <f>IF((CD219-CC219)&gt;0, "Shear","Power")</f>
        <v>Power</v>
      </c>
      <c r="CF219" s="915">
        <f>(AF219/MAX(CC219,CD219))-1</f>
        <v>5.5091361406376604E-2</v>
      </c>
      <c r="CG219" s="890">
        <v>2.98</v>
      </c>
      <c r="CH219" s="890">
        <v>2.1</v>
      </c>
      <c r="CI219" s="890">
        <f>(CG219-CH219)/50</f>
        <v>1.7599999999999998E-2</v>
      </c>
      <c r="CJ219" s="873"/>
      <c r="CK219" s="955"/>
    </row>
    <row r="220" spans="1:89" ht="25.5" x14ac:dyDescent="0.2">
      <c r="A220" s="893">
        <f t="shared" ref="A220:A225" si="4">SQRT(2*43^2)</f>
        <v>60.811183182043088</v>
      </c>
      <c r="B220" s="883" t="s">
        <v>331</v>
      </c>
      <c r="C220" s="883"/>
      <c r="D220" s="870" t="s">
        <v>788</v>
      </c>
      <c r="E220" s="883" t="s">
        <v>4225</v>
      </c>
      <c r="F220" s="883">
        <v>2010</v>
      </c>
      <c r="G220" s="901" t="s">
        <v>1738</v>
      </c>
      <c r="H220" s="870" t="s">
        <v>1666</v>
      </c>
      <c r="I220" s="886" t="s">
        <v>2518</v>
      </c>
      <c r="J220" s="883" t="s">
        <v>114</v>
      </c>
      <c r="K220" s="883" t="s">
        <v>1301</v>
      </c>
      <c r="L220" s="870">
        <v>316</v>
      </c>
      <c r="M220" s="870">
        <v>135.87</v>
      </c>
      <c r="N220" s="870" t="s">
        <v>197</v>
      </c>
      <c r="O220" s="870" t="s">
        <v>1741</v>
      </c>
      <c r="P220" s="870"/>
      <c r="Q220" s="870"/>
      <c r="R220" s="870"/>
      <c r="S220" s="870"/>
      <c r="T220" s="870"/>
      <c r="U220" s="870"/>
      <c r="V220" s="870"/>
      <c r="W220" s="870"/>
      <c r="X220" s="870"/>
      <c r="Y220" s="870"/>
      <c r="Z220" s="870"/>
      <c r="AA220" s="870">
        <v>190</v>
      </c>
      <c r="AB220" s="870" t="s">
        <v>633</v>
      </c>
      <c r="AC220" s="870"/>
      <c r="AD220" s="870" t="s">
        <v>1061</v>
      </c>
      <c r="AE220" s="870"/>
      <c r="AF220" s="883">
        <v>61.3</v>
      </c>
      <c r="AG220" s="883">
        <v>67.599999999999994</v>
      </c>
      <c r="AH220" s="883"/>
      <c r="AI220" s="883"/>
      <c r="AJ220" s="870" t="s">
        <v>369</v>
      </c>
      <c r="AK220" s="870" t="s">
        <v>1297</v>
      </c>
      <c r="AL220" s="883"/>
      <c r="AM220" s="883"/>
      <c r="AN220" s="883"/>
      <c r="AO220" s="948"/>
      <c r="AP220" s="883"/>
      <c r="AQ220" s="883"/>
      <c r="AR220" s="887">
        <f>4.93*2.2</f>
        <v>10.846</v>
      </c>
      <c r="AS220" s="888"/>
      <c r="AT220" s="887"/>
      <c r="AU220" s="888"/>
      <c r="AV220" s="888"/>
      <c r="AW220" s="904"/>
      <c r="AX220" s="889"/>
      <c r="AY220" s="883" t="s">
        <v>540</v>
      </c>
      <c r="AZ220" s="949"/>
      <c r="BA220" s="870" t="s">
        <v>2540</v>
      </c>
      <c r="BB220" s="870" t="s">
        <v>2541</v>
      </c>
      <c r="BC220" s="883" t="s">
        <v>1764</v>
      </c>
      <c r="BD220" s="870" t="s">
        <v>1300</v>
      </c>
      <c r="BE220" s="870">
        <v>15190301</v>
      </c>
      <c r="BF220" s="870"/>
      <c r="BG220" s="870"/>
      <c r="BH220" s="891"/>
      <c r="BI220" s="906">
        <v>40800</v>
      </c>
      <c r="BJ220" s="907">
        <f>1030*2.2</f>
        <v>2266</v>
      </c>
      <c r="BK220" s="907">
        <f>970*2.2</f>
        <v>2134</v>
      </c>
      <c r="BL220" s="892">
        <f t="shared" si="3"/>
        <v>4400</v>
      </c>
      <c r="BM220" s="907">
        <v>535</v>
      </c>
      <c r="BN220" s="907">
        <v>2720</v>
      </c>
      <c r="BO220" s="891">
        <v>317</v>
      </c>
      <c r="BP220" s="892"/>
      <c r="BQ220" s="891"/>
      <c r="BR220" s="891"/>
      <c r="BS220" s="891"/>
      <c r="BT220" s="908"/>
      <c r="BU220" s="891"/>
      <c r="BV220" s="892"/>
      <c r="BW220" s="892"/>
      <c r="BX220" s="893"/>
      <c r="BY220" s="891">
        <v>30</v>
      </c>
      <c r="BZ220" s="909"/>
      <c r="CA220" s="891"/>
      <c r="CB220" s="891"/>
      <c r="CC220" s="893"/>
      <c r="CD220" s="893"/>
      <c r="CE220" s="890"/>
      <c r="CF220" s="915"/>
      <c r="CG220" s="890"/>
      <c r="CH220" s="890"/>
      <c r="CI220" s="890"/>
      <c r="CJ220" s="873"/>
      <c r="CK220" s="955"/>
    </row>
    <row r="221" spans="1:89" ht="25.5" x14ac:dyDescent="0.2">
      <c r="A221" s="893">
        <f t="shared" si="4"/>
        <v>60.811183182043088</v>
      </c>
      <c r="B221" s="883" t="s">
        <v>331</v>
      </c>
      <c r="C221" s="883"/>
      <c r="D221" s="870" t="s">
        <v>788</v>
      </c>
      <c r="E221" s="883" t="s">
        <v>4225</v>
      </c>
      <c r="F221" s="883">
        <v>2010</v>
      </c>
      <c r="G221" s="901" t="s">
        <v>1738</v>
      </c>
      <c r="H221" s="870" t="s">
        <v>2889</v>
      </c>
      <c r="I221" s="886" t="s">
        <v>2518</v>
      </c>
      <c r="J221" s="883" t="s">
        <v>114</v>
      </c>
      <c r="K221" s="883" t="s">
        <v>2580</v>
      </c>
      <c r="L221" s="870">
        <v>293</v>
      </c>
      <c r="M221" s="870">
        <v>124.7</v>
      </c>
      <c r="N221" s="870" t="s">
        <v>197</v>
      </c>
      <c r="O221" s="870" t="s">
        <v>1741</v>
      </c>
      <c r="P221" s="870"/>
      <c r="Q221" s="870"/>
      <c r="R221" s="870"/>
      <c r="S221" s="870"/>
      <c r="T221" s="870"/>
      <c r="U221" s="870"/>
      <c r="V221" s="870"/>
      <c r="W221" s="870"/>
      <c r="X221" s="870"/>
      <c r="Y221" s="870"/>
      <c r="Z221" s="870"/>
      <c r="AA221" s="870">
        <v>190</v>
      </c>
      <c r="AB221" s="870" t="s">
        <v>2579</v>
      </c>
      <c r="AC221" s="870"/>
      <c r="AD221" s="870" t="s">
        <v>950</v>
      </c>
      <c r="AE221" s="870"/>
      <c r="AF221" s="883">
        <v>51.1</v>
      </c>
      <c r="AG221" s="883">
        <v>56.2</v>
      </c>
      <c r="AH221" s="883"/>
      <c r="AI221" s="883"/>
      <c r="AJ221" s="870" t="s">
        <v>369</v>
      </c>
      <c r="AK221" s="870" t="s">
        <v>1297</v>
      </c>
      <c r="AL221" s="883"/>
      <c r="AM221" s="883"/>
      <c r="AN221" s="883"/>
      <c r="AO221" s="948"/>
      <c r="AP221" s="883"/>
      <c r="AQ221" s="883"/>
      <c r="AR221" s="887">
        <f>4.76*2.2</f>
        <v>10.472</v>
      </c>
      <c r="AS221" s="888"/>
      <c r="AT221" s="887"/>
      <c r="AU221" s="888"/>
      <c r="AV221" s="888"/>
      <c r="AW221" s="904"/>
      <c r="AX221" s="889"/>
      <c r="AY221" s="883" t="s">
        <v>540</v>
      </c>
      <c r="AZ221" s="949"/>
      <c r="BA221" s="870" t="s">
        <v>1663</v>
      </c>
      <c r="BB221" s="870" t="s">
        <v>1293</v>
      </c>
      <c r="BC221" s="883" t="s">
        <v>1764</v>
      </c>
      <c r="BD221" s="870" t="s">
        <v>1300</v>
      </c>
      <c r="BE221" s="870">
        <v>15190101</v>
      </c>
      <c r="BF221" s="870"/>
      <c r="BG221" s="870"/>
      <c r="BH221" s="891"/>
      <c r="BI221" s="906">
        <v>40800</v>
      </c>
      <c r="BJ221" s="907">
        <f>2.2*908</f>
        <v>1997.6000000000001</v>
      </c>
      <c r="BK221" s="907">
        <f>2.2*1052</f>
        <v>2314.4</v>
      </c>
      <c r="BL221" s="892">
        <f t="shared" si="3"/>
        <v>4312</v>
      </c>
      <c r="BM221" s="907">
        <v>535</v>
      </c>
      <c r="BN221" s="907">
        <v>2720</v>
      </c>
      <c r="BO221" s="891">
        <v>311</v>
      </c>
      <c r="BP221" s="892"/>
      <c r="BQ221" s="891"/>
      <c r="BR221" s="891"/>
      <c r="BS221" s="891"/>
      <c r="BT221" s="908"/>
      <c r="BU221" s="891"/>
      <c r="BV221" s="892"/>
      <c r="BW221" s="892"/>
      <c r="BX221" s="893"/>
      <c r="BY221" s="891">
        <v>30</v>
      </c>
      <c r="BZ221" s="909"/>
      <c r="CA221" s="891"/>
      <c r="CB221" s="891"/>
      <c r="CC221" s="893"/>
      <c r="CD221" s="893"/>
      <c r="CE221" s="890"/>
      <c r="CF221" s="915"/>
      <c r="CG221" s="890"/>
      <c r="CH221" s="890"/>
      <c r="CI221" s="890"/>
      <c r="CJ221" s="873"/>
      <c r="CK221" s="955"/>
    </row>
    <row r="222" spans="1:89" ht="25.5" x14ac:dyDescent="0.2">
      <c r="A222" s="893">
        <f t="shared" si="4"/>
        <v>60.811183182043088</v>
      </c>
      <c r="B222" s="883" t="s">
        <v>331</v>
      </c>
      <c r="C222" s="883"/>
      <c r="D222" s="870" t="s">
        <v>788</v>
      </c>
      <c r="E222" s="883" t="s">
        <v>4225</v>
      </c>
      <c r="F222" s="883">
        <v>2010</v>
      </c>
      <c r="G222" s="901" t="s">
        <v>1738</v>
      </c>
      <c r="H222" s="870" t="s">
        <v>2890</v>
      </c>
      <c r="I222" s="886" t="s">
        <v>2518</v>
      </c>
      <c r="J222" s="883" t="s">
        <v>114</v>
      </c>
      <c r="K222" s="883" t="s">
        <v>1301</v>
      </c>
      <c r="L222" s="870">
        <v>316</v>
      </c>
      <c r="M222" s="870">
        <v>135.87</v>
      </c>
      <c r="N222" s="870" t="s">
        <v>197</v>
      </c>
      <c r="O222" s="870" t="s">
        <v>1741</v>
      </c>
      <c r="P222" s="870"/>
      <c r="Q222" s="870"/>
      <c r="R222" s="870"/>
      <c r="S222" s="870"/>
      <c r="T222" s="870"/>
      <c r="U222" s="870"/>
      <c r="V222" s="870"/>
      <c r="W222" s="870"/>
      <c r="X222" s="870"/>
      <c r="Y222" s="870"/>
      <c r="Z222" s="870"/>
      <c r="AA222" s="870">
        <v>190</v>
      </c>
      <c r="AB222" s="870" t="s">
        <v>2579</v>
      </c>
      <c r="AC222" s="870"/>
      <c r="AD222" s="870" t="s">
        <v>1600</v>
      </c>
      <c r="AE222" s="870"/>
      <c r="AF222" s="883">
        <v>61.3</v>
      </c>
      <c r="AG222" s="883">
        <v>67.599999999999994</v>
      </c>
      <c r="AH222" s="883"/>
      <c r="AI222" s="883"/>
      <c r="AJ222" s="870" t="s">
        <v>369</v>
      </c>
      <c r="AK222" s="870" t="s">
        <v>1297</v>
      </c>
      <c r="AL222" s="883"/>
      <c r="AM222" s="883"/>
      <c r="AN222" s="883"/>
      <c r="AO222" s="948"/>
      <c r="AP222" s="883"/>
      <c r="AQ222" s="883"/>
      <c r="AR222" s="887">
        <f>4.93*2.2</f>
        <v>10.846</v>
      </c>
      <c r="AS222" s="888"/>
      <c r="AT222" s="887"/>
      <c r="AU222" s="888"/>
      <c r="AV222" s="888"/>
      <c r="AW222" s="904"/>
      <c r="AX222" s="889"/>
      <c r="AY222" s="883" t="s">
        <v>540</v>
      </c>
      <c r="AZ222" s="949"/>
      <c r="BA222" s="870" t="s">
        <v>1662</v>
      </c>
      <c r="BB222" s="870" t="s">
        <v>1294</v>
      </c>
      <c r="BC222" s="883" t="s">
        <v>1764</v>
      </c>
      <c r="BD222" s="870" t="s">
        <v>1300</v>
      </c>
      <c r="BE222" s="870">
        <v>15190301</v>
      </c>
      <c r="BF222" s="870"/>
      <c r="BG222" s="870"/>
      <c r="BH222" s="891"/>
      <c r="BI222" s="906">
        <v>40800</v>
      </c>
      <c r="BJ222" s="907">
        <f>1030*2.2</f>
        <v>2266</v>
      </c>
      <c r="BK222" s="907">
        <f>970*2.2</f>
        <v>2134</v>
      </c>
      <c r="BL222" s="892">
        <f t="shared" si="3"/>
        <v>4400</v>
      </c>
      <c r="BM222" s="907">
        <v>535</v>
      </c>
      <c r="BN222" s="907">
        <v>2720</v>
      </c>
      <c r="BO222" s="891">
        <v>317</v>
      </c>
      <c r="BP222" s="892"/>
      <c r="BQ222" s="891"/>
      <c r="BR222" s="891"/>
      <c r="BS222" s="891"/>
      <c r="BT222" s="908"/>
      <c r="BU222" s="891"/>
      <c r="BV222" s="892"/>
      <c r="BW222" s="892"/>
      <c r="BX222" s="893"/>
      <c r="BY222" s="891">
        <v>30</v>
      </c>
      <c r="BZ222" s="909"/>
      <c r="CA222" s="891"/>
      <c r="CB222" s="891"/>
      <c r="CC222" s="893"/>
      <c r="CD222" s="893"/>
      <c r="CE222" s="890"/>
      <c r="CF222" s="915"/>
      <c r="CG222" s="890"/>
      <c r="CH222" s="890"/>
      <c r="CI222" s="890"/>
      <c r="CJ222" s="873"/>
      <c r="CK222" s="955"/>
    </row>
    <row r="223" spans="1:89" ht="51" x14ac:dyDescent="0.2">
      <c r="A223" s="893">
        <f t="shared" si="4"/>
        <v>60.811183182043088</v>
      </c>
      <c r="B223" s="883" t="s">
        <v>331</v>
      </c>
      <c r="C223" s="883"/>
      <c r="D223" s="870" t="s">
        <v>788</v>
      </c>
      <c r="E223" s="883" t="s">
        <v>4225</v>
      </c>
      <c r="F223" s="883">
        <v>2011</v>
      </c>
      <c r="G223" s="901" t="s">
        <v>1571</v>
      </c>
      <c r="H223" s="870" t="s">
        <v>3872</v>
      </c>
      <c r="I223" s="886" t="s">
        <v>2518</v>
      </c>
      <c r="J223" s="883" t="s">
        <v>114</v>
      </c>
      <c r="K223" s="883" t="s">
        <v>2661</v>
      </c>
      <c r="L223" s="870">
        <v>316</v>
      </c>
      <c r="M223" s="870">
        <v>135.87</v>
      </c>
      <c r="N223" s="870" t="s">
        <v>197</v>
      </c>
      <c r="O223" s="870" t="s">
        <v>1741</v>
      </c>
      <c r="P223" s="870"/>
      <c r="Q223" s="870"/>
      <c r="R223" s="870"/>
      <c r="S223" s="870"/>
      <c r="T223" s="870"/>
      <c r="U223" s="870"/>
      <c r="V223" s="870"/>
      <c r="W223" s="870"/>
      <c r="X223" s="870"/>
      <c r="Y223" s="870"/>
      <c r="Z223" s="870"/>
      <c r="AA223" s="870">
        <v>190</v>
      </c>
      <c r="AB223" s="870" t="s">
        <v>633</v>
      </c>
      <c r="AC223" s="870" t="s">
        <v>3810</v>
      </c>
      <c r="AD223" s="870" t="s">
        <v>1061</v>
      </c>
      <c r="AE223" s="870"/>
      <c r="AF223" s="883">
        <v>47.5</v>
      </c>
      <c r="AG223" s="883">
        <v>63.03</v>
      </c>
      <c r="AH223" s="883" t="s">
        <v>1744</v>
      </c>
      <c r="AI223" s="883"/>
      <c r="AJ223" s="870" t="s">
        <v>369</v>
      </c>
      <c r="AK223" s="870" t="s">
        <v>1297</v>
      </c>
      <c r="AL223" s="883"/>
      <c r="AM223" s="883"/>
      <c r="AN223" s="883"/>
      <c r="AO223" s="948"/>
      <c r="AP223" s="883"/>
      <c r="AQ223" s="883"/>
      <c r="AR223" s="887">
        <f>4.93*2.2</f>
        <v>10.846</v>
      </c>
      <c r="AS223" s="888"/>
      <c r="AT223" s="887"/>
      <c r="AU223" s="888"/>
      <c r="AV223" s="888"/>
      <c r="AW223" s="904"/>
      <c r="AX223" s="889"/>
      <c r="AY223" s="883" t="s">
        <v>540</v>
      </c>
      <c r="AZ223" s="949"/>
      <c r="BA223" s="870" t="s">
        <v>1572</v>
      </c>
      <c r="BB223" s="870" t="s">
        <v>1763</v>
      </c>
      <c r="BC223" s="883" t="s">
        <v>1764</v>
      </c>
      <c r="BD223" s="870" t="s">
        <v>1300</v>
      </c>
      <c r="BE223" s="870">
        <v>15190301</v>
      </c>
      <c r="BF223" s="870"/>
      <c r="BG223" s="870"/>
      <c r="BH223" s="891"/>
      <c r="BI223" s="906">
        <v>40800</v>
      </c>
      <c r="BJ223" s="907">
        <f>996*2.2</f>
        <v>2191.2000000000003</v>
      </c>
      <c r="BK223" s="907">
        <f>2.2*1108</f>
        <v>2437.6000000000004</v>
      </c>
      <c r="BL223" s="892">
        <f t="shared" si="3"/>
        <v>4628.8000000000011</v>
      </c>
      <c r="BM223" s="907">
        <v>535</v>
      </c>
      <c r="BN223" s="907">
        <v>2720</v>
      </c>
      <c r="BO223" s="891">
        <v>325</v>
      </c>
      <c r="BP223" s="892"/>
      <c r="BQ223" s="891"/>
      <c r="BR223" s="891"/>
      <c r="BS223" s="891"/>
      <c r="BT223" s="908"/>
      <c r="BU223" s="891"/>
      <c r="BV223" s="892"/>
      <c r="BW223" s="892"/>
      <c r="BX223" s="893"/>
      <c r="BY223" s="891">
        <v>30</v>
      </c>
      <c r="BZ223" s="909"/>
      <c r="CA223" s="891"/>
      <c r="CB223" s="891"/>
      <c r="CC223" s="893"/>
      <c r="CD223" s="893"/>
      <c r="CE223" s="890"/>
      <c r="CF223" s="915"/>
      <c r="CG223" s="890"/>
      <c r="CH223" s="890"/>
      <c r="CI223" s="890"/>
      <c r="CJ223" s="873"/>
      <c r="CK223" s="955"/>
    </row>
    <row r="224" spans="1:89" ht="25.5" x14ac:dyDescent="0.2">
      <c r="A224" s="893">
        <f t="shared" si="4"/>
        <v>60.811183182043088</v>
      </c>
      <c r="B224" s="883" t="s">
        <v>331</v>
      </c>
      <c r="C224" s="883"/>
      <c r="D224" s="870" t="s">
        <v>788</v>
      </c>
      <c r="E224" s="883" t="s">
        <v>4225</v>
      </c>
      <c r="F224" s="883">
        <v>2011</v>
      </c>
      <c r="G224" s="901" t="s">
        <v>1738</v>
      </c>
      <c r="H224" s="870" t="s">
        <v>3873</v>
      </c>
      <c r="I224" s="886" t="s">
        <v>2518</v>
      </c>
      <c r="J224" s="883" t="s">
        <v>114</v>
      </c>
      <c r="K224" s="883" t="s">
        <v>2662</v>
      </c>
      <c r="L224" s="870">
        <v>316</v>
      </c>
      <c r="M224" s="870">
        <v>135.87</v>
      </c>
      <c r="N224" s="870" t="s">
        <v>197</v>
      </c>
      <c r="O224" s="870" t="s">
        <v>1741</v>
      </c>
      <c r="P224" s="870"/>
      <c r="Q224" s="870"/>
      <c r="R224" s="870"/>
      <c r="S224" s="870"/>
      <c r="T224" s="870"/>
      <c r="U224" s="870"/>
      <c r="V224" s="870"/>
      <c r="W224" s="870"/>
      <c r="X224" s="870"/>
      <c r="Y224" s="870"/>
      <c r="Z224" s="870"/>
      <c r="AA224" s="870">
        <v>190</v>
      </c>
      <c r="AB224" s="870" t="s">
        <v>2579</v>
      </c>
      <c r="AC224" s="870" t="s">
        <v>119</v>
      </c>
      <c r="AD224" s="870" t="s">
        <v>1600</v>
      </c>
      <c r="AE224" s="870"/>
      <c r="AF224" s="883">
        <v>51.9</v>
      </c>
      <c r="AG224" s="883">
        <v>64.599999999999994</v>
      </c>
      <c r="AH224" s="883" t="s">
        <v>1744</v>
      </c>
      <c r="AI224" s="883"/>
      <c r="AJ224" s="870" t="s">
        <v>369</v>
      </c>
      <c r="AK224" s="870" t="s">
        <v>1297</v>
      </c>
      <c r="AL224" s="883"/>
      <c r="AM224" s="883"/>
      <c r="AN224" s="883"/>
      <c r="AO224" s="948"/>
      <c r="AP224" s="883"/>
      <c r="AQ224" s="883"/>
      <c r="AR224" s="887">
        <f>4.93*2.2</f>
        <v>10.846</v>
      </c>
      <c r="AS224" s="888"/>
      <c r="AT224" s="887"/>
      <c r="AU224" s="888"/>
      <c r="AV224" s="888"/>
      <c r="AW224" s="904"/>
      <c r="AX224" s="889"/>
      <c r="AY224" s="883" t="s">
        <v>540</v>
      </c>
      <c r="AZ224" s="949"/>
      <c r="BA224" s="870" t="s">
        <v>1567</v>
      </c>
      <c r="BB224" s="870" t="s">
        <v>1291</v>
      </c>
      <c r="BC224" s="883" t="s">
        <v>1764</v>
      </c>
      <c r="BD224" s="870" t="s">
        <v>1300</v>
      </c>
      <c r="BE224" s="870">
        <v>15190301</v>
      </c>
      <c r="BF224" s="870"/>
      <c r="BG224" s="870"/>
      <c r="BH224" s="891"/>
      <c r="BI224" s="906">
        <v>40800</v>
      </c>
      <c r="BJ224" s="907">
        <f>996*2.2</f>
        <v>2191.2000000000003</v>
      </c>
      <c r="BK224" s="907">
        <f>2.2*1108</f>
        <v>2437.6000000000004</v>
      </c>
      <c r="BL224" s="892">
        <f t="shared" si="3"/>
        <v>4628.8000000000011</v>
      </c>
      <c r="BM224" s="907">
        <v>535</v>
      </c>
      <c r="BN224" s="907">
        <v>2720</v>
      </c>
      <c r="BO224" s="891">
        <v>325</v>
      </c>
      <c r="BP224" s="892"/>
      <c r="BQ224" s="891"/>
      <c r="BR224" s="891"/>
      <c r="BS224" s="891"/>
      <c r="BT224" s="908"/>
      <c r="BU224" s="891"/>
      <c r="BV224" s="892"/>
      <c r="BW224" s="892"/>
      <c r="BX224" s="893"/>
      <c r="BY224" s="891">
        <v>30</v>
      </c>
      <c r="BZ224" s="909"/>
      <c r="CA224" s="891"/>
      <c r="CB224" s="891"/>
      <c r="CC224" s="893"/>
      <c r="CD224" s="893"/>
      <c r="CE224" s="890"/>
      <c r="CF224" s="915"/>
      <c r="CG224" s="890"/>
      <c r="CH224" s="890"/>
      <c r="CI224" s="890"/>
      <c r="CJ224" s="873"/>
      <c r="CK224" s="955"/>
    </row>
    <row r="225" spans="1:89" ht="25.5" x14ac:dyDescent="0.2">
      <c r="A225" s="973">
        <f t="shared" si="4"/>
        <v>60.811183182043088</v>
      </c>
      <c r="B225" s="883" t="s">
        <v>331</v>
      </c>
      <c r="C225" s="883"/>
      <c r="D225" s="870" t="s">
        <v>788</v>
      </c>
      <c r="E225" s="883" t="s">
        <v>4225</v>
      </c>
      <c r="F225" s="883">
        <v>2011</v>
      </c>
      <c r="G225" s="901" t="s">
        <v>1738</v>
      </c>
      <c r="H225" s="870" t="s">
        <v>1564</v>
      </c>
      <c r="I225" s="886" t="s">
        <v>2518</v>
      </c>
      <c r="J225" s="883" t="s">
        <v>114</v>
      </c>
      <c r="K225" s="883" t="s">
        <v>2661</v>
      </c>
      <c r="L225" s="870">
        <v>336</v>
      </c>
      <c r="M225" s="870">
        <v>145.63</v>
      </c>
      <c r="N225" s="870" t="s">
        <v>1866</v>
      </c>
      <c r="O225" s="870" t="s">
        <v>1741</v>
      </c>
      <c r="P225" s="870"/>
      <c r="Q225" s="870"/>
      <c r="R225" s="870"/>
      <c r="S225" s="870"/>
      <c r="T225" s="870"/>
      <c r="U225" s="870"/>
      <c r="V225" s="870"/>
      <c r="W225" s="870"/>
      <c r="X225" s="870"/>
      <c r="Y225" s="870"/>
      <c r="Z225" s="870"/>
      <c r="AA225" s="870">
        <v>190</v>
      </c>
      <c r="AB225" s="870" t="s">
        <v>3874</v>
      </c>
      <c r="AC225" s="870" t="s">
        <v>119</v>
      </c>
      <c r="AD225" s="870" t="s">
        <v>3875</v>
      </c>
      <c r="AE225" s="870"/>
      <c r="AF225" s="883">
        <v>48.33</v>
      </c>
      <c r="AG225" s="883">
        <v>55.59</v>
      </c>
      <c r="AH225" s="883" t="s">
        <v>1744</v>
      </c>
      <c r="AI225" s="883"/>
      <c r="AJ225" s="870" t="s">
        <v>369</v>
      </c>
      <c r="AK225" s="870" t="s">
        <v>1297</v>
      </c>
      <c r="AL225" s="883"/>
      <c r="AM225" s="883"/>
      <c r="AN225" s="883"/>
      <c r="AO225" s="948"/>
      <c r="AP225" s="883"/>
      <c r="AQ225" s="883"/>
      <c r="AR225" s="887">
        <f>4.93*2.2</f>
        <v>10.846</v>
      </c>
      <c r="AS225" s="888"/>
      <c r="AT225" s="887"/>
      <c r="AU225" s="888"/>
      <c r="AV225" s="888"/>
      <c r="AW225" s="904"/>
      <c r="AX225" s="889"/>
      <c r="AY225" s="883" t="s">
        <v>540</v>
      </c>
      <c r="AZ225" s="949"/>
      <c r="BA225" s="870" t="s">
        <v>1565</v>
      </c>
      <c r="BB225" s="870" t="s">
        <v>1292</v>
      </c>
      <c r="BC225" s="883" t="s">
        <v>1764</v>
      </c>
      <c r="BD225" s="870" t="s">
        <v>1300</v>
      </c>
      <c r="BE225" s="870">
        <v>16538101</v>
      </c>
      <c r="BF225" s="870"/>
      <c r="BG225" s="870"/>
      <c r="BH225" s="891"/>
      <c r="BI225" s="906">
        <v>40800</v>
      </c>
      <c r="BJ225" s="907">
        <f>1052*2.2</f>
        <v>2314.4</v>
      </c>
      <c r="BK225" s="907">
        <f>1120*2.2</f>
        <v>2464</v>
      </c>
      <c r="BL225" s="892">
        <f t="shared" si="3"/>
        <v>4778.3999999999996</v>
      </c>
      <c r="BM225" s="907">
        <v>535</v>
      </c>
      <c r="BN225" s="907">
        <v>2720</v>
      </c>
      <c r="BO225" s="891">
        <v>325</v>
      </c>
      <c r="BP225" s="892"/>
      <c r="BQ225" s="891"/>
      <c r="BR225" s="891"/>
      <c r="BS225" s="891"/>
      <c r="BT225" s="908"/>
      <c r="BU225" s="891"/>
      <c r="BV225" s="892"/>
      <c r="BW225" s="892"/>
      <c r="BX225" s="893"/>
      <c r="BY225" s="891">
        <v>30</v>
      </c>
      <c r="BZ225" s="909"/>
      <c r="CA225" s="891"/>
      <c r="CB225" s="891"/>
      <c r="CC225" s="893"/>
      <c r="CD225" s="893"/>
      <c r="CE225" s="890"/>
      <c r="CF225" s="915"/>
      <c r="CG225" s="890"/>
      <c r="CH225" s="890"/>
      <c r="CI225" s="896"/>
      <c r="CJ225" s="873"/>
      <c r="CK225" s="955"/>
    </row>
    <row r="226" spans="1:89" ht="45" customHeight="1" x14ac:dyDescent="0.2">
      <c r="A226" s="973">
        <f>SQRT(43^2+43^2)</f>
        <v>60.811183182043088</v>
      </c>
      <c r="B226" s="883" t="s">
        <v>135</v>
      </c>
      <c r="C226" s="883"/>
      <c r="D226" s="883" t="s">
        <v>638</v>
      </c>
      <c r="E226" s="883" t="s">
        <v>4225</v>
      </c>
      <c r="F226" s="883"/>
      <c r="G226" s="934"/>
      <c r="H226" s="870" t="s">
        <v>2715</v>
      </c>
      <c r="I226" s="886" t="s">
        <v>1845</v>
      </c>
      <c r="J226" s="883" t="s">
        <v>114</v>
      </c>
      <c r="K226" s="883">
        <v>2660</v>
      </c>
      <c r="L226" s="883">
        <v>300</v>
      </c>
      <c r="M226" s="883">
        <v>126.4</v>
      </c>
      <c r="N226" s="870" t="s">
        <v>2721</v>
      </c>
      <c r="O226" s="870" t="s">
        <v>2722</v>
      </c>
      <c r="P226" s="870"/>
      <c r="Q226" s="870"/>
      <c r="R226" s="870"/>
      <c r="S226" s="870"/>
      <c r="T226" s="870"/>
      <c r="U226" s="870"/>
      <c r="V226" s="870"/>
      <c r="W226" s="870"/>
      <c r="X226" s="870"/>
      <c r="Y226" s="870"/>
      <c r="Z226" s="870"/>
      <c r="AA226" s="870"/>
      <c r="AB226" s="870"/>
      <c r="AC226" s="870" t="s">
        <v>119</v>
      </c>
      <c r="AD226" s="870"/>
      <c r="AE226" s="870" t="s">
        <v>1668</v>
      </c>
      <c r="AF226" s="883">
        <v>61.2</v>
      </c>
      <c r="AG226" s="883">
        <v>67.400000000000006</v>
      </c>
      <c r="AH226" s="883" t="s">
        <v>1744</v>
      </c>
      <c r="AI226" s="883" t="s">
        <v>122</v>
      </c>
      <c r="AJ226" s="870" t="s">
        <v>1840</v>
      </c>
      <c r="AK226" s="870" t="s">
        <v>1841</v>
      </c>
      <c r="AL226" s="883"/>
      <c r="AM226" s="883"/>
      <c r="AN226" s="883" t="s">
        <v>1784</v>
      </c>
      <c r="AO226" s="883">
        <v>0.28000000000000003</v>
      </c>
      <c r="AP226" s="883"/>
      <c r="AQ226" s="883"/>
      <c r="AR226" s="887"/>
      <c r="AS226" s="888">
        <v>4.5</v>
      </c>
      <c r="AT226" s="887"/>
      <c r="AU226" s="888">
        <v>6.2</v>
      </c>
      <c r="AV226" s="888"/>
      <c r="AW226" s="888"/>
      <c r="AX226" s="935">
        <v>37773</v>
      </c>
      <c r="AY226" s="883"/>
      <c r="AZ226" s="949">
        <v>360</v>
      </c>
      <c r="BA226" s="870" t="s">
        <v>1842</v>
      </c>
      <c r="BB226" s="883"/>
      <c r="BC226" s="883" t="s">
        <v>1843</v>
      </c>
      <c r="BD226" s="870" t="s">
        <v>1844</v>
      </c>
      <c r="BE226" s="870"/>
      <c r="BF226" s="870"/>
      <c r="BG226" s="870"/>
      <c r="BH226" s="891" t="s">
        <v>1796</v>
      </c>
      <c r="BI226" s="891"/>
      <c r="BJ226" s="907">
        <v>2715</v>
      </c>
      <c r="BK226" s="907">
        <v>2222</v>
      </c>
      <c r="BL226" s="907">
        <v>4937</v>
      </c>
      <c r="BM226" s="907">
        <v>559</v>
      </c>
      <c r="BN226" s="907">
        <v>2870</v>
      </c>
      <c r="BO226" s="891">
        <v>325</v>
      </c>
      <c r="BP226" s="907">
        <v>2660</v>
      </c>
      <c r="BQ226" s="891">
        <v>0.34</v>
      </c>
      <c r="BR226" s="904" t="s">
        <v>819</v>
      </c>
      <c r="BS226" s="904"/>
      <c r="BT226" s="908">
        <v>238</v>
      </c>
      <c r="BU226" s="907">
        <v>1661</v>
      </c>
      <c r="BV226" s="907"/>
      <c r="BW226" s="907"/>
      <c r="BX226" s="890"/>
      <c r="BY226" s="891"/>
      <c r="BZ226" s="909"/>
      <c r="CA226" s="890"/>
      <c r="CB226" s="890"/>
      <c r="CC226" s="893"/>
      <c r="CD226" s="893"/>
      <c r="CE226" s="890"/>
      <c r="CF226" s="890"/>
      <c r="CG226" s="890"/>
      <c r="CH226" s="890"/>
      <c r="CI226" s="896"/>
      <c r="CJ226" s="873"/>
      <c r="CK226" s="870"/>
    </row>
    <row r="227" spans="1:89" ht="25.5" x14ac:dyDescent="0.2">
      <c r="A227" s="973">
        <f>SQRT(43^2+43^2)</f>
        <v>60.811183182043088</v>
      </c>
      <c r="B227" s="883" t="s">
        <v>1865</v>
      </c>
      <c r="C227" s="883"/>
      <c r="D227" s="883" t="s">
        <v>1787</v>
      </c>
      <c r="E227" s="883" t="s">
        <v>4225</v>
      </c>
      <c r="F227" s="883"/>
      <c r="G227" s="901" t="s">
        <v>1738</v>
      </c>
      <c r="H227" s="870" t="s">
        <v>1870</v>
      </c>
      <c r="I227" s="886" t="s">
        <v>2874</v>
      </c>
      <c r="J227" s="883" t="s">
        <v>114</v>
      </c>
      <c r="K227" s="883">
        <v>2587</v>
      </c>
      <c r="L227" s="883">
        <v>330</v>
      </c>
      <c r="M227" s="883">
        <v>141.5</v>
      </c>
      <c r="N227" s="883" t="s">
        <v>1866</v>
      </c>
      <c r="O227" s="870" t="s">
        <v>1867</v>
      </c>
      <c r="P227" s="870"/>
      <c r="Q227" s="870"/>
      <c r="R227" s="870"/>
      <c r="S227" s="870"/>
      <c r="T227" s="870"/>
      <c r="U227" s="870"/>
      <c r="V227" s="870"/>
      <c r="W227" s="870"/>
      <c r="X227" s="870"/>
      <c r="Y227" s="870"/>
      <c r="Z227" s="870"/>
      <c r="AA227" s="870"/>
      <c r="AB227" s="870" t="s">
        <v>819</v>
      </c>
      <c r="AC227" s="870" t="s">
        <v>119</v>
      </c>
      <c r="AD227" s="870" t="s">
        <v>819</v>
      </c>
      <c r="AE227" s="870" t="s">
        <v>1668</v>
      </c>
      <c r="AF227" s="883">
        <v>61.2</v>
      </c>
      <c r="AG227" s="883">
        <v>67.400000000000006</v>
      </c>
      <c r="AH227" s="883" t="s">
        <v>122</v>
      </c>
      <c r="AI227" s="883" t="s">
        <v>1744</v>
      </c>
      <c r="AJ227" s="870" t="s">
        <v>1868</v>
      </c>
      <c r="AK227" s="870" t="s">
        <v>1869</v>
      </c>
      <c r="AL227" s="883"/>
      <c r="AM227" s="883"/>
      <c r="AN227" s="883" t="s">
        <v>1784</v>
      </c>
      <c r="AO227" s="883">
        <v>0.27</v>
      </c>
      <c r="AP227" s="883"/>
      <c r="AQ227" s="883"/>
      <c r="AR227" s="887">
        <v>12.5</v>
      </c>
      <c r="AS227" s="888">
        <v>4.7</v>
      </c>
      <c r="AT227" s="887"/>
      <c r="AU227" s="888">
        <v>5.4</v>
      </c>
      <c r="AV227" s="888"/>
      <c r="AW227" s="904" t="e">
        <f>(100*PI()*(A227^2))/(40*AO227*AV227*453.5924)</f>
        <v>#DIV/0!</v>
      </c>
      <c r="AX227" s="889">
        <v>37987</v>
      </c>
      <c r="AY227" s="883" t="s">
        <v>1921</v>
      </c>
      <c r="AZ227" s="949">
        <v>100</v>
      </c>
      <c r="BA227" s="870"/>
      <c r="BB227" s="883"/>
      <c r="BC227" s="883"/>
      <c r="BD227" s="870"/>
      <c r="BE227" s="870"/>
      <c r="BF227" s="870"/>
      <c r="BG227" s="870"/>
      <c r="BH227" s="891" t="s">
        <v>1796</v>
      </c>
      <c r="BI227" s="906"/>
      <c r="BJ227" s="907">
        <v>2439</v>
      </c>
      <c r="BK227" s="907">
        <f>BL227-BJ227</f>
        <v>2750</v>
      </c>
      <c r="BL227" s="907">
        <v>5189</v>
      </c>
      <c r="BM227" s="907">
        <v>551</v>
      </c>
      <c r="BN227" s="907">
        <v>3048</v>
      </c>
      <c r="BO227" s="891">
        <v>344</v>
      </c>
      <c r="BP227" s="892">
        <f>IF(G227="Front",0.5*9.81*0.4535924*(BJ227+BL227*(BM227/BN227))*(BO227/1000),IF(G227="Rear",0.5*9.81*0.4535924*(BK227+BL227*(BM227/BN227))*(BO227/1000),"TBD"))</f>
        <v>2584.6344959016765</v>
      </c>
      <c r="BQ227" s="891">
        <v>0.35</v>
      </c>
      <c r="BR227" s="904">
        <v>68</v>
      </c>
      <c r="BS227" s="904">
        <v>68</v>
      </c>
      <c r="BT227" s="908">
        <v>160</v>
      </c>
      <c r="BU227" s="892">
        <f>(2.4525*(BL227*0.4535924)*(0.8*(1000/3600)*BT227)*(BR227/100))/(AF227*2)</f>
        <v>1140.2325112551114</v>
      </c>
      <c r="BV227" s="892">
        <f>(BP227/(M227/1000))/(2*AF227)</f>
        <v>149.23176608591865</v>
      </c>
      <c r="BW227" s="892">
        <f>(1.4*BP227/(M227/1000))/(2*AF227)</f>
        <v>208.92447252028606</v>
      </c>
      <c r="BX227" s="893">
        <f>0.5*(BL227/32.2)*((BO227*0.00328084)^2)*(BS227/100)</f>
        <v>69.790081203378222</v>
      </c>
      <c r="BY227" s="891">
        <v>30</v>
      </c>
      <c r="BZ227" s="909">
        <f>BX227/(L227*BY227)</f>
        <v>7.0495031518563863E-3</v>
      </c>
      <c r="CA227" s="891"/>
      <c r="CB227" s="891"/>
      <c r="CC227" s="893"/>
      <c r="CD227" s="893"/>
      <c r="CE227" s="890"/>
      <c r="CF227" s="890"/>
      <c r="CG227" s="890"/>
      <c r="CH227" s="890"/>
      <c r="CI227" s="896"/>
      <c r="CJ227" s="873"/>
      <c r="CK227" s="955"/>
    </row>
    <row r="228" spans="1:89" ht="25.5" x14ac:dyDescent="0.2">
      <c r="A228" s="973">
        <v>63.6</v>
      </c>
      <c r="B228" s="883" t="s">
        <v>1306</v>
      </c>
      <c r="C228" s="883"/>
      <c r="D228" s="883" t="s">
        <v>1091</v>
      </c>
      <c r="E228" s="883" t="s">
        <v>4225</v>
      </c>
      <c r="F228" s="883">
        <v>2006</v>
      </c>
      <c r="G228" s="913" t="s">
        <v>1797</v>
      </c>
      <c r="H228" s="870" t="s">
        <v>2891</v>
      </c>
      <c r="I228" s="886" t="s">
        <v>2864</v>
      </c>
      <c r="J228" s="883" t="s">
        <v>114</v>
      </c>
      <c r="K228" s="883" t="s">
        <v>1307</v>
      </c>
      <c r="L228" s="883">
        <v>326</v>
      </c>
      <c r="M228" s="883">
        <v>139</v>
      </c>
      <c r="N228" s="883" t="s">
        <v>1361</v>
      </c>
      <c r="O228" s="870" t="s">
        <v>1125</v>
      </c>
      <c r="P228" s="870"/>
      <c r="Q228" s="870"/>
      <c r="R228" s="870"/>
      <c r="S228" s="870"/>
      <c r="T228" s="870"/>
      <c r="U228" s="870"/>
      <c r="V228" s="870"/>
      <c r="W228" s="870"/>
      <c r="X228" s="870"/>
      <c r="Y228" s="870"/>
      <c r="Z228" s="870"/>
      <c r="AA228" s="870"/>
      <c r="AB228" s="870" t="s">
        <v>1126</v>
      </c>
      <c r="AC228" s="883" t="s">
        <v>710</v>
      </c>
      <c r="AD228" s="883" t="s">
        <v>2045</v>
      </c>
      <c r="AE228" s="870" t="s">
        <v>1668</v>
      </c>
      <c r="AF228" s="883">
        <v>58.3</v>
      </c>
      <c r="AG228" s="883">
        <v>48.8</v>
      </c>
      <c r="AH228" s="883" t="s">
        <v>122</v>
      </c>
      <c r="AI228" s="883" t="s">
        <v>122</v>
      </c>
      <c r="AJ228" s="883" t="s">
        <v>234</v>
      </c>
      <c r="AK228" s="870" t="s">
        <v>1127</v>
      </c>
      <c r="AL228" s="883"/>
      <c r="AM228" s="883"/>
      <c r="AN228" s="883" t="s">
        <v>1784</v>
      </c>
      <c r="AO228" s="883">
        <v>0.34300000000000003</v>
      </c>
      <c r="AP228" s="883">
        <v>0.35799999999999998</v>
      </c>
      <c r="AQ228" s="883"/>
      <c r="AR228" s="887">
        <v>18.899999999999999</v>
      </c>
      <c r="AS228" s="888">
        <v>5.9</v>
      </c>
      <c r="AT228" s="887">
        <v>5.2</v>
      </c>
      <c r="AU228" s="888">
        <v>11.4</v>
      </c>
      <c r="AV228" s="888">
        <v>10.1</v>
      </c>
      <c r="AW228" s="904">
        <v>20.217285755757199</v>
      </c>
      <c r="AX228" s="889">
        <v>36008</v>
      </c>
      <c r="AY228" s="883" t="s">
        <v>2399</v>
      </c>
      <c r="AZ228" s="870">
        <v>278</v>
      </c>
      <c r="BA228" s="870" t="s">
        <v>1901</v>
      </c>
      <c r="BB228" s="883" t="s">
        <v>1902</v>
      </c>
      <c r="BC228" s="883" t="s">
        <v>1131</v>
      </c>
      <c r="BD228" s="870" t="s">
        <v>1132</v>
      </c>
      <c r="BE228" s="870"/>
      <c r="BF228" s="870"/>
      <c r="BG228" s="870"/>
      <c r="BH228" s="891" t="s">
        <v>1809</v>
      </c>
      <c r="BI228" s="914">
        <v>39595</v>
      </c>
      <c r="BJ228" s="892">
        <v>3969</v>
      </c>
      <c r="BK228" s="892">
        <v>7531</v>
      </c>
      <c r="BL228" s="892">
        <v>11500</v>
      </c>
      <c r="BM228" s="892">
        <v>878.84</v>
      </c>
      <c r="BN228" s="892">
        <v>4470.3999999999996</v>
      </c>
      <c r="BO228" s="890">
        <v>358.14</v>
      </c>
      <c r="BP228" s="892">
        <v>6859.8970549672476</v>
      </c>
      <c r="BQ228" s="890">
        <v>0.32</v>
      </c>
      <c r="BR228" s="893">
        <v>39</v>
      </c>
      <c r="BS228" s="893">
        <v>39</v>
      </c>
      <c r="BT228" s="969">
        <v>161</v>
      </c>
      <c r="BU228" s="892">
        <v>1530.9184060371358</v>
      </c>
      <c r="BV228" s="892">
        <v>423.25709583074689</v>
      </c>
      <c r="BW228" s="892">
        <v>592.55993416304568</v>
      </c>
      <c r="BX228" s="893">
        <v>96.15067579650011</v>
      </c>
      <c r="BY228" s="891">
        <v>30</v>
      </c>
      <c r="BZ228" s="909">
        <v>9.8313574434049193E-3</v>
      </c>
      <c r="CA228" s="891" t="s">
        <v>2952</v>
      </c>
      <c r="CB228" s="904" t="s">
        <v>1814</v>
      </c>
      <c r="CC228" s="893">
        <v>55.782839419978139</v>
      </c>
      <c r="CD228" s="893">
        <v>98.70355474773018</v>
      </c>
      <c r="CE228" s="890" t="s">
        <v>1049</v>
      </c>
      <c r="CF228" s="915">
        <v>-0.40934244821268018</v>
      </c>
      <c r="CG228" s="890">
        <v>2.4729999999999999</v>
      </c>
      <c r="CH228" s="890">
        <v>1.6259999999999999</v>
      </c>
      <c r="CI228" s="896">
        <v>1.6955000000000001E-2</v>
      </c>
      <c r="CJ228" s="873"/>
      <c r="CK228" s="955"/>
    </row>
    <row r="229" spans="1:89" ht="25.5" x14ac:dyDescent="0.2">
      <c r="A229" s="973">
        <f t="shared" ref="A229:A235" si="5">SQRT(2*45^2)</f>
        <v>63.63961030678928</v>
      </c>
      <c r="B229" s="883" t="s">
        <v>1134</v>
      </c>
      <c r="C229" s="883"/>
      <c r="D229" s="870" t="s">
        <v>2879</v>
      </c>
      <c r="E229" s="883" t="s">
        <v>4225</v>
      </c>
      <c r="F229" s="883">
        <v>2001</v>
      </c>
      <c r="G229" s="913" t="s">
        <v>1797</v>
      </c>
      <c r="H229" s="870" t="s">
        <v>2892</v>
      </c>
      <c r="I229" s="902" t="s">
        <v>2905</v>
      </c>
      <c r="J229" s="883" t="s">
        <v>114</v>
      </c>
      <c r="K229" s="883">
        <v>3646</v>
      </c>
      <c r="L229" s="883">
        <v>323.5</v>
      </c>
      <c r="M229" s="883">
        <v>136.6</v>
      </c>
      <c r="N229" s="883" t="s">
        <v>1361</v>
      </c>
      <c r="O229" s="870" t="s">
        <v>1125</v>
      </c>
      <c r="P229" s="870"/>
      <c r="Q229" s="870"/>
      <c r="R229" s="870"/>
      <c r="S229" s="870"/>
      <c r="T229" s="870"/>
      <c r="U229" s="870"/>
      <c r="V229" s="870"/>
      <c r="W229" s="870"/>
      <c r="X229" s="870"/>
      <c r="Y229" s="870"/>
      <c r="Z229" s="870"/>
      <c r="AA229" s="870"/>
      <c r="AB229" s="870" t="s">
        <v>1135</v>
      </c>
      <c r="AC229" s="883" t="s">
        <v>710</v>
      </c>
      <c r="AD229" s="883" t="s">
        <v>1136</v>
      </c>
      <c r="AE229" s="883" t="s">
        <v>1668</v>
      </c>
      <c r="AF229" s="883">
        <v>60.5</v>
      </c>
      <c r="AG229" s="883">
        <v>68.7</v>
      </c>
      <c r="AH229" s="883" t="s">
        <v>80</v>
      </c>
      <c r="AI229" s="883" t="s">
        <v>122</v>
      </c>
      <c r="AJ229" s="883" t="s">
        <v>234</v>
      </c>
      <c r="AK229" s="870" t="s">
        <v>1138</v>
      </c>
      <c r="AL229" s="883"/>
      <c r="AM229" s="883"/>
      <c r="AN229" s="883" t="s">
        <v>1784</v>
      </c>
      <c r="AO229" s="883">
        <v>0.3</v>
      </c>
      <c r="AP229" s="883">
        <v>0.3</v>
      </c>
      <c r="AQ229" s="883"/>
      <c r="AR229" s="887">
        <v>20.8</v>
      </c>
      <c r="AS229" s="888">
        <v>5.9</v>
      </c>
      <c r="AT229" s="887">
        <v>5.2</v>
      </c>
      <c r="AU229" s="888">
        <v>14.4</v>
      </c>
      <c r="AV229" s="888">
        <v>11.8</v>
      </c>
      <c r="AW229" s="904">
        <f>(100*PI()*(A229^2))/(40*AO229*AV229*453.5924)</f>
        <v>19.809607618200669</v>
      </c>
      <c r="AX229" s="889">
        <v>36708</v>
      </c>
      <c r="AY229" s="883" t="s">
        <v>1790</v>
      </c>
      <c r="AZ229" s="870">
        <v>287</v>
      </c>
      <c r="BA229" s="870" t="s">
        <v>1139</v>
      </c>
      <c r="BB229" s="883" t="s">
        <v>1140</v>
      </c>
      <c r="BC229" s="883">
        <v>13544402</v>
      </c>
      <c r="BD229" s="870">
        <v>13545901</v>
      </c>
      <c r="BE229" s="870"/>
      <c r="BF229" s="870"/>
      <c r="BG229" s="870"/>
      <c r="BH229" s="891" t="s">
        <v>1809</v>
      </c>
      <c r="BI229" s="914">
        <v>38492</v>
      </c>
      <c r="BJ229" s="892">
        <v>3698</v>
      </c>
      <c r="BK229" s="892">
        <v>5102</v>
      </c>
      <c r="BL229" s="892">
        <f>BJ229+BK229</f>
        <v>8800</v>
      </c>
      <c r="BM229" s="892">
        <v>739</v>
      </c>
      <c r="BN229" s="892">
        <v>3421</v>
      </c>
      <c r="BO229" s="890">
        <v>374.9</v>
      </c>
      <c r="BP229" s="892">
        <f>IF(G229="Front",0.5*9.81*0.4535924*(BJ229+BL229*(BM229/BN229)*1.1)*1.1*(BO229/1000),IF(G229="Rear",0.5*9.81*0.4535924*(BK229+BL229*(BM229/BN229)*0.9)*0.9*(BO229/1000),"TBD"))</f>
        <v>5114.3767372608718</v>
      </c>
      <c r="BQ229" s="890">
        <v>0.35</v>
      </c>
      <c r="BR229" s="893">
        <v>45</v>
      </c>
      <c r="BS229" s="893">
        <v>55</v>
      </c>
      <c r="BT229" s="969">
        <v>161</v>
      </c>
      <c r="BU229" s="892">
        <f>(2.4525*(BL229*0.4535924)*(0.8*(1000/3600)*BT229)*(BR229/100))/(AF229*2)</f>
        <v>1302.5606772436367</v>
      </c>
      <c r="BV229" s="892">
        <f>(BP229/(M229/1000))/(2*AF229)</f>
        <v>309.42588829428217</v>
      </c>
      <c r="BW229" s="892">
        <f>(1.4*BP229/(M229/1000))/(2*AF229)</f>
        <v>433.19624361199499</v>
      </c>
      <c r="BX229" s="893">
        <f>0.5*(BL229/32.2)*((BO229*0.00328084)^2)*(BS229/100)</f>
        <v>113.70000337718886</v>
      </c>
      <c r="BY229" s="891">
        <v>30</v>
      </c>
      <c r="BZ229" s="909">
        <f>BX229/(L229*BY229)</f>
        <v>1.1715610858030795E-2</v>
      </c>
      <c r="CA229" s="891">
        <v>235</v>
      </c>
      <c r="CB229" s="891"/>
      <c r="CC229" s="893">
        <f>BU229*(2*AF229)/(2*1600)</f>
        <v>49.253075608275012</v>
      </c>
      <c r="CD229" s="893">
        <f>BV229*(2*AF229)/(2*250)</f>
        <v>74.88106496721629</v>
      </c>
      <c r="CE229" s="890" t="str">
        <f>IF((CD229-CC229)&gt;0, "Shear","Power")</f>
        <v>Shear</v>
      </c>
      <c r="CF229" s="915">
        <f>(AF229/MAX(CC229,CD229))-1</f>
        <v>-0.19205208918319294</v>
      </c>
      <c r="CG229" s="890"/>
      <c r="CH229" s="890"/>
      <c r="CI229" s="896"/>
      <c r="CJ229" s="873"/>
      <c r="CK229" s="955"/>
    </row>
    <row r="230" spans="1:89" ht="25.5" x14ac:dyDescent="0.2">
      <c r="A230" s="973">
        <f t="shared" si="5"/>
        <v>63.63961030678928</v>
      </c>
      <c r="B230" s="883" t="s">
        <v>1141</v>
      </c>
      <c r="C230" s="883"/>
      <c r="D230" s="870" t="s">
        <v>2879</v>
      </c>
      <c r="E230" s="883" t="s">
        <v>4225</v>
      </c>
      <c r="F230" s="883">
        <v>2003</v>
      </c>
      <c r="G230" s="913" t="s">
        <v>1797</v>
      </c>
      <c r="H230" s="870" t="s">
        <v>2893</v>
      </c>
      <c r="I230" s="902" t="s">
        <v>1137</v>
      </c>
      <c r="J230" s="883" t="s">
        <v>114</v>
      </c>
      <c r="K230" s="883">
        <v>4054</v>
      </c>
      <c r="L230" s="883">
        <v>352.3</v>
      </c>
      <c r="M230" s="883">
        <v>152.5</v>
      </c>
      <c r="N230" s="883" t="s">
        <v>197</v>
      </c>
      <c r="O230" s="870" t="s">
        <v>1151</v>
      </c>
      <c r="P230" s="870"/>
      <c r="Q230" s="870"/>
      <c r="R230" s="870"/>
      <c r="S230" s="870"/>
      <c r="T230" s="870"/>
      <c r="U230" s="870"/>
      <c r="V230" s="870"/>
      <c r="W230" s="870"/>
      <c r="X230" s="870"/>
      <c r="Y230" s="870"/>
      <c r="Z230" s="870"/>
      <c r="AA230" s="870"/>
      <c r="AB230" s="870" t="s">
        <v>1142</v>
      </c>
      <c r="AC230" s="883" t="s">
        <v>710</v>
      </c>
      <c r="AD230" s="883" t="s">
        <v>1143</v>
      </c>
      <c r="AE230" s="883" t="s">
        <v>91</v>
      </c>
      <c r="AF230" s="883">
        <v>61.9</v>
      </c>
      <c r="AG230" s="883">
        <v>74.599999999999994</v>
      </c>
      <c r="AH230" s="883" t="s">
        <v>80</v>
      </c>
      <c r="AI230" s="883" t="s">
        <v>122</v>
      </c>
      <c r="AJ230" s="883" t="s">
        <v>234</v>
      </c>
      <c r="AK230" s="870" t="s">
        <v>1138</v>
      </c>
      <c r="AL230" s="883"/>
      <c r="AM230" s="883"/>
      <c r="AN230" s="883" t="s">
        <v>1784</v>
      </c>
      <c r="AO230" s="883">
        <v>0.25</v>
      </c>
      <c r="AP230" s="883">
        <v>0.25</v>
      </c>
      <c r="AQ230" s="883"/>
      <c r="AR230" s="887">
        <v>20.100000000000001</v>
      </c>
      <c r="AS230" s="888">
        <v>6.1</v>
      </c>
      <c r="AT230" s="887">
        <v>5.4</v>
      </c>
      <c r="AU230" s="888">
        <v>12.2</v>
      </c>
      <c r="AV230" s="888">
        <v>11.76</v>
      </c>
      <c r="AW230" s="904">
        <f>(100*PI()*(A230^2))/(40*AO230*AV230*453.5924)</f>
        <v>23.852384683139586</v>
      </c>
      <c r="AX230" s="889">
        <v>37531</v>
      </c>
      <c r="AY230" s="883" t="s">
        <v>1669</v>
      </c>
      <c r="AZ230" s="870">
        <v>237</v>
      </c>
      <c r="BA230" s="870" t="s">
        <v>1152</v>
      </c>
      <c r="BB230" s="883" t="s">
        <v>2849</v>
      </c>
      <c r="BC230" s="883">
        <v>14599301</v>
      </c>
      <c r="BD230" s="870">
        <v>14764800</v>
      </c>
      <c r="BE230" s="870"/>
      <c r="BF230" s="870"/>
      <c r="BG230" s="870"/>
      <c r="BH230" s="891" t="s">
        <v>2850</v>
      </c>
      <c r="BI230" s="914">
        <v>38432</v>
      </c>
      <c r="BJ230" s="892">
        <v>3698</v>
      </c>
      <c r="BK230" s="892">
        <v>5102</v>
      </c>
      <c r="BL230" s="892">
        <f>BJ230+BK230</f>
        <v>8800</v>
      </c>
      <c r="BM230" s="892">
        <v>739</v>
      </c>
      <c r="BN230" s="892">
        <v>3421</v>
      </c>
      <c r="BO230" s="890">
        <v>395</v>
      </c>
      <c r="BP230" s="892">
        <f>IF(G230="Front",0.5*9.81*0.4535924*(BJ230+BL230*(BM230/BN230)*1.1)*1.1*(BO230/1000),IF(G230="Rear",0.5*9.81*0.4535924*(BK230+BL230*(BM230/BN230)*0.9)*0.9*(BO230/1000),"TBD"))</f>
        <v>5388.5804513684834</v>
      </c>
      <c r="BQ230" s="890">
        <v>0.35</v>
      </c>
      <c r="BR230" s="893">
        <v>45</v>
      </c>
      <c r="BS230" s="893">
        <v>55</v>
      </c>
      <c r="BT230" s="969">
        <v>161</v>
      </c>
      <c r="BU230" s="892">
        <f>(2.4525*(BL230*0.4535924)*(0.8*(1000/3600)*BT230)*(BR230/100))/(AF230*2)</f>
        <v>1273.1005003754447</v>
      </c>
      <c r="BV230" s="892">
        <f>(BP230/(M230/1000))/(2*AF230)</f>
        <v>285.41965896175662</v>
      </c>
      <c r="BW230" s="892">
        <f>(1.4*BP230/(M230/1000))/(2*AF230)</f>
        <v>399.58752254645918</v>
      </c>
      <c r="BX230" s="893">
        <f>0.5*(BL230/32.2)*((BO230*0.00328084)^2)*(BS230/100)</f>
        <v>126.21872475801243</v>
      </c>
      <c r="BY230" s="891">
        <v>30</v>
      </c>
      <c r="BZ230" s="909">
        <f>BX230/(L230*BY230)</f>
        <v>1.1942352612168836E-2</v>
      </c>
      <c r="CA230" s="891">
        <v>218</v>
      </c>
      <c r="CB230" s="891" t="s">
        <v>2952</v>
      </c>
      <c r="CC230" s="893">
        <f>BU230*(2*AF230)/(2*1600)</f>
        <v>49.253075608275012</v>
      </c>
      <c r="CD230" s="893">
        <f>BV230*(2*AF230)/(2*250)</f>
        <v>70.66990755893093</v>
      </c>
      <c r="CE230" s="890" t="str">
        <f>IF((CD230-CC230)&gt;0, "Shear","Power")</f>
        <v>Shear</v>
      </c>
      <c r="CF230" s="915">
        <f>(AF230/MAX(CC230,CD230))-1</f>
        <v>-0.12409677416965337</v>
      </c>
      <c r="CG230" s="890">
        <v>2.6</v>
      </c>
      <c r="CH230" s="890">
        <v>1.75</v>
      </c>
      <c r="CI230" s="896">
        <v>1.7100000000000001E-2</v>
      </c>
      <c r="CJ230" s="873"/>
      <c r="CK230" s="955"/>
    </row>
    <row r="231" spans="1:89" ht="25.5" x14ac:dyDescent="0.2">
      <c r="A231" s="893">
        <f t="shared" si="5"/>
        <v>63.63961030678928</v>
      </c>
      <c r="B231" s="883" t="s">
        <v>1141</v>
      </c>
      <c r="C231" s="883"/>
      <c r="D231" s="870" t="s">
        <v>2879</v>
      </c>
      <c r="E231" s="883" t="s">
        <v>4225</v>
      </c>
      <c r="F231" s="883">
        <v>2003</v>
      </c>
      <c r="G231" s="913" t="s">
        <v>1797</v>
      </c>
      <c r="H231" s="870" t="s">
        <v>2893</v>
      </c>
      <c r="I231" s="902" t="s">
        <v>1137</v>
      </c>
      <c r="J231" s="883" t="s">
        <v>114</v>
      </c>
      <c r="K231" s="883">
        <v>4054</v>
      </c>
      <c r="L231" s="883">
        <v>352.3</v>
      </c>
      <c r="M231" s="883">
        <v>152.5</v>
      </c>
      <c r="N231" s="883" t="s">
        <v>197</v>
      </c>
      <c r="O231" s="870" t="s">
        <v>1125</v>
      </c>
      <c r="P231" s="870"/>
      <c r="Q231" s="870"/>
      <c r="R231" s="870"/>
      <c r="S231" s="870"/>
      <c r="T231" s="870"/>
      <c r="U231" s="870"/>
      <c r="V231" s="870"/>
      <c r="W231" s="870"/>
      <c r="X231" s="870"/>
      <c r="Y231" s="870"/>
      <c r="Z231" s="870"/>
      <c r="AA231" s="870"/>
      <c r="AB231" s="870" t="s">
        <v>1142</v>
      </c>
      <c r="AC231" s="883" t="s">
        <v>710</v>
      </c>
      <c r="AD231" s="883" t="s">
        <v>1143</v>
      </c>
      <c r="AE231" s="883" t="s">
        <v>91</v>
      </c>
      <c r="AF231" s="883">
        <v>61.9</v>
      </c>
      <c r="AG231" s="883">
        <v>74.599999999999994</v>
      </c>
      <c r="AH231" s="883" t="s">
        <v>80</v>
      </c>
      <c r="AI231" s="883" t="s">
        <v>122</v>
      </c>
      <c r="AJ231" s="883" t="s">
        <v>234</v>
      </c>
      <c r="AK231" s="870" t="s">
        <v>1138</v>
      </c>
      <c r="AL231" s="883"/>
      <c r="AM231" s="883"/>
      <c r="AN231" s="883" t="s">
        <v>1784</v>
      </c>
      <c r="AO231" s="883">
        <v>0.3</v>
      </c>
      <c r="AP231" s="883">
        <v>0.3</v>
      </c>
      <c r="AQ231" s="883"/>
      <c r="AR231" s="887">
        <v>21</v>
      </c>
      <c r="AS231" s="888">
        <v>6.1</v>
      </c>
      <c r="AT231" s="887">
        <v>5.4</v>
      </c>
      <c r="AU231" s="888">
        <v>14.4</v>
      </c>
      <c r="AV231" s="888">
        <v>11.8</v>
      </c>
      <c r="AW231" s="904">
        <f>(100*PI()*(A231^2))/(40*AO231*AV231*453.5924)</f>
        <v>19.809607618200669</v>
      </c>
      <c r="AX231" s="889">
        <v>37408</v>
      </c>
      <c r="AY231" s="883" t="s">
        <v>1669</v>
      </c>
      <c r="AZ231" s="870">
        <v>237</v>
      </c>
      <c r="BA231" s="870" t="s">
        <v>1144</v>
      </c>
      <c r="BB231" s="883" t="s">
        <v>1145</v>
      </c>
      <c r="BC231" s="883">
        <v>13544402</v>
      </c>
      <c r="BD231" s="870">
        <v>14041300</v>
      </c>
      <c r="BE231" s="870"/>
      <c r="BF231" s="870"/>
      <c r="BG231" s="870"/>
      <c r="BH231" s="974" t="s">
        <v>1150</v>
      </c>
      <c r="BI231" s="914">
        <v>38111</v>
      </c>
      <c r="BJ231" s="892">
        <v>3698</v>
      </c>
      <c r="BK231" s="892">
        <v>5102</v>
      </c>
      <c r="BL231" s="892">
        <f>BJ231+BK231</f>
        <v>8800</v>
      </c>
      <c r="BM231" s="892">
        <v>739</v>
      </c>
      <c r="BN231" s="892">
        <v>3421</v>
      </c>
      <c r="BO231" s="890">
        <v>395</v>
      </c>
      <c r="BP231" s="892">
        <f>IF(G231="Front",0.5*9.81*0.4535924*(BJ231+BL231*(BM231/BN231)*1.1)*1.1*(BO231/1000),IF(G231="Rear",0.5*9.81*0.4535924*(BK231+BL231*(BM231/BN231)*0.9)*0.9*(BO231/1000),"TBD"))</f>
        <v>5388.5804513684834</v>
      </c>
      <c r="BQ231" s="890">
        <v>0.35</v>
      </c>
      <c r="BR231" s="893">
        <v>45</v>
      </c>
      <c r="BS231" s="893">
        <v>55</v>
      </c>
      <c r="BT231" s="969">
        <v>161</v>
      </c>
      <c r="BU231" s="892">
        <f>(2.4525*(BL231*0.4535924)*(0.8*(1000/3600)*BT231)*(BR231/100))/(AF231*2)</f>
        <v>1273.1005003754447</v>
      </c>
      <c r="BV231" s="892">
        <f>(BP231/(M231/1000))/(2*AF231)</f>
        <v>285.41965896175662</v>
      </c>
      <c r="BW231" s="892">
        <f>(1.4*BP231/(M231/1000))/(2*AF231)</f>
        <v>399.58752254645918</v>
      </c>
      <c r="BX231" s="893">
        <f>0.5*(BL231/32.2)*((BO231*0.00328084)^2)*(BS231/100)</f>
        <v>126.21872475801243</v>
      </c>
      <c r="BY231" s="891">
        <v>30</v>
      </c>
      <c r="BZ231" s="909">
        <f>BX231/(L231*BY231)</f>
        <v>1.1942352612168836E-2</v>
      </c>
      <c r="CA231" s="891">
        <v>218</v>
      </c>
      <c r="CB231" s="891" t="s">
        <v>2952</v>
      </c>
      <c r="CC231" s="893">
        <f>BU231*(2*AF231)/(2*1600)</f>
        <v>49.253075608275012</v>
      </c>
      <c r="CD231" s="893">
        <f>BV231*(2*AF231)/(2*250)</f>
        <v>70.66990755893093</v>
      </c>
      <c r="CE231" s="890" t="str">
        <f>IF((CD231-CC231)&gt;0, "Shear","Power")</f>
        <v>Shear</v>
      </c>
      <c r="CF231" s="915">
        <f>(AF231/MAX(CC231,CD231))-1</f>
        <v>-0.12409677416965337</v>
      </c>
      <c r="CG231" s="891"/>
      <c r="CH231" s="891"/>
      <c r="CI231" s="891"/>
      <c r="CJ231" s="873"/>
      <c r="CK231" s="955"/>
    </row>
    <row r="232" spans="1:89" ht="25.5" x14ac:dyDescent="0.2">
      <c r="A232" s="893">
        <f t="shared" si="5"/>
        <v>63.63961030678928</v>
      </c>
      <c r="B232" s="883" t="s">
        <v>2942</v>
      </c>
      <c r="C232" s="883"/>
      <c r="D232" s="883" t="s">
        <v>2338</v>
      </c>
      <c r="E232" s="883" t="s">
        <v>4225</v>
      </c>
      <c r="F232" s="883"/>
      <c r="G232" s="885"/>
      <c r="H232" s="870" t="s">
        <v>2944</v>
      </c>
      <c r="I232" s="886" t="s">
        <v>1146</v>
      </c>
      <c r="J232" s="883" t="s">
        <v>114</v>
      </c>
      <c r="K232" s="883">
        <v>4054</v>
      </c>
      <c r="L232" s="883">
        <v>349.3</v>
      </c>
      <c r="M232" s="883">
        <v>152.5</v>
      </c>
      <c r="N232" s="883" t="s">
        <v>197</v>
      </c>
      <c r="O232" s="870" t="s">
        <v>1125</v>
      </c>
      <c r="P232" s="870"/>
      <c r="Q232" s="870"/>
      <c r="R232" s="870"/>
      <c r="S232" s="870"/>
      <c r="T232" s="870"/>
      <c r="U232" s="870"/>
      <c r="V232" s="870"/>
      <c r="W232" s="870"/>
      <c r="X232" s="870"/>
      <c r="Y232" s="870"/>
      <c r="Z232" s="870"/>
      <c r="AA232" s="870"/>
      <c r="AB232" s="870" t="s">
        <v>819</v>
      </c>
      <c r="AC232" s="883" t="s">
        <v>710</v>
      </c>
      <c r="AD232" s="883" t="s">
        <v>819</v>
      </c>
      <c r="AE232" s="883" t="s">
        <v>1668</v>
      </c>
      <c r="AF232" s="883">
        <v>60.5</v>
      </c>
      <c r="AG232" s="883">
        <v>68.7</v>
      </c>
      <c r="AH232" s="883" t="s">
        <v>83</v>
      </c>
      <c r="AI232" s="883" t="s">
        <v>83</v>
      </c>
      <c r="AJ232" s="883" t="s">
        <v>234</v>
      </c>
      <c r="AK232" s="870" t="s">
        <v>2943</v>
      </c>
      <c r="AL232" s="883"/>
      <c r="AM232" s="883"/>
      <c r="AN232" s="883" t="s">
        <v>1784</v>
      </c>
      <c r="AO232" s="883">
        <v>0.32</v>
      </c>
      <c r="AP232" s="883">
        <v>0.3</v>
      </c>
      <c r="AQ232" s="883"/>
      <c r="AR232" s="887">
        <v>21</v>
      </c>
      <c r="AS232" s="888">
        <v>6.1</v>
      </c>
      <c r="AT232" s="887">
        <v>5.4</v>
      </c>
      <c r="AU232" s="888">
        <v>14.4</v>
      </c>
      <c r="AV232" s="888"/>
      <c r="AW232" s="888"/>
      <c r="AX232" s="889">
        <v>2003</v>
      </c>
      <c r="AY232" s="883" t="s">
        <v>1790</v>
      </c>
      <c r="AZ232" s="870"/>
      <c r="BA232" s="870" t="s">
        <v>2945</v>
      </c>
      <c r="BB232" s="883" t="s">
        <v>1145</v>
      </c>
      <c r="BC232" s="883">
        <v>13544401</v>
      </c>
      <c r="BD232" s="870">
        <v>13545901</v>
      </c>
      <c r="BE232" s="870"/>
      <c r="BF232" s="870"/>
      <c r="BG232" s="870"/>
      <c r="BH232" s="974" t="s">
        <v>2946</v>
      </c>
      <c r="BI232" s="890"/>
      <c r="BJ232" s="892">
        <v>3698</v>
      </c>
      <c r="BK232" s="892">
        <v>5102</v>
      </c>
      <c r="BL232" s="892">
        <v>8800</v>
      </c>
      <c r="BM232" s="892">
        <v>739</v>
      </c>
      <c r="BN232" s="892">
        <v>3421</v>
      </c>
      <c r="BO232" s="890">
        <v>395</v>
      </c>
      <c r="BP232" s="892">
        <f>1/2*9.8*(BJ232/2.2+BL232/2.2*BM232/BN232*1)*1*BO232/1000</f>
        <v>4925.8163826366563</v>
      </c>
      <c r="BQ232" s="890">
        <v>0.35</v>
      </c>
      <c r="BR232" s="893">
        <v>45</v>
      </c>
      <c r="BS232" s="893"/>
      <c r="BT232" s="969"/>
      <c r="BU232" s="975"/>
      <c r="BV232" s="975"/>
      <c r="BW232" s="975"/>
      <c r="BX232" s="890"/>
      <c r="BY232" s="891"/>
      <c r="BZ232" s="909"/>
      <c r="CA232" s="890"/>
      <c r="CB232" s="890"/>
      <c r="CC232" s="893"/>
      <c r="CD232" s="893"/>
      <c r="CE232" s="890"/>
      <c r="CF232" s="890"/>
      <c r="CG232" s="890"/>
      <c r="CH232" s="890"/>
      <c r="CI232" s="890"/>
      <c r="CJ232" s="873"/>
      <c r="CK232" s="955"/>
    </row>
    <row r="233" spans="1:89" ht="38.25" x14ac:dyDescent="0.2">
      <c r="A233" s="893">
        <f t="shared" si="5"/>
        <v>63.63961030678928</v>
      </c>
      <c r="B233" s="870" t="s">
        <v>1873</v>
      </c>
      <c r="C233" s="870"/>
      <c r="D233" s="883" t="s">
        <v>702</v>
      </c>
      <c r="E233" s="883" t="s">
        <v>4225</v>
      </c>
      <c r="F233" s="883"/>
      <c r="G233" s="976" t="s">
        <v>1797</v>
      </c>
      <c r="H233" s="870" t="s">
        <v>1877</v>
      </c>
      <c r="I233" s="886" t="s">
        <v>1879</v>
      </c>
      <c r="J233" s="870" t="s">
        <v>114</v>
      </c>
      <c r="K233" s="870" t="s">
        <v>83</v>
      </c>
      <c r="L233" s="870">
        <v>375</v>
      </c>
      <c r="M233" s="870">
        <v>167</v>
      </c>
      <c r="N233" s="870" t="s">
        <v>1866</v>
      </c>
      <c r="O233" s="870" t="s">
        <v>1125</v>
      </c>
      <c r="P233" s="870"/>
      <c r="Q233" s="870"/>
      <c r="R233" s="870"/>
      <c r="S233" s="870"/>
      <c r="T233" s="870"/>
      <c r="U233" s="870"/>
      <c r="V233" s="870"/>
      <c r="W233" s="870"/>
      <c r="X233" s="870"/>
      <c r="Y233" s="870"/>
      <c r="Z233" s="870"/>
      <c r="AA233" s="870"/>
      <c r="AB233" s="870" t="s">
        <v>2855</v>
      </c>
      <c r="AC233" s="870" t="s">
        <v>710</v>
      </c>
      <c r="AD233" s="870" t="s">
        <v>47</v>
      </c>
      <c r="AE233" s="883" t="s">
        <v>91</v>
      </c>
      <c r="AF233" s="883" t="s">
        <v>1874</v>
      </c>
      <c r="AG233" s="883" t="s">
        <v>1874</v>
      </c>
      <c r="AH233" s="883" t="s">
        <v>80</v>
      </c>
      <c r="AI233" s="883" t="s">
        <v>80</v>
      </c>
      <c r="AJ233" s="870" t="s">
        <v>234</v>
      </c>
      <c r="AK233" s="870" t="s">
        <v>1875</v>
      </c>
      <c r="AL233" s="883"/>
      <c r="AM233" s="883"/>
      <c r="AN233" s="883" t="s">
        <v>1784</v>
      </c>
      <c r="AO233" s="883">
        <v>0.3</v>
      </c>
      <c r="AP233" s="870" t="s">
        <v>1876</v>
      </c>
      <c r="AQ233" s="870"/>
      <c r="AR233" s="888"/>
      <c r="AS233" s="888"/>
      <c r="AT233" s="887"/>
      <c r="AU233" s="888">
        <v>10.5</v>
      </c>
      <c r="AV233" s="888">
        <v>9.5</v>
      </c>
      <c r="AW233" s="904">
        <f>(100*PI()*(A233^2))/(40*AO233*AV233*453.5924)</f>
        <v>24.605617883659779</v>
      </c>
      <c r="AX233" s="889">
        <v>38935</v>
      </c>
      <c r="AY233" s="883" t="s">
        <v>1790</v>
      </c>
      <c r="AZ233" s="870">
        <v>446</v>
      </c>
      <c r="BA233" s="870" t="s">
        <v>1878</v>
      </c>
      <c r="BB233" s="870"/>
      <c r="BC233" s="883"/>
      <c r="BD233" s="870"/>
      <c r="BE233" s="870"/>
      <c r="BF233" s="870"/>
      <c r="BG233" s="870"/>
      <c r="BH233" s="870" t="s">
        <v>1880</v>
      </c>
      <c r="BI233" s="977"/>
      <c r="BJ233" s="897"/>
      <c r="BK233" s="897"/>
      <c r="BL233" s="892">
        <f>BJ233+BK233</f>
        <v>0</v>
      </c>
      <c r="BM233" s="897"/>
      <c r="BN233" s="897"/>
      <c r="BO233" s="870"/>
      <c r="BP233" s="892" t="e">
        <f>IF(G233="Front",0.5*9.81*0.4535924*(BJ233+BL233*(BM233/BN233))*(BO233/1000),IF(G233="Rear",0.5*9.81*0.4535924*(BK233+BL233*(BM233/BN233))*(BO233/1000),"TBD"))</f>
        <v>#DIV/0!</v>
      </c>
      <c r="BQ233" s="870"/>
      <c r="BR233" s="888">
        <v>0</v>
      </c>
      <c r="BS233" s="888"/>
      <c r="BT233" s="899"/>
      <c r="BU233" s="892" t="e">
        <f>(2.4525*(BL233*0.4535924)*(0.8*(1000/3600)*BT233)*(BR233/100))/(AF233*2)</f>
        <v>#VALUE!</v>
      </c>
      <c r="BV233" s="892" t="e">
        <f>(BP233/(M233/1000))/(2*AF233)</f>
        <v>#DIV/0!</v>
      </c>
      <c r="BW233" s="892" t="e">
        <f>(1.4*BP233/(M233/1000))/(2*AF233)</f>
        <v>#DIV/0!</v>
      </c>
      <c r="BX233" s="893">
        <f>0.5*(BL233/32.2)*((BO233*0.00328084)^2)*(BS233/100)</f>
        <v>0</v>
      </c>
      <c r="BY233" s="891">
        <v>34</v>
      </c>
      <c r="BZ233" s="909">
        <f>BX233/(L233*BY233)</f>
        <v>0</v>
      </c>
      <c r="CA233" s="891"/>
      <c r="CB233" s="891"/>
      <c r="CC233" s="893"/>
      <c r="CD233" s="893"/>
      <c r="CE233" s="890"/>
      <c r="CF233" s="890"/>
      <c r="CG233" s="890"/>
      <c r="CH233" s="890"/>
      <c r="CI233" s="890"/>
      <c r="CJ233" s="972"/>
      <c r="CK233" s="955"/>
    </row>
    <row r="234" spans="1:89" ht="25.5" x14ac:dyDescent="0.2">
      <c r="A234" s="893">
        <f t="shared" si="5"/>
        <v>63.63961030678928</v>
      </c>
      <c r="B234" s="883" t="s">
        <v>1306</v>
      </c>
      <c r="C234" s="883"/>
      <c r="D234" s="883" t="s">
        <v>848</v>
      </c>
      <c r="E234" s="883" t="s">
        <v>4225</v>
      </c>
      <c r="F234" s="883"/>
      <c r="G234" s="913" t="s">
        <v>1797</v>
      </c>
      <c r="H234" s="870" t="s">
        <v>1128</v>
      </c>
      <c r="I234" s="886" t="s">
        <v>1133</v>
      </c>
      <c r="J234" s="883" t="s">
        <v>114</v>
      </c>
      <c r="K234" s="883" t="s">
        <v>1307</v>
      </c>
      <c r="L234" s="883">
        <v>326</v>
      </c>
      <c r="M234" s="883">
        <v>139</v>
      </c>
      <c r="N234" s="883" t="s">
        <v>1361</v>
      </c>
      <c r="O234" s="870" t="s">
        <v>1125</v>
      </c>
      <c r="P234" s="870"/>
      <c r="Q234" s="870"/>
      <c r="R234" s="870"/>
      <c r="S234" s="870"/>
      <c r="T234" s="870"/>
      <c r="U234" s="870"/>
      <c r="V234" s="870"/>
      <c r="W234" s="870"/>
      <c r="X234" s="870"/>
      <c r="Y234" s="870"/>
      <c r="Z234" s="870"/>
      <c r="AA234" s="870"/>
      <c r="AB234" s="870" t="s">
        <v>1126</v>
      </c>
      <c r="AC234" s="883" t="s">
        <v>710</v>
      </c>
      <c r="AD234" s="883" t="s">
        <v>2045</v>
      </c>
      <c r="AE234" s="883" t="s">
        <v>120</v>
      </c>
      <c r="AF234" s="883">
        <v>58.3</v>
      </c>
      <c r="AG234" s="883">
        <v>48.8</v>
      </c>
      <c r="AH234" s="883" t="s">
        <v>122</v>
      </c>
      <c r="AI234" s="883" t="s">
        <v>122</v>
      </c>
      <c r="AJ234" s="883" t="s">
        <v>234</v>
      </c>
      <c r="AK234" s="870" t="s">
        <v>1127</v>
      </c>
      <c r="AL234" s="883"/>
      <c r="AM234" s="883"/>
      <c r="AN234" s="883" t="s">
        <v>1784</v>
      </c>
      <c r="AO234" s="883">
        <v>0.34300000000000003</v>
      </c>
      <c r="AP234" s="883">
        <v>0.35799999999999998</v>
      </c>
      <c r="AQ234" s="883"/>
      <c r="AR234" s="887">
        <v>18.899999999999999</v>
      </c>
      <c r="AS234" s="888">
        <v>5.9</v>
      </c>
      <c r="AT234" s="887">
        <v>5.2</v>
      </c>
      <c r="AU234" s="888">
        <v>11.4</v>
      </c>
      <c r="AV234" s="888">
        <v>10.1</v>
      </c>
      <c r="AW234" s="904">
        <f>(100*PI()*(A234^2))/(40*AO234*AV234*453.5924)</f>
        <v>20.242476393046324</v>
      </c>
      <c r="AX234" s="889">
        <v>36008</v>
      </c>
      <c r="AY234" s="883" t="s">
        <v>1790</v>
      </c>
      <c r="AZ234" s="870">
        <v>278</v>
      </c>
      <c r="BA234" s="870" t="s">
        <v>1129</v>
      </c>
      <c r="BB234" s="883" t="s">
        <v>1130</v>
      </c>
      <c r="BC234" s="883" t="s">
        <v>1131</v>
      </c>
      <c r="BD234" s="870" t="s">
        <v>1132</v>
      </c>
      <c r="BE234" s="870"/>
      <c r="BF234" s="870"/>
      <c r="BG234" s="870"/>
      <c r="BH234" s="891" t="s">
        <v>1809</v>
      </c>
      <c r="BI234" s="914">
        <v>38057</v>
      </c>
      <c r="BJ234" s="892">
        <v>3969</v>
      </c>
      <c r="BK234" s="892">
        <v>7531</v>
      </c>
      <c r="BL234" s="892">
        <f>BJ234+BK234</f>
        <v>11500</v>
      </c>
      <c r="BM234" s="892">
        <v>878.84</v>
      </c>
      <c r="BN234" s="892">
        <v>4470.3999999999996</v>
      </c>
      <c r="BO234" s="890">
        <v>358.14</v>
      </c>
      <c r="BP234" s="892">
        <f>IF(G234="Front",0.5*9.81*0.4535924*(BJ234+BL234*(BM234/BN234)*1.1)*1.1*(BO234/1000),IF(G234="Rear",0.5*9.81*0.4535924*(BK234+BL234*(BM234/BN234)*0.9)*0.9*(BO234/1000),"TBD"))</f>
        <v>6859.8970549672476</v>
      </c>
      <c r="BQ234" s="890">
        <v>0.32</v>
      </c>
      <c r="BR234" s="893">
        <v>39</v>
      </c>
      <c r="BS234" s="893">
        <v>39</v>
      </c>
      <c r="BT234" s="969">
        <v>161</v>
      </c>
      <c r="BU234" s="892">
        <f>(2.4525*(BL234*0.4535924)*(0.8*(1000/3600)*BT234)*(BR234/100))/(AF234*2)</f>
        <v>1530.9184060371358</v>
      </c>
      <c r="BV234" s="892">
        <f>(BP234/(M234/1000))/(2*AF234)</f>
        <v>423.25709583074689</v>
      </c>
      <c r="BW234" s="892">
        <f>(1.4*BP234/(M234/1000))/(2*AF234)</f>
        <v>592.55993416304568</v>
      </c>
      <c r="BX234" s="893">
        <f>0.5*(BL234/32.2)*((BO234*0.00328084)^2)*(BS234/100)</f>
        <v>96.15067579650011</v>
      </c>
      <c r="BY234" s="891">
        <v>30</v>
      </c>
      <c r="BZ234" s="909">
        <f>BX234/(L234*BY234)</f>
        <v>9.8313574434049193E-3</v>
      </c>
      <c r="CA234" s="891"/>
      <c r="CB234" s="891"/>
      <c r="CC234" s="893">
        <f>BU234*(2*AF234)/(2*1600)</f>
        <v>55.782839419978139</v>
      </c>
      <c r="CD234" s="893">
        <f>BV234*(2*AF234)/(2*250)</f>
        <v>98.70355474773018</v>
      </c>
      <c r="CE234" s="890" t="str">
        <f>IF((CD234-CC234)&gt;0, "Shear","Power")</f>
        <v>Shear</v>
      </c>
      <c r="CF234" s="915">
        <f>(AF234/MAX(CC234,CD234))-1</f>
        <v>-0.40934244821268018</v>
      </c>
      <c r="CG234" s="890"/>
      <c r="CH234" s="890"/>
      <c r="CI234" s="890"/>
      <c r="CJ234" s="972"/>
      <c r="CK234" s="955"/>
    </row>
    <row r="235" spans="1:89" ht="25.5" x14ac:dyDescent="0.2">
      <c r="A235" s="893">
        <f t="shared" si="5"/>
        <v>63.63961030678928</v>
      </c>
      <c r="B235" s="883" t="s">
        <v>333</v>
      </c>
      <c r="C235" s="883"/>
      <c r="D235" s="870" t="s">
        <v>791</v>
      </c>
      <c r="E235" s="883" t="s">
        <v>4225</v>
      </c>
      <c r="F235" s="883">
        <v>2009</v>
      </c>
      <c r="G235" s="901" t="s">
        <v>1797</v>
      </c>
      <c r="H235" s="870" t="s">
        <v>2989</v>
      </c>
      <c r="I235" s="902" t="s">
        <v>1714</v>
      </c>
      <c r="J235" s="883" t="s">
        <v>114</v>
      </c>
      <c r="K235" s="883" t="s">
        <v>2986</v>
      </c>
      <c r="L235" s="883">
        <v>358</v>
      </c>
      <c r="M235" s="883">
        <v>156.5</v>
      </c>
      <c r="N235" s="883" t="s">
        <v>197</v>
      </c>
      <c r="O235" s="870" t="s">
        <v>736</v>
      </c>
      <c r="P235" s="870"/>
      <c r="Q235" s="870"/>
      <c r="R235" s="870"/>
      <c r="S235" s="870"/>
      <c r="T235" s="870"/>
      <c r="U235" s="870"/>
      <c r="V235" s="870"/>
      <c r="W235" s="870"/>
      <c r="X235" s="870"/>
      <c r="Y235" s="870"/>
      <c r="Z235" s="870"/>
      <c r="AA235" s="870"/>
      <c r="AB235" s="870" t="s">
        <v>228</v>
      </c>
      <c r="AC235" s="870" t="s">
        <v>710</v>
      </c>
      <c r="AD235" s="870" t="s">
        <v>1708</v>
      </c>
      <c r="AE235" s="883" t="s">
        <v>91</v>
      </c>
      <c r="AF235" s="883">
        <v>75.599999999999994</v>
      </c>
      <c r="AG235" s="883">
        <v>88.4</v>
      </c>
      <c r="AH235" s="883" t="s">
        <v>1744</v>
      </c>
      <c r="AI235" s="883" t="s">
        <v>1744</v>
      </c>
      <c r="AJ235" s="870" t="s">
        <v>2871</v>
      </c>
      <c r="AK235" s="870" t="s">
        <v>2987</v>
      </c>
      <c r="AL235" s="883"/>
      <c r="AM235" s="883"/>
      <c r="AN235" s="883" t="s">
        <v>1784</v>
      </c>
      <c r="AO235" s="883">
        <v>0.28000000000000003</v>
      </c>
      <c r="AP235" s="883"/>
      <c r="AQ235" s="883"/>
      <c r="AR235" s="887">
        <v>18.3</v>
      </c>
      <c r="AS235" s="888">
        <v>5</v>
      </c>
      <c r="AT235" s="887">
        <v>4.3</v>
      </c>
      <c r="AU235" s="888">
        <v>10.3</v>
      </c>
      <c r="AV235" s="888">
        <v>9.4</v>
      </c>
      <c r="AW235" s="904">
        <v>26.643621188613363</v>
      </c>
      <c r="AX235" s="889">
        <v>39661</v>
      </c>
      <c r="AY235" s="883" t="s">
        <v>1669</v>
      </c>
      <c r="AZ235" s="870">
        <v>186</v>
      </c>
      <c r="BA235" s="870" t="s">
        <v>569</v>
      </c>
      <c r="BB235" s="870" t="s">
        <v>1295</v>
      </c>
      <c r="BC235" s="883">
        <v>15884101</v>
      </c>
      <c r="BD235" s="870" t="s">
        <v>570</v>
      </c>
      <c r="BE235" s="870"/>
      <c r="BF235" s="870"/>
      <c r="BG235" s="870"/>
      <c r="BH235" s="891" t="s">
        <v>230</v>
      </c>
      <c r="BI235" s="906">
        <v>40800</v>
      </c>
      <c r="BJ235" s="907">
        <f>1988*2.2</f>
        <v>4373.6000000000004</v>
      </c>
      <c r="BK235" s="907">
        <f>2593*2.2</f>
        <v>5704.6</v>
      </c>
      <c r="BL235" s="892">
        <f>BJ235+BK235</f>
        <v>10078.200000000001</v>
      </c>
      <c r="BM235" s="978">
        <v>757</v>
      </c>
      <c r="BN235" s="907">
        <v>3568.7</v>
      </c>
      <c r="BO235" s="904">
        <v>390</v>
      </c>
      <c r="BP235" s="892">
        <v>5968.0831847316613</v>
      </c>
      <c r="BQ235" s="891">
        <v>0.35</v>
      </c>
      <c r="BR235" s="904">
        <v>72</v>
      </c>
      <c r="BS235" s="904">
        <v>72</v>
      </c>
      <c r="BT235" s="943">
        <v>161</v>
      </c>
      <c r="BU235" s="892">
        <f>(2.4525*(BL235*0.4535924)*(0.8*(1000/3600)*BT235)*(BR235/100))/(AF235*2)</f>
        <v>1910.0811797799606</v>
      </c>
      <c r="BV235" s="892">
        <f>(BP235/(M235/1000))/(2*AF235)</f>
        <v>252.21373568350583</v>
      </c>
      <c r="BW235" s="892">
        <f>(1.4*BP235/(M235/1000))/(2*AF235)</f>
        <v>353.09922995690812</v>
      </c>
      <c r="BX235" s="893">
        <v>213.3</v>
      </c>
      <c r="BY235" s="891">
        <v>34</v>
      </c>
      <c r="BZ235" s="909">
        <f>BX235/(L235*BY235)</f>
        <v>1.7523825172527114E-2</v>
      </c>
      <c r="CA235" s="891"/>
      <c r="CB235" s="891" t="s">
        <v>2952</v>
      </c>
      <c r="CC235" s="893">
        <f>BU235*(2*AF235)/(2*1600)</f>
        <v>90.251335744603125</v>
      </c>
      <c r="CD235" s="893">
        <f>BV235*(2*AF235)/(2*250)</f>
        <v>76.269433670692166</v>
      </c>
      <c r="CE235" s="890" t="str">
        <f>IF((CD235-CC235)&gt;0, "Shear","Power")</f>
        <v>Power</v>
      </c>
      <c r="CF235" s="915">
        <f>(AF235/MAX(CC235,CD235))-1</f>
        <v>-0.16233926759892037</v>
      </c>
      <c r="CG235" s="890">
        <v>2.79</v>
      </c>
      <c r="CH235" s="890">
        <v>1.67</v>
      </c>
      <c r="CI235" s="890"/>
      <c r="CJ235" s="873"/>
      <c r="CK235" s="955"/>
    </row>
    <row r="236" spans="1:89" x14ac:dyDescent="0.2">
      <c r="A236" s="890">
        <v>64</v>
      </c>
      <c r="B236" s="883" t="s">
        <v>2336</v>
      </c>
      <c r="C236" s="883"/>
      <c r="D236" s="883" t="s">
        <v>2338</v>
      </c>
      <c r="E236" s="883" t="s">
        <v>4225</v>
      </c>
      <c r="F236" s="883"/>
      <c r="G236" s="979"/>
      <c r="H236" s="870" t="s">
        <v>2339</v>
      </c>
      <c r="I236" s="886" t="s">
        <v>84</v>
      </c>
      <c r="J236" s="883" t="s">
        <v>114</v>
      </c>
      <c r="K236" s="883" t="s">
        <v>2337</v>
      </c>
      <c r="L236" s="870">
        <v>280</v>
      </c>
      <c r="M236" s="870">
        <v>113.5</v>
      </c>
      <c r="N236" s="883" t="s">
        <v>2484</v>
      </c>
      <c r="O236" s="870" t="s">
        <v>1741</v>
      </c>
      <c r="P236" s="870"/>
      <c r="Q236" s="870"/>
      <c r="R236" s="870"/>
      <c r="S236" s="870"/>
      <c r="T236" s="870"/>
      <c r="U236" s="870"/>
      <c r="V236" s="870"/>
      <c r="W236" s="870"/>
      <c r="X236" s="870"/>
      <c r="Y236" s="870"/>
      <c r="Z236" s="870"/>
      <c r="AA236" s="870"/>
      <c r="AB236" s="870" t="s">
        <v>819</v>
      </c>
      <c r="AC236" s="870" t="s">
        <v>819</v>
      </c>
      <c r="AD236" s="870" t="s">
        <v>819</v>
      </c>
      <c r="AE236" s="870" t="s">
        <v>120</v>
      </c>
      <c r="AF236" s="883">
        <v>60</v>
      </c>
      <c r="AG236" s="883">
        <v>63</v>
      </c>
      <c r="AH236" s="883" t="s">
        <v>80</v>
      </c>
      <c r="AI236" s="883" t="s">
        <v>122</v>
      </c>
      <c r="AJ236" s="883" t="s">
        <v>234</v>
      </c>
      <c r="AK236" s="870" t="s">
        <v>1364</v>
      </c>
      <c r="AL236" s="883"/>
      <c r="AM236" s="883"/>
      <c r="AN236" s="883" t="s">
        <v>1784</v>
      </c>
      <c r="AO236" s="883">
        <v>0.28000000000000003</v>
      </c>
      <c r="AP236" s="883">
        <v>0.31</v>
      </c>
      <c r="AQ236" s="883"/>
      <c r="AR236" s="888">
        <v>15.4</v>
      </c>
      <c r="AS236" s="888" t="s">
        <v>819</v>
      </c>
      <c r="AT236" s="887" t="s">
        <v>819</v>
      </c>
      <c r="AU236" s="888" t="s">
        <v>819</v>
      </c>
      <c r="AV236" s="888"/>
      <c r="AW236" s="888"/>
      <c r="AX236" s="889" t="s">
        <v>2340</v>
      </c>
      <c r="AY236" s="883" t="s">
        <v>2341</v>
      </c>
      <c r="AZ236" s="870">
        <v>140</v>
      </c>
      <c r="BA236" s="870" t="s">
        <v>2342</v>
      </c>
      <c r="BB236" s="870" t="s">
        <v>2343</v>
      </c>
      <c r="BC236" s="883" t="s">
        <v>2344</v>
      </c>
      <c r="BD236" s="870" t="s">
        <v>2345</v>
      </c>
      <c r="BE236" s="870"/>
      <c r="BF236" s="870"/>
      <c r="BG236" s="870"/>
      <c r="BH236" s="891" t="s">
        <v>1796</v>
      </c>
      <c r="BI236" s="870"/>
      <c r="BJ236" s="897"/>
      <c r="BK236" s="897"/>
      <c r="BL236" s="897"/>
      <c r="BM236" s="897"/>
      <c r="BN236" s="897"/>
      <c r="BO236" s="870"/>
      <c r="BP236" s="898" t="e">
        <f>1/2*9.8*(BJ236/2.2+BL236/2.2*BM236/BN236*1)*1*BO236/1000</f>
        <v>#DIV/0!</v>
      </c>
      <c r="BQ236" s="870">
        <v>0.35</v>
      </c>
      <c r="BR236" s="888"/>
      <c r="BS236" s="888"/>
      <c r="BT236" s="899"/>
      <c r="BU236" s="897"/>
      <c r="BV236" s="897"/>
      <c r="BW236" s="897"/>
      <c r="BX236" s="890"/>
      <c r="BY236" s="891"/>
      <c r="BZ236" s="909"/>
      <c r="CA236" s="890"/>
      <c r="CB236" s="890"/>
      <c r="CC236" s="893"/>
      <c r="CD236" s="893"/>
      <c r="CE236" s="890"/>
      <c r="CF236" s="890"/>
      <c r="CG236" s="890"/>
      <c r="CH236" s="890"/>
      <c r="CI236" s="890"/>
      <c r="CJ236" s="873"/>
      <c r="CK236" s="955"/>
    </row>
    <row r="237" spans="1:89" ht="51" x14ac:dyDescent="0.2">
      <c r="A237" s="890">
        <v>64</v>
      </c>
      <c r="B237" s="883" t="s">
        <v>2851</v>
      </c>
      <c r="C237" s="883"/>
      <c r="D237" s="883" t="s">
        <v>638</v>
      </c>
      <c r="E237" s="883" t="s">
        <v>4225</v>
      </c>
      <c r="F237" s="883"/>
      <c r="G237" s="976" t="s">
        <v>1738</v>
      </c>
      <c r="H237" s="870" t="s">
        <v>31</v>
      </c>
      <c r="I237" s="886" t="s">
        <v>1795</v>
      </c>
      <c r="J237" s="883" t="s">
        <v>114</v>
      </c>
      <c r="K237" s="883">
        <v>3200</v>
      </c>
      <c r="L237" s="980" t="s">
        <v>2852</v>
      </c>
      <c r="M237" s="870" t="s">
        <v>2853</v>
      </c>
      <c r="N237" s="883" t="s">
        <v>1705</v>
      </c>
      <c r="O237" s="870" t="s">
        <v>2854</v>
      </c>
      <c r="P237" s="870"/>
      <c r="Q237" s="870"/>
      <c r="R237" s="870"/>
      <c r="S237" s="870"/>
      <c r="T237" s="870"/>
      <c r="U237" s="870"/>
      <c r="V237" s="870"/>
      <c r="W237" s="870"/>
      <c r="X237" s="870"/>
      <c r="Y237" s="870"/>
      <c r="Z237" s="870"/>
      <c r="AA237" s="870"/>
      <c r="AB237" s="870" t="s">
        <v>2855</v>
      </c>
      <c r="AC237" s="870" t="s">
        <v>710</v>
      </c>
      <c r="AD237" s="870" t="s">
        <v>25</v>
      </c>
      <c r="AE237" s="870" t="s">
        <v>120</v>
      </c>
      <c r="AF237" s="883">
        <v>49.8</v>
      </c>
      <c r="AG237" s="883" t="s">
        <v>26</v>
      </c>
      <c r="AH237" s="883" t="s">
        <v>80</v>
      </c>
      <c r="AI237" s="883" t="s">
        <v>122</v>
      </c>
      <c r="AJ237" s="883" t="s">
        <v>234</v>
      </c>
      <c r="AK237" s="870" t="s">
        <v>27</v>
      </c>
      <c r="AL237" s="883"/>
      <c r="AM237" s="883"/>
      <c r="AN237" s="883" t="s">
        <v>1784</v>
      </c>
      <c r="AO237" s="883">
        <v>0.27</v>
      </c>
      <c r="AP237" s="883">
        <v>0.24</v>
      </c>
      <c r="AQ237" s="883"/>
      <c r="AR237" s="888" t="s">
        <v>28</v>
      </c>
      <c r="AS237" s="888" t="s">
        <v>30</v>
      </c>
      <c r="AT237" s="888" t="s">
        <v>29</v>
      </c>
      <c r="AU237" s="888">
        <v>10.9</v>
      </c>
      <c r="AV237" s="888">
        <v>9.9600000000000009</v>
      </c>
      <c r="AW237" s="904">
        <f>(100*PI()*(A237^2))/(40*AO237*AV237*453.5924)</f>
        <v>26.373086394658724</v>
      </c>
      <c r="AX237" s="889">
        <v>36678</v>
      </c>
      <c r="AY237" s="883" t="s">
        <v>1669</v>
      </c>
      <c r="AZ237" s="870">
        <v>300</v>
      </c>
      <c r="BA237" s="870" t="s">
        <v>32</v>
      </c>
      <c r="BB237" s="870" t="s">
        <v>33</v>
      </c>
      <c r="BC237" s="970">
        <v>13539801</v>
      </c>
      <c r="BD237" s="870" t="s">
        <v>34</v>
      </c>
      <c r="BE237" s="870"/>
      <c r="BF237" s="870"/>
      <c r="BG237" s="870"/>
      <c r="BH237" s="891" t="s">
        <v>1796</v>
      </c>
      <c r="BI237" s="977">
        <v>38441</v>
      </c>
      <c r="BJ237" s="897">
        <v>2466</v>
      </c>
      <c r="BK237" s="897">
        <v>2954</v>
      </c>
      <c r="BL237" s="892">
        <f>BJ237+BK237</f>
        <v>5420</v>
      </c>
      <c r="BM237" s="897">
        <v>650</v>
      </c>
      <c r="BN237" s="897">
        <v>2743</v>
      </c>
      <c r="BO237" s="870">
        <v>305</v>
      </c>
      <c r="BP237" s="892">
        <f>IF(G237="Front",0.5*9.81*0.4535924*(BJ237+BL237*(BM237/BN237)*1.1)*1.1*(BO237/1000),IF(G237="Rear",0.5*9.81*0.4535924*(BK237+BL237*(BM237/BN237)*0.9)*0.9*(BO237/1000),"TBD"))</f>
        <v>2895.3046505836901</v>
      </c>
      <c r="BQ237" s="870">
        <v>0.35</v>
      </c>
      <c r="BR237" s="888" t="s">
        <v>1786</v>
      </c>
      <c r="BS237" s="904" t="s">
        <v>1786</v>
      </c>
      <c r="BT237" s="899" t="s">
        <v>1786</v>
      </c>
      <c r="BU237" s="892" t="e">
        <f>(2.4525*(BL237*0.4535924)*(0.8*(1000/3600)*BT237)*(BR237/100))/(AF237*2)</f>
        <v>#VALUE!</v>
      </c>
      <c r="BV237" s="892" t="e">
        <f>(BP237/(M237/1000))/(2*AF237)</f>
        <v>#VALUE!</v>
      </c>
      <c r="BW237" s="892" t="e">
        <f>(1.4*BP237/(M237/1000))/(2*AF237)</f>
        <v>#VALUE!</v>
      </c>
      <c r="BX237" s="893" t="e">
        <f>0.5*(BL237/32.2)*((BO237*0.00328084)^2)*(BS237/100)</f>
        <v>#VALUE!</v>
      </c>
      <c r="BY237" s="891">
        <v>30</v>
      </c>
      <c r="BZ237" s="909" t="e">
        <f>BX237/(L237*BY237)</f>
        <v>#VALUE!</v>
      </c>
      <c r="CA237" s="891" t="s">
        <v>1786</v>
      </c>
      <c r="CB237" s="891" t="s">
        <v>1786</v>
      </c>
      <c r="CC237" s="893" t="e">
        <f>BU237*(2*AF237)/(2*1600)</f>
        <v>#VALUE!</v>
      </c>
      <c r="CD237" s="893" t="e">
        <f>BV237*(2*AF237)/(2*250)</f>
        <v>#VALUE!</v>
      </c>
      <c r="CE237" s="890" t="e">
        <f>IF((CD237-CC237)&gt;0, "Shear","Power")</f>
        <v>#VALUE!</v>
      </c>
      <c r="CF237" s="915" t="e">
        <f>(AF237/MAX(CC237,CD237))-1</f>
        <v>#VALUE!</v>
      </c>
      <c r="CG237" s="890" t="s">
        <v>1786</v>
      </c>
      <c r="CH237" s="890" t="s">
        <v>1786</v>
      </c>
      <c r="CI237" s="890" t="s">
        <v>1786</v>
      </c>
      <c r="CJ237" s="873"/>
      <c r="CK237" s="955"/>
    </row>
    <row r="238" spans="1:89" ht="25.5" x14ac:dyDescent="0.2">
      <c r="A238" s="890">
        <v>64</v>
      </c>
      <c r="B238" s="883" t="s">
        <v>2851</v>
      </c>
      <c r="C238" s="883"/>
      <c r="D238" s="883" t="s">
        <v>638</v>
      </c>
      <c r="E238" s="883" t="s">
        <v>4225</v>
      </c>
      <c r="F238" s="883"/>
      <c r="G238" s="976" t="s">
        <v>1738</v>
      </c>
      <c r="H238" s="870" t="s">
        <v>36</v>
      </c>
      <c r="I238" s="886" t="s">
        <v>1795</v>
      </c>
      <c r="J238" s="883" t="s">
        <v>114</v>
      </c>
      <c r="K238" s="883" t="s">
        <v>1786</v>
      </c>
      <c r="L238" s="980" t="s">
        <v>1786</v>
      </c>
      <c r="M238" s="870" t="s">
        <v>1786</v>
      </c>
      <c r="N238" s="883" t="s">
        <v>1361</v>
      </c>
      <c r="O238" s="870" t="s">
        <v>35</v>
      </c>
      <c r="P238" s="870"/>
      <c r="Q238" s="870"/>
      <c r="R238" s="870"/>
      <c r="S238" s="870"/>
      <c r="T238" s="870"/>
      <c r="U238" s="870"/>
      <c r="V238" s="870"/>
      <c r="W238" s="870"/>
      <c r="X238" s="870"/>
      <c r="Y238" s="870"/>
      <c r="Z238" s="870"/>
      <c r="AA238" s="870"/>
      <c r="AB238" s="870" t="s">
        <v>2855</v>
      </c>
      <c r="AC238" s="870" t="s">
        <v>710</v>
      </c>
      <c r="AD238" s="870" t="s">
        <v>25</v>
      </c>
      <c r="AE238" s="870" t="s">
        <v>120</v>
      </c>
      <c r="AF238" s="883">
        <v>49.8</v>
      </c>
      <c r="AG238" s="883" t="s">
        <v>26</v>
      </c>
      <c r="AH238" s="883" t="s">
        <v>80</v>
      </c>
      <c r="AI238" s="883" t="s">
        <v>122</v>
      </c>
      <c r="AJ238" s="883" t="s">
        <v>234</v>
      </c>
      <c r="AK238" s="870" t="s">
        <v>27</v>
      </c>
      <c r="AL238" s="883"/>
      <c r="AM238" s="883"/>
      <c r="AN238" s="883" t="s">
        <v>1784</v>
      </c>
      <c r="AO238" s="883">
        <v>0.27</v>
      </c>
      <c r="AP238" s="883">
        <v>0.24</v>
      </c>
      <c r="AQ238" s="883"/>
      <c r="AR238" s="888" t="s">
        <v>28</v>
      </c>
      <c r="AS238" s="888">
        <v>4.5</v>
      </c>
      <c r="AT238" s="888">
        <v>3.89</v>
      </c>
      <c r="AU238" s="888">
        <v>10.9</v>
      </c>
      <c r="AV238" s="888">
        <v>9.9600000000000009</v>
      </c>
      <c r="AW238" s="904">
        <f>(100*PI()*(A238^2))/(40*AO238*AV238*453.5924)</f>
        <v>26.373086394658724</v>
      </c>
      <c r="AX238" s="889">
        <v>37074</v>
      </c>
      <c r="AY238" s="883" t="s">
        <v>1669</v>
      </c>
      <c r="AZ238" s="870">
        <v>80</v>
      </c>
      <c r="BA238" s="870" t="s">
        <v>37</v>
      </c>
      <c r="BB238" s="870" t="s">
        <v>38</v>
      </c>
      <c r="BC238" s="970">
        <v>13539801</v>
      </c>
      <c r="BD238" s="870" t="s">
        <v>34</v>
      </c>
      <c r="BE238" s="870"/>
      <c r="BF238" s="870"/>
      <c r="BG238" s="870"/>
      <c r="BH238" s="891" t="s">
        <v>1796</v>
      </c>
      <c r="BI238" s="977">
        <v>38441</v>
      </c>
      <c r="BJ238" s="897">
        <v>2466</v>
      </c>
      <c r="BK238" s="897">
        <v>2954</v>
      </c>
      <c r="BL238" s="892">
        <f>BJ238+BK238</f>
        <v>5420</v>
      </c>
      <c r="BM238" s="897" t="s">
        <v>1786</v>
      </c>
      <c r="BN238" s="897" t="s">
        <v>1786</v>
      </c>
      <c r="BO238" s="870" t="s">
        <v>1786</v>
      </c>
      <c r="BP238" s="892" t="e">
        <f>IF(G238="Front",0.5*9.81*0.4535924*(BJ238+BL238*(BM238/BN238)*1.1)*1.1*(BO238/1000),IF(G238="Rear",0.5*9.81*0.4535924*(BK238+BL238*(BM238/BN238)*0.9)*0.9*(BO238/1000),"TBD"))</f>
        <v>#VALUE!</v>
      </c>
      <c r="BQ238" s="870" t="s">
        <v>1786</v>
      </c>
      <c r="BR238" s="888" t="s">
        <v>1786</v>
      </c>
      <c r="BS238" s="888" t="s">
        <v>1786</v>
      </c>
      <c r="BT238" s="899" t="s">
        <v>1786</v>
      </c>
      <c r="BU238" s="892" t="e">
        <f>(2.4525*(BL238*0.4535924)*(0.8*(1000/3600)*BT238)*(BR238/100))/(AF238*2)</f>
        <v>#VALUE!</v>
      </c>
      <c r="BV238" s="892" t="e">
        <f>(BP238/(M238/1000))/(2*AF238)</f>
        <v>#VALUE!</v>
      </c>
      <c r="BW238" s="892" t="e">
        <f>(1.4*BP238/(M238/1000))/(2*AF238)</f>
        <v>#VALUE!</v>
      </c>
      <c r="BX238" s="893" t="e">
        <f>0.5*(BL238/32.2)*((BO238*0.00328084)^2)*(BS238/100)</f>
        <v>#VALUE!</v>
      </c>
      <c r="BY238" s="891">
        <v>30</v>
      </c>
      <c r="BZ238" s="909" t="e">
        <f>BX238/(L238*BY238)</f>
        <v>#VALUE!</v>
      </c>
      <c r="CA238" s="891" t="s">
        <v>1786</v>
      </c>
      <c r="CB238" s="891" t="s">
        <v>1786</v>
      </c>
      <c r="CC238" s="893" t="e">
        <f>BU238*(2*AF238)/(2*1600)</f>
        <v>#VALUE!</v>
      </c>
      <c r="CD238" s="893" t="e">
        <f>BV238*(2*AF238)/(2*250)</f>
        <v>#VALUE!</v>
      </c>
      <c r="CE238" s="890" t="e">
        <f>IF((CD238-CC238)&gt;0, "Shear","Power")</f>
        <v>#VALUE!</v>
      </c>
      <c r="CF238" s="915" t="e">
        <f>(AF238/MAX(CC238,CD238))-1</f>
        <v>#VALUE!</v>
      </c>
      <c r="CG238" s="890" t="s">
        <v>1786</v>
      </c>
      <c r="CH238" s="890" t="s">
        <v>1786</v>
      </c>
      <c r="CI238" s="890" t="s">
        <v>1786</v>
      </c>
      <c r="CJ238" s="873"/>
      <c r="CK238" s="955"/>
    </row>
    <row r="239" spans="1:89" ht="25.5" x14ac:dyDescent="0.2">
      <c r="A239" s="893">
        <v>64</v>
      </c>
      <c r="B239" s="883" t="s">
        <v>2336</v>
      </c>
      <c r="C239" s="883"/>
      <c r="D239" s="883" t="s">
        <v>1787</v>
      </c>
      <c r="E239" s="883" t="s">
        <v>4225</v>
      </c>
      <c r="F239" s="883"/>
      <c r="G239" s="913" t="s">
        <v>1738</v>
      </c>
      <c r="H239" s="870" t="s">
        <v>663</v>
      </c>
      <c r="I239" s="886" t="s">
        <v>84</v>
      </c>
      <c r="J239" s="883" t="s">
        <v>114</v>
      </c>
      <c r="K239" s="883" t="s">
        <v>40</v>
      </c>
      <c r="L239" s="883">
        <v>281</v>
      </c>
      <c r="M239" s="883">
        <v>113.5</v>
      </c>
      <c r="N239" s="883" t="s">
        <v>2484</v>
      </c>
      <c r="O239" s="870" t="s">
        <v>41</v>
      </c>
      <c r="P239" s="870"/>
      <c r="Q239" s="870"/>
      <c r="R239" s="870"/>
      <c r="S239" s="870"/>
      <c r="T239" s="870"/>
      <c r="U239" s="870"/>
      <c r="V239" s="870"/>
      <c r="W239" s="870"/>
      <c r="X239" s="870"/>
      <c r="Y239" s="870"/>
      <c r="Z239" s="870"/>
      <c r="AA239" s="870"/>
      <c r="AB239" s="870" t="s">
        <v>660</v>
      </c>
      <c r="AC239" s="870" t="s">
        <v>710</v>
      </c>
      <c r="AD239" s="870" t="s">
        <v>661</v>
      </c>
      <c r="AE239" s="870" t="s">
        <v>120</v>
      </c>
      <c r="AF239" s="883">
        <v>46</v>
      </c>
      <c r="AG239" s="883">
        <v>48.3</v>
      </c>
      <c r="AH239" s="883" t="s">
        <v>122</v>
      </c>
      <c r="AI239" s="883" t="s">
        <v>80</v>
      </c>
      <c r="AJ239" s="883" t="s">
        <v>234</v>
      </c>
      <c r="AK239" s="870" t="s">
        <v>662</v>
      </c>
      <c r="AL239" s="883"/>
      <c r="AM239" s="883"/>
      <c r="AN239" s="883" t="s">
        <v>1784</v>
      </c>
      <c r="AO239" s="883">
        <v>0.33</v>
      </c>
      <c r="AP239" s="883">
        <v>0.31</v>
      </c>
      <c r="AQ239" s="883"/>
      <c r="AR239" s="887">
        <v>14.4</v>
      </c>
      <c r="AS239" s="888">
        <v>4</v>
      </c>
      <c r="AT239" s="887">
        <v>3.3</v>
      </c>
      <c r="AU239" s="888">
        <v>9</v>
      </c>
      <c r="AV239" s="888">
        <v>8</v>
      </c>
      <c r="AW239" s="904">
        <f>(100*PI()*(A239^2))/(40*AO239*AV239*453.5924)</f>
        <v>26.864584822922819</v>
      </c>
      <c r="AX239" s="889">
        <v>37897</v>
      </c>
      <c r="AY239" s="883" t="s">
        <v>1500</v>
      </c>
      <c r="AZ239" s="870">
        <v>400</v>
      </c>
      <c r="BA239" s="870" t="s">
        <v>1501</v>
      </c>
      <c r="BB239" s="883" t="s">
        <v>1502</v>
      </c>
      <c r="BC239" s="883">
        <v>14435901</v>
      </c>
      <c r="BD239" s="870">
        <v>14436000</v>
      </c>
      <c r="BE239" s="870"/>
      <c r="BF239" s="870"/>
      <c r="BG239" s="870"/>
      <c r="BH239" s="891" t="s">
        <v>1809</v>
      </c>
      <c r="BI239" s="914">
        <v>37944</v>
      </c>
      <c r="BJ239" s="892">
        <v>2913</v>
      </c>
      <c r="BK239" s="892">
        <v>2912</v>
      </c>
      <c r="BL239" s="892">
        <f>BJ239+BK239</f>
        <v>5825</v>
      </c>
      <c r="BM239" s="892">
        <v>671</v>
      </c>
      <c r="BN239" s="892">
        <v>3030</v>
      </c>
      <c r="BO239" s="890">
        <v>328</v>
      </c>
      <c r="BP239" s="892">
        <f>IF(G239="Front",0.5*9.81*0.4535924*(BJ239+BL239*(BM239/BN239)*1.1)*1.1*(BO239/1000),IF(G239="Rear",0.5*9.81*0.4535924*(BK239+BL239*(BM239/BN239)*0.9)*0.9*(BO239/1000),"TBD"))</f>
        <v>3477.404472678787</v>
      </c>
      <c r="BQ239" s="890">
        <v>0.38</v>
      </c>
      <c r="BR239" s="893">
        <v>77</v>
      </c>
      <c r="BS239" s="893">
        <v>70</v>
      </c>
      <c r="BT239" s="969">
        <v>169</v>
      </c>
      <c r="BU239" s="892">
        <f>(2.4525*(BL239*0.4535924)*(0.8*(1000/3600)*BT239)*(BR239/100))/(AF239*2)</f>
        <v>2036.7972676192446</v>
      </c>
      <c r="BV239" s="892">
        <f>(BP239/(M239/1000))/(2*AF239)</f>
        <v>333.02092249365893</v>
      </c>
      <c r="BW239" s="892">
        <f>(1.4*BP239/(M239/1000))/(2*AF239)</f>
        <v>466.22929149112252</v>
      </c>
      <c r="BX239" s="893">
        <f>0.5*(BL239/32.2)*((BO239*0.00328084)^2)*(BS239/100)</f>
        <v>73.320580077629018</v>
      </c>
      <c r="BY239" s="891">
        <v>28</v>
      </c>
      <c r="BZ239" s="909">
        <f>BX239/(L239*BY239)</f>
        <v>9.3188332584683547E-3</v>
      </c>
      <c r="CA239" s="891"/>
      <c r="CB239" s="891"/>
      <c r="CC239" s="893">
        <f>BU239*(2*AF239)/(2*1600)</f>
        <v>58.557921444053278</v>
      </c>
      <c r="CD239" s="893">
        <f>BV239*(2*AF239)/(2*250)</f>
        <v>61.275849738833237</v>
      </c>
      <c r="CE239" s="890" t="str">
        <f>IF((CD239-CC239)&gt;0, "Shear","Power")</f>
        <v>Shear</v>
      </c>
      <c r="CF239" s="915">
        <f>(AF239/MAX(CC239,CD239))-1</f>
        <v>-0.24929641618910514</v>
      </c>
      <c r="CG239" s="890"/>
      <c r="CH239" s="890"/>
      <c r="CI239" s="890"/>
      <c r="CJ239" s="873"/>
      <c r="CK239" s="955"/>
    </row>
    <row r="240" spans="1:89" x14ac:dyDescent="0.2">
      <c r="A240" s="884">
        <v>64</v>
      </c>
      <c r="B240" s="883" t="s">
        <v>2336</v>
      </c>
      <c r="C240" s="883"/>
      <c r="D240" s="883" t="s">
        <v>1787</v>
      </c>
      <c r="E240" s="883" t="s">
        <v>4225</v>
      </c>
      <c r="F240" s="883"/>
      <c r="G240" s="901" t="s">
        <v>1738</v>
      </c>
      <c r="H240" s="870" t="s">
        <v>1505</v>
      </c>
      <c r="I240" s="886" t="s">
        <v>84</v>
      </c>
      <c r="J240" s="883" t="s">
        <v>114</v>
      </c>
      <c r="K240" s="883" t="s">
        <v>1503</v>
      </c>
      <c r="L240" s="883">
        <v>281</v>
      </c>
      <c r="M240" s="883">
        <v>113.5</v>
      </c>
      <c r="N240" s="883" t="s">
        <v>2484</v>
      </c>
      <c r="O240" s="870" t="s">
        <v>41</v>
      </c>
      <c r="P240" s="870"/>
      <c r="Q240" s="870"/>
      <c r="R240" s="870"/>
      <c r="S240" s="870"/>
      <c r="T240" s="870"/>
      <c r="U240" s="870"/>
      <c r="V240" s="870"/>
      <c r="W240" s="870"/>
      <c r="X240" s="870"/>
      <c r="Y240" s="870"/>
      <c r="Z240" s="870"/>
      <c r="AA240" s="870"/>
      <c r="AB240" s="870" t="s">
        <v>660</v>
      </c>
      <c r="AC240" s="870" t="s">
        <v>710</v>
      </c>
      <c r="AD240" s="870" t="s">
        <v>661</v>
      </c>
      <c r="AE240" s="870" t="s">
        <v>120</v>
      </c>
      <c r="AF240" s="883">
        <v>60</v>
      </c>
      <c r="AG240" s="883">
        <v>63</v>
      </c>
      <c r="AH240" s="883" t="s">
        <v>122</v>
      </c>
      <c r="AI240" s="883" t="s">
        <v>80</v>
      </c>
      <c r="AJ240" s="883" t="s">
        <v>234</v>
      </c>
      <c r="AK240" s="870" t="s">
        <v>1504</v>
      </c>
      <c r="AL240" s="883"/>
      <c r="AM240" s="883"/>
      <c r="AN240" s="883" t="s">
        <v>1784</v>
      </c>
      <c r="AO240" s="883">
        <v>0.32</v>
      </c>
      <c r="AP240" s="883">
        <v>0.3</v>
      </c>
      <c r="AQ240" s="883"/>
      <c r="AR240" s="887">
        <v>15.6</v>
      </c>
      <c r="AS240" s="888">
        <v>4</v>
      </c>
      <c r="AT240" s="887">
        <v>3.3</v>
      </c>
      <c r="AU240" s="888">
        <v>10.199999999999999</v>
      </c>
      <c r="AV240" s="888">
        <v>9.25</v>
      </c>
      <c r="AW240" s="904">
        <f>(100*PI()*(A240^2))/(40*AO240*AV240*453.5924)</f>
        <v>23.96030538260684</v>
      </c>
      <c r="AX240" s="889">
        <v>36708</v>
      </c>
      <c r="AY240" s="883" t="s">
        <v>1659</v>
      </c>
      <c r="AZ240" s="949">
        <v>700</v>
      </c>
      <c r="BA240" s="870" t="s">
        <v>1506</v>
      </c>
      <c r="BB240" s="883" t="s">
        <v>1507</v>
      </c>
      <c r="BC240" s="883">
        <v>13473104</v>
      </c>
      <c r="BD240" s="870" t="s">
        <v>942</v>
      </c>
      <c r="BE240" s="870"/>
      <c r="BF240" s="870"/>
      <c r="BG240" s="870"/>
      <c r="BH240" s="891" t="s">
        <v>1809</v>
      </c>
      <c r="BI240" s="906">
        <v>37945</v>
      </c>
      <c r="BJ240" s="907">
        <v>2913</v>
      </c>
      <c r="BK240" s="907">
        <v>2912</v>
      </c>
      <c r="BL240" s="892">
        <f>BJ240+BK240</f>
        <v>5825</v>
      </c>
      <c r="BM240" s="907">
        <v>671</v>
      </c>
      <c r="BN240" s="907">
        <v>3030</v>
      </c>
      <c r="BO240" s="891">
        <v>328</v>
      </c>
      <c r="BP240" s="892">
        <f>IF(G240="Front",0.5*9.81*0.4535924*(BJ240+BL240*(BM240/BN240)*1.1)*1.1*(BO240/1000),IF(G240="Rear",0.5*9.81*0.4535924*(BK240+BL240*(BM240/BN240)*0.9)*0.9*(BO240/1000),"TBD"))</f>
        <v>3477.404472678787</v>
      </c>
      <c r="BQ240" s="891">
        <v>0.35</v>
      </c>
      <c r="BR240" s="904">
        <v>70</v>
      </c>
      <c r="BS240" s="888">
        <v>70</v>
      </c>
      <c r="BT240" s="908">
        <v>169</v>
      </c>
      <c r="BU240" s="892">
        <f>(2.4525*(BL240*0.4535924)*(0.8*(1000/3600)*BT240)*(BR240/100))/(AF240*2)</f>
        <v>1419.5859744012917</v>
      </c>
      <c r="BV240" s="892">
        <f>(BP240/(M240/1000))/(2*AF240)</f>
        <v>255.31604057847187</v>
      </c>
      <c r="BW240" s="892">
        <f>(1.4*BP240/(M240/1000))/(2*AF240)</f>
        <v>357.44245680986057</v>
      </c>
      <c r="BX240" s="893">
        <f>0.5*(BL240/32.2)*((BO240*0.00328084)^2)*(BS240/100)</f>
        <v>73.320580077629018</v>
      </c>
      <c r="BY240" s="891">
        <v>28</v>
      </c>
      <c r="BZ240" s="909">
        <f>BX240/(L240*BY240)</f>
        <v>9.3188332584683547E-3</v>
      </c>
      <c r="CA240" s="891">
        <v>275</v>
      </c>
      <c r="CB240" s="891"/>
      <c r="CC240" s="893">
        <f>BU240*(2*AF240)/(2*1600)</f>
        <v>53.234474040048433</v>
      </c>
      <c r="CD240" s="893">
        <f>BV240*(2*AF240)/(2*250)</f>
        <v>61.275849738833244</v>
      </c>
      <c r="CE240" s="890" t="str">
        <f>IF((CD240-CC240)&gt;0, "Shear","Power")</f>
        <v>Shear</v>
      </c>
      <c r="CF240" s="915">
        <f>(AF240/MAX(CC240,CD240))-1</f>
        <v>-2.0821412420572005E-2</v>
      </c>
      <c r="CG240" s="890"/>
      <c r="CH240" s="890"/>
      <c r="CI240" s="896"/>
      <c r="CJ240" s="873"/>
      <c r="CK240" s="955"/>
    </row>
    <row r="241" spans="1:92" ht="30" x14ac:dyDescent="0.2">
      <c r="A241" s="890">
        <v>66</v>
      </c>
      <c r="B241" s="883" t="s">
        <v>836</v>
      </c>
      <c r="C241" s="870" t="s">
        <v>3984</v>
      </c>
      <c r="D241" s="870" t="s">
        <v>1296</v>
      </c>
      <c r="E241" s="883" t="s">
        <v>4225</v>
      </c>
      <c r="F241" s="870">
        <v>2011</v>
      </c>
      <c r="G241" s="976" t="s">
        <v>1738</v>
      </c>
      <c r="H241" s="870" t="s">
        <v>961</v>
      </c>
      <c r="I241" s="902" t="s">
        <v>669</v>
      </c>
      <c r="J241" s="883" t="s">
        <v>114</v>
      </c>
      <c r="K241" s="870" t="s">
        <v>2118</v>
      </c>
      <c r="L241" s="883">
        <v>302</v>
      </c>
      <c r="M241" s="883">
        <v>128.6</v>
      </c>
      <c r="N241" s="883" t="s">
        <v>2119</v>
      </c>
      <c r="O241" s="870" t="s">
        <v>2120</v>
      </c>
      <c r="P241" s="870"/>
      <c r="Q241" s="870"/>
      <c r="R241" s="870"/>
      <c r="S241" s="870" t="s">
        <v>3652</v>
      </c>
      <c r="T241" s="870" t="s">
        <v>3652</v>
      </c>
      <c r="U241" s="870">
        <v>0.14500000000000135</v>
      </c>
      <c r="V241" s="870">
        <v>0.14500000000000135</v>
      </c>
      <c r="W241" s="870" t="s">
        <v>3681</v>
      </c>
      <c r="X241" s="936">
        <v>0.14349999999999999</v>
      </c>
      <c r="Y241" s="870" t="s">
        <v>3259</v>
      </c>
      <c r="Z241" s="870"/>
      <c r="AA241" s="870">
        <v>174</v>
      </c>
      <c r="AB241" s="870" t="s">
        <v>1522</v>
      </c>
      <c r="AC241" s="870" t="s">
        <v>119</v>
      </c>
      <c r="AD241" s="870" t="s">
        <v>884</v>
      </c>
      <c r="AE241" s="870" t="s">
        <v>1668</v>
      </c>
      <c r="AF241" s="883">
        <v>48.4</v>
      </c>
      <c r="AG241" s="883">
        <v>51.3</v>
      </c>
      <c r="AH241" s="883" t="s">
        <v>1744</v>
      </c>
      <c r="AI241" s="883" t="s">
        <v>122</v>
      </c>
      <c r="AJ241" s="870" t="s">
        <v>81</v>
      </c>
      <c r="AK241" s="980" t="s">
        <v>82</v>
      </c>
      <c r="AL241" s="883"/>
      <c r="AM241" s="883"/>
      <c r="AN241" s="883" t="s">
        <v>1784</v>
      </c>
      <c r="AO241" s="883">
        <v>0.32900000000000001</v>
      </c>
      <c r="AP241" s="870">
        <v>0.3</v>
      </c>
      <c r="AQ241" s="870"/>
      <c r="AR241" s="888">
        <v>12.8</v>
      </c>
      <c r="AS241" s="888">
        <v>3.6</v>
      </c>
      <c r="AT241" s="887">
        <v>3.3</v>
      </c>
      <c r="AU241" s="888">
        <v>7.35</v>
      </c>
      <c r="AV241" s="888">
        <v>6.45</v>
      </c>
      <c r="AW241" s="904">
        <v>35.543187335852167</v>
      </c>
      <c r="AX241" s="889"/>
      <c r="AY241" s="883" t="s">
        <v>1669</v>
      </c>
      <c r="AZ241" s="870"/>
      <c r="BA241" s="938" t="s">
        <v>3690</v>
      </c>
      <c r="BB241" s="938" t="s">
        <v>3691</v>
      </c>
      <c r="BC241" s="981">
        <v>16018401</v>
      </c>
      <c r="BD241" s="938" t="s">
        <v>3692</v>
      </c>
      <c r="BE241" s="938">
        <v>15868601</v>
      </c>
      <c r="BF241" s="870" t="s">
        <v>2205</v>
      </c>
      <c r="BG241" s="870" t="s">
        <v>2205</v>
      </c>
      <c r="BH241" s="870" t="s">
        <v>1796</v>
      </c>
      <c r="BI241" s="906">
        <v>41493</v>
      </c>
      <c r="BJ241" s="897">
        <v>2948.0000000000005</v>
      </c>
      <c r="BK241" s="897">
        <v>3058.0000000000005</v>
      </c>
      <c r="BL241" s="907">
        <v>6006.0000000000009</v>
      </c>
      <c r="BM241" s="897">
        <v>708.6</v>
      </c>
      <c r="BN241" s="897">
        <v>3076</v>
      </c>
      <c r="BO241" s="870">
        <v>334</v>
      </c>
      <c r="BP241" s="892">
        <v>3771</v>
      </c>
      <c r="BQ241" s="870">
        <v>0.35</v>
      </c>
      <c r="BR241" s="982">
        <v>0.7319</v>
      </c>
      <c r="BS241" s="982">
        <v>0.7319</v>
      </c>
      <c r="BT241" s="899">
        <v>180</v>
      </c>
      <c r="BU241" s="892"/>
      <c r="BV241" s="983"/>
      <c r="BW241" s="983"/>
      <c r="BX241" s="893">
        <v>83.639667919999994</v>
      </c>
      <c r="BY241" s="891">
        <v>28</v>
      </c>
      <c r="BZ241" s="909">
        <v>9.8911622421948911E-3</v>
      </c>
      <c r="CA241" s="984"/>
      <c r="CB241" s="904" t="s">
        <v>1814</v>
      </c>
      <c r="CC241" s="985"/>
      <c r="CD241" s="985"/>
      <c r="CE241" s="986"/>
      <c r="CF241" s="987"/>
      <c r="CG241" s="986"/>
      <c r="CH241" s="986"/>
      <c r="CI241" s="986"/>
      <c r="CJ241" s="873"/>
      <c r="CK241" s="955"/>
    </row>
    <row r="242" spans="1:92" ht="30" x14ac:dyDescent="0.2">
      <c r="A242" s="890">
        <v>66</v>
      </c>
      <c r="B242" s="883" t="s">
        <v>836</v>
      </c>
      <c r="C242" s="870" t="s">
        <v>3984</v>
      </c>
      <c r="D242" s="870" t="s">
        <v>1296</v>
      </c>
      <c r="E242" s="883" t="s">
        <v>4225</v>
      </c>
      <c r="F242" s="870" t="s">
        <v>835</v>
      </c>
      <c r="G242" s="976" t="s">
        <v>1738</v>
      </c>
      <c r="H242" s="870" t="s">
        <v>3693</v>
      </c>
      <c r="I242" s="902" t="s">
        <v>669</v>
      </c>
      <c r="J242" s="883" t="s">
        <v>114</v>
      </c>
      <c r="K242" s="870" t="s">
        <v>2118</v>
      </c>
      <c r="L242" s="883">
        <v>302</v>
      </c>
      <c r="M242" s="883">
        <v>128.6</v>
      </c>
      <c r="N242" s="883" t="s">
        <v>2119</v>
      </c>
      <c r="O242" s="870" t="s">
        <v>2120</v>
      </c>
      <c r="P242" s="870"/>
      <c r="Q242" s="870"/>
      <c r="R242" s="870"/>
      <c r="S242" s="870" t="s">
        <v>3652</v>
      </c>
      <c r="T242" s="870" t="s">
        <v>3652</v>
      </c>
      <c r="U242" s="870">
        <v>0.14500000000000135</v>
      </c>
      <c r="V242" s="870">
        <v>0.14500000000000135</v>
      </c>
      <c r="W242" s="870" t="s">
        <v>3681</v>
      </c>
      <c r="X242" s="936">
        <v>0.14349999999999999</v>
      </c>
      <c r="Y242" s="870" t="s">
        <v>3259</v>
      </c>
      <c r="Z242" s="870"/>
      <c r="AA242" s="870">
        <v>174</v>
      </c>
      <c r="AB242" s="870" t="s">
        <v>501</v>
      </c>
      <c r="AC242" s="870" t="s">
        <v>119</v>
      </c>
      <c r="AD242" s="870" t="s">
        <v>948</v>
      </c>
      <c r="AE242" s="870" t="s">
        <v>1668</v>
      </c>
      <c r="AF242" s="883">
        <v>57.8</v>
      </c>
      <c r="AG242" s="883">
        <v>53.4</v>
      </c>
      <c r="AH242" s="883" t="s">
        <v>1744</v>
      </c>
      <c r="AI242" s="883" t="s">
        <v>122</v>
      </c>
      <c r="AJ242" s="870" t="s">
        <v>81</v>
      </c>
      <c r="AK242" s="980" t="s">
        <v>82</v>
      </c>
      <c r="AL242" s="883"/>
      <c r="AM242" s="883"/>
      <c r="AN242" s="883" t="s">
        <v>1784</v>
      </c>
      <c r="AO242" s="883">
        <v>0.32900000000000001</v>
      </c>
      <c r="AP242" s="870">
        <v>0.3</v>
      </c>
      <c r="AQ242" s="870"/>
      <c r="AR242" s="888">
        <v>12.8</v>
      </c>
      <c r="AS242" s="888">
        <v>3.6</v>
      </c>
      <c r="AT242" s="887">
        <v>3.3</v>
      </c>
      <c r="AU242" s="888">
        <v>7.35</v>
      </c>
      <c r="AV242" s="888">
        <v>6.45</v>
      </c>
      <c r="AW242" s="904">
        <v>35.543187335852167</v>
      </c>
      <c r="AX242" s="889"/>
      <c r="AY242" s="883" t="s">
        <v>1669</v>
      </c>
      <c r="AZ242" s="870"/>
      <c r="BA242" s="938" t="s">
        <v>3694</v>
      </c>
      <c r="BB242" s="939" t="s">
        <v>3695</v>
      </c>
      <c r="BC242" s="981">
        <v>16018401</v>
      </c>
      <c r="BD242" s="938" t="s">
        <v>3692</v>
      </c>
      <c r="BE242" s="938">
        <v>15868601</v>
      </c>
      <c r="BF242" s="870" t="s">
        <v>2205</v>
      </c>
      <c r="BG242" s="870" t="s">
        <v>2205</v>
      </c>
      <c r="BH242" s="870" t="s">
        <v>1796</v>
      </c>
      <c r="BI242" s="906">
        <v>41493</v>
      </c>
      <c r="BJ242" s="897" t="s">
        <v>839</v>
      </c>
      <c r="BK242" s="897" t="s">
        <v>838</v>
      </c>
      <c r="BL242" s="907" t="s">
        <v>837</v>
      </c>
      <c r="BM242" s="897" t="s">
        <v>477</v>
      </c>
      <c r="BN242" s="897" t="s">
        <v>476</v>
      </c>
      <c r="BO242" s="870" t="s">
        <v>475</v>
      </c>
      <c r="BP242" s="892"/>
      <c r="BQ242" s="870">
        <v>0.35</v>
      </c>
      <c r="BR242" s="888"/>
      <c r="BS242" s="893"/>
      <c r="BT242" s="899"/>
      <c r="BU242" s="892"/>
      <c r="BV242" s="983"/>
      <c r="BW242" s="983"/>
      <c r="BX242" s="893">
        <v>91.3</v>
      </c>
      <c r="BY242" s="891">
        <v>28</v>
      </c>
      <c r="BZ242" s="909">
        <v>1.0797067171239356E-2</v>
      </c>
      <c r="CA242" s="984"/>
      <c r="CB242" s="904" t="s">
        <v>1814</v>
      </c>
      <c r="CC242" s="985"/>
      <c r="CD242" s="985"/>
      <c r="CE242" s="986"/>
      <c r="CF242" s="987"/>
      <c r="CG242" s="986"/>
      <c r="CH242" s="986"/>
      <c r="CI242" s="986"/>
      <c r="CJ242" s="873"/>
      <c r="CK242" s="955"/>
    </row>
    <row r="243" spans="1:92" ht="25.5" x14ac:dyDescent="0.2">
      <c r="A243" s="890">
        <v>66</v>
      </c>
      <c r="B243" s="883" t="s">
        <v>2444</v>
      </c>
      <c r="C243" s="883"/>
      <c r="D243" s="870" t="s">
        <v>791</v>
      </c>
      <c r="E243" s="883" t="s">
        <v>4225</v>
      </c>
      <c r="F243" s="870">
        <v>2008</v>
      </c>
      <c r="G243" s="976" t="s">
        <v>1738</v>
      </c>
      <c r="H243" s="870" t="s">
        <v>953</v>
      </c>
      <c r="I243" s="902" t="s">
        <v>669</v>
      </c>
      <c r="J243" s="883" t="s">
        <v>114</v>
      </c>
      <c r="K243" s="870" t="s">
        <v>2118</v>
      </c>
      <c r="L243" s="883">
        <v>332</v>
      </c>
      <c r="M243" s="883">
        <v>143.6</v>
      </c>
      <c r="N243" s="883" t="s">
        <v>197</v>
      </c>
      <c r="O243" s="870" t="s">
        <v>2120</v>
      </c>
      <c r="P243" s="870"/>
      <c r="Q243" s="870"/>
      <c r="R243" s="870"/>
      <c r="S243" s="870"/>
      <c r="T243" s="870"/>
      <c r="U243" s="870"/>
      <c r="V243" s="870"/>
      <c r="W243" s="870"/>
      <c r="X243" s="870"/>
      <c r="Y243" s="870"/>
      <c r="Z243" s="870"/>
      <c r="AA243" s="870"/>
      <c r="AB243" s="870" t="s">
        <v>957</v>
      </c>
      <c r="AC243" s="870" t="s">
        <v>710</v>
      </c>
      <c r="AD243" s="870" t="s">
        <v>950</v>
      </c>
      <c r="AE243" s="870" t="s">
        <v>1668</v>
      </c>
      <c r="AF243" s="883">
        <v>57.8</v>
      </c>
      <c r="AG243" s="883">
        <v>53.9</v>
      </c>
      <c r="AH243" s="883" t="s">
        <v>1744</v>
      </c>
      <c r="AI243" s="883" t="s">
        <v>122</v>
      </c>
      <c r="AJ243" s="870" t="s">
        <v>81</v>
      </c>
      <c r="AK243" s="980" t="s">
        <v>82</v>
      </c>
      <c r="AL243" s="883"/>
      <c r="AM243" s="883"/>
      <c r="AN243" s="883" t="s">
        <v>1784</v>
      </c>
      <c r="AO243" s="883">
        <v>0.26400000000000001</v>
      </c>
      <c r="AP243" s="937">
        <v>0.25533333333333336</v>
      </c>
      <c r="AQ243" s="937"/>
      <c r="AR243" s="888">
        <v>14.99</v>
      </c>
      <c r="AS243" s="888">
        <v>4.3276690000000002</v>
      </c>
      <c r="AT243" s="887">
        <v>3.6958000000000002</v>
      </c>
      <c r="AU243" s="888">
        <v>9.0564999999999998</v>
      </c>
      <c r="AV243" s="888">
        <v>8.31</v>
      </c>
      <c r="AW243" s="904">
        <v>34.380091841722773</v>
      </c>
      <c r="AX243" s="889">
        <v>38904</v>
      </c>
      <c r="AY243" s="883" t="s">
        <v>1669</v>
      </c>
      <c r="AZ243" s="870">
        <v>2000</v>
      </c>
      <c r="BA243" s="956" t="s">
        <v>2173</v>
      </c>
      <c r="BB243" s="956" t="s">
        <v>3050</v>
      </c>
      <c r="BC243" s="988" t="s">
        <v>3051</v>
      </c>
      <c r="BD243" s="956" t="s">
        <v>951</v>
      </c>
      <c r="BE243" s="956" t="s">
        <v>3052</v>
      </c>
      <c r="BF243" s="870" t="s">
        <v>2205</v>
      </c>
      <c r="BG243" s="870" t="s">
        <v>2205</v>
      </c>
      <c r="BH243" s="870" t="s">
        <v>1796</v>
      </c>
      <c r="BI243" s="906">
        <v>40800</v>
      </c>
      <c r="BJ243" s="897">
        <v>2422.2000000000003</v>
      </c>
      <c r="BK243" s="897">
        <v>3141.6000000000004</v>
      </c>
      <c r="BL243" s="907">
        <v>5563.8000000000011</v>
      </c>
      <c r="BM243" s="897" t="s">
        <v>478</v>
      </c>
      <c r="BN243" s="897" t="s">
        <v>479</v>
      </c>
      <c r="BO243" s="870" t="s">
        <v>480</v>
      </c>
      <c r="BP243" s="892">
        <v>3724.1226314773057</v>
      </c>
      <c r="BQ243" s="870">
        <v>0.4</v>
      </c>
      <c r="BR243" s="888">
        <v>70.7</v>
      </c>
      <c r="BS243" s="893">
        <v>68.599999999999994</v>
      </c>
      <c r="BT243" s="899">
        <v>191</v>
      </c>
      <c r="BU243" s="892">
        <v>1620.0188943891449</v>
      </c>
      <c r="BV243" s="892">
        <v>224.34257449791482</v>
      </c>
      <c r="BW243" s="892">
        <v>314.07960429708072</v>
      </c>
      <c r="BX243" s="893">
        <v>82.439863751882456</v>
      </c>
      <c r="BY243" s="891">
        <v>28</v>
      </c>
      <c r="BZ243" s="909">
        <v>8.868315808076857E-3</v>
      </c>
      <c r="CA243" s="891" t="s">
        <v>2555</v>
      </c>
      <c r="CB243" s="904" t="s">
        <v>1814</v>
      </c>
      <c r="CC243" s="893">
        <v>58.523182559807857</v>
      </c>
      <c r="CD243" s="893">
        <v>51.868003223917903</v>
      </c>
      <c r="CE243" s="890" t="s">
        <v>103</v>
      </c>
      <c r="CF243" s="915">
        <v>-1.2357198091009547E-2</v>
      </c>
      <c r="CG243" s="944">
        <v>3.4866666666666668</v>
      </c>
      <c r="CH243" s="944">
        <v>2.2233333333333332</v>
      </c>
      <c r="CI243" s="895">
        <v>2.5258333333333331E-2</v>
      </c>
      <c r="CJ243" s="873"/>
      <c r="CK243" s="955"/>
    </row>
    <row r="244" spans="1:92" ht="25.5" x14ac:dyDescent="0.2">
      <c r="A244" s="890">
        <v>66</v>
      </c>
      <c r="B244" s="883" t="s">
        <v>2444</v>
      </c>
      <c r="C244" s="883"/>
      <c r="D244" s="870" t="s">
        <v>1296</v>
      </c>
      <c r="E244" s="883" t="s">
        <v>4225</v>
      </c>
      <c r="F244" s="870">
        <v>2008</v>
      </c>
      <c r="G244" s="976" t="s">
        <v>1738</v>
      </c>
      <c r="H244" s="870" t="s">
        <v>958</v>
      </c>
      <c r="I244" s="902" t="s">
        <v>669</v>
      </c>
      <c r="J244" s="883" t="s">
        <v>114</v>
      </c>
      <c r="K244" s="870" t="s">
        <v>2118</v>
      </c>
      <c r="L244" s="883">
        <v>302</v>
      </c>
      <c r="M244" s="883">
        <v>128.6</v>
      </c>
      <c r="N244" s="883" t="s">
        <v>2119</v>
      </c>
      <c r="O244" s="870" t="s">
        <v>2120</v>
      </c>
      <c r="P244" s="870"/>
      <c r="Q244" s="870"/>
      <c r="R244" s="870"/>
      <c r="S244" s="870"/>
      <c r="T244" s="870"/>
      <c r="U244" s="870"/>
      <c r="V244" s="870"/>
      <c r="W244" s="870"/>
      <c r="X244" s="870"/>
      <c r="Y244" s="870"/>
      <c r="Z244" s="870"/>
      <c r="AA244" s="870"/>
      <c r="AB244" s="870" t="s">
        <v>957</v>
      </c>
      <c r="AC244" s="870" t="s">
        <v>710</v>
      </c>
      <c r="AD244" s="870" t="s">
        <v>950</v>
      </c>
      <c r="AE244" s="870" t="s">
        <v>1668</v>
      </c>
      <c r="AF244" s="883">
        <v>57.8</v>
      </c>
      <c r="AG244" s="883">
        <v>57.8</v>
      </c>
      <c r="AH244" s="883" t="s">
        <v>1744</v>
      </c>
      <c r="AI244" s="883" t="s">
        <v>122</v>
      </c>
      <c r="AJ244" s="870" t="s">
        <v>81</v>
      </c>
      <c r="AK244" s="980" t="s">
        <v>82</v>
      </c>
      <c r="AL244" s="883"/>
      <c r="AM244" s="883"/>
      <c r="AN244" s="883" t="s">
        <v>1784</v>
      </c>
      <c r="AO244" s="883">
        <v>0.32900000000000001</v>
      </c>
      <c r="AP244" s="870">
        <v>0.3</v>
      </c>
      <c r="AQ244" s="870"/>
      <c r="AR244" s="888">
        <v>12.8</v>
      </c>
      <c r="AS244" s="888">
        <v>3.6</v>
      </c>
      <c r="AT244" s="887">
        <v>3.3</v>
      </c>
      <c r="AU244" s="888">
        <v>7.35</v>
      </c>
      <c r="AV244" s="888">
        <v>6.45</v>
      </c>
      <c r="AW244" s="904">
        <v>35.543187335852167</v>
      </c>
      <c r="AX244" s="889">
        <v>38904</v>
      </c>
      <c r="AY244" s="883" t="s">
        <v>1669</v>
      </c>
      <c r="AZ244" s="870">
        <v>2000</v>
      </c>
      <c r="BA244" s="956" t="s">
        <v>3044</v>
      </c>
      <c r="BB244" s="989" t="s">
        <v>3045</v>
      </c>
      <c r="BC244" s="988" t="s">
        <v>3046</v>
      </c>
      <c r="BD244" s="956" t="s">
        <v>952</v>
      </c>
      <c r="BE244" s="956">
        <v>15868601</v>
      </c>
      <c r="BF244" s="870" t="s">
        <v>2205</v>
      </c>
      <c r="BG244" s="870" t="s">
        <v>2205</v>
      </c>
      <c r="BH244" s="870" t="s">
        <v>1796</v>
      </c>
      <c r="BI244" s="906">
        <v>39601</v>
      </c>
      <c r="BJ244" s="897">
        <v>2952</v>
      </c>
      <c r="BK244" s="897">
        <v>3040</v>
      </c>
      <c r="BL244" s="907">
        <v>5992</v>
      </c>
      <c r="BM244" s="897">
        <v>722</v>
      </c>
      <c r="BN244" s="897">
        <v>3076</v>
      </c>
      <c r="BO244" s="870">
        <v>336</v>
      </c>
      <c r="BP244" s="892">
        <v>3699.6560284219704</v>
      </c>
      <c r="BQ244" s="870">
        <v>0.4</v>
      </c>
      <c r="BR244" s="888">
        <v>70.7</v>
      </c>
      <c r="BS244" s="893">
        <v>69.7</v>
      </c>
      <c r="BT244" s="899">
        <v>191</v>
      </c>
      <c r="BU244" s="892">
        <v>1730.3303413867657</v>
      </c>
      <c r="BV244" s="892">
        <v>248.86426813797044</v>
      </c>
      <c r="BW244" s="892">
        <v>348.40997539315862</v>
      </c>
      <c r="BX244" s="893">
        <v>78.807467702081297</v>
      </c>
      <c r="BY244" s="891">
        <v>28</v>
      </c>
      <c r="BZ244" s="909">
        <v>9.3197099931505798E-3</v>
      </c>
      <c r="CA244" s="891" t="s">
        <v>2552</v>
      </c>
      <c r="CB244" s="904" t="s">
        <v>1814</v>
      </c>
      <c r="CC244" s="893">
        <v>62.508183582596899</v>
      </c>
      <c r="CD244" s="893">
        <v>57.537418793498766</v>
      </c>
      <c r="CE244" s="890" t="s">
        <v>103</v>
      </c>
      <c r="CF244" s="915">
        <v>-7.5321074981736014E-2</v>
      </c>
      <c r="CG244" s="944">
        <v>3.6083333333333338</v>
      </c>
      <c r="CH244" s="944">
        <v>2.3216666666666668</v>
      </c>
      <c r="CI244" s="895">
        <v>2.5766666666666663E-2</v>
      </c>
      <c r="CJ244" s="873"/>
      <c r="CK244" s="955"/>
    </row>
    <row r="245" spans="1:92" ht="25.5" x14ac:dyDescent="0.2">
      <c r="A245" s="890">
        <v>66</v>
      </c>
      <c r="B245" s="883" t="s">
        <v>2444</v>
      </c>
      <c r="C245" s="883"/>
      <c r="D245" s="870" t="s">
        <v>1296</v>
      </c>
      <c r="E245" s="883" t="s">
        <v>4225</v>
      </c>
      <c r="F245" s="870">
        <v>2008</v>
      </c>
      <c r="G245" s="976" t="s">
        <v>1738</v>
      </c>
      <c r="H245" s="870" t="s">
        <v>960</v>
      </c>
      <c r="I245" s="902" t="s">
        <v>669</v>
      </c>
      <c r="J245" s="883" t="s">
        <v>114</v>
      </c>
      <c r="K245" s="870" t="s">
        <v>1524</v>
      </c>
      <c r="L245" s="883">
        <v>302</v>
      </c>
      <c r="M245" s="883">
        <v>128.6</v>
      </c>
      <c r="N245" s="883" t="s">
        <v>2119</v>
      </c>
      <c r="O245" s="870" t="s">
        <v>2120</v>
      </c>
      <c r="P245" s="870"/>
      <c r="Q245" s="870"/>
      <c r="R245" s="870"/>
      <c r="S245" s="870"/>
      <c r="T245" s="870"/>
      <c r="U245" s="870"/>
      <c r="V245" s="870"/>
      <c r="W245" s="870"/>
      <c r="X245" s="870"/>
      <c r="Y245" s="870"/>
      <c r="Z245" s="870"/>
      <c r="AA245" s="870"/>
      <c r="AB245" s="870" t="s">
        <v>957</v>
      </c>
      <c r="AC245" s="870" t="s">
        <v>710</v>
      </c>
      <c r="AD245" s="870" t="s">
        <v>950</v>
      </c>
      <c r="AE245" s="870" t="s">
        <v>1668</v>
      </c>
      <c r="AF245" s="883">
        <v>57.8</v>
      </c>
      <c r="AG245" s="883">
        <v>52</v>
      </c>
      <c r="AH245" s="883" t="s">
        <v>1744</v>
      </c>
      <c r="AI245" s="883" t="s">
        <v>122</v>
      </c>
      <c r="AJ245" s="870" t="s">
        <v>81</v>
      </c>
      <c r="AK245" s="980" t="s">
        <v>82</v>
      </c>
      <c r="AL245" s="883"/>
      <c r="AM245" s="883"/>
      <c r="AN245" s="883" t="s">
        <v>1784</v>
      </c>
      <c r="AO245" s="883">
        <v>0.32900000000000001</v>
      </c>
      <c r="AP245" s="870">
        <v>0.3</v>
      </c>
      <c r="AQ245" s="870"/>
      <c r="AR245" s="888">
        <v>12.8</v>
      </c>
      <c r="AS245" s="888">
        <v>3.6</v>
      </c>
      <c r="AT245" s="887">
        <v>3.3</v>
      </c>
      <c r="AU245" s="888">
        <v>7.35</v>
      </c>
      <c r="AV245" s="888">
        <v>6.45</v>
      </c>
      <c r="AW245" s="904">
        <v>35.543187335852167</v>
      </c>
      <c r="AX245" s="889">
        <v>38904</v>
      </c>
      <c r="AY245" s="883" t="s">
        <v>1669</v>
      </c>
      <c r="AZ245" s="870">
        <v>2000</v>
      </c>
      <c r="BA245" s="956" t="s">
        <v>3047</v>
      </c>
      <c r="BB245" s="989" t="s">
        <v>2550</v>
      </c>
      <c r="BC245" s="988" t="s">
        <v>3046</v>
      </c>
      <c r="BD245" s="956" t="s">
        <v>952</v>
      </c>
      <c r="BE245" s="956">
        <v>15868601</v>
      </c>
      <c r="BF245" s="870" t="s">
        <v>2205</v>
      </c>
      <c r="BG245" s="870" t="s">
        <v>2205</v>
      </c>
      <c r="BH245" s="870" t="s">
        <v>1796</v>
      </c>
      <c r="BI245" s="906">
        <v>40802</v>
      </c>
      <c r="BJ245" s="897">
        <v>2710.4</v>
      </c>
      <c r="BK245" s="897">
        <v>2842.4</v>
      </c>
      <c r="BL245" s="907">
        <v>5552.8</v>
      </c>
      <c r="BM245" s="897">
        <v>599.4</v>
      </c>
      <c r="BN245" s="897">
        <v>2890</v>
      </c>
      <c r="BO245" s="870">
        <v>334</v>
      </c>
      <c r="BP245" s="892">
        <v>3497.4255159930772</v>
      </c>
      <c r="BQ245" s="870">
        <v>0.4</v>
      </c>
      <c r="BR245" s="888">
        <v>74.900000000000006</v>
      </c>
      <c r="BS245" s="893">
        <v>75.7</v>
      </c>
      <c r="BT245" s="899">
        <v>191</v>
      </c>
      <c r="BU245" s="892">
        <v>1713.198357808679</v>
      </c>
      <c r="BV245" s="892">
        <v>235.26085525738171</v>
      </c>
      <c r="BW245" s="892">
        <v>329.36519736033438</v>
      </c>
      <c r="BX245" s="893">
        <v>82.874391704907538</v>
      </c>
      <c r="BY245" s="891">
        <v>28</v>
      </c>
      <c r="BZ245" s="909">
        <v>9.8006612706844302E-3</v>
      </c>
      <c r="CA245" s="891" t="s">
        <v>2554</v>
      </c>
      <c r="CB245" s="904" t="s">
        <v>1814</v>
      </c>
      <c r="CC245" s="893">
        <v>61.889290675838531</v>
      </c>
      <c r="CD245" s="893">
        <v>54.39230973550665</v>
      </c>
      <c r="CE245" s="890" t="s">
        <v>103</v>
      </c>
      <c r="CF245" s="915">
        <v>-6.6074285731553606E-2</v>
      </c>
      <c r="CG245" s="944">
        <v>3.6083333333333338</v>
      </c>
      <c r="CH245" s="944">
        <v>2.3216666666666668</v>
      </c>
      <c r="CI245" s="895">
        <v>2.5766666666666663E-2</v>
      </c>
      <c r="CJ245" s="882"/>
      <c r="CK245" s="990" t="s">
        <v>1127</v>
      </c>
    </row>
    <row r="246" spans="1:92" ht="25.5" x14ac:dyDescent="0.2">
      <c r="A246" s="890">
        <v>66</v>
      </c>
      <c r="B246" s="883" t="s">
        <v>836</v>
      </c>
      <c r="C246" s="883"/>
      <c r="D246" s="870" t="s">
        <v>1296</v>
      </c>
      <c r="E246" s="883" t="s">
        <v>4225</v>
      </c>
      <c r="F246" s="870" t="s">
        <v>835</v>
      </c>
      <c r="G246" s="976" t="s">
        <v>1738</v>
      </c>
      <c r="H246" s="870" t="s">
        <v>959</v>
      </c>
      <c r="I246" s="902" t="s">
        <v>669</v>
      </c>
      <c r="J246" s="883" t="s">
        <v>114</v>
      </c>
      <c r="K246" s="870" t="s">
        <v>1523</v>
      </c>
      <c r="L246" s="883">
        <v>302</v>
      </c>
      <c r="M246" s="883">
        <v>128.6</v>
      </c>
      <c r="N246" s="883" t="s">
        <v>2119</v>
      </c>
      <c r="O246" s="870" t="s">
        <v>2120</v>
      </c>
      <c r="P246" s="870"/>
      <c r="Q246" s="870"/>
      <c r="R246" s="870"/>
      <c r="S246" s="870"/>
      <c r="T246" s="870"/>
      <c r="U246" s="870"/>
      <c r="V246" s="870"/>
      <c r="W246" s="870"/>
      <c r="X246" s="870"/>
      <c r="Y246" s="870"/>
      <c r="Z246" s="870"/>
      <c r="AA246" s="870"/>
      <c r="AB246" s="870" t="s">
        <v>1522</v>
      </c>
      <c r="AC246" s="870" t="s">
        <v>119</v>
      </c>
      <c r="AD246" s="870" t="s">
        <v>883</v>
      </c>
      <c r="AE246" s="870" t="s">
        <v>1668</v>
      </c>
      <c r="AF246" s="883">
        <v>48.4</v>
      </c>
      <c r="AG246" s="883">
        <v>49.6</v>
      </c>
      <c r="AH246" s="883" t="s">
        <v>1744</v>
      </c>
      <c r="AI246" s="883" t="s">
        <v>122</v>
      </c>
      <c r="AJ246" s="870" t="s">
        <v>81</v>
      </c>
      <c r="AK246" s="980" t="s">
        <v>82</v>
      </c>
      <c r="AL246" s="883"/>
      <c r="AM246" s="883"/>
      <c r="AN246" s="883" t="s">
        <v>1784</v>
      </c>
      <c r="AO246" s="883">
        <v>0.32900000000000001</v>
      </c>
      <c r="AP246" s="870">
        <v>0.3</v>
      </c>
      <c r="AQ246" s="870"/>
      <c r="AR246" s="888">
        <v>12.8</v>
      </c>
      <c r="AS246" s="888">
        <v>3.6</v>
      </c>
      <c r="AT246" s="887">
        <v>3.3</v>
      </c>
      <c r="AU246" s="888">
        <v>7.35</v>
      </c>
      <c r="AV246" s="888">
        <v>6.45</v>
      </c>
      <c r="AW246" s="904">
        <v>35.543187335852167</v>
      </c>
      <c r="AX246" s="889"/>
      <c r="AY246" s="883" t="s">
        <v>1669</v>
      </c>
      <c r="AZ246" s="870"/>
      <c r="BA246" s="956" t="s">
        <v>3048</v>
      </c>
      <c r="BB246" s="956" t="s">
        <v>3049</v>
      </c>
      <c r="BC246" s="988" t="s">
        <v>3046</v>
      </c>
      <c r="BD246" s="956" t="s">
        <v>952</v>
      </c>
      <c r="BE246" s="956">
        <v>15868601</v>
      </c>
      <c r="BF246" s="870" t="s">
        <v>2205</v>
      </c>
      <c r="BG246" s="870" t="s">
        <v>2205</v>
      </c>
      <c r="BH246" s="870" t="s">
        <v>1796</v>
      </c>
      <c r="BI246" s="906">
        <v>40837</v>
      </c>
      <c r="BJ246" s="897">
        <v>2743.4</v>
      </c>
      <c r="BK246" s="897">
        <v>2893.0000000000005</v>
      </c>
      <c r="BL246" s="907">
        <v>5636.4000000000005</v>
      </c>
      <c r="BM246" s="897">
        <v>600</v>
      </c>
      <c r="BN246" s="897">
        <v>2890</v>
      </c>
      <c r="BO246" s="870">
        <v>344</v>
      </c>
      <c r="BP246" s="892"/>
      <c r="BQ246" s="870">
        <v>0.35</v>
      </c>
      <c r="BR246" s="888" t="s">
        <v>1921</v>
      </c>
      <c r="BS246" s="893" t="s">
        <v>1921</v>
      </c>
      <c r="BT246" s="899" t="s">
        <v>1921</v>
      </c>
      <c r="BU246" s="892" t="s">
        <v>1921</v>
      </c>
      <c r="BV246" s="983" t="s">
        <v>1921</v>
      </c>
      <c r="BW246" s="983" t="s">
        <v>1921</v>
      </c>
      <c r="BX246" s="985"/>
      <c r="BY246" s="891">
        <v>28</v>
      </c>
      <c r="BZ246" s="991" t="s">
        <v>1921</v>
      </c>
      <c r="CA246" s="984" t="s">
        <v>1921</v>
      </c>
      <c r="CB246" s="904" t="s">
        <v>1814</v>
      </c>
      <c r="CC246" s="985"/>
      <c r="CD246" s="985" t="s">
        <v>1921</v>
      </c>
      <c r="CE246" s="986" t="s">
        <v>1921</v>
      </c>
      <c r="CF246" s="987" t="s">
        <v>1921</v>
      </c>
      <c r="CG246" s="992" t="s">
        <v>1921</v>
      </c>
      <c r="CH246" s="992" t="s">
        <v>1921</v>
      </c>
      <c r="CI246" s="993" t="s">
        <v>1921</v>
      </c>
      <c r="CJ246" s="882"/>
      <c r="CK246" s="955"/>
    </row>
    <row r="247" spans="1:92" ht="25.5" x14ac:dyDescent="0.2">
      <c r="A247" s="890">
        <v>66</v>
      </c>
      <c r="B247" s="883" t="s">
        <v>2444</v>
      </c>
      <c r="C247" s="883"/>
      <c r="D247" s="870" t="s">
        <v>954</v>
      </c>
      <c r="E247" s="883" t="s">
        <v>4225</v>
      </c>
      <c r="F247" s="870">
        <v>2008</v>
      </c>
      <c r="G247" s="976" t="s">
        <v>1738</v>
      </c>
      <c r="H247" s="870" t="s">
        <v>959</v>
      </c>
      <c r="I247" s="902" t="s">
        <v>2907</v>
      </c>
      <c r="J247" s="883" t="s">
        <v>114</v>
      </c>
      <c r="K247" s="870" t="s">
        <v>2118</v>
      </c>
      <c r="L247" s="883">
        <v>302</v>
      </c>
      <c r="M247" s="883">
        <v>128.6</v>
      </c>
      <c r="N247" s="883" t="s">
        <v>2119</v>
      </c>
      <c r="O247" s="870" t="s">
        <v>2120</v>
      </c>
      <c r="P247" s="870"/>
      <c r="Q247" s="870"/>
      <c r="R247" s="870"/>
      <c r="S247" s="870"/>
      <c r="T247" s="870"/>
      <c r="U247" s="870"/>
      <c r="V247" s="870"/>
      <c r="W247" s="870"/>
      <c r="X247" s="870"/>
      <c r="Y247" s="870"/>
      <c r="Z247" s="870"/>
      <c r="AA247" s="870"/>
      <c r="AB247" s="870" t="s">
        <v>962</v>
      </c>
      <c r="AC247" s="870" t="s">
        <v>2487</v>
      </c>
      <c r="AD247" s="870" t="s">
        <v>948</v>
      </c>
      <c r="AE247" s="870" t="s">
        <v>1668</v>
      </c>
      <c r="AF247" s="883">
        <v>57.8</v>
      </c>
      <c r="AG247" s="883">
        <v>47.7</v>
      </c>
      <c r="AH247" s="883" t="s">
        <v>1744</v>
      </c>
      <c r="AI247" s="883" t="s">
        <v>122</v>
      </c>
      <c r="AJ247" s="870" t="s">
        <v>81</v>
      </c>
      <c r="AK247" s="980" t="s">
        <v>82</v>
      </c>
      <c r="AL247" s="883"/>
      <c r="AM247" s="883"/>
      <c r="AN247" s="883" t="s">
        <v>1784</v>
      </c>
      <c r="AO247" s="883">
        <v>0.32900000000000001</v>
      </c>
      <c r="AP247" s="870">
        <v>0.3</v>
      </c>
      <c r="AQ247" s="870"/>
      <c r="AR247" s="888">
        <v>12.8</v>
      </c>
      <c r="AS247" s="888">
        <v>3.6</v>
      </c>
      <c r="AT247" s="887">
        <v>3.3</v>
      </c>
      <c r="AU247" s="888">
        <v>7.35</v>
      </c>
      <c r="AV247" s="888">
        <v>6.45</v>
      </c>
      <c r="AW247" s="904">
        <v>35.543187335852167</v>
      </c>
      <c r="AX247" s="889">
        <v>38904</v>
      </c>
      <c r="AY247" s="883" t="s">
        <v>1669</v>
      </c>
      <c r="AZ247" s="870">
        <v>2000</v>
      </c>
      <c r="BA247" s="870" t="s">
        <v>964</v>
      </c>
      <c r="BB247" s="964" t="s">
        <v>965</v>
      </c>
      <c r="BC247" s="883">
        <v>16018401</v>
      </c>
      <c r="BD247" s="870" t="s">
        <v>952</v>
      </c>
      <c r="BE247" s="870"/>
      <c r="BF247" s="870"/>
      <c r="BG247" s="870"/>
      <c r="BH247" s="870" t="s">
        <v>1796</v>
      </c>
      <c r="BI247" s="906">
        <v>39601</v>
      </c>
      <c r="BJ247" s="897">
        <v>2727</v>
      </c>
      <c r="BK247" s="897">
        <v>2873</v>
      </c>
      <c r="BL247" s="907">
        <v>5600</v>
      </c>
      <c r="BM247" s="897">
        <v>681</v>
      </c>
      <c r="BN247" s="897">
        <v>2890</v>
      </c>
      <c r="BO247" s="870">
        <v>342</v>
      </c>
      <c r="BP247" s="892">
        <v>3497.4255159930772</v>
      </c>
      <c r="BQ247" s="870">
        <v>0.35</v>
      </c>
      <c r="BR247" s="888">
        <v>72.099999999999994</v>
      </c>
      <c r="BS247" s="893">
        <v>71.5</v>
      </c>
      <c r="BT247" s="899">
        <v>169</v>
      </c>
      <c r="BU247" s="892">
        <v>1459.1986991425192</v>
      </c>
      <c r="BV247" s="892">
        <v>235.26085525738171</v>
      </c>
      <c r="BW247" s="892">
        <v>329.36519736033438</v>
      </c>
      <c r="BX247" s="893">
        <v>78.276340910183464</v>
      </c>
      <c r="BY247" s="891">
        <v>28</v>
      </c>
      <c r="BZ247" s="909">
        <v>9.2568993507785545E-3</v>
      </c>
      <c r="CA247" s="891" t="s">
        <v>2553</v>
      </c>
      <c r="CB247" s="904" t="s">
        <v>1814</v>
      </c>
      <c r="CC247" s="893">
        <v>52.713553006523505</v>
      </c>
      <c r="CD247" s="893">
        <v>54.39230973550665</v>
      </c>
      <c r="CE247" s="890" t="s">
        <v>1049</v>
      </c>
      <c r="CF247" s="915">
        <v>6.2650221714501741E-2</v>
      </c>
      <c r="CG247" s="944">
        <v>3.8516666666666666</v>
      </c>
      <c r="CH247" s="944">
        <v>2.5</v>
      </c>
      <c r="CI247" s="895">
        <v>2.7016666666666671E-2</v>
      </c>
      <c r="CJ247" s="873"/>
      <c r="CK247" s="955"/>
    </row>
    <row r="248" spans="1:92" ht="25.5" x14ac:dyDescent="0.2">
      <c r="A248" s="890">
        <v>66</v>
      </c>
      <c r="B248" s="883" t="s">
        <v>2444</v>
      </c>
      <c r="C248" s="883"/>
      <c r="D248" s="870" t="s">
        <v>954</v>
      </c>
      <c r="E248" s="883" t="s">
        <v>4225</v>
      </c>
      <c r="F248" s="870">
        <v>2008</v>
      </c>
      <c r="G248" s="976" t="s">
        <v>1738</v>
      </c>
      <c r="H248" s="870" t="s">
        <v>961</v>
      </c>
      <c r="I248" s="902" t="s">
        <v>2907</v>
      </c>
      <c r="J248" s="883" t="s">
        <v>114</v>
      </c>
      <c r="K248" s="870" t="s">
        <v>2118</v>
      </c>
      <c r="L248" s="883">
        <v>302</v>
      </c>
      <c r="M248" s="883">
        <v>128.6</v>
      </c>
      <c r="N248" s="883" t="s">
        <v>2119</v>
      </c>
      <c r="O248" s="870" t="s">
        <v>2120</v>
      </c>
      <c r="P248" s="870"/>
      <c r="Q248" s="870"/>
      <c r="R248" s="870"/>
      <c r="S248" s="870"/>
      <c r="T248" s="870"/>
      <c r="U248" s="870"/>
      <c r="V248" s="870"/>
      <c r="W248" s="870"/>
      <c r="X248" s="870"/>
      <c r="Y248" s="870"/>
      <c r="Z248" s="870"/>
      <c r="AA248" s="870"/>
      <c r="AB248" s="870" t="s">
        <v>501</v>
      </c>
      <c r="AC248" s="870" t="s">
        <v>119</v>
      </c>
      <c r="AD248" s="870" t="s">
        <v>949</v>
      </c>
      <c r="AE248" s="870" t="s">
        <v>1668</v>
      </c>
      <c r="AF248" s="883">
        <v>57.8</v>
      </c>
      <c r="AG248" s="883">
        <v>52</v>
      </c>
      <c r="AH248" s="883" t="s">
        <v>1744</v>
      </c>
      <c r="AI248" s="883" t="s">
        <v>122</v>
      </c>
      <c r="AJ248" s="870" t="s">
        <v>81</v>
      </c>
      <c r="AK248" s="980" t="s">
        <v>82</v>
      </c>
      <c r="AL248" s="883"/>
      <c r="AM248" s="883"/>
      <c r="AN248" s="883" t="s">
        <v>1784</v>
      </c>
      <c r="AO248" s="883">
        <v>0.32900000000000001</v>
      </c>
      <c r="AP248" s="870">
        <v>0.3</v>
      </c>
      <c r="AQ248" s="870"/>
      <c r="AR248" s="888">
        <v>12.8</v>
      </c>
      <c r="AS248" s="888">
        <v>3.6</v>
      </c>
      <c r="AT248" s="887">
        <v>3.3</v>
      </c>
      <c r="AU248" s="888">
        <v>7.35</v>
      </c>
      <c r="AV248" s="888">
        <v>6.45</v>
      </c>
      <c r="AW248" s="904">
        <v>35.543187335852167</v>
      </c>
      <c r="AX248" s="889">
        <v>38904</v>
      </c>
      <c r="AY248" s="883" t="s">
        <v>1669</v>
      </c>
      <c r="AZ248" s="870">
        <v>2000</v>
      </c>
      <c r="BA248" s="870" t="s">
        <v>2549</v>
      </c>
      <c r="BB248" s="870" t="s">
        <v>963</v>
      </c>
      <c r="BC248" s="883">
        <v>16018401</v>
      </c>
      <c r="BD248" s="870" t="s">
        <v>952</v>
      </c>
      <c r="BE248" s="870"/>
      <c r="BF248" s="870"/>
      <c r="BG248" s="870"/>
      <c r="BH248" s="870" t="s">
        <v>1796</v>
      </c>
      <c r="BI248" s="906">
        <v>39601</v>
      </c>
      <c r="BJ248" s="897">
        <v>2952</v>
      </c>
      <c r="BK248" s="897">
        <v>3040</v>
      </c>
      <c r="BL248" s="907">
        <v>5992</v>
      </c>
      <c r="BM248" s="897">
        <v>722</v>
      </c>
      <c r="BN248" s="897">
        <v>3076</v>
      </c>
      <c r="BO248" s="870">
        <v>333</v>
      </c>
      <c r="BP248" s="892">
        <v>3666.6233853110598</v>
      </c>
      <c r="BQ248" s="870">
        <v>0.35</v>
      </c>
      <c r="BR248" s="888">
        <v>72.099999999999994</v>
      </c>
      <c r="BS248" s="893">
        <v>71.400000000000006</v>
      </c>
      <c r="BT248" s="899">
        <v>169</v>
      </c>
      <c r="BU248" s="892">
        <v>1561.3426080824954</v>
      </c>
      <c r="BV248" s="892">
        <v>246.64226574388141</v>
      </c>
      <c r="BW248" s="892">
        <v>345.29917204143396</v>
      </c>
      <c r="BX248" s="893">
        <v>79.294436756098392</v>
      </c>
      <c r="BY248" s="891">
        <v>28</v>
      </c>
      <c r="BZ248" s="909">
        <v>9.3772985756975392E-3</v>
      </c>
      <c r="CA248" s="891" t="s">
        <v>2551</v>
      </c>
      <c r="CB248" s="904" t="s">
        <v>1814</v>
      </c>
      <c r="CC248" s="893">
        <v>56.403501716980145</v>
      </c>
      <c r="CD248" s="893">
        <v>57.023691839985382</v>
      </c>
      <c r="CE248" s="890" t="s">
        <v>1049</v>
      </c>
      <c r="CF248" s="915">
        <v>1.3613782885068426E-2</v>
      </c>
      <c r="CG248" s="890">
        <v>3.11</v>
      </c>
      <c r="CH248" s="890">
        <v>2.0099999999999998</v>
      </c>
      <c r="CI248" s="890">
        <v>2.3E-2</v>
      </c>
      <c r="CJ248" s="873"/>
      <c r="CK248" s="955"/>
    </row>
    <row r="249" spans="1:92" ht="38.25" x14ac:dyDescent="0.2">
      <c r="A249" s="890">
        <v>66</v>
      </c>
      <c r="B249" s="883" t="s">
        <v>2254</v>
      </c>
      <c r="C249" s="883"/>
      <c r="D249" s="883" t="s">
        <v>625</v>
      </c>
      <c r="E249" s="883" t="s">
        <v>4225</v>
      </c>
      <c r="F249" s="883" t="s">
        <v>1789</v>
      </c>
      <c r="G249" s="913" t="s">
        <v>1738</v>
      </c>
      <c r="H249" s="870" t="s">
        <v>2880</v>
      </c>
      <c r="I249" s="886" t="s">
        <v>2719</v>
      </c>
      <c r="J249" s="883" t="s">
        <v>114</v>
      </c>
      <c r="K249" s="883" t="s">
        <v>2863</v>
      </c>
      <c r="L249" s="883">
        <v>304.8</v>
      </c>
      <c r="M249" s="883">
        <v>135.6</v>
      </c>
      <c r="N249" s="883" t="s">
        <v>1361</v>
      </c>
      <c r="O249" s="870" t="s">
        <v>1706</v>
      </c>
      <c r="P249" s="870"/>
      <c r="Q249" s="870"/>
      <c r="R249" s="870"/>
      <c r="S249" s="870"/>
      <c r="T249" s="870"/>
      <c r="U249" s="870"/>
      <c r="V249" s="870"/>
      <c r="W249" s="870"/>
      <c r="X249" s="870"/>
      <c r="Y249" s="870"/>
      <c r="Z249" s="870"/>
      <c r="AA249" s="870"/>
      <c r="AB249" s="870" t="s">
        <v>621</v>
      </c>
      <c r="AC249" s="870" t="s">
        <v>622</v>
      </c>
      <c r="AD249" s="870" t="s">
        <v>1814</v>
      </c>
      <c r="AE249" s="870" t="s">
        <v>1668</v>
      </c>
      <c r="AF249" s="883">
        <v>68.8</v>
      </c>
      <c r="AG249" s="883">
        <v>54.3</v>
      </c>
      <c r="AH249" s="883" t="s">
        <v>122</v>
      </c>
      <c r="AI249" s="883" t="s">
        <v>122</v>
      </c>
      <c r="AJ249" s="883" t="s">
        <v>234</v>
      </c>
      <c r="AK249" s="870" t="s">
        <v>623</v>
      </c>
      <c r="AL249" s="883"/>
      <c r="AM249" s="883" t="s">
        <v>1784</v>
      </c>
      <c r="AN249" s="883"/>
      <c r="AO249" s="870" t="s">
        <v>2952</v>
      </c>
      <c r="AP249" s="870" t="s">
        <v>2952</v>
      </c>
      <c r="AQ249" s="870"/>
      <c r="AR249" s="888" t="s">
        <v>624</v>
      </c>
      <c r="AS249" s="888">
        <v>4.0999999999999996</v>
      </c>
      <c r="AT249" s="887">
        <v>3.5</v>
      </c>
      <c r="AU249" s="888">
        <v>8.1999999999999993</v>
      </c>
      <c r="AV249" s="888">
        <v>7.1</v>
      </c>
      <c r="AW249" s="870" t="s">
        <v>2952</v>
      </c>
      <c r="AX249" s="889" t="s">
        <v>1789</v>
      </c>
      <c r="AY249" s="883" t="s">
        <v>2399</v>
      </c>
      <c r="AZ249" s="870">
        <v>10</v>
      </c>
      <c r="BA249" s="870" t="s">
        <v>626</v>
      </c>
      <c r="BB249" s="870" t="s">
        <v>627</v>
      </c>
      <c r="BC249" s="883">
        <v>103707</v>
      </c>
      <c r="BD249" s="870">
        <v>103706</v>
      </c>
      <c r="BE249" s="870"/>
      <c r="BF249" s="870"/>
      <c r="BG249" s="870"/>
      <c r="BH249" s="891"/>
      <c r="BI249" s="914">
        <v>39626</v>
      </c>
      <c r="BJ249" s="891" t="s">
        <v>2952</v>
      </c>
      <c r="BK249" s="891" t="s">
        <v>2952</v>
      </c>
      <c r="BL249" s="891" t="s">
        <v>2952</v>
      </c>
      <c r="BM249" s="891" t="s">
        <v>2952</v>
      </c>
      <c r="BN249" s="891" t="s">
        <v>2952</v>
      </c>
      <c r="BO249" s="890">
        <v>222.91</v>
      </c>
      <c r="BP249" s="892">
        <v>3865</v>
      </c>
      <c r="BQ249" s="890">
        <v>0.35</v>
      </c>
      <c r="BR249" s="888">
        <v>68.2</v>
      </c>
      <c r="BS249" s="893">
        <v>66.099999999999994</v>
      </c>
      <c r="BT249" s="891" t="s">
        <v>2952</v>
      </c>
      <c r="BU249" s="892">
        <v>1382.7331600191355</v>
      </c>
      <c r="BV249" s="892">
        <v>250.51005985925795</v>
      </c>
      <c r="BW249" s="892">
        <v>350.71408380296111</v>
      </c>
      <c r="BX249" s="893">
        <v>79.435495539350285</v>
      </c>
      <c r="BY249" s="891">
        <v>26</v>
      </c>
      <c r="BZ249" s="909">
        <v>9.3939800779742535E-3</v>
      </c>
      <c r="CA249" s="904" t="s">
        <v>1814</v>
      </c>
      <c r="CB249" s="904" t="s">
        <v>1814</v>
      </c>
      <c r="CC249" s="893">
        <v>49.951235405691271</v>
      </c>
      <c r="CD249" s="893">
        <v>57.91792583946043</v>
      </c>
      <c r="CE249" s="890" t="s">
        <v>1049</v>
      </c>
      <c r="CF249" s="915">
        <v>-2.036085335433202E-3</v>
      </c>
      <c r="CG249" s="890">
        <v>3.62</v>
      </c>
      <c r="CH249" s="890">
        <v>2.2400000000000002</v>
      </c>
      <c r="CI249" s="890">
        <v>2.7199999999999998E-2</v>
      </c>
      <c r="CJ249" s="873"/>
      <c r="CK249" s="955"/>
    </row>
    <row r="250" spans="1:92" ht="38.25" x14ac:dyDescent="0.2">
      <c r="A250" s="890">
        <v>66</v>
      </c>
      <c r="B250" s="883" t="s">
        <v>628</v>
      </c>
      <c r="C250" s="883"/>
      <c r="D250" s="883" t="s">
        <v>625</v>
      </c>
      <c r="E250" s="883" t="s">
        <v>4225</v>
      </c>
      <c r="F250" s="883" t="s">
        <v>1789</v>
      </c>
      <c r="G250" s="913" t="s">
        <v>1797</v>
      </c>
      <c r="H250" s="870" t="s">
        <v>2880</v>
      </c>
      <c r="I250" s="886" t="s">
        <v>2719</v>
      </c>
      <c r="J250" s="883" t="s">
        <v>114</v>
      </c>
      <c r="K250" s="883" t="s">
        <v>2863</v>
      </c>
      <c r="L250" s="870" t="s">
        <v>629</v>
      </c>
      <c r="M250" s="883">
        <v>135.6</v>
      </c>
      <c r="N250" s="883" t="s">
        <v>1361</v>
      </c>
      <c r="O250" s="870" t="s">
        <v>1706</v>
      </c>
      <c r="P250" s="870"/>
      <c r="Q250" s="870"/>
      <c r="R250" s="870"/>
      <c r="S250" s="870"/>
      <c r="T250" s="870"/>
      <c r="U250" s="870"/>
      <c r="V250" s="870"/>
      <c r="W250" s="870"/>
      <c r="X250" s="870"/>
      <c r="Y250" s="870"/>
      <c r="Z250" s="870"/>
      <c r="AA250" s="870"/>
      <c r="AB250" s="870" t="s">
        <v>621</v>
      </c>
      <c r="AC250" s="870" t="s">
        <v>622</v>
      </c>
      <c r="AD250" s="870" t="s">
        <v>1814</v>
      </c>
      <c r="AE250" s="870" t="s">
        <v>1668</v>
      </c>
      <c r="AF250" s="870" t="s">
        <v>630</v>
      </c>
      <c r="AG250" s="870" t="s">
        <v>537</v>
      </c>
      <c r="AH250" s="870" t="s">
        <v>122</v>
      </c>
      <c r="AI250" s="870" t="s">
        <v>122</v>
      </c>
      <c r="AJ250" s="883" t="s">
        <v>234</v>
      </c>
      <c r="AK250" s="870" t="s">
        <v>623</v>
      </c>
      <c r="AL250" s="883"/>
      <c r="AM250" s="883" t="s">
        <v>1784</v>
      </c>
      <c r="AN250" s="883"/>
      <c r="AO250" s="870" t="s">
        <v>2952</v>
      </c>
      <c r="AP250" s="870" t="s">
        <v>2952</v>
      </c>
      <c r="AQ250" s="870"/>
      <c r="AR250" s="888" t="s">
        <v>631</v>
      </c>
      <c r="AS250" s="888">
        <v>4.0999999999999996</v>
      </c>
      <c r="AT250" s="887">
        <v>3.5</v>
      </c>
      <c r="AU250" s="888">
        <v>8.1999999999999993</v>
      </c>
      <c r="AV250" s="888">
        <v>7.1</v>
      </c>
      <c r="AW250" s="870" t="s">
        <v>2952</v>
      </c>
      <c r="AX250" s="889" t="s">
        <v>1789</v>
      </c>
      <c r="AY250" s="883" t="s">
        <v>2399</v>
      </c>
      <c r="AZ250" s="870">
        <v>10</v>
      </c>
      <c r="BA250" s="870" t="s">
        <v>1605</v>
      </c>
      <c r="BB250" s="870" t="s">
        <v>1606</v>
      </c>
      <c r="BC250" s="883">
        <v>121740</v>
      </c>
      <c r="BD250" s="870">
        <v>121741</v>
      </c>
      <c r="BE250" s="870"/>
      <c r="BF250" s="870"/>
      <c r="BG250" s="870"/>
      <c r="BH250" s="891" t="s">
        <v>1607</v>
      </c>
      <c r="BI250" s="914">
        <v>39626</v>
      </c>
      <c r="BJ250" s="891" t="s">
        <v>2952</v>
      </c>
      <c r="BK250" s="891" t="s">
        <v>2952</v>
      </c>
      <c r="BL250" s="891" t="s">
        <v>2952</v>
      </c>
      <c r="BM250" s="891" t="s">
        <v>2952</v>
      </c>
      <c r="BN250" s="891" t="s">
        <v>2952</v>
      </c>
      <c r="BO250" s="890">
        <v>222.91</v>
      </c>
      <c r="BP250" s="892">
        <v>3865</v>
      </c>
      <c r="BQ250" s="890">
        <v>0.35</v>
      </c>
      <c r="BR250" s="888">
        <v>68.2</v>
      </c>
      <c r="BS250" s="893">
        <v>66.099999999999994</v>
      </c>
      <c r="BT250" s="891" t="s">
        <v>2952</v>
      </c>
      <c r="BU250" s="892">
        <v>1382.7331600191355</v>
      </c>
      <c r="BV250" s="892">
        <v>250.51005985925795</v>
      </c>
      <c r="BW250" s="892">
        <v>350.71408380296111</v>
      </c>
      <c r="BX250" s="893">
        <v>79.435495539350285</v>
      </c>
      <c r="BY250" s="891">
        <v>9</v>
      </c>
      <c r="BZ250" s="909">
        <v>9.3939800779742535E-3</v>
      </c>
      <c r="CA250" s="904" t="s">
        <v>1814</v>
      </c>
      <c r="CB250" s="904" t="s">
        <v>1814</v>
      </c>
      <c r="CC250" s="893">
        <v>49.951235405691271</v>
      </c>
      <c r="CD250" s="893">
        <v>57.91792583946043</v>
      </c>
      <c r="CE250" s="890" t="s">
        <v>1049</v>
      </c>
      <c r="CF250" s="915">
        <v>-2.036085335433202E-3</v>
      </c>
      <c r="CG250" s="890">
        <v>3.62</v>
      </c>
      <c r="CH250" s="890">
        <v>2.2400000000000002</v>
      </c>
      <c r="CI250" s="890">
        <v>2.7199999999999998E-2</v>
      </c>
      <c r="CJ250" s="873"/>
      <c r="CK250" s="955"/>
    </row>
    <row r="251" spans="1:92" ht="25.5" x14ac:dyDescent="0.2">
      <c r="A251" s="890">
        <v>66</v>
      </c>
      <c r="B251" s="883" t="s">
        <v>2121</v>
      </c>
      <c r="C251" s="883"/>
      <c r="D251" s="883" t="s">
        <v>1787</v>
      </c>
      <c r="E251" s="883" t="s">
        <v>4225</v>
      </c>
      <c r="F251" s="883"/>
      <c r="G251" s="976" t="s">
        <v>1738</v>
      </c>
      <c r="H251" s="870" t="s">
        <v>2250</v>
      </c>
      <c r="I251" s="886" t="s">
        <v>1795</v>
      </c>
      <c r="J251" s="883" t="s">
        <v>114</v>
      </c>
      <c r="K251" s="883" t="s">
        <v>2132</v>
      </c>
      <c r="L251" s="883">
        <v>280</v>
      </c>
      <c r="M251" s="883">
        <v>114</v>
      </c>
      <c r="N251" s="883" t="s">
        <v>2484</v>
      </c>
      <c r="O251" s="870" t="s">
        <v>116</v>
      </c>
      <c r="P251" s="870"/>
      <c r="Q251" s="870"/>
      <c r="R251" s="870"/>
      <c r="S251" s="870"/>
      <c r="T251" s="870"/>
      <c r="U251" s="870"/>
      <c r="V251" s="870"/>
      <c r="W251" s="870"/>
      <c r="X251" s="870"/>
      <c r="Y251" s="870"/>
      <c r="Z251" s="870"/>
      <c r="AA251" s="870"/>
      <c r="AB251" s="870" t="s">
        <v>1941</v>
      </c>
      <c r="AC251" s="870" t="s">
        <v>1173</v>
      </c>
      <c r="AD251" s="870" t="s">
        <v>1172</v>
      </c>
      <c r="AE251" s="870" t="s">
        <v>1174</v>
      </c>
      <c r="AF251" s="883">
        <v>59</v>
      </c>
      <c r="AG251" s="883" t="s">
        <v>1175</v>
      </c>
      <c r="AH251" s="883" t="s">
        <v>122</v>
      </c>
      <c r="AI251" s="883" t="s">
        <v>122</v>
      </c>
      <c r="AJ251" s="883" t="s">
        <v>234</v>
      </c>
      <c r="AK251" s="870" t="s">
        <v>1620</v>
      </c>
      <c r="AL251" s="883" t="s">
        <v>1784</v>
      </c>
      <c r="AM251" s="883"/>
      <c r="AN251" s="883"/>
      <c r="AO251" s="883">
        <v>0.46</v>
      </c>
      <c r="AP251" s="883">
        <v>0.45</v>
      </c>
      <c r="AQ251" s="883"/>
      <c r="AR251" s="887">
        <v>9</v>
      </c>
      <c r="AS251" s="888" t="s">
        <v>157</v>
      </c>
      <c r="AT251" s="887" t="s">
        <v>157</v>
      </c>
      <c r="AU251" s="888">
        <v>7.2</v>
      </c>
      <c r="AV251" s="888">
        <v>6.25</v>
      </c>
      <c r="AW251" s="904">
        <f>(100*PI()*(A251^2))/(40*AO251*AV251*453.5924)</f>
        <v>26.234581108189598</v>
      </c>
      <c r="AX251" s="889" t="s">
        <v>1789</v>
      </c>
      <c r="AY251" s="883" t="s">
        <v>1659</v>
      </c>
      <c r="AZ251" s="949">
        <v>1152</v>
      </c>
      <c r="BA251" s="870" t="s">
        <v>2251</v>
      </c>
      <c r="BB251" s="870" t="s">
        <v>2252</v>
      </c>
      <c r="BC251" s="883">
        <v>12074201</v>
      </c>
      <c r="BD251" s="870" t="s">
        <v>2253</v>
      </c>
      <c r="BE251" s="870"/>
      <c r="BF251" s="870"/>
      <c r="BG251" s="870"/>
      <c r="BH251" s="870" t="s">
        <v>1809</v>
      </c>
      <c r="BI251" s="977">
        <v>38441</v>
      </c>
      <c r="BJ251" s="897"/>
      <c r="BK251" s="897"/>
      <c r="BL251" s="892">
        <f>BJ251+BK251</f>
        <v>0</v>
      </c>
      <c r="BM251" s="897"/>
      <c r="BN251" s="897"/>
      <c r="BO251" s="870"/>
      <c r="BP251" s="892" t="e">
        <f>IF(G251="Front",0.5*9.81*0.4535924*(BJ251+BL251*(BM251/BN251)*1.1)*1.1*(BO251/1000),IF(G251="Rear",0.5*9.81*0.4535924*(BK251+BL251*(BM251/BN251)*0.9)*0.9*(BO251/1000),"TBD"))</f>
        <v>#DIV/0!</v>
      </c>
      <c r="BQ251" s="870">
        <v>0.35</v>
      </c>
      <c r="BR251" s="888"/>
      <c r="BS251" s="888"/>
      <c r="BT251" s="899"/>
      <c r="BU251" s="892">
        <f>(2.4525*(BL251*0.4535924)*(0.8*(1000/3600)*BT251)*(BR251/100))/(AF251*2)</f>
        <v>0</v>
      </c>
      <c r="BV251" s="892" t="e">
        <f>(BP251/(M251/1000))/(2*AF251)</f>
        <v>#DIV/0!</v>
      </c>
      <c r="BW251" s="892" t="e">
        <f>(1.4*BP251/(M251/1000))/(2*AF251)</f>
        <v>#DIV/0!</v>
      </c>
      <c r="BX251" s="893">
        <f>0.5*(BL251/32.2)*((BO251*0.00328084)^2)*(BS251/100)</f>
        <v>0</v>
      </c>
      <c r="BY251" s="891">
        <v>24</v>
      </c>
      <c r="BZ251" s="909">
        <f>BX251/(L251*BY251)</f>
        <v>0</v>
      </c>
      <c r="CA251" s="891"/>
      <c r="CB251" s="891"/>
      <c r="CC251" s="893">
        <f>BU251*(2*AF251)/(2*1600)</f>
        <v>0</v>
      </c>
      <c r="CD251" s="893" t="e">
        <f>BV251*(2*AF251)/(2*250)</f>
        <v>#DIV/0!</v>
      </c>
      <c r="CE251" s="890" t="e">
        <f>IF((CD251-CC251)&gt;0, "Shear","Power")</f>
        <v>#DIV/0!</v>
      </c>
      <c r="CF251" s="915" t="e">
        <f>(AF251/MAX(CC251,CD251))-1</f>
        <v>#DIV/0!</v>
      </c>
      <c r="CG251" s="890"/>
      <c r="CH251" s="890"/>
      <c r="CI251" s="890"/>
      <c r="CJ251" s="873"/>
      <c r="CK251" s="955"/>
    </row>
    <row r="252" spans="1:92" ht="25.5" x14ac:dyDescent="0.2">
      <c r="A252" s="890">
        <v>66</v>
      </c>
      <c r="B252" s="883" t="s">
        <v>39</v>
      </c>
      <c r="C252" s="883"/>
      <c r="D252" s="883" t="s">
        <v>1787</v>
      </c>
      <c r="E252" s="883" t="s">
        <v>4225</v>
      </c>
      <c r="F252" s="883"/>
      <c r="G252" s="976" t="s">
        <v>1738</v>
      </c>
      <c r="H252" s="870" t="s">
        <v>663</v>
      </c>
      <c r="I252" s="886" t="s">
        <v>84</v>
      </c>
      <c r="J252" s="883" t="s">
        <v>114</v>
      </c>
      <c r="K252" s="883" t="s">
        <v>40</v>
      </c>
      <c r="L252" s="980">
        <v>281</v>
      </c>
      <c r="M252" s="870">
        <v>113.5</v>
      </c>
      <c r="N252" s="883" t="s">
        <v>1705</v>
      </c>
      <c r="O252" s="870" t="s">
        <v>41</v>
      </c>
      <c r="P252" s="870"/>
      <c r="Q252" s="870"/>
      <c r="R252" s="870"/>
      <c r="S252" s="870"/>
      <c r="T252" s="870"/>
      <c r="U252" s="870"/>
      <c r="V252" s="870"/>
      <c r="W252" s="870"/>
      <c r="X252" s="870"/>
      <c r="Y252" s="870"/>
      <c r="Z252" s="870"/>
      <c r="AA252" s="870"/>
      <c r="AB252" s="870" t="s">
        <v>660</v>
      </c>
      <c r="AC252" s="870" t="s">
        <v>710</v>
      </c>
      <c r="AD252" s="870" t="s">
        <v>661</v>
      </c>
      <c r="AE252" s="870" t="s">
        <v>120</v>
      </c>
      <c r="AF252" s="883">
        <v>46</v>
      </c>
      <c r="AG252" s="883">
        <v>48.3</v>
      </c>
      <c r="AH252" s="883" t="s">
        <v>122</v>
      </c>
      <c r="AI252" s="883" t="s">
        <v>80</v>
      </c>
      <c r="AJ252" s="883" t="s">
        <v>234</v>
      </c>
      <c r="AK252" s="870" t="s">
        <v>662</v>
      </c>
      <c r="AL252" s="883"/>
      <c r="AM252" s="883"/>
      <c r="AN252" s="883" t="s">
        <v>1784</v>
      </c>
      <c r="AO252" s="883">
        <v>0.32</v>
      </c>
      <c r="AP252" s="883">
        <v>0.3</v>
      </c>
      <c r="AQ252" s="883"/>
      <c r="AR252" s="888">
        <v>14.8</v>
      </c>
      <c r="AS252" s="888">
        <v>4</v>
      </c>
      <c r="AT252" s="888">
        <v>3.3</v>
      </c>
      <c r="AU252" s="888">
        <v>9.8000000000000007</v>
      </c>
      <c r="AV252" s="888">
        <v>8.9</v>
      </c>
      <c r="AW252" s="904">
        <f>(100*PI()*(A252^2))/(40*AO252*AV252*453.5924)</f>
        <v>26.483293780212463</v>
      </c>
      <c r="AX252" s="889">
        <v>37958</v>
      </c>
      <c r="AY252" s="883" t="s">
        <v>1659</v>
      </c>
      <c r="AZ252" s="870">
        <v>700</v>
      </c>
      <c r="BA252" s="870" t="s">
        <v>664</v>
      </c>
      <c r="BB252" s="870" t="s">
        <v>665</v>
      </c>
      <c r="BC252" s="883">
        <v>14670200</v>
      </c>
      <c r="BD252" s="870">
        <v>14670300</v>
      </c>
      <c r="BE252" s="870"/>
      <c r="BF252" s="870"/>
      <c r="BG252" s="870"/>
      <c r="BH252" s="891" t="s">
        <v>1809</v>
      </c>
      <c r="BI252" s="906">
        <v>37945</v>
      </c>
      <c r="BJ252" s="907">
        <v>2913</v>
      </c>
      <c r="BK252" s="907">
        <v>2912</v>
      </c>
      <c r="BL252" s="892">
        <f>BJ252+BK252</f>
        <v>5825</v>
      </c>
      <c r="BM252" s="907">
        <v>671</v>
      </c>
      <c r="BN252" s="907">
        <v>3030</v>
      </c>
      <c r="BO252" s="891">
        <v>328</v>
      </c>
      <c r="BP252" s="892">
        <f>IF(G252="Front",0.5*9.81*0.4535924*(BJ252+BL252*(BM252/BN252)*1.1)*1.1*(BO252/1000),IF(G252="Rear",0.5*9.81*0.4535924*(BK252+BL252*(BM252/BN252)*0.9)*0.9*(BO252/1000),"TBD"))</f>
        <v>3477.404472678787</v>
      </c>
      <c r="BQ252" s="890">
        <v>0.38</v>
      </c>
      <c r="BR252" s="893">
        <v>77</v>
      </c>
      <c r="BS252" s="893">
        <v>70</v>
      </c>
      <c r="BT252" s="969">
        <v>169</v>
      </c>
      <c r="BU252" s="892">
        <f>(2.4525*(BL252*0.4535924)*(0.8*(1000/3600)*BT252)*(BR252/100))/(AF252*2)</f>
        <v>2036.7972676192446</v>
      </c>
      <c r="BV252" s="892">
        <f>(BP252/(M252/1000))/(2*AF252)</f>
        <v>333.02092249365893</v>
      </c>
      <c r="BW252" s="892">
        <f>(1.4*BP252/(M252/1000))/(2*AF252)</f>
        <v>466.22929149112252</v>
      </c>
      <c r="BX252" s="893">
        <f>0.5*(BL252/32.2)*((BO252*0.00328084)^2)*(BS252/100)</f>
        <v>73.320580077629018</v>
      </c>
      <c r="BY252" s="891">
        <v>28</v>
      </c>
      <c r="BZ252" s="909">
        <f>BX252/(L252*BY252)</f>
        <v>9.3188332584683547E-3</v>
      </c>
      <c r="CA252" s="891"/>
      <c r="CB252" s="891"/>
      <c r="CC252" s="893">
        <f>BU252*(2*AF252)/(2*1600)</f>
        <v>58.557921444053278</v>
      </c>
      <c r="CD252" s="893">
        <f>BV252*(2*AF252)/(2*250)</f>
        <v>61.275849738833237</v>
      </c>
      <c r="CE252" s="890" t="str">
        <f>IF((CD252-CC252)&gt;0, "Shear","Power")</f>
        <v>Shear</v>
      </c>
      <c r="CF252" s="915">
        <f>(AF252/MAX(CC252,CD252))-1</f>
        <v>-0.24929641618910514</v>
      </c>
      <c r="CG252" s="890"/>
      <c r="CH252" s="890"/>
      <c r="CI252" s="890"/>
      <c r="CJ252" s="873"/>
      <c r="CK252" s="955"/>
    </row>
    <row r="253" spans="1:92" ht="38.25" x14ac:dyDescent="0.2">
      <c r="A253" s="890">
        <v>66</v>
      </c>
      <c r="B253" s="883" t="s">
        <v>39</v>
      </c>
      <c r="C253" s="883"/>
      <c r="D253" s="883" t="s">
        <v>1787</v>
      </c>
      <c r="E253" s="883" t="s">
        <v>4225</v>
      </c>
      <c r="F253" s="883"/>
      <c r="G253" s="976" t="s">
        <v>1738</v>
      </c>
      <c r="H253" s="870" t="s">
        <v>2114</v>
      </c>
      <c r="I253" s="886" t="s">
        <v>84</v>
      </c>
      <c r="J253" s="883" t="s">
        <v>114</v>
      </c>
      <c r="K253" s="870" t="s">
        <v>666</v>
      </c>
      <c r="L253" s="883">
        <v>288</v>
      </c>
      <c r="M253" s="883">
        <v>117.4</v>
      </c>
      <c r="N253" s="883" t="s">
        <v>1361</v>
      </c>
      <c r="O253" s="870" t="s">
        <v>41</v>
      </c>
      <c r="P253" s="870"/>
      <c r="Q253" s="870"/>
      <c r="R253" s="870"/>
      <c r="S253" s="870"/>
      <c r="T253" s="870"/>
      <c r="U253" s="870"/>
      <c r="V253" s="870"/>
      <c r="W253" s="870"/>
      <c r="X253" s="870"/>
      <c r="Y253" s="870"/>
      <c r="Z253" s="870"/>
      <c r="AA253" s="870"/>
      <c r="AB253" s="870" t="s">
        <v>667</v>
      </c>
      <c r="AC253" s="870" t="s">
        <v>1230</v>
      </c>
      <c r="AD253" s="870" t="s">
        <v>668</v>
      </c>
      <c r="AE253" s="870" t="s">
        <v>120</v>
      </c>
      <c r="AF253" s="883">
        <v>60</v>
      </c>
      <c r="AG253" s="883">
        <v>63</v>
      </c>
      <c r="AH253" s="883" t="s">
        <v>80</v>
      </c>
      <c r="AI253" s="883" t="s">
        <v>122</v>
      </c>
      <c r="AJ253" s="883" t="s">
        <v>234</v>
      </c>
      <c r="AK253" s="980" t="s">
        <v>1231</v>
      </c>
      <c r="AL253" s="883"/>
      <c r="AM253" s="883"/>
      <c r="AN253" s="883" t="s">
        <v>1784</v>
      </c>
      <c r="AO253" s="883">
        <v>0.28000000000000003</v>
      </c>
      <c r="AP253" s="870">
        <v>0.3</v>
      </c>
      <c r="AQ253" s="870"/>
      <c r="AR253" s="888">
        <v>14.25</v>
      </c>
      <c r="AS253" s="888">
        <v>4</v>
      </c>
      <c r="AT253" s="887">
        <v>3.3</v>
      </c>
      <c r="AU253" s="888">
        <v>9.1999999999999993</v>
      </c>
      <c r="AV253" s="888">
        <v>8.3000000000000007</v>
      </c>
      <c r="AW253" s="904">
        <f>(100*PI()*(A253^2))/(40*AO253*AV253*453.5924)</f>
        <v>32.454570002601159</v>
      </c>
      <c r="AX253" s="889">
        <v>36892</v>
      </c>
      <c r="AY253" s="883" t="s">
        <v>1659</v>
      </c>
      <c r="AZ253" s="870">
        <v>400</v>
      </c>
      <c r="BA253" s="870" t="s">
        <v>2115</v>
      </c>
      <c r="BB253" s="870" t="s">
        <v>2116</v>
      </c>
      <c r="BC253" s="883">
        <v>13541801</v>
      </c>
      <c r="BD253" s="870" t="s">
        <v>2117</v>
      </c>
      <c r="BE253" s="870"/>
      <c r="BF253" s="870"/>
      <c r="BG253" s="870"/>
      <c r="BH253" s="870" t="s">
        <v>1809</v>
      </c>
      <c r="BI253" s="977"/>
      <c r="BJ253" s="897"/>
      <c r="BK253" s="897"/>
      <c r="BL253" s="892">
        <f>BJ253+BK253</f>
        <v>0</v>
      </c>
      <c r="BM253" s="897"/>
      <c r="BN253" s="897"/>
      <c r="BO253" s="870"/>
      <c r="BP253" s="892" t="e">
        <f>IF(G253="Front",0.5*9.81*0.4535924*(BJ253+BL253*(BM253/BN253)*1.1)*1.1*(BO253/1000),IF(G253="Rear",0.5*9.81*0.4535924*(BK253+BL253*(BM253/BN253)*0.9)*0.9*(BO253/1000),"TBD"))</f>
        <v>#DIV/0!</v>
      </c>
      <c r="BQ253" s="870">
        <v>0.35</v>
      </c>
      <c r="BR253" s="888"/>
      <c r="BS253" s="893"/>
      <c r="BT253" s="899"/>
      <c r="BU253" s="892">
        <f>(2.4525*(BL253*0.4535924)*(0.8*(1000/3600)*BT253)*(BR253/100))/(AF253*2)</f>
        <v>0</v>
      </c>
      <c r="BV253" s="892" t="e">
        <f>(BP253/(M253/1000))/(2*AF253)</f>
        <v>#DIV/0!</v>
      </c>
      <c r="BW253" s="892" t="e">
        <f>(1.4*BP253/(M253/1000))/(2*AF253)</f>
        <v>#DIV/0!</v>
      </c>
      <c r="BX253" s="893">
        <f>0.5*(BL253/32.2)*((BO253*0.00328084)^2)*(BS253/100)</f>
        <v>0</v>
      </c>
      <c r="BY253" s="891">
        <v>28</v>
      </c>
      <c r="BZ253" s="909">
        <f>BX253/(L253*BY253)</f>
        <v>0</v>
      </c>
      <c r="CA253" s="891">
        <v>208</v>
      </c>
      <c r="CB253" s="891"/>
      <c r="CC253" s="893">
        <f>BU253*(2*AF253)/(2*1600)</f>
        <v>0</v>
      </c>
      <c r="CD253" s="893" t="e">
        <f>BV253*(2*AF253)/(2*250)</f>
        <v>#DIV/0!</v>
      </c>
      <c r="CE253" s="890" t="e">
        <f>IF((CD253-CC253)&gt;0, "Shear","Power")</f>
        <v>#DIV/0!</v>
      </c>
      <c r="CF253" s="915" t="e">
        <f>(AF253/MAX(CC253,CD253))-1</f>
        <v>#DIV/0!</v>
      </c>
      <c r="CG253" s="890"/>
      <c r="CH253" s="890"/>
      <c r="CI253" s="890"/>
      <c r="CJ253" s="873"/>
      <c r="CK253" s="955"/>
    </row>
    <row r="254" spans="1:92" ht="25.5" x14ac:dyDescent="0.2">
      <c r="A254" s="890">
        <v>66</v>
      </c>
      <c r="B254" s="883" t="s">
        <v>2121</v>
      </c>
      <c r="C254" s="883"/>
      <c r="D254" s="883" t="s">
        <v>2567</v>
      </c>
      <c r="E254" s="883" t="s">
        <v>4225</v>
      </c>
      <c r="F254" s="883"/>
      <c r="G254" s="979"/>
      <c r="H254" s="870" t="s">
        <v>2568</v>
      </c>
      <c r="I254" s="886" t="s">
        <v>78</v>
      </c>
      <c r="J254" s="883" t="s">
        <v>114</v>
      </c>
      <c r="K254" s="883"/>
      <c r="L254" s="883">
        <v>280</v>
      </c>
      <c r="M254" s="883">
        <v>114</v>
      </c>
      <c r="N254" s="883" t="s">
        <v>2484</v>
      </c>
      <c r="O254" s="870" t="s">
        <v>116</v>
      </c>
      <c r="P254" s="870"/>
      <c r="Q254" s="870"/>
      <c r="R254" s="870"/>
      <c r="S254" s="870"/>
      <c r="T254" s="870"/>
      <c r="U254" s="870"/>
      <c r="V254" s="870"/>
      <c r="W254" s="870"/>
      <c r="X254" s="870"/>
      <c r="Y254" s="870"/>
      <c r="Z254" s="870"/>
      <c r="AA254" s="870"/>
      <c r="AB254" s="870" t="s">
        <v>2430</v>
      </c>
      <c r="AC254" s="870" t="s">
        <v>710</v>
      </c>
      <c r="AD254" s="870"/>
      <c r="AE254" s="870" t="s">
        <v>1801</v>
      </c>
      <c r="AF254" s="883" t="s">
        <v>943</v>
      </c>
      <c r="AG254" s="883" t="s">
        <v>1175</v>
      </c>
      <c r="AH254" s="883" t="s">
        <v>122</v>
      </c>
      <c r="AI254" s="883" t="s">
        <v>122</v>
      </c>
      <c r="AJ254" s="883" t="s">
        <v>234</v>
      </c>
      <c r="AK254" s="870" t="s">
        <v>1620</v>
      </c>
      <c r="AL254" s="883" t="s">
        <v>1784</v>
      </c>
      <c r="AM254" s="883"/>
      <c r="AN254" s="883"/>
      <c r="AO254" s="883" t="s">
        <v>2566</v>
      </c>
      <c r="AP254" s="883">
        <v>0.45</v>
      </c>
      <c r="AQ254" s="883"/>
      <c r="AR254" s="887">
        <v>9</v>
      </c>
      <c r="AS254" s="888" t="s">
        <v>157</v>
      </c>
      <c r="AT254" s="887" t="s">
        <v>157</v>
      </c>
      <c r="AU254" s="888">
        <v>7.2</v>
      </c>
      <c r="AV254" s="888"/>
      <c r="AW254" s="888"/>
      <c r="AX254" s="889" t="s">
        <v>1789</v>
      </c>
      <c r="AY254" s="883" t="s">
        <v>1659</v>
      </c>
      <c r="AZ254" s="870"/>
      <c r="BA254" s="870" t="s">
        <v>2569</v>
      </c>
      <c r="BB254" s="883" t="s">
        <v>2570</v>
      </c>
      <c r="BC254" s="883">
        <v>12074201</v>
      </c>
      <c r="BD254" s="870" t="s">
        <v>2253</v>
      </c>
      <c r="BE254" s="870"/>
      <c r="BF254" s="870"/>
      <c r="BG254" s="870"/>
      <c r="BH254" s="870" t="s">
        <v>1796</v>
      </c>
      <c r="BI254" s="870"/>
      <c r="BJ254" s="897"/>
      <c r="BK254" s="897"/>
      <c r="BL254" s="897"/>
      <c r="BM254" s="897"/>
      <c r="BN254" s="897"/>
      <c r="BO254" s="870"/>
      <c r="BP254" s="898" t="e">
        <f>1/2*9.8*(BJ254/2.2+BL254/2.2*BM254/BN254*1)*1*BO254/1000</f>
        <v>#DIV/0!</v>
      </c>
      <c r="BQ254" s="870">
        <v>0.35</v>
      </c>
      <c r="BR254" s="888"/>
      <c r="BS254" s="888"/>
      <c r="BT254" s="899"/>
      <c r="BU254" s="897"/>
      <c r="BV254" s="897"/>
      <c r="BW254" s="897"/>
      <c r="BX254" s="890"/>
      <c r="BY254" s="890"/>
      <c r="BZ254" s="895"/>
      <c r="CA254" s="890"/>
      <c r="CB254" s="890"/>
      <c r="CC254" s="893"/>
      <c r="CD254" s="893"/>
      <c r="CE254" s="890"/>
      <c r="CF254" s="890"/>
      <c r="CG254" s="890"/>
      <c r="CH254" s="890"/>
      <c r="CI254" s="890"/>
      <c r="CJ254" s="873"/>
      <c r="CK254" s="955"/>
    </row>
    <row r="255" spans="1:92" ht="45" customHeight="1" x14ac:dyDescent="0.2">
      <c r="A255" s="890">
        <v>66</v>
      </c>
      <c r="B255" s="883" t="s">
        <v>2571</v>
      </c>
      <c r="C255" s="883"/>
      <c r="D255" s="883" t="s">
        <v>848</v>
      </c>
      <c r="E255" s="883" t="s">
        <v>4225</v>
      </c>
      <c r="F255" s="883"/>
      <c r="G255" s="885"/>
      <c r="H255" s="870" t="s">
        <v>2575</v>
      </c>
      <c r="I255" s="886" t="s">
        <v>1527</v>
      </c>
      <c r="J255" s="883" t="s">
        <v>114</v>
      </c>
      <c r="K255" s="883"/>
      <c r="L255" s="883">
        <v>276</v>
      </c>
      <c r="M255" s="883">
        <v>111</v>
      </c>
      <c r="N255" s="883" t="s">
        <v>1705</v>
      </c>
      <c r="O255" s="870" t="s">
        <v>41</v>
      </c>
      <c r="P255" s="870"/>
      <c r="Q255" s="870"/>
      <c r="R255" s="870"/>
      <c r="S255" s="870"/>
      <c r="T255" s="870"/>
      <c r="U255" s="870"/>
      <c r="V255" s="870"/>
      <c r="W255" s="870"/>
      <c r="X255" s="870"/>
      <c r="Y255" s="870"/>
      <c r="Z255" s="870"/>
      <c r="AA255" s="870"/>
      <c r="AB255" s="870" t="s">
        <v>2572</v>
      </c>
      <c r="AC255" s="870" t="s">
        <v>710</v>
      </c>
      <c r="AD255" s="870" t="s">
        <v>2573</v>
      </c>
      <c r="AE255" s="870" t="s">
        <v>120</v>
      </c>
      <c r="AF255" s="883">
        <v>53.09</v>
      </c>
      <c r="AG255" s="883">
        <v>55.7</v>
      </c>
      <c r="AH255" s="883" t="s">
        <v>122</v>
      </c>
      <c r="AI255" s="883" t="s">
        <v>122</v>
      </c>
      <c r="AJ255" s="883" t="s">
        <v>2871</v>
      </c>
      <c r="AK255" s="870" t="s">
        <v>2574</v>
      </c>
      <c r="AL255" s="883"/>
      <c r="AM255" s="883"/>
      <c r="AN255" s="883" t="s">
        <v>1784</v>
      </c>
      <c r="AO255" s="883"/>
      <c r="AP255" s="883">
        <v>0.35</v>
      </c>
      <c r="AQ255" s="883"/>
      <c r="AR255" s="918">
        <v>13.9</v>
      </c>
      <c r="AS255" s="888">
        <v>3.5</v>
      </c>
      <c r="AT255" s="887">
        <v>3.5</v>
      </c>
      <c r="AU255" s="888">
        <v>7.5</v>
      </c>
      <c r="AV255" s="888"/>
      <c r="AW255" s="888"/>
      <c r="AX255" s="889" t="s">
        <v>1970</v>
      </c>
      <c r="AY255" s="883" t="s">
        <v>2576</v>
      </c>
      <c r="AZ255" s="870"/>
      <c r="BA255" s="870" t="s">
        <v>2577</v>
      </c>
      <c r="BB255" s="883" t="s">
        <v>2578</v>
      </c>
      <c r="BC255" s="883" t="s">
        <v>1525</v>
      </c>
      <c r="BD255" s="870" t="s">
        <v>1526</v>
      </c>
      <c r="BE255" s="870"/>
      <c r="BF255" s="870"/>
      <c r="BG255" s="870"/>
      <c r="BH255" s="891" t="s">
        <v>1528</v>
      </c>
      <c r="BI255" s="890"/>
      <c r="BJ255" s="892"/>
      <c r="BK255" s="892"/>
      <c r="BL255" s="892"/>
      <c r="BM255" s="892"/>
      <c r="BN255" s="892"/>
      <c r="BO255" s="890"/>
      <c r="BP255" s="892"/>
      <c r="BQ255" s="890"/>
      <c r="BR255" s="893"/>
      <c r="BS255" s="893"/>
      <c r="BT255" s="894"/>
      <c r="BU255" s="892"/>
      <c r="BV255" s="892"/>
      <c r="BW255" s="892"/>
      <c r="BX255" s="890"/>
      <c r="BY255" s="890"/>
      <c r="BZ255" s="895"/>
      <c r="CA255" s="890"/>
      <c r="CB255" s="890"/>
      <c r="CC255" s="893"/>
      <c r="CD255" s="893"/>
      <c r="CE255" s="890"/>
      <c r="CF255" s="890"/>
      <c r="CG255" s="890"/>
      <c r="CH255" s="890"/>
      <c r="CI255" s="890"/>
      <c r="CJ255" s="873"/>
      <c r="CK255" s="955"/>
      <c r="CL255" s="324"/>
      <c r="CM255" s="324"/>
      <c r="CN255" s="324"/>
    </row>
    <row r="256" spans="1:92" x14ac:dyDescent="0.2">
      <c r="A256" s="890">
        <v>66</v>
      </c>
      <c r="B256" s="883" t="s">
        <v>2571</v>
      </c>
      <c r="C256" s="883"/>
      <c r="D256" s="883" t="s">
        <v>848</v>
      </c>
      <c r="E256" s="883" t="s">
        <v>4225</v>
      </c>
      <c r="F256" s="883"/>
      <c r="G256" s="979"/>
      <c r="H256" s="870" t="s">
        <v>1531</v>
      </c>
      <c r="I256" s="886" t="s">
        <v>1527</v>
      </c>
      <c r="J256" s="883" t="s">
        <v>114</v>
      </c>
      <c r="K256" s="883"/>
      <c r="L256" s="883">
        <v>276</v>
      </c>
      <c r="M256" s="883">
        <v>111</v>
      </c>
      <c r="N256" s="883" t="s">
        <v>1705</v>
      </c>
      <c r="O256" s="870" t="s">
        <v>1706</v>
      </c>
      <c r="P256" s="870"/>
      <c r="Q256" s="870"/>
      <c r="R256" s="870"/>
      <c r="S256" s="870"/>
      <c r="T256" s="870"/>
      <c r="U256" s="870"/>
      <c r="V256" s="870"/>
      <c r="W256" s="870"/>
      <c r="X256" s="870"/>
      <c r="Y256" s="870"/>
      <c r="Z256" s="870"/>
      <c r="AA256" s="870"/>
      <c r="AB256" s="870" t="s">
        <v>1529</v>
      </c>
      <c r="AC256" s="870" t="s">
        <v>119</v>
      </c>
      <c r="AD256" s="870" t="s">
        <v>2573</v>
      </c>
      <c r="AE256" s="870" t="s">
        <v>120</v>
      </c>
      <c r="AF256" s="883">
        <v>53.09</v>
      </c>
      <c r="AG256" s="883">
        <v>55.7</v>
      </c>
      <c r="AH256" s="883" t="s">
        <v>122</v>
      </c>
      <c r="AI256" s="883" t="s">
        <v>122</v>
      </c>
      <c r="AJ256" s="883" t="s">
        <v>2871</v>
      </c>
      <c r="AK256" s="870" t="s">
        <v>1530</v>
      </c>
      <c r="AL256" s="883"/>
      <c r="AM256" s="883"/>
      <c r="AN256" s="883" t="s">
        <v>1784</v>
      </c>
      <c r="AO256" s="883"/>
      <c r="AP256" s="883">
        <v>0.35</v>
      </c>
      <c r="AQ256" s="883"/>
      <c r="AR256" s="918">
        <v>13.9</v>
      </c>
      <c r="AS256" s="888">
        <v>3.5</v>
      </c>
      <c r="AT256" s="887">
        <v>3.5</v>
      </c>
      <c r="AU256" s="888">
        <v>7.5</v>
      </c>
      <c r="AV256" s="888"/>
      <c r="AW256" s="888"/>
      <c r="AX256" s="889" t="s">
        <v>1970</v>
      </c>
      <c r="AY256" s="883" t="s">
        <v>2576</v>
      </c>
      <c r="AZ256" s="870">
        <v>0</v>
      </c>
      <c r="BA256" s="870" t="s">
        <v>1532</v>
      </c>
      <c r="BB256" s="883" t="s">
        <v>1533</v>
      </c>
      <c r="BC256" s="883" t="s">
        <v>1525</v>
      </c>
      <c r="BD256" s="870" t="s">
        <v>1534</v>
      </c>
      <c r="BE256" s="870"/>
      <c r="BF256" s="870"/>
      <c r="BG256" s="870"/>
      <c r="BH256" s="891" t="s">
        <v>1528</v>
      </c>
      <c r="BI256" s="870"/>
      <c r="BJ256" s="892"/>
      <c r="BK256" s="892"/>
      <c r="BL256" s="892"/>
      <c r="BM256" s="892"/>
      <c r="BN256" s="892"/>
      <c r="BO256" s="890"/>
      <c r="BP256" s="892"/>
      <c r="BQ256" s="890"/>
      <c r="BR256" s="893"/>
      <c r="BS256" s="893"/>
      <c r="BT256" s="894"/>
      <c r="BU256" s="892"/>
      <c r="BV256" s="892"/>
      <c r="BW256" s="892"/>
      <c r="BX256" s="890"/>
      <c r="BY256" s="890"/>
      <c r="BZ256" s="895"/>
      <c r="CA256" s="890"/>
      <c r="CB256" s="890"/>
      <c r="CC256" s="893"/>
      <c r="CD256" s="893"/>
      <c r="CE256" s="890"/>
      <c r="CF256" s="890"/>
      <c r="CG256" s="890"/>
      <c r="CH256" s="890"/>
      <c r="CI256" s="890"/>
      <c r="CJ256" s="882"/>
      <c r="CK256" s="990" t="s">
        <v>1127</v>
      </c>
    </row>
    <row r="257" spans="1:89" x14ac:dyDescent="0.2">
      <c r="A257" s="890">
        <v>66</v>
      </c>
      <c r="B257" s="883" t="s">
        <v>2571</v>
      </c>
      <c r="C257" s="883"/>
      <c r="D257" s="883" t="s">
        <v>848</v>
      </c>
      <c r="E257" s="883" t="s">
        <v>4225</v>
      </c>
      <c r="F257" s="883"/>
      <c r="G257" s="885"/>
      <c r="H257" s="870" t="s">
        <v>1553</v>
      </c>
      <c r="I257" s="886" t="s">
        <v>1527</v>
      </c>
      <c r="J257" s="883" t="s">
        <v>114</v>
      </c>
      <c r="K257" s="883"/>
      <c r="L257" s="883">
        <v>294</v>
      </c>
      <c r="M257" s="883">
        <v>120</v>
      </c>
      <c r="N257" s="883" t="s">
        <v>1361</v>
      </c>
      <c r="O257" s="870" t="s">
        <v>1706</v>
      </c>
      <c r="P257" s="870"/>
      <c r="Q257" s="870"/>
      <c r="R257" s="870"/>
      <c r="S257" s="870"/>
      <c r="T257" s="870"/>
      <c r="U257" s="870"/>
      <c r="V257" s="870"/>
      <c r="W257" s="870"/>
      <c r="X257" s="870"/>
      <c r="Y257" s="870"/>
      <c r="Z257" s="870"/>
      <c r="AA257" s="870"/>
      <c r="AB257" s="870" t="s">
        <v>1551</v>
      </c>
      <c r="AC257" s="870" t="s">
        <v>119</v>
      </c>
      <c r="AD257" s="870" t="s">
        <v>1552</v>
      </c>
      <c r="AE257" s="870" t="s">
        <v>120</v>
      </c>
      <c r="AF257" s="883">
        <v>58.23</v>
      </c>
      <c r="AG257" s="883">
        <v>61.1</v>
      </c>
      <c r="AH257" s="883" t="s">
        <v>122</v>
      </c>
      <c r="AI257" s="883" t="s">
        <v>122</v>
      </c>
      <c r="AJ257" s="883" t="s">
        <v>2871</v>
      </c>
      <c r="AK257" s="870" t="s">
        <v>2574</v>
      </c>
      <c r="AL257" s="883"/>
      <c r="AM257" s="883"/>
      <c r="AN257" s="883" t="s">
        <v>1784</v>
      </c>
      <c r="AO257" s="883"/>
      <c r="AP257" s="883">
        <v>0.41</v>
      </c>
      <c r="AQ257" s="883"/>
      <c r="AR257" s="918">
        <v>13.9</v>
      </c>
      <c r="AS257" s="888">
        <v>4.2</v>
      </c>
      <c r="AT257" s="887">
        <v>3.5</v>
      </c>
      <c r="AU257" s="888">
        <v>8</v>
      </c>
      <c r="AV257" s="888"/>
      <c r="AW257" s="888"/>
      <c r="AX257" s="889" t="s">
        <v>1789</v>
      </c>
      <c r="AY257" s="883" t="s">
        <v>2576</v>
      </c>
      <c r="AZ257" s="870">
        <v>70</v>
      </c>
      <c r="BA257" s="870" t="s">
        <v>1554</v>
      </c>
      <c r="BB257" s="883" t="s">
        <v>1555</v>
      </c>
      <c r="BC257" s="883" t="s">
        <v>1556</v>
      </c>
      <c r="BD257" s="870" t="s">
        <v>1557</v>
      </c>
      <c r="BE257" s="870"/>
      <c r="BF257" s="870"/>
      <c r="BG257" s="870"/>
      <c r="BH257" s="891" t="s">
        <v>1558</v>
      </c>
      <c r="BI257" s="890"/>
      <c r="BJ257" s="892"/>
      <c r="BK257" s="892"/>
      <c r="BL257" s="892"/>
      <c r="BM257" s="892"/>
      <c r="BN257" s="892"/>
      <c r="BO257" s="890"/>
      <c r="BP257" s="892"/>
      <c r="BQ257" s="890"/>
      <c r="BR257" s="893"/>
      <c r="BS257" s="893"/>
      <c r="BT257" s="894"/>
      <c r="BU257" s="892"/>
      <c r="BV257" s="892"/>
      <c r="BW257" s="892"/>
      <c r="BX257" s="890"/>
      <c r="BY257" s="890"/>
      <c r="BZ257" s="895"/>
      <c r="CA257" s="890"/>
      <c r="CB257" s="890"/>
      <c r="CC257" s="893"/>
      <c r="CD257" s="893"/>
      <c r="CE257" s="890"/>
      <c r="CF257" s="890"/>
      <c r="CG257" s="890"/>
      <c r="CH257" s="890"/>
      <c r="CI257" s="890"/>
      <c r="CJ257" s="873"/>
      <c r="CK257" s="955"/>
    </row>
    <row r="258" spans="1:89" x14ac:dyDescent="0.2">
      <c r="A258" s="890">
        <v>66</v>
      </c>
      <c r="B258" s="883" t="s">
        <v>2571</v>
      </c>
      <c r="C258" s="883"/>
      <c r="D258" s="883" t="s">
        <v>848</v>
      </c>
      <c r="E258" s="883" t="s">
        <v>4225</v>
      </c>
      <c r="F258" s="883"/>
      <c r="G258" s="979"/>
      <c r="H258" s="870" t="s">
        <v>1560</v>
      </c>
      <c r="I258" s="886" t="s">
        <v>1527</v>
      </c>
      <c r="J258" s="883" t="s">
        <v>114</v>
      </c>
      <c r="K258" s="883"/>
      <c r="L258" s="883">
        <v>294</v>
      </c>
      <c r="M258" s="883">
        <v>120</v>
      </c>
      <c r="N258" s="883" t="s">
        <v>1361</v>
      </c>
      <c r="O258" s="870" t="s">
        <v>1706</v>
      </c>
      <c r="P258" s="870"/>
      <c r="Q258" s="870"/>
      <c r="R258" s="870"/>
      <c r="S258" s="870"/>
      <c r="T258" s="870"/>
      <c r="U258" s="870"/>
      <c r="V258" s="870"/>
      <c r="W258" s="870"/>
      <c r="X258" s="870"/>
      <c r="Y258" s="870"/>
      <c r="Z258" s="870"/>
      <c r="AA258" s="870"/>
      <c r="AB258" s="870" t="s">
        <v>1559</v>
      </c>
      <c r="AC258" s="870" t="s">
        <v>119</v>
      </c>
      <c r="AD258" s="870" t="s">
        <v>1552</v>
      </c>
      <c r="AE258" s="870" t="s">
        <v>120</v>
      </c>
      <c r="AF258" s="883">
        <v>58.23</v>
      </c>
      <c r="AG258" s="883">
        <v>61.1</v>
      </c>
      <c r="AH258" s="883" t="s">
        <v>122</v>
      </c>
      <c r="AI258" s="883" t="s">
        <v>122</v>
      </c>
      <c r="AJ258" s="883" t="s">
        <v>2871</v>
      </c>
      <c r="AK258" s="870" t="s">
        <v>1530</v>
      </c>
      <c r="AL258" s="883"/>
      <c r="AM258" s="883"/>
      <c r="AN258" s="883" t="s">
        <v>1784</v>
      </c>
      <c r="AO258" s="883"/>
      <c r="AP258" s="883">
        <v>0.41</v>
      </c>
      <c r="AQ258" s="883"/>
      <c r="AR258" s="918">
        <v>13.9</v>
      </c>
      <c r="AS258" s="888">
        <v>3.7</v>
      </c>
      <c r="AT258" s="887">
        <v>3.5</v>
      </c>
      <c r="AU258" s="888">
        <v>8</v>
      </c>
      <c r="AV258" s="888"/>
      <c r="AW258" s="888"/>
      <c r="AX258" s="889" t="s">
        <v>1789</v>
      </c>
      <c r="AY258" s="883" t="s">
        <v>2576</v>
      </c>
      <c r="AZ258" s="870">
        <v>2</v>
      </c>
      <c r="BA258" s="870" t="s">
        <v>2446</v>
      </c>
      <c r="BB258" s="883" t="s">
        <v>2447</v>
      </c>
      <c r="BC258" s="883" t="s">
        <v>1556</v>
      </c>
      <c r="BD258" s="870" t="s">
        <v>2448</v>
      </c>
      <c r="BE258" s="870"/>
      <c r="BF258" s="870"/>
      <c r="BG258" s="870"/>
      <c r="BH258" s="891" t="s">
        <v>2449</v>
      </c>
      <c r="BI258" s="870"/>
      <c r="BJ258" s="892"/>
      <c r="BK258" s="892"/>
      <c r="BL258" s="892"/>
      <c r="BM258" s="892"/>
      <c r="BN258" s="892"/>
      <c r="BO258" s="890"/>
      <c r="BP258" s="892"/>
      <c r="BQ258" s="890"/>
      <c r="BR258" s="893"/>
      <c r="BS258" s="893"/>
      <c r="BT258" s="894"/>
      <c r="BU258" s="892"/>
      <c r="BV258" s="892"/>
      <c r="BW258" s="892"/>
      <c r="BX258" s="890"/>
      <c r="BY258" s="890"/>
      <c r="BZ258" s="895"/>
      <c r="CA258" s="890"/>
      <c r="CB258" s="890"/>
      <c r="CC258" s="893"/>
      <c r="CD258" s="893"/>
      <c r="CE258" s="890"/>
      <c r="CF258" s="890"/>
      <c r="CG258" s="890"/>
      <c r="CH258" s="890"/>
      <c r="CI258" s="890"/>
      <c r="CJ258" s="873"/>
      <c r="CK258" s="955"/>
    </row>
    <row r="259" spans="1:89" ht="25.5" x14ac:dyDescent="0.2">
      <c r="A259" s="893">
        <f>SQRT(2*48^2)</f>
        <v>67.882250993908556</v>
      </c>
      <c r="B259" s="883" t="s">
        <v>1608</v>
      </c>
      <c r="C259" s="883"/>
      <c r="D259" s="870" t="s">
        <v>793</v>
      </c>
      <c r="E259" s="883" t="s">
        <v>4225</v>
      </c>
      <c r="F259" s="883">
        <v>2012</v>
      </c>
      <c r="G259" s="901" t="s">
        <v>1797</v>
      </c>
      <c r="H259" s="870" t="s">
        <v>1217</v>
      </c>
      <c r="I259" s="886" t="s">
        <v>1714</v>
      </c>
      <c r="J259" s="883" t="s">
        <v>114</v>
      </c>
      <c r="K259" s="870" t="s">
        <v>535</v>
      </c>
      <c r="L259" s="883">
        <v>340</v>
      </c>
      <c r="M259" s="883">
        <v>145</v>
      </c>
      <c r="N259" s="883" t="s">
        <v>197</v>
      </c>
      <c r="O259" s="870" t="s">
        <v>211</v>
      </c>
      <c r="P259" s="870"/>
      <c r="Q259" s="870"/>
      <c r="R259" s="870"/>
      <c r="S259" s="870"/>
      <c r="T259" s="870"/>
      <c r="U259" s="870"/>
      <c r="V259" s="870"/>
      <c r="W259" s="870"/>
      <c r="X259" s="870"/>
      <c r="Y259" s="870"/>
      <c r="Z259" s="870"/>
      <c r="AA259" s="870"/>
      <c r="AB259" s="870" t="s">
        <v>345</v>
      </c>
      <c r="AC259" s="870" t="s">
        <v>710</v>
      </c>
      <c r="AD259" s="870" t="s">
        <v>2161</v>
      </c>
      <c r="AE259" s="883" t="s">
        <v>91</v>
      </c>
      <c r="AF259" s="883">
        <v>61.7</v>
      </c>
      <c r="AG259" s="883">
        <v>362.2</v>
      </c>
      <c r="AH259" s="883" t="s">
        <v>122</v>
      </c>
      <c r="AI259" s="883" t="s">
        <v>122</v>
      </c>
      <c r="AJ259" s="870" t="s">
        <v>2162</v>
      </c>
      <c r="AK259" s="870" t="s">
        <v>2163</v>
      </c>
      <c r="AL259" s="883"/>
      <c r="AM259" s="883"/>
      <c r="AN259" s="883" t="s">
        <v>1784</v>
      </c>
      <c r="AO259" s="883">
        <v>0.28000000000000003</v>
      </c>
      <c r="AP259" s="870">
        <v>0.27</v>
      </c>
      <c r="AQ259" s="870"/>
      <c r="AR259" s="887">
        <f>9.67*2.2</f>
        <v>21.274000000000001</v>
      </c>
      <c r="AS259" s="888">
        <v>6</v>
      </c>
      <c r="AT259" s="887">
        <v>5.4</v>
      </c>
      <c r="AU259" s="888">
        <v>11.9</v>
      </c>
      <c r="AV259" s="888">
        <v>10.9</v>
      </c>
      <c r="AW259" s="904">
        <v>34.200000000000003</v>
      </c>
      <c r="AX259" s="889">
        <v>39998</v>
      </c>
      <c r="AY259" s="890" t="s">
        <v>2093</v>
      </c>
      <c r="AZ259" s="870">
        <v>540</v>
      </c>
      <c r="BA259" s="870" t="s">
        <v>407</v>
      </c>
      <c r="BB259" s="870" t="s">
        <v>797</v>
      </c>
      <c r="BC259" s="883">
        <v>16611100</v>
      </c>
      <c r="BD259" s="870" t="s">
        <v>409</v>
      </c>
      <c r="BE259" s="870"/>
      <c r="BF259" s="870"/>
      <c r="BG259" s="870"/>
      <c r="BH259" s="891" t="s">
        <v>530</v>
      </c>
      <c r="BI259" s="914">
        <v>40799</v>
      </c>
      <c r="BJ259" s="907">
        <f>3086*2.2</f>
        <v>6789.2000000000007</v>
      </c>
      <c r="BK259" s="907">
        <f>1948*2.2</f>
        <v>4285.6000000000004</v>
      </c>
      <c r="BL259" s="907">
        <f>BJ259+BK259</f>
        <v>11074.800000000001</v>
      </c>
      <c r="BM259" s="907">
        <v>787.4</v>
      </c>
      <c r="BN259" s="907">
        <v>4369</v>
      </c>
      <c r="BO259" s="891">
        <v>404</v>
      </c>
      <c r="BP259" s="892">
        <v>6925.2366720124801</v>
      </c>
      <c r="BQ259" s="891">
        <v>0.36</v>
      </c>
      <c r="BR259" s="904">
        <v>39</v>
      </c>
      <c r="BS259" s="904">
        <v>39</v>
      </c>
      <c r="BT259" s="943">
        <v>152.9</v>
      </c>
      <c r="BU259" s="892">
        <v>1573.3451419463252</v>
      </c>
      <c r="BV259" s="892">
        <v>406.0293545973546</v>
      </c>
      <c r="BW259" s="892">
        <v>568.44109643629633</v>
      </c>
      <c r="BX259" s="893">
        <v>118.01399241314363</v>
      </c>
      <c r="BY259" s="891">
        <v>34</v>
      </c>
      <c r="BZ259" s="909">
        <v>8.9812779614264551E-3</v>
      </c>
      <c r="CA259" s="891">
        <v>193</v>
      </c>
      <c r="CB259" s="891">
        <v>275</v>
      </c>
      <c r="CC259" s="893">
        <v>51.133717113255571</v>
      </c>
      <c r="CD259" s="893">
        <v>84.45410575624976</v>
      </c>
      <c r="CE259" s="890" t="s">
        <v>1049</v>
      </c>
      <c r="CF259" s="915">
        <v>-0.38428097089700219</v>
      </c>
      <c r="CG259" s="890">
        <v>3.54</v>
      </c>
      <c r="CH259" s="890">
        <v>2.4</v>
      </c>
      <c r="CI259" s="890">
        <v>2.2800000000000001E-2</v>
      </c>
      <c r="CJ259" s="873"/>
      <c r="CK259" s="955"/>
    </row>
    <row r="260" spans="1:89" ht="38.25" x14ac:dyDescent="0.2">
      <c r="A260" s="893">
        <f>SQRT(2*48^2)</f>
        <v>67.882250993908556</v>
      </c>
      <c r="B260" s="883" t="s">
        <v>1608</v>
      </c>
      <c r="C260" s="883"/>
      <c r="D260" s="883" t="s">
        <v>1091</v>
      </c>
      <c r="E260" s="883" t="s">
        <v>4225</v>
      </c>
      <c r="F260" s="883">
        <v>2005</v>
      </c>
      <c r="G260" s="901" t="s">
        <v>1797</v>
      </c>
      <c r="H260" s="870" t="s">
        <v>527</v>
      </c>
      <c r="I260" s="886" t="s">
        <v>2906</v>
      </c>
      <c r="J260" s="883" t="s">
        <v>114</v>
      </c>
      <c r="K260" s="870" t="s">
        <v>343</v>
      </c>
      <c r="L260" s="883">
        <v>340</v>
      </c>
      <c r="M260" s="883">
        <v>145.5</v>
      </c>
      <c r="N260" s="883" t="s">
        <v>197</v>
      </c>
      <c r="O260" s="870" t="s">
        <v>344</v>
      </c>
      <c r="P260" s="870"/>
      <c r="Q260" s="870"/>
      <c r="R260" s="870"/>
      <c r="S260" s="870"/>
      <c r="T260" s="870"/>
      <c r="U260" s="870"/>
      <c r="V260" s="870"/>
      <c r="W260" s="870"/>
      <c r="X260" s="870"/>
      <c r="Y260" s="870"/>
      <c r="Z260" s="870"/>
      <c r="AA260" s="870"/>
      <c r="AB260" s="870" t="s">
        <v>345</v>
      </c>
      <c r="AC260" s="870" t="s">
        <v>710</v>
      </c>
      <c r="AD260" s="870" t="s">
        <v>2161</v>
      </c>
      <c r="AE260" s="883" t="s">
        <v>91</v>
      </c>
      <c r="AF260" s="883">
        <v>51.99</v>
      </c>
      <c r="AG260" s="883">
        <v>63.06</v>
      </c>
      <c r="AH260" s="883" t="s">
        <v>80</v>
      </c>
      <c r="AI260" s="883" t="s">
        <v>80</v>
      </c>
      <c r="AJ260" s="870" t="s">
        <v>2162</v>
      </c>
      <c r="AK260" s="870" t="s">
        <v>2163</v>
      </c>
      <c r="AL260" s="883"/>
      <c r="AM260" s="883"/>
      <c r="AN260" s="883" t="s">
        <v>1784</v>
      </c>
      <c r="AO260" s="883">
        <v>0.31</v>
      </c>
      <c r="AP260" s="870">
        <v>0.27</v>
      </c>
      <c r="AQ260" s="870"/>
      <c r="AR260" s="887">
        <v>19.600000000000001</v>
      </c>
      <c r="AS260" s="888">
        <v>6</v>
      </c>
      <c r="AT260" s="887">
        <v>5.4</v>
      </c>
      <c r="AU260" s="888">
        <v>11.9</v>
      </c>
      <c r="AV260" s="888">
        <v>10.9</v>
      </c>
      <c r="AW260" s="904">
        <v>34.200000000000003</v>
      </c>
      <c r="AX260" s="889">
        <v>38172</v>
      </c>
      <c r="AY260" s="883" t="s">
        <v>2399</v>
      </c>
      <c r="AZ260" s="870">
        <v>540</v>
      </c>
      <c r="BA260" s="870" t="s">
        <v>2164</v>
      </c>
      <c r="BB260" s="870" t="s">
        <v>2167</v>
      </c>
      <c r="BC260" s="883" t="s">
        <v>2168</v>
      </c>
      <c r="BD260" s="870" t="s">
        <v>2148</v>
      </c>
      <c r="BE260" s="870"/>
      <c r="BF260" s="870"/>
      <c r="BG260" s="870"/>
      <c r="BH260" s="891" t="s">
        <v>2149</v>
      </c>
      <c r="BI260" s="914">
        <v>39595</v>
      </c>
      <c r="BJ260" s="907">
        <v>4296</v>
      </c>
      <c r="BK260" s="907">
        <v>6804</v>
      </c>
      <c r="BL260" s="907">
        <v>11100</v>
      </c>
      <c r="BM260" s="907">
        <v>787.4</v>
      </c>
      <c r="BN260" s="907">
        <v>4470.3999999999996</v>
      </c>
      <c r="BO260" s="891">
        <v>403.86</v>
      </c>
      <c r="BP260" s="892">
        <v>6925.2366720124801</v>
      </c>
      <c r="BQ260" s="891">
        <v>0.35</v>
      </c>
      <c r="BR260" s="904">
        <v>50</v>
      </c>
      <c r="BS260" s="904">
        <v>45</v>
      </c>
      <c r="BT260" s="943">
        <v>152.9</v>
      </c>
      <c r="BU260" s="892">
        <v>2017.4971365600118</v>
      </c>
      <c r="BV260" s="892">
        <v>457.74310761668283</v>
      </c>
      <c r="BW260" s="892">
        <v>640.84035066335582</v>
      </c>
      <c r="BX260" s="893">
        <v>136.16999124593494</v>
      </c>
      <c r="BY260" s="891">
        <v>34</v>
      </c>
      <c r="BZ260" s="909">
        <v>1.1779411007433817E-2</v>
      </c>
      <c r="CA260" s="891">
        <v>193</v>
      </c>
      <c r="CB260" s="891">
        <v>275</v>
      </c>
      <c r="CC260" s="893">
        <v>65.556047581096877</v>
      </c>
      <c r="CD260" s="893">
        <v>95.192256659965366</v>
      </c>
      <c r="CE260" s="890" t="s">
        <v>1049</v>
      </c>
      <c r="CF260" s="915">
        <v>-0.45384213144864716</v>
      </c>
      <c r="CG260" s="890">
        <v>3.54</v>
      </c>
      <c r="CH260" s="890">
        <v>2.4</v>
      </c>
      <c r="CI260" s="890">
        <v>2.2800000000000001E-2</v>
      </c>
      <c r="CJ260" s="873"/>
      <c r="CK260" s="955"/>
    </row>
    <row r="261" spans="1:89" ht="25.5" x14ac:dyDescent="0.2">
      <c r="A261" s="893">
        <f>SQRT(2*48^2)</f>
        <v>67.882250993908556</v>
      </c>
      <c r="B261" s="883" t="s">
        <v>2319</v>
      </c>
      <c r="C261" s="883"/>
      <c r="D261" s="883" t="s">
        <v>638</v>
      </c>
      <c r="E261" s="883" t="s">
        <v>4225</v>
      </c>
      <c r="F261" s="883"/>
      <c r="G261" s="901" t="s">
        <v>1738</v>
      </c>
      <c r="H261" s="870" t="s">
        <v>2324</v>
      </c>
      <c r="I261" s="902" t="s">
        <v>2874</v>
      </c>
      <c r="J261" s="883" t="s">
        <v>114</v>
      </c>
      <c r="K261" s="883" t="s">
        <v>2320</v>
      </c>
      <c r="L261" s="883">
        <v>329</v>
      </c>
      <c r="M261" s="883">
        <v>147</v>
      </c>
      <c r="N261" s="883" t="s">
        <v>197</v>
      </c>
      <c r="O261" s="870" t="s">
        <v>2321</v>
      </c>
      <c r="P261" s="870"/>
      <c r="Q261" s="870"/>
      <c r="R261" s="870"/>
      <c r="S261" s="883"/>
      <c r="T261" s="883"/>
      <c r="U261" s="883"/>
      <c r="V261" s="883"/>
      <c r="W261" s="870"/>
      <c r="X261" s="883"/>
      <c r="Y261" s="870"/>
      <c r="Z261" s="870"/>
      <c r="AA261" s="883"/>
      <c r="AB261" s="870"/>
      <c r="AC261" s="870" t="s">
        <v>83</v>
      </c>
      <c r="AD261" s="870"/>
      <c r="AE261" s="883" t="s">
        <v>120</v>
      </c>
      <c r="AF261" s="883">
        <v>58</v>
      </c>
      <c r="AG261" s="883">
        <v>69.5</v>
      </c>
      <c r="AH261" s="883" t="s">
        <v>122</v>
      </c>
      <c r="AI261" s="883" t="s">
        <v>122</v>
      </c>
      <c r="AJ261" s="870" t="s">
        <v>2322</v>
      </c>
      <c r="AK261" s="870" t="s">
        <v>2323</v>
      </c>
      <c r="AL261" s="883"/>
      <c r="AM261" s="883"/>
      <c r="AN261" s="883" t="s">
        <v>1784</v>
      </c>
      <c r="AO261" s="883">
        <v>0.23</v>
      </c>
      <c r="AP261" s="883" t="s">
        <v>1921</v>
      </c>
      <c r="AQ261" s="883"/>
      <c r="AR261" s="887" t="s">
        <v>1487</v>
      </c>
      <c r="AS261" s="888">
        <v>4.5</v>
      </c>
      <c r="AT261" s="887" t="s">
        <v>2652</v>
      </c>
      <c r="AU261" s="888">
        <v>9.4</v>
      </c>
      <c r="AV261" s="888" t="s">
        <v>2653</v>
      </c>
      <c r="AW261" s="904" t="e">
        <f>(100*PI()*(A261^2))/(40*AO261*AV261*453.5924)</f>
        <v>#VALUE!</v>
      </c>
      <c r="AX261" s="889" t="s">
        <v>819</v>
      </c>
      <c r="AY261" s="883" t="s">
        <v>819</v>
      </c>
      <c r="AZ261" s="883" t="s">
        <v>819</v>
      </c>
      <c r="BA261" s="883" t="s">
        <v>1921</v>
      </c>
      <c r="BB261" s="883" t="s">
        <v>819</v>
      </c>
      <c r="BC261" s="883" t="s">
        <v>1921</v>
      </c>
      <c r="BD261" s="883" t="s">
        <v>1921</v>
      </c>
      <c r="BE261" s="883"/>
      <c r="BF261" s="883"/>
      <c r="BG261" s="883"/>
      <c r="BH261" s="891" t="s">
        <v>1796</v>
      </c>
      <c r="BI261" s="994">
        <v>37761</v>
      </c>
      <c r="BJ261" s="907">
        <v>2645</v>
      </c>
      <c r="BK261" s="907">
        <v>2257</v>
      </c>
      <c r="BL261" s="907">
        <f t="shared" ref="BL261:BL268" si="6">BJ261+BK261</f>
        <v>4902</v>
      </c>
      <c r="BM261" s="907">
        <v>681</v>
      </c>
      <c r="BN261" s="907">
        <v>3022</v>
      </c>
      <c r="BO261" s="891">
        <v>369</v>
      </c>
      <c r="BP261" s="892">
        <f>IF(G261="Front",0.5*9.81*0.4535924*(BJ261+BL261*(BM261/BN261))*(BO261/1000),IF(G261="Rear",0.5*9.81*0.4535924*(BK261+BL261*(BM261/BN261))*(BO261/1000),"TBD"))</f>
        <v>3078.380154682442</v>
      </c>
      <c r="BQ261" s="891">
        <v>0.35</v>
      </c>
      <c r="BR261" s="904">
        <v>70</v>
      </c>
      <c r="BS261" s="904">
        <v>67</v>
      </c>
      <c r="BT261" s="943">
        <v>177</v>
      </c>
      <c r="BU261" s="892">
        <f t="shared" ref="BU261:BU269" si="7">(2.4525*(BL261*0.4535924)*(0.8*(1000/3600)*BT261)*(BR261/100))/(AF261*2)</f>
        <v>1294.3415584275208</v>
      </c>
      <c r="BV261" s="892">
        <f t="shared" ref="BV261:BV268" si="8">(BP261/(M261/1000))/(2*AF261)</f>
        <v>180.52897927999308</v>
      </c>
      <c r="BW261" s="892">
        <f t="shared" ref="BW261:BW268" si="9">(1.4*BP261/(M261/1000))/(2*AF261)</f>
        <v>252.74057099199032</v>
      </c>
      <c r="BX261" s="893">
        <f>0.5*(BL261/32.2)*((BO261*0.00328084)^2)*(BS261/100)</f>
        <v>74.74550441349237</v>
      </c>
      <c r="BY261" s="891">
        <v>30</v>
      </c>
      <c r="BZ261" s="909">
        <f t="shared" ref="BZ261:BZ268" si="10">BX261/(L261*BY261)</f>
        <v>7.5729994339911212E-3</v>
      </c>
      <c r="CA261" s="891" t="s">
        <v>1210</v>
      </c>
      <c r="CB261" s="891" t="s">
        <v>1210</v>
      </c>
      <c r="CC261" s="893" t="s">
        <v>1210</v>
      </c>
      <c r="CD261" s="893" t="s">
        <v>1210</v>
      </c>
      <c r="CE261" s="890"/>
      <c r="CF261" s="890"/>
      <c r="CG261" s="890"/>
      <c r="CH261" s="890"/>
      <c r="CI261" s="890"/>
      <c r="CJ261" s="873"/>
      <c r="CK261" s="955"/>
    </row>
    <row r="262" spans="1:89" ht="25.5" x14ac:dyDescent="0.2">
      <c r="A262" s="893">
        <f>SQRT(2*48^2)</f>
        <v>67.882250993908556</v>
      </c>
      <c r="B262" s="883" t="s">
        <v>2450</v>
      </c>
      <c r="C262" s="883"/>
      <c r="D262" s="883" t="s">
        <v>848</v>
      </c>
      <c r="E262" s="883" t="s">
        <v>4225</v>
      </c>
      <c r="F262" s="883"/>
      <c r="G262" s="901" t="s">
        <v>1738</v>
      </c>
      <c r="H262" s="870" t="s">
        <v>2455</v>
      </c>
      <c r="I262" s="902" t="s">
        <v>84</v>
      </c>
      <c r="J262" s="883" t="s">
        <v>114</v>
      </c>
      <c r="K262" s="870" t="s">
        <v>2451</v>
      </c>
      <c r="L262" s="883">
        <v>282</v>
      </c>
      <c r="M262" s="883">
        <v>114.7</v>
      </c>
      <c r="N262" s="883" t="s">
        <v>2484</v>
      </c>
      <c r="O262" s="870" t="s">
        <v>41</v>
      </c>
      <c r="P262" s="870"/>
      <c r="Q262" s="870"/>
      <c r="R262" s="870"/>
      <c r="S262" s="870"/>
      <c r="T262" s="870"/>
      <c r="U262" s="870"/>
      <c r="V262" s="870"/>
      <c r="W262" s="870"/>
      <c r="X262" s="870"/>
      <c r="Y262" s="870"/>
      <c r="Z262" s="870"/>
      <c r="AA262" s="870"/>
      <c r="AB262" s="870" t="s">
        <v>2452</v>
      </c>
      <c r="AC262" s="870" t="s">
        <v>710</v>
      </c>
      <c r="AD262" s="870" t="s">
        <v>2453</v>
      </c>
      <c r="AE262" s="883" t="s">
        <v>120</v>
      </c>
      <c r="AF262" s="970">
        <v>58.75</v>
      </c>
      <c r="AG262" s="970">
        <v>69.62</v>
      </c>
      <c r="AH262" s="883" t="s">
        <v>122</v>
      </c>
      <c r="AI262" s="883" t="s">
        <v>122</v>
      </c>
      <c r="AJ262" s="883" t="s">
        <v>234</v>
      </c>
      <c r="AK262" s="870" t="s">
        <v>2454</v>
      </c>
      <c r="AL262" s="883"/>
      <c r="AM262" s="883"/>
      <c r="AN262" s="883" t="s">
        <v>1784</v>
      </c>
      <c r="AO262" s="883">
        <v>0.34</v>
      </c>
      <c r="AP262" s="883">
        <v>0.35</v>
      </c>
      <c r="AQ262" s="883"/>
      <c r="AR262" s="887">
        <v>13.4</v>
      </c>
      <c r="AS262" s="888">
        <v>3.1</v>
      </c>
      <c r="AT262" s="887">
        <v>2.34</v>
      </c>
      <c r="AU262" s="888">
        <v>8.8000000000000007</v>
      </c>
      <c r="AV262" s="888">
        <v>7.9</v>
      </c>
      <c r="AW262" s="904">
        <f>(100*PI()*(A262^2))/(40*AO262*AV262*453.5924)</f>
        <v>29.705069591988366</v>
      </c>
      <c r="AX262" s="889">
        <v>35977</v>
      </c>
      <c r="AY262" s="883" t="s">
        <v>2456</v>
      </c>
      <c r="AZ262" s="870">
        <v>550</v>
      </c>
      <c r="BA262" s="870" t="s">
        <v>2457</v>
      </c>
      <c r="BB262" s="870" t="s">
        <v>2581</v>
      </c>
      <c r="BC262" s="883" t="s">
        <v>2582</v>
      </c>
      <c r="BD262" s="870" t="s">
        <v>2583</v>
      </c>
      <c r="BE262" s="870"/>
      <c r="BF262" s="870"/>
      <c r="BG262" s="870"/>
      <c r="BH262" s="891" t="s">
        <v>1796</v>
      </c>
      <c r="BI262" s="906">
        <v>37243</v>
      </c>
      <c r="BJ262" s="907">
        <v>2860</v>
      </c>
      <c r="BK262" s="907">
        <v>2800</v>
      </c>
      <c r="BL262" s="907">
        <f t="shared" si="6"/>
        <v>5660</v>
      </c>
      <c r="BM262" s="907">
        <v>635</v>
      </c>
      <c r="BN262" s="907">
        <v>3066</v>
      </c>
      <c r="BO262" s="891">
        <v>312</v>
      </c>
      <c r="BP262" s="892">
        <f>IF(G262="Front",0.5*9.81*0.4535924*(BJ262+BL262*(BM262/BN262)*1.1)*1.1*(BO262/1000),IF(G262="Rear",0.5*9.81*0.4535924*(BK262+BL262*(BM262/BN262)*0.9)*0.9*(BO262/1000),"TBD"))</f>
        <v>3168.4329266334166</v>
      </c>
      <c r="BQ262" s="891">
        <v>0.33</v>
      </c>
      <c r="BR262" s="904">
        <v>80</v>
      </c>
      <c r="BS262" s="904">
        <v>70</v>
      </c>
      <c r="BT262" s="943">
        <v>196</v>
      </c>
      <c r="BU262" s="892">
        <f t="shared" si="7"/>
        <v>1867.1830423889701</v>
      </c>
      <c r="BV262" s="892">
        <f t="shared" si="8"/>
        <v>235.09491377197995</v>
      </c>
      <c r="BW262" s="892">
        <f t="shared" si="9"/>
        <v>329.13287928077193</v>
      </c>
      <c r="BX262" s="893">
        <f>0.5*(BL262/32.2)*((BO262*0.00328084)^2)*(BS262/100)</f>
        <v>64.46261131169085</v>
      </c>
      <c r="BY262" s="891">
        <v>26</v>
      </c>
      <c r="BZ262" s="909">
        <f t="shared" si="10"/>
        <v>8.7919546251624178E-3</v>
      </c>
      <c r="CA262" s="891">
        <v>296</v>
      </c>
      <c r="CB262" s="891"/>
      <c r="CC262" s="893">
        <f>BU262*(2*AF262)/(2*1600)</f>
        <v>68.560627337719993</v>
      </c>
      <c r="CD262" s="893">
        <f>BV262*(2*AF262)/(2*250)</f>
        <v>55.247304736415288</v>
      </c>
      <c r="CE262" s="890" t="str">
        <f>IF((CD262-CC262)&gt;0, "Shear","Power")</f>
        <v>Power</v>
      </c>
      <c r="CF262" s="915">
        <f>(AF262/MAX(CC262,CD262))-1</f>
        <v>-0.14309418858427625</v>
      </c>
      <c r="CG262" s="890"/>
      <c r="CH262" s="890"/>
      <c r="CI262" s="890"/>
      <c r="CJ262" s="873"/>
      <c r="CK262" s="955"/>
    </row>
    <row r="263" spans="1:89" ht="38.25" x14ac:dyDescent="0.2">
      <c r="A263" s="893">
        <f t="shared" ref="A263:A268" si="11">SQRT(2*51^2)</f>
        <v>72.124891681027847</v>
      </c>
      <c r="B263" s="883" t="s">
        <v>334</v>
      </c>
      <c r="C263" s="870" t="s">
        <v>3984</v>
      </c>
      <c r="D263" s="870" t="s">
        <v>791</v>
      </c>
      <c r="E263" s="883" t="s">
        <v>4225</v>
      </c>
      <c r="F263" s="883">
        <v>2009</v>
      </c>
      <c r="G263" s="901" t="s">
        <v>1797</v>
      </c>
      <c r="H263" s="870" t="s">
        <v>2988</v>
      </c>
      <c r="I263" s="902" t="s">
        <v>1714</v>
      </c>
      <c r="J263" s="883" t="s">
        <v>114</v>
      </c>
      <c r="K263" s="883" t="s">
        <v>474</v>
      </c>
      <c r="L263" s="883">
        <v>358</v>
      </c>
      <c r="M263" s="883">
        <v>156.5</v>
      </c>
      <c r="N263" s="883" t="s">
        <v>197</v>
      </c>
      <c r="O263" s="870" t="s">
        <v>736</v>
      </c>
      <c r="P263" s="870"/>
      <c r="Q263" s="870"/>
      <c r="R263" s="870"/>
      <c r="S263" s="870"/>
      <c r="T263" s="870"/>
      <c r="U263" s="870"/>
      <c r="V263" s="870"/>
      <c r="W263" s="870" t="s">
        <v>3663</v>
      </c>
      <c r="X263" s="870"/>
      <c r="Y263" s="870"/>
      <c r="Z263" s="870"/>
      <c r="AA263" s="870">
        <v>234</v>
      </c>
      <c r="AB263" s="870" t="s">
        <v>228</v>
      </c>
      <c r="AC263" s="870" t="s">
        <v>710</v>
      </c>
      <c r="AD263" s="870" t="s">
        <v>1708</v>
      </c>
      <c r="AE263" s="883" t="s">
        <v>91</v>
      </c>
      <c r="AF263" s="883">
        <v>75.599999999999994</v>
      </c>
      <c r="AG263" s="883">
        <v>88.4</v>
      </c>
      <c r="AH263" s="883" t="s">
        <v>1744</v>
      </c>
      <c r="AI263" s="883" t="s">
        <v>1744</v>
      </c>
      <c r="AJ263" s="870" t="s">
        <v>2871</v>
      </c>
      <c r="AK263" s="870" t="s">
        <v>2987</v>
      </c>
      <c r="AL263" s="883"/>
      <c r="AM263" s="883"/>
      <c r="AN263" s="883" t="s">
        <v>1784</v>
      </c>
      <c r="AO263" s="883">
        <v>0.25</v>
      </c>
      <c r="AP263" s="883"/>
      <c r="AQ263" s="883"/>
      <c r="AR263" s="887">
        <v>19.2</v>
      </c>
      <c r="AS263" s="888">
        <v>4.97</v>
      </c>
      <c r="AT263" s="887">
        <v>4.32</v>
      </c>
      <c r="AU263" s="888">
        <v>10.8</v>
      </c>
      <c r="AV263" s="888">
        <v>10</v>
      </c>
      <c r="AW263" s="904">
        <v>36.029186079780224</v>
      </c>
      <c r="AX263" s="889">
        <v>39661</v>
      </c>
      <c r="AY263" s="883" t="s">
        <v>1669</v>
      </c>
      <c r="AZ263" s="870">
        <v>80</v>
      </c>
      <c r="BA263" s="870" t="s">
        <v>229</v>
      </c>
      <c r="BB263" s="870" t="s">
        <v>1308</v>
      </c>
      <c r="BC263" s="883">
        <v>16277401</v>
      </c>
      <c r="BD263" s="870" t="s">
        <v>69</v>
      </c>
      <c r="BE263" s="870"/>
      <c r="BF263" s="870"/>
      <c r="BG263" s="870"/>
      <c r="BH263" s="891" t="s">
        <v>230</v>
      </c>
      <c r="BI263" s="906">
        <v>40799</v>
      </c>
      <c r="BJ263" s="907">
        <f>2223*2.2</f>
        <v>4890.6000000000004</v>
      </c>
      <c r="BK263" s="907">
        <f>4128*2.2</f>
        <v>9081.6</v>
      </c>
      <c r="BL263" s="892">
        <f t="shared" si="6"/>
        <v>13972.2</v>
      </c>
      <c r="BM263" s="978">
        <v>787.4</v>
      </c>
      <c r="BN263" s="907">
        <v>3645</v>
      </c>
      <c r="BO263" s="904">
        <v>397</v>
      </c>
      <c r="BP263" s="892">
        <v>9397.7571231308102</v>
      </c>
      <c r="BQ263" s="891">
        <v>0.35</v>
      </c>
      <c r="BR263" s="904">
        <v>58</v>
      </c>
      <c r="BS263" s="904">
        <v>58</v>
      </c>
      <c r="BT263" s="943">
        <v>161</v>
      </c>
      <c r="BU263" s="892">
        <f t="shared" si="7"/>
        <v>2133.1880570150461</v>
      </c>
      <c r="BV263" s="892">
        <f t="shared" si="8"/>
        <v>397.15321615070116</v>
      </c>
      <c r="BW263" s="892">
        <f t="shared" si="9"/>
        <v>556.01450261098159</v>
      </c>
      <c r="BX263" s="893">
        <v>234.1</v>
      </c>
      <c r="BY263" s="891">
        <v>34</v>
      </c>
      <c r="BZ263" s="909">
        <f t="shared" si="10"/>
        <v>1.9232665133092342E-2</v>
      </c>
      <c r="CA263" s="891"/>
      <c r="CB263" s="891" t="s">
        <v>2952</v>
      </c>
      <c r="CC263" s="893">
        <f>BU263*(2*AF263)/(2*1600)</f>
        <v>100.79313569396092</v>
      </c>
      <c r="CD263" s="893">
        <f>BV263*(2*AF263)/(2*250)</f>
        <v>120.09913256397202</v>
      </c>
      <c r="CE263" s="890" t="str">
        <f>IF((CD263-CC263)&gt;0, "Shear","Power")</f>
        <v>Shear</v>
      </c>
      <c r="CF263" s="915">
        <f>(AF263/MAX(CC263,CD263))-1</f>
        <v>-0.37052001637288356</v>
      </c>
      <c r="CG263" s="890"/>
      <c r="CH263" s="890"/>
      <c r="CI263" s="890"/>
      <c r="CJ263" s="873"/>
      <c r="CK263" s="955"/>
    </row>
    <row r="264" spans="1:89" ht="25.5" x14ac:dyDescent="0.2">
      <c r="A264" s="893">
        <f t="shared" si="11"/>
        <v>72.124891681027847</v>
      </c>
      <c r="B264" s="883" t="s">
        <v>606</v>
      </c>
      <c r="C264" s="883"/>
      <c r="D264" s="870" t="s">
        <v>2879</v>
      </c>
      <c r="E264" s="883" t="s">
        <v>4225</v>
      </c>
      <c r="F264" s="883">
        <v>2001</v>
      </c>
      <c r="G264" s="913" t="s">
        <v>1797</v>
      </c>
      <c r="H264" s="870" t="s">
        <v>2894</v>
      </c>
      <c r="I264" s="902" t="s">
        <v>2905</v>
      </c>
      <c r="J264" s="883" t="s">
        <v>114</v>
      </c>
      <c r="K264" s="883">
        <v>4683</v>
      </c>
      <c r="L264" s="883">
        <v>323.5</v>
      </c>
      <c r="M264" s="883">
        <v>136.6</v>
      </c>
      <c r="N264" s="883" t="s">
        <v>1361</v>
      </c>
      <c r="O264" s="870" t="s">
        <v>1125</v>
      </c>
      <c r="P264" s="870"/>
      <c r="Q264" s="870"/>
      <c r="R264" s="870"/>
      <c r="S264" s="870"/>
      <c r="T264" s="870"/>
      <c r="U264" s="870"/>
      <c r="V264" s="870"/>
      <c r="W264" s="870"/>
      <c r="X264" s="870"/>
      <c r="Y264" s="870"/>
      <c r="Z264" s="870"/>
      <c r="AA264" s="870"/>
      <c r="AB264" s="870" t="s">
        <v>1135</v>
      </c>
      <c r="AC264" s="883" t="s">
        <v>710</v>
      </c>
      <c r="AD264" s="883" t="s">
        <v>1136</v>
      </c>
      <c r="AE264" s="883" t="s">
        <v>1668</v>
      </c>
      <c r="AF264" s="883">
        <v>60.5</v>
      </c>
      <c r="AG264" s="883">
        <v>68.7</v>
      </c>
      <c r="AH264" s="883" t="s">
        <v>80</v>
      </c>
      <c r="AI264" s="883" t="s">
        <v>122</v>
      </c>
      <c r="AJ264" s="883" t="s">
        <v>234</v>
      </c>
      <c r="AK264" s="870" t="s">
        <v>1138</v>
      </c>
      <c r="AL264" s="883"/>
      <c r="AM264" s="883"/>
      <c r="AN264" s="883" t="s">
        <v>1784</v>
      </c>
      <c r="AO264" s="883">
        <v>0.32</v>
      </c>
      <c r="AP264" s="883">
        <v>0.32</v>
      </c>
      <c r="AQ264" s="883"/>
      <c r="AR264" s="887">
        <v>20.3</v>
      </c>
      <c r="AS264" s="903">
        <v>5.9</v>
      </c>
      <c r="AT264" s="918">
        <v>5.2</v>
      </c>
      <c r="AU264" s="903">
        <v>13.7</v>
      </c>
      <c r="AV264" s="903">
        <v>11.1</v>
      </c>
      <c r="AW264" s="904">
        <f t="shared" ref="AW264:AW269" si="12">(100*PI()*(A264^2))/(40*AO264*AV264*453.5924)</f>
        <v>25.358379842187656</v>
      </c>
      <c r="AX264" s="889">
        <v>36708</v>
      </c>
      <c r="AY264" s="883" t="s">
        <v>1790</v>
      </c>
      <c r="AZ264" s="870">
        <v>87</v>
      </c>
      <c r="BA264" s="870" t="s">
        <v>610</v>
      </c>
      <c r="BB264" s="883" t="s">
        <v>611</v>
      </c>
      <c r="BC264" s="883">
        <v>13544402</v>
      </c>
      <c r="BD264" s="870">
        <v>13544501</v>
      </c>
      <c r="BE264" s="870"/>
      <c r="BF264" s="870"/>
      <c r="BG264" s="870"/>
      <c r="BH264" s="891"/>
      <c r="BI264" s="914">
        <v>38111</v>
      </c>
      <c r="BJ264" s="892">
        <v>4437</v>
      </c>
      <c r="BK264" s="892">
        <v>6563</v>
      </c>
      <c r="BL264" s="892">
        <f t="shared" si="6"/>
        <v>11000</v>
      </c>
      <c r="BM264" s="892">
        <v>739</v>
      </c>
      <c r="BN264" s="892">
        <v>3421</v>
      </c>
      <c r="BO264" s="890">
        <v>374.9</v>
      </c>
      <c r="BP264" s="892">
        <f>IF(G264="Front",0.5*9.81*0.4535924*(BJ264+BL264*(BM264/BN264)*1.1)*1.1*(BO264/1000),IF(G264="Rear",0.5*9.81*0.4535924*(BK264+BL264*(BM264/BN264)*0.9)*0.9*(BO264/1000),"TBD"))</f>
        <v>6532.2245899985983</v>
      </c>
      <c r="BQ264" s="890">
        <v>0.35</v>
      </c>
      <c r="BR264" s="893">
        <v>48</v>
      </c>
      <c r="BS264" s="893">
        <v>48</v>
      </c>
      <c r="BT264" s="969">
        <v>161</v>
      </c>
      <c r="BU264" s="892">
        <f t="shared" si="7"/>
        <v>1736.7475696581821</v>
      </c>
      <c r="BV264" s="892">
        <f t="shared" si="8"/>
        <v>395.20737328016878</v>
      </c>
      <c r="BW264" s="892">
        <f t="shared" si="9"/>
        <v>553.29032259223641</v>
      </c>
      <c r="BX264" s="893">
        <f>0.5*(BL264/32.2)*((BO264*0.00328084)^2)*(BS264/100)</f>
        <v>124.03636732056968</v>
      </c>
      <c r="BY264" s="891">
        <v>30</v>
      </c>
      <c r="BZ264" s="909">
        <f t="shared" si="10"/>
        <v>1.278066639057905E-2</v>
      </c>
      <c r="CA264" s="891">
        <v>323</v>
      </c>
      <c r="CB264" s="891"/>
      <c r="CC264" s="893">
        <f>BU264*(2*AF264)/(2*1600)</f>
        <v>65.670767477700011</v>
      </c>
      <c r="CD264" s="893">
        <f>BV264*(2*AF264)/(2*250)</f>
        <v>95.640184333800846</v>
      </c>
      <c r="CE264" s="890" t="str">
        <f>IF((CD264-CC264)&gt;0, "Shear","Power")</f>
        <v>Shear</v>
      </c>
      <c r="CF264" s="915">
        <f>(AF264/MAX(CC264,CD264))-1</f>
        <v>-0.36742070896847612</v>
      </c>
      <c r="CG264" s="890"/>
      <c r="CH264" s="890"/>
      <c r="CI264" s="890"/>
      <c r="CJ264" s="873"/>
      <c r="CK264" s="955"/>
    </row>
    <row r="265" spans="1:89" ht="25.5" x14ac:dyDescent="0.2">
      <c r="A265" s="893">
        <f t="shared" si="11"/>
        <v>72.124891681027847</v>
      </c>
      <c r="B265" s="883" t="s">
        <v>612</v>
      </c>
      <c r="C265" s="883"/>
      <c r="D265" s="870" t="s">
        <v>2879</v>
      </c>
      <c r="E265" s="883" t="s">
        <v>4225</v>
      </c>
      <c r="F265" s="883">
        <v>2003</v>
      </c>
      <c r="G265" s="913" t="s">
        <v>1797</v>
      </c>
      <c r="H265" s="870" t="s">
        <v>2895</v>
      </c>
      <c r="I265" s="902" t="s">
        <v>1137</v>
      </c>
      <c r="J265" s="883" t="s">
        <v>114</v>
      </c>
      <c r="K265" s="883">
        <v>5207</v>
      </c>
      <c r="L265" s="883">
        <v>352.3</v>
      </c>
      <c r="M265" s="883">
        <v>152.5</v>
      </c>
      <c r="N265" s="883" t="s">
        <v>197</v>
      </c>
      <c r="O265" s="870" t="s">
        <v>1125</v>
      </c>
      <c r="P265" s="870"/>
      <c r="Q265" s="870"/>
      <c r="R265" s="870"/>
      <c r="S265" s="870"/>
      <c r="T265" s="870"/>
      <c r="U265" s="870"/>
      <c r="V265" s="870"/>
      <c r="W265" s="870"/>
      <c r="X265" s="870"/>
      <c r="Y265" s="870"/>
      <c r="Z265" s="870"/>
      <c r="AA265" s="870"/>
      <c r="AB265" s="870" t="s">
        <v>1142</v>
      </c>
      <c r="AC265" s="883" t="s">
        <v>710</v>
      </c>
      <c r="AD265" s="883" t="s">
        <v>1143</v>
      </c>
      <c r="AE265" s="883" t="s">
        <v>91</v>
      </c>
      <c r="AF265" s="883">
        <v>61.9</v>
      </c>
      <c r="AG265" s="883">
        <v>74.599999999999994</v>
      </c>
      <c r="AH265" s="883" t="s">
        <v>80</v>
      </c>
      <c r="AI265" s="883" t="s">
        <v>122</v>
      </c>
      <c r="AJ265" s="883" t="s">
        <v>234</v>
      </c>
      <c r="AK265" s="870" t="s">
        <v>1138</v>
      </c>
      <c r="AL265" s="883"/>
      <c r="AM265" s="883"/>
      <c r="AN265" s="883" t="s">
        <v>1784</v>
      </c>
      <c r="AO265" s="883">
        <v>0.32</v>
      </c>
      <c r="AP265" s="883">
        <v>0.32</v>
      </c>
      <c r="AQ265" s="883"/>
      <c r="AR265" s="887">
        <v>21.5</v>
      </c>
      <c r="AS265" s="903">
        <v>6.1</v>
      </c>
      <c r="AT265" s="918">
        <v>5.4</v>
      </c>
      <c r="AU265" s="903">
        <v>13.7</v>
      </c>
      <c r="AV265" s="903">
        <v>11.1</v>
      </c>
      <c r="AW265" s="904">
        <f t="shared" si="12"/>
        <v>25.358379842187656</v>
      </c>
      <c r="AX265" s="889">
        <v>37408</v>
      </c>
      <c r="AY265" s="883" t="s">
        <v>1669</v>
      </c>
      <c r="AZ265" s="870">
        <v>55</v>
      </c>
      <c r="BA265" s="870" t="s">
        <v>613</v>
      </c>
      <c r="BB265" s="883" t="s">
        <v>2018</v>
      </c>
      <c r="BC265" s="883">
        <v>13544401</v>
      </c>
      <c r="BD265" s="870">
        <v>14041400</v>
      </c>
      <c r="BE265" s="870"/>
      <c r="BF265" s="870"/>
      <c r="BG265" s="870"/>
      <c r="BH265" s="974" t="s">
        <v>1150</v>
      </c>
      <c r="BI265" s="914">
        <v>38432</v>
      </c>
      <c r="BJ265" s="892">
        <v>4437</v>
      </c>
      <c r="BK265" s="892">
        <v>6563</v>
      </c>
      <c r="BL265" s="892">
        <f t="shared" si="6"/>
        <v>11000</v>
      </c>
      <c r="BM265" s="892">
        <v>739</v>
      </c>
      <c r="BN265" s="892">
        <v>3421</v>
      </c>
      <c r="BO265" s="890">
        <v>395</v>
      </c>
      <c r="BP265" s="892">
        <f>IF(G265="Front",0.5*9.81*0.4535924*(BJ265+BL265*(BM265/BN265)*1.1)*1.1*(BO265/1000),IF(G265="Rear",0.5*9.81*0.4535924*(BK265+BL265*(BM265/BN265)*0.9)*0.9*(BO265/1000),"TBD"))</f>
        <v>6882.4452201905751</v>
      </c>
      <c r="BQ265" s="890">
        <v>0.35</v>
      </c>
      <c r="BR265" s="893">
        <v>48</v>
      </c>
      <c r="BS265" s="893">
        <v>48</v>
      </c>
      <c r="BT265" s="969">
        <v>161</v>
      </c>
      <c r="BU265" s="892">
        <f t="shared" si="7"/>
        <v>1697.467333833926</v>
      </c>
      <c r="BV265" s="892">
        <f t="shared" si="8"/>
        <v>364.54594773116742</v>
      </c>
      <c r="BW265" s="892">
        <f t="shared" si="9"/>
        <v>510.36432682363437</v>
      </c>
      <c r="BX265" s="893">
        <f>0.5*(BL265/32.2)*((BO265*0.00328084)^2)*(BS265/100)</f>
        <v>137.69315428146811</v>
      </c>
      <c r="BY265" s="891">
        <v>30</v>
      </c>
      <c r="BZ265" s="909">
        <f t="shared" si="10"/>
        <v>1.3028021031456912E-2</v>
      </c>
      <c r="CA265" s="891">
        <v>265</v>
      </c>
      <c r="CB265" s="891" t="s">
        <v>2952</v>
      </c>
      <c r="CC265" s="893">
        <f>BU265*(2*AF265)/(2*1600)</f>
        <v>65.670767477700011</v>
      </c>
      <c r="CD265" s="893">
        <f>BV265*(2*AF265)/(2*250)</f>
        <v>90.261576658237061</v>
      </c>
      <c r="CE265" s="890" t="str">
        <f>IF((CD265-CC265)&gt;0, "Shear","Power")</f>
        <v>Shear</v>
      </c>
      <c r="CF265" s="915">
        <f>(AF265/MAX(CC265,CD265))-1</f>
        <v>-0.31421539162366108</v>
      </c>
      <c r="CG265" s="890">
        <v>4.0999999999999996</v>
      </c>
      <c r="CH265" s="890">
        <v>2.69</v>
      </c>
      <c r="CI265" s="890">
        <v>2.8199999999999999E-2</v>
      </c>
      <c r="CJ265" s="882"/>
      <c r="CK265" s="955"/>
    </row>
    <row r="266" spans="1:89" ht="25.5" x14ac:dyDescent="0.2">
      <c r="A266" s="893">
        <f t="shared" si="11"/>
        <v>72.124891681027847</v>
      </c>
      <c r="B266" s="883" t="s">
        <v>1889</v>
      </c>
      <c r="C266" s="883"/>
      <c r="D266" s="883" t="s">
        <v>638</v>
      </c>
      <c r="E266" s="883" t="s">
        <v>4225</v>
      </c>
      <c r="F266" s="883"/>
      <c r="G266" s="901" t="s">
        <v>1738</v>
      </c>
      <c r="H266" s="870" t="s">
        <v>1892</v>
      </c>
      <c r="I266" s="902" t="s">
        <v>1896</v>
      </c>
      <c r="J266" s="883" t="s">
        <v>114</v>
      </c>
      <c r="K266" s="883"/>
      <c r="L266" s="883">
        <v>314</v>
      </c>
      <c r="M266" s="883">
        <v>133.9</v>
      </c>
      <c r="N266" s="883" t="s">
        <v>197</v>
      </c>
      <c r="O266" s="870" t="s">
        <v>2948</v>
      </c>
      <c r="P266" s="870"/>
      <c r="Q266" s="870"/>
      <c r="R266" s="870"/>
      <c r="S266" s="883"/>
      <c r="T266" s="883"/>
      <c r="U266" s="883"/>
      <c r="V266" s="883"/>
      <c r="W266" s="870"/>
      <c r="X266" s="883"/>
      <c r="Y266" s="870"/>
      <c r="Z266" s="870"/>
      <c r="AA266" s="883"/>
      <c r="AB266" s="870"/>
      <c r="AC266" s="870"/>
      <c r="AD266" s="870"/>
      <c r="AE266" s="883" t="s">
        <v>120</v>
      </c>
      <c r="AF266" s="883">
        <v>62.7</v>
      </c>
      <c r="AG266" s="883">
        <v>65.8</v>
      </c>
      <c r="AH266" s="883" t="s">
        <v>122</v>
      </c>
      <c r="AI266" s="883" t="s">
        <v>122</v>
      </c>
      <c r="AJ266" s="870" t="s">
        <v>2155</v>
      </c>
      <c r="AK266" s="870" t="s">
        <v>1890</v>
      </c>
      <c r="AL266" s="883"/>
      <c r="AM266" s="883"/>
      <c r="AN266" s="883" t="s">
        <v>1784</v>
      </c>
      <c r="AO266" s="883">
        <v>0.28000000000000003</v>
      </c>
      <c r="AP266" s="883">
        <v>0.28000000000000003</v>
      </c>
      <c r="AQ266" s="883"/>
      <c r="AR266" s="887" t="s">
        <v>1891</v>
      </c>
      <c r="AS266" s="888">
        <v>5.2</v>
      </c>
      <c r="AT266" s="887">
        <v>4.0999999999999996</v>
      </c>
      <c r="AU266" s="888">
        <v>6.5</v>
      </c>
      <c r="AV266" s="888"/>
      <c r="AW266" s="904" t="e">
        <f t="shared" si="12"/>
        <v>#DIV/0!</v>
      </c>
      <c r="AX266" s="889" t="s">
        <v>819</v>
      </c>
      <c r="AY266" s="883" t="s">
        <v>819</v>
      </c>
      <c r="AZ266" s="883" t="s">
        <v>819</v>
      </c>
      <c r="BA266" s="883" t="s">
        <v>1893</v>
      </c>
      <c r="BB266" s="883" t="s">
        <v>819</v>
      </c>
      <c r="BC266" s="883" t="s">
        <v>1894</v>
      </c>
      <c r="BD266" s="883" t="s">
        <v>1895</v>
      </c>
      <c r="BE266" s="883"/>
      <c r="BF266" s="883"/>
      <c r="BG266" s="883"/>
      <c r="BH266" s="891" t="s">
        <v>819</v>
      </c>
      <c r="BI266" s="906"/>
      <c r="BJ266" s="907" t="s">
        <v>1921</v>
      </c>
      <c r="BK266" s="907" t="s">
        <v>1921</v>
      </c>
      <c r="BL266" s="907" t="e">
        <f t="shared" si="6"/>
        <v>#VALUE!</v>
      </c>
      <c r="BM266" s="907" t="s">
        <v>1921</v>
      </c>
      <c r="BN266" s="907" t="s">
        <v>1921</v>
      </c>
      <c r="BO266" s="891" t="s">
        <v>1921</v>
      </c>
      <c r="BP266" s="892" t="e">
        <f>IF(G266="Front",0.5*9.81*0.4535924*(BJ266+BL266*(BM266/BN266))*(BO266/1000),IF(G266="Rear",0.5*9.81*0.4535924*(BK266+BL266*(BM266/BN266))*(BO266/1000),"TBD"))</f>
        <v>#VALUE!</v>
      </c>
      <c r="BQ266" s="891" t="s">
        <v>1921</v>
      </c>
      <c r="BR266" s="904" t="s">
        <v>1921</v>
      </c>
      <c r="BS266" s="904" t="s">
        <v>1921</v>
      </c>
      <c r="BT266" s="943" t="s">
        <v>1921</v>
      </c>
      <c r="BU266" s="892" t="e">
        <f t="shared" si="7"/>
        <v>#VALUE!</v>
      </c>
      <c r="BV266" s="892" t="e">
        <f t="shared" si="8"/>
        <v>#VALUE!</v>
      </c>
      <c r="BW266" s="892" t="e">
        <f t="shared" si="9"/>
        <v>#VALUE!</v>
      </c>
      <c r="BX266" s="893" t="e">
        <f>0.5*(BL266/32.2)*((BO266*0.00328084)^2)*(BS266/100)</f>
        <v>#VALUE!</v>
      </c>
      <c r="BY266" s="891" t="s">
        <v>1921</v>
      </c>
      <c r="BZ266" s="909" t="e">
        <f t="shared" si="10"/>
        <v>#VALUE!</v>
      </c>
      <c r="CA266" s="891" t="s">
        <v>1210</v>
      </c>
      <c r="CB266" s="891" t="s">
        <v>1210</v>
      </c>
      <c r="CC266" s="893" t="s">
        <v>1210</v>
      </c>
      <c r="CD266" s="893" t="s">
        <v>1210</v>
      </c>
      <c r="CE266" s="890"/>
      <c r="CF266" s="890"/>
      <c r="CG266" s="890"/>
      <c r="CH266" s="890"/>
      <c r="CI266" s="890"/>
      <c r="CJ266" s="882"/>
      <c r="CK266" s="955"/>
    </row>
    <row r="267" spans="1:89" ht="25.5" x14ac:dyDescent="0.2">
      <c r="A267" s="893">
        <f t="shared" si="11"/>
        <v>72.124891681027847</v>
      </c>
      <c r="B267" s="883" t="s">
        <v>606</v>
      </c>
      <c r="C267" s="883"/>
      <c r="D267" s="883" t="s">
        <v>848</v>
      </c>
      <c r="E267" s="883" t="s">
        <v>4225</v>
      </c>
      <c r="F267" s="883"/>
      <c r="G267" s="913" t="s">
        <v>1738</v>
      </c>
      <c r="H267" s="870" t="s">
        <v>608</v>
      </c>
      <c r="I267" s="886" t="s">
        <v>1714</v>
      </c>
      <c r="J267" s="883" t="s">
        <v>114</v>
      </c>
      <c r="K267" s="883">
        <v>2583</v>
      </c>
      <c r="L267" s="883">
        <v>308</v>
      </c>
      <c r="M267" s="883">
        <v>128.80000000000001</v>
      </c>
      <c r="N267" s="883" t="s">
        <v>2119</v>
      </c>
      <c r="O267" s="870" t="s">
        <v>1125</v>
      </c>
      <c r="P267" s="870"/>
      <c r="Q267" s="870"/>
      <c r="R267" s="870"/>
      <c r="S267" s="870"/>
      <c r="T267" s="870"/>
      <c r="U267" s="870"/>
      <c r="V267" s="870"/>
      <c r="W267" s="870"/>
      <c r="X267" s="870"/>
      <c r="Y267" s="870"/>
      <c r="Z267" s="870"/>
      <c r="AA267" s="870"/>
      <c r="AB267" s="870" t="s">
        <v>2855</v>
      </c>
      <c r="AC267" s="883" t="s">
        <v>710</v>
      </c>
      <c r="AD267" s="883" t="s">
        <v>607</v>
      </c>
      <c r="AE267" s="883" t="s">
        <v>120</v>
      </c>
      <c r="AF267" s="883">
        <v>61.45</v>
      </c>
      <c r="AG267" s="883">
        <v>67.599999999999994</v>
      </c>
      <c r="AH267" s="883" t="s">
        <v>122</v>
      </c>
      <c r="AI267" s="883" t="s">
        <v>80</v>
      </c>
      <c r="AJ267" s="883" t="s">
        <v>234</v>
      </c>
      <c r="AK267" s="870" t="s">
        <v>1138</v>
      </c>
      <c r="AL267" s="883"/>
      <c r="AM267" s="883"/>
      <c r="AN267" s="883" t="s">
        <v>1784</v>
      </c>
      <c r="AO267" s="883">
        <v>0.42</v>
      </c>
      <c r="AP267" s="883">
        <v>0.42</v>
      </c>
      <c r="AQ267" s="883"/>
      <c r="AR267" s="887">
        <v>17.399999999999999</v>
      </c>
      <c r="AS267" s="903">
        <v>5.3</v>
      </c>
      <c r="AT267" s="918">
        <v>4.7</v>
      </c>
      <c r="AU267" s="903">
        <v>10.4</v>
      </c>
      <c r="AV267" s="903">
        <v>9.1</v>
      </c>
      <c r="AW267" s="904">
        <f t="shared" si="12"/>
        <v>23.566971533084921</v>
      </c>
      <c r="AX267" s="889" t="s">
        <v>1789</v>
      </c>
      <c r="AY267" s="883" t="s">
        <v>1790</v>
      </c>
      <c r="AZ267" s="870">
        <v>496</v>
      </c>
      <c r="BA267" s="870">
        <v>130738</v>
      </c>
      <c r="BB267" s="883" t="s">
        <v>609</v>
      </c>
      <c r="BC267" s="883">
        <v>129297</v>
      </c>
      <c r="BD267" s="870">
        <v>129291</v>
      </c>
      <c r="BE267" s="870"/>
      <c r="BF267" s="870"/>
      <c r="BG267" s="870"/>
      <c r="BH267" s="891"/>
      <c r="BI267" s="914">
        <v>38111</v>
      </c>
      <c r="BJ267" s="892">
        <v>3000</v>
      </c>
      <c r="BK267" s="892">
        <v>4700</v>
      </c>
      <c r="BL267" s="892">
        <f t="shared" si="6"/>
        <v>7700</v>
      </c>
      <c r="BM267" s="892">
        <v>673.1</v>
      </c>
      <c r="BN267" s="892">
        <v>3517.9</v>
      </c>
      <c r="BO267" s="890">
        <v>374.9</v>
      </c>
      <c r="BP267" s="892">
        <f>IF(G267="Front",0.5*9.81*0.4535924*(BJ267+BL267*(BM267/BN267)*1.1)*1.1*(BO267/1000),IF(G267="Rear",0.5*9.81*0.4535924*(BK267+BL267*(BM267/BN267)*0.9)*0.9*(BO267/1000),"TBD"))</f>
        <v>4239.47979465346</v>
      </c>
      <c r="BQ267" s="890">
        <v>0.35</v>
      </c>
      <c r="BR267" s="893"/>
      <c r="BS267" s="893">
        <v>50</v>
      </c>
      <c r="BT267" s="969"/>
      <c r="BU267" s="892">
        <f t="shared" si="7"/>
        <v>0</v>
      </c>
      <c r="BV267" s="892">
        <f t="shared" si="8"/>
        <v>267.82112121235895</v>
      </c>
      <c r="BW267" s="892">
        <f t="shared" si="9"/>
        <v>374.94956969730248</v>
      </c>
      <c r="BX267" s="893">
        <f>0.5*(BL267/32.2)*((BO267*0.00328084)^2)*(BS267/100)</f>
        <v>90.443184504582064</v>
      </c>
      <c r="BY267" s="891">
        <v>30</v>
      </c>
      <c r="BZ267" s="909">
        <f t="shared" si="10"/>
        <v>9.788223431231825E-3</v>
      </c>
      <c r="CA267" s="891"/>
      <c r="CB267" s="891"/>
      <c r="CC267" s="893">
        <f>BU267*(2*AF267)/(2*1600)</f>
        <v>0</v>
      </c>
      <c r="CD267" s="893">
        <f>BV267*(2*AF267)/(2*250)</f>
        <v>65.83043159399783</v>
      </c>
      <c r="CE267" s="890" t="str">
        <f>IF((CD267-CC267)&gt;0, "Shear","Power")</f>
        <v>Shear</v>
      </c>
      <c r="CF267" s="915">
        <f>(AF267/MAX(CC267,CD267))-1</f>
        <v>-6.6541134364934362E-2</v>
      </c>
      <c r="CG267" s="890"/>
      <c r="CH267" s="890"/>
      <c r="CI267" s="890"/>
      <c r="CJ267" s="873"/>
      <c r="CK267" s="955"/>
    </row>
    <row r="268" spans="1:89" ht="25.5" x14ac:dyDescent="0.2">
      <c r="A268" s="893">
        <f t="shared" si="11"/>
        <v>72.124891681027847</v>
      </c>
      <c r="B268" s="883" t="s">
        <v>2150</v>
      </c>
      <c r="C268" s="883"/>
      <c r="D268" s="883" t="s">
        <v>848</v>
      </c>
      <c r="E268" s="883" t="s">
        <v>4225</v>
      </c>
      <c r="F268" s="883"/>
      <c r="G268" s="901" t="s">
        <v>1738</v>
      </c>
      <c r="H268" s="870" t="s">
        <v>603</v>
      </c>
      <c r="I268" s="902" t="s">
        <v>2511</v>
      </c>
      <c r="J268" s="883" t="s">
        <v>114</v>
      </c>
      <c r="K268" s="883" t="s">
        <v>2151</v>
      </c>
      <c r="L268" s="883">
        <v>293</v>
      </c>
      <c r="M268" s="883">
        <v>125.3</v>
      </c>
      <c r="N268" s="883" t="s">
        <v>1361</v>
      </c>
      <c r="O268" s="870" t="s">
        <v>2152</v>
      </c>
      <c r="P268" s="870"/>
      <c r="Q268" s="870"/>
      <c r="R268" s="870"/>
      <c r="S268" s="870"/>
      <c r="T268" s="870"/>
      <c r="U268" s="870"/>
      <c r="V268" s="870"/>
      <c r="W268" s="870"/>
      <c r="X268" s="870"/>
      <c r="Y268" s="870"/>
      <c r="Z268" s="870"/>
      <c r="AA268" s="870"/>
      <c r="AB268" s="870" t="s">
        <v>2153</v>
      </c>
      <c r="AC268" s="870" t="s">
        <v>119</v>
      </c>
      <c r="AD268" s="870" t="s">
        <v>2154</v>
      </c>
      <c r="AE268" s="883" t="s">
        <v>120</v>
      </c>
      <c r="AF268" s="883">
        <v>62.1</v>
      </c>
      <c r="AG268" s="883">
        <v>74.599999999999994</v>
      </c>
      <c r="AH268" s="883" t="s">
        <v>122</v>
      </c>
      <c r="AI268" s="883" t="s">
        <v>122</v>
      </c>
      <c r="AJ268" s="870" t="s">
        <v>2155</v>
      </c>
      <c r="AK268" s="870" t="s">
        <v>2156</v>
      </c>
      <c r="AL268" s="883"/>
      <c r="AM268" s="883"/>
      <c r="AN268" s="883" t="s">
        <v>1784</v>
      </c>
      <c r="AO268" s="883">
        <v>0.36</v>
      </c>
      <c r="AP268" s="883" t="s">
        <v>602</v>
      </c>
      <c r="AQ268" s="883"/>
      <c r="AR268" s="887">
        <v>11.9</v>
      </c>
      <c r="AS268" s="888">
        <v>4.4000000000000004</v>
      </c>
      <c r="AT268" s="887">
        <v>3.8</v>
      </c>
      <c r="AU268" s="888">
        <v>6</v>
      </c>
      <c r="AV268" s="888">
        <v>4.62</v>
      </c>
      <c r="AW268" s="904">
        <f t="shared" si="12"/>
        <v>54.15642448259414</v>
      </c>
      <c r="AX268" s="889">
        <v>1333</v>
      </c>
      <c r="AY268" s="883" t="s">
        <v>189</v>
      </c>
      <c r="AZ268" s="870">
        <v>300</v>
      </c>
      <c r="BA268" s="870" t="s">
        <v>604</v>
      </c>
      <c r="BB268" s="870" t="s">
        <v>605</v>
      </c>
      <c r="BC268" s="883">
        <v>13752401</v>
      </c>
      <c r="BD268" s="870">
        <v>13752302</v>
      </c>
      <c r="BE268" s="870"/>
      <c r="BF268" s="870"/>
      <c r="BG268" s="870"/>
      <c r="BH268" s="891" t="s">
        <v>1796</v>
      </c>
      <c r="BI268" s="994">
        <v>38124</v>
      </c>
      <c r="BJ268" s="907">
        <v>3007</v>
      </c>
      <c r="BK268" s="907">
        <v>2890</v>
      </c>
      <c r="BL268" s="907">
        <f t="shared" si="6"/>
        <v>5897</v>
      </c>
      <c r="BM268" s="907">
        <f>25*25.4</f>
        <v>635</v>
      </c>
      <c r="BN268" s="907">
        <f>120.7*25.4</f>
        <v>3065.7799999999997</v>
      </c>
      <c r="BO268" s="891">
        <v>332</v>
      </c>
      <c r="BP268" s="892">
        <f>IF(G268="Front",0.5*9.81*0.4535924*(BJ268+BL268*(BM268/BN268)*1.1)*1.1*(BO268/1000),IF(G268="Rear",0.5*9.81*0.4535924*(BK268+BL268*(BM268/BN268)*0.9)*0.9*(BO268/1000),"TBD"))</f>
        <v>3534.927846647844</v>
      </c>
      <c r="BQ268" s="891">
        <v>0.35</v>
      </c>
      <c r="BR268" s="904">
        <v>68</v>
      </c>
      <c r="BS268" s="904">
        <v>72.400000000000006</v>
      </c>
      <c r="BT268" s="943">
        <v>177</v>
      </c>
      <c r="BU268" s="892">
        <f t="shared" si="7"/>
        <v>1412.7131331805588</v>
      </c>
      <c r="BV268" s="892">
        <f t="shared" si="8"/>
        <v>227.1474610145213</v>
      </c>
      <c r="BW268" s="892">
        <f t="shared" si="9"/>
        <v>318.00644542032978</v>
      </c>
      <c r="BX268" s="893">
        <f>0.5*(BL268/32.2)*((BO268*0.00328084)^2)*(BS268/100)</f>
        <v>78.655681173127931</v>
      </c>
      <c r="BY268" s="891">
        <v>30</v>
      </c>
      <c r="BZ268" s="909">
        <f t="shared" si="10"/>
        <v>8.9483141266357147E-3</v>
      </c>
      <c r="CA268" s="891">
        <v>232</v>
      </c>
      <c r="CB268" s="891"/>
      <c r="CC268" s="893">
        <f>BU268*(2*AF268)/(2*1600)</f>
        <v>54.830928481570439</v>
      </c>
      <c r="CD268" s="893">
        <f>BV268*(2*AF268)/(2*250)</f>
        <v>56.423429316007088</v>
      </c>
      <c r="CE268" s="890" t="str">
        <f>IF((CD268-CC268)&gt;0, "Shear","Power")</f>
        <v>Shear</v>
      </c>
      <c r="CF268" s="915">
        <f>(AF268/MAX(CC268,CD268))-1</f>
        <v>0.10060662304307155</v>
      </c>
      <c r="CG268" s="890">
        <v>4.9800000000000004</v>
      </c>
      <c r="CH268" s="890">
        <v>3.24</v>
      </c>
      <c r="CI268" s="890">
        <f>(CG268-CH268)/50</f>
        <v>3.4800000000000005E-2</v>
      </c>
      <c r="CJ268" s="873"/>
      <c r="CK268" s="955"/>
    </row>
    <row r="269" spans="1:89" ht="25.5" x14ac:dyDescent="0.2">
      <c r="A269" s="893">
        <f t="shared" ref="A269:A278" si="13">SQRT(2*54^2)</f>
        <v>76.367532368147138</v>
      </c>
      <c r="B269" s="883" t="s">
        <v>2037</v>
      </c>
      <c r="C269" s="870" t="s">
        <v>3984</v>
      </c>
      <c r="D269" s="870" t="s">
        <v>791</v>
      </c>
      <c r="E269" s="883" t="s">
        <v>4225</v>
      </c>
      <c r="F269" s="883">
        <v>2005</v>
      </c>
      <c r="G269" s="901" t="s">
        <v>1738</v>
      </c>
      <c r="H269" s="870" t="s">
        <v>2520</v>
      </c>
      <c r="I269" s="902" t="s">
        <v>2226</v>
      </c>
      <c r="J269" s="883" t="s">
        <v>114</v>
      </c>
      <c r="K269" s="870" t="s">
        <v>468</v>
      </c>
      <c r="L269" s="883" t="s">
        <v>2521</v>
      </c>
      <c r="M269" s="870" t="s">
        <v>469</v>
      </c>
      <c r="N269" s="883" t="s">
        <v>2119</v>
      </c>
      <c r="O269" s="870" t="s">
        <v>1125</v>
      </c>
      <c r="P269" s="870"/>
      <c r="Q269" s="870"/>
      <c r="R269" s="870"/>
      <c r="S269" s="870" t="s">
        <v>3652</v>
      </c>
      <c r="T269" s="870" t="s">
        <v>3652</v>
      </c>
      <c r="U269" s="870">
        <v>0.1065</v>
      </c>
      <c r="V269" s="870">
        <v>0.1065</v>
      </c>
      <c r="W269" s="870" t="s">
        <v>3662</v>
      </c>
      <c r="X269" s="947">
        <v>0.14130000000000001</v>
      </c>
      <c r="Y269" s="870" t="s">
        <v>3261</v>
      </c>
      <c r="Z269" s="870" t="s">
        <v>3888</v>
      </c>
      <c r="AA269" s="870">
        <v>205</v>
      </c>
      <c r="AB269" s="870" t="s">
        <v>2038</v>
      </c>
      <c r="AC269" s="870" t="s">
        <v>710</v>
      </c>
      <c r="AD269" s="870" t="s">
        <v>2039</v>
      </c>
      <c r="AE269" s="883" t="s">
        <v>91</v>
      </c>
      <c r="AF269" s="883">
        <v>66.2</v>
      </c>
      <c r="AG269" s="883">
        <v>57.9</v>
      </c>
      <c r="AH269" s="883" t="s">
        <v>122</v>
      </c>
      <c r="AI269" s="883" t="s">
        <v>122</v>
      </c>
      <c r="AJ269" s="870" t="s">
        <v>3030</v>
      </c>
      <c r="AK269" s="870" t="s">
        <v>2040</v>
      </c>
      <c r="AL269" s="883"/>
      <c r="AM269" s="883"/>
      <c r="AN269" s="883" t="s">
        <v>1784</v>
      </c>
      <c r="AO269" s="883">
        <v>0.28999999999999998</v>
      </c>
      <c r="AP269" s="883">
        <v>0.28999999999999998</v>
      </c>
      <c r="AQ269" s="883"/>
      <c r="AR269" s="887">
        <v>18.399999999999999</v>
      </c>
      <c r="AS269" s="888">
        <v>5.29</v>
      </c>
      <c r="AT269" s="887">
        <v>4.75</v>
      </c>
      <c r="AU269" s="888">
        <v>10.27</v>
      </c>
      <c r="AV269" s="888">
        <v>9.1</v>
      </c>
      <c r="AW269" s="904">
        <f t="shared" si="12"/>
        <v>38.265045772845689</v>
      </c>
      <c r="AX269" s="889">
        <v>38172</v>
      </c>
      <c r="AY269" s="883" t="s">
        <v>2093</v>
      </c>
      <c r="AZ269" s="870">
        <v>1200</v>
      </c>
      <c r="BA269" s="870" t="s">
        <v>466</v>
      </c>
      <c r="BB269" s="870" t="s">
        <v>467</v>
      </c>
      <c r="BC269" s="883">
        <v>14900801</v>
      </c>
      <c r="BD269" s="870" t="s">
        <v>3006</v>
      </c>
      <c r="BE269" s="870">
        <v>14901102</v>
      </c>
      <c r="BF269" s="870" t="s">
        <v>157</v>
      </c>
      <c r="BG269" s="870" t="s">
        <v>157</v>
      </c>
      <c r="BH269" s="891" t="s">
        <v>3889</v>
      </c>
      <c r="BI269" s="906">
        <v>41728</v>
      </c>
      <c r="BJ269" s="907">
        <f>1576*2.2</f>
        <v>3467.2000000000003</v>
      </c>
      <c r="BK269" s="907">
        <v>3467</v>
      </c>
      <c r="BL269" s="907">
        <v>6934</v>
      </c>
      <c r="BM269" s="907">
        <v>775</v>
      </c>
      <c r="BN269" s="907" t="s">
        <v>471</v>
      </c>
      <c r="BO269" s="891" t="s">
        <v>470</v>
      </c>
      <c r="BP269" s="892">
        <v>5171</v>
      </c>
      <c r="BQ269" s="891">
        <v>0.41</v>
      </c>
      <c r="BR269" s="904">
        <v>72</v>
      </c>
      <c r="BS269" s="893">
        <v>68</v>
      </c>
      <c r="BT269" s="943">
        <v>161</v>
      </c>
      <c r="BU269" s="892">
        <f t="shared" si="7"/>
        <v>1500.7781434453343</v>
      </c>
      <c r="BV269" s="892">
        <f>(BP269/(146.7/1000))/(2*AF269)</f>
        <v>266.22966079530124</v>
      </c>
      <c r="BW269" s="892">
        <f>(1.4*BP269/(146.7/1000))/(2*AF269)</f>
        <v>372.72152511342171</v>
      </c>
      <c r="BX269" s="893">
        <v>119.6</v>
      </c>
      <c r="BY269" s="891">
        <v>28</v>
      </c>
      <c r="BZ269" s="909">
        <f>BX269/(336*BY269)</f>
        <v>1.2712585034013605E-2</v>
      </c>
      <c r="CA269" s="891" t="s">
        <v>157</v>
      </c>
      <c r="CB269" s="891">
        <v>300</v>
      </c>
      <c r="CC269" s="893">
        <f>BU269*(2*AF269)/(2*1600)</f>
        <v>62.094695685050709</v>
      </c>
      <c r="CD269" s="893">
        <f>BV269*(2*AF269)/(2*250)</f>
        <v>70.497614178595768</v>
      </c>
      <c r="CE269" s="890" t="str">
        <f>IF((CD269-CC269)&gt;0, "Shear","Power")</f>
        <v>Shear</v>
      </c>
      <c r="CF269" s="915">
        <f>(AF269/MAX(CC269,CD269))-1</f>
        <v>-6.0961129375362466E-2</v>
      </c>
      <c r="CG269" s="890">
        <v>4.3</v>
      </c>
      <c r="CH269" s="891"/>
      <c r="CI269" s="890">
        <v>3.4000000000000002E-2</v>
      </c>
      <c r="CJ269" s="873"/>
      <c r="CK269" s="955"/>
    </row>
    <row r="270" spans="1:89" ht="25.5" x14ac:dyDescent="0.2">
      <c r="A270" s="893">
        <f t="shared" si="13"/>
        <v>76.367532368147138</v>
      </c>
      <c r="B270" s="883" t="s">
        <v>2028</v>
      </c>
      <c r="C270" s="883"/>
      <c r="D270" s="870" t="s">
        <v>793</v>
      </c>
      <c r="E270" s="883" t="s">
        <v>4225</v>
      </c>
      <c r="F270" s="883">
        <v>2012</v>
      </c>
      <c r="G270" s="901" t="s">
        <v>1797</v>
      </c>
      <c r="H270" s="870" t="s">
        <v>528</v>
      </c>
      <c r="I270" s="886" t="s">
        <v>1714</v>
      </c>
      <c r="J270" s="883" t="s">
        <v>114</v>
      </c>
      <c r="K270" s="883" t="s">
        <v>472</v>
      </c>
      <c r="L270" s="883">
        <v>340</v>
      </c>
      <c r="M270" s="883">
        <v>144.5</v>
      </c>
      <c r="N270" s="883" t="s">
        <v>212</v>
      </c>
      <c r="O270" s="870" t="s">
        <v>211</v>
      </c>
      <c r="P270" s="870"/>
      <c r="Q270" s="870"/>
      <c r="R270" s="870"/>
      <c r="S270" s="870"/>
      <c r="T270" s="870"/>
      <c r="U270" s="870"/>
      <c r="V270" s="870"/>
      <c r="W270" s="870"/>
      <c r="X270" s="870"/>
      <c r="Y270" s="870"/>
      <c r="Z270" s="870"/>
      <c r="AA270" s="870"/>
      <c r="AB270" s="870" t="s">
        <v>345</v>
      </c>
      <c r="AC270" s="870" t="s">
        <v>710</v>
      </c>
      <c r="AD270" s="870" t="s">
        <v>2161</v>
      </c>
      <c r="AE270" s="883" t="s">
        <v>91</v>
      </c>
      <c r="AF270" s="883">
        <v>61.69</v>
      </c>
      <c r="AG270" s="883">
        <v>362.2</v>
      </c>
      <c r="AH270" s="883" t="s">
        <v>122</v>
      </c>
      <c r="AI270" s="883" t="s">
        <v>122</v>
      </c>
      <c r="AJ270" s="870" t="s">
        <v>2031</v>
      </c>
      <c r="AK270" s="870" t="s">
        <v>2163</v>
      </c>
      <c r="AL270" s="883"/>
      <c r="AM270" s="883"/>
      <c r="AN270" s="883" t="s">
        <v>1784</v>
      </c>
      <c r="AO270" s="883">
        <v>0.28000000000000003</v>
      </c>
      <c r="AP270" s="870">
        <v>0.27</v>
      </c>
      <c r="AQ270" s="870"/>
      <c r="AR270" s="887">
        <v>22</v>
      </c>
      <c r="AS270" s="888">
        <v>7.5</v>
      </c>
      <c r="AT270" s="887">
        <v>6.6</v>
      </c>
      <c r="AU270" s="888">
        <v>12.9</v>
      </c>
      <c r="AV270" s="888">
        <v>11.7</v>
      </c>
      <c r="AW270" s="904">
        <v>28</v>
      </c>
      <c r="AX270" s="889">
        <v>39998</v>
      </c>
      <c r="AY270" s="883" t="s">
        <v>2093</v>
      </c>
      <c r="AZ270" s="870">
        <v>96</v>
      </c>
      <c r="BA270" s="870" t="s">
        <v>406</v>
      </c>
      <c r="BB270" s="870" t="s">
        <v>796</v>
      </c>
      <c r="BC270" s="870">
        <v>14413800</v>
      </c>
      <c r="BD270" s="870" t="s">
        <v>408</v>
      </c>
      <c r="BE270" s="870"/>
      <c r="BF270" s="870"/>
      <c r="BG270" s="870"/>
      <c r="BH270" s="891"/>
      <c r="BI270" s="914">
        <v>40920</v>
      </c>
      <c r="BJ270" s="907">
        <f>4046.5*2.2</f>
        <v>8902.3000000000011</v>
      </c>
      <c r="BK270" s="907">
        <f>1850.6*2.2</f>
        <v>4071.32</v>
      </c>
      <c r="BL270" s="907">
        <f>BJ270+BK270</f>
        <v>12973.62</v>
      </c>
      <c r="BM270" s="907">
        <v>787.4</v>
      </c>
      <c r="BN270" s="907">
        <v>4368.8</v>
      </c>
      <c r="BO270" s="891">
        <v>384</v>
      </c>
      <c r="BP270" s="892">
        <v>8482.025702023564</v>
      </c>
      <c r="BQ270" s="891">
        <v>0.36</v>
      </c>
      <c r="BR270" s="904">
        <v>45</v>
      </c>
      <c r="BS270" s="893">
        <v>45</v>
      </c>
      <c r="BT270" s="943">
        <v>152.9</v>
      </c>
      <c r="BU270" s="892">
        <v>1579.4198336140719</v>
      </c>
      <c r="BV270" s="892">
        <v>373.9870238987462</v>
      </c>
      <c r="BW270" s="892">
        <v>523.58183345824466</v>
      </c>
      <c r="BX270" s="893">
        <v>136.30000000000001</v>
      </c>
      <c r="BY270" s="891">
        <v>34</v>
      </c>
      <c r="BZ270" s="909">
        <v>1.0975397920789703E-2</v>
      </c>
      <c r="CA270" s="891">
        <v>249</v>
      </c>
      <c r="CB270" s="891">
        <v>275</v>
      </c>
      <c r="CC270" s="893">
        <v>69.09961772061564</v>
      </c>
      <c r="CD270" s="893">
        <v>104.71636669164893</v>
      </c>
      <c r="CE270" s="890" t="s">
        <v>1049</v>
      </c>
      <c r="CF270" s="915">
        <v>-0.33152760918334589</v>
      </c>
      <c r="CG270" s="890">
        <v>5.03</v>
      </c>
      <c r="CH270" s="890">
        <v>3.34</v>
      </c>
      <c r="CI270" s="890">
        <v>2.58E-2</v>
      </c>
      <c r="CJ270" s="882"/>
      <c r="CK270" s="955"/>
    </row>
    <row r="271" spans="1:89" ht="38.25" x14ac:dyDescent="0.2">
      <c r="A271" s="893">
        <f t="shared" si="13"/>
        <v>76.367532368147138</v>
      </c>
      <c r="B271" s="883" t="s">
        <v>2019</v>
      </c>
      <c r="C271" s="883"/>
      <c r="D271" s="870" t="s">
        <v>2879</v>
      </c>
      <c r="E271" s="883" t="s">
        <v>4225</v>
      </c>
      <c r="F271" s="883">
        <v>2002</v>
      </c>
      <c r="G271" s="901" t="s">
        <v>1738</v>
      </c>
      <c r="H271" s="870" t="s">
        <v>2700</v>
      </c>
      <c r="I271" s="902" t="s">
        <v>2905</v>
      </c>
      <c r="J271" s="883" t="s">
        <v>114</v>
      </c>
      <c r="K271" s="883">
        <v>4884</v>
      </c>
      <c r="L271" s="870">
        <v>336</v>
      </c>
      <c r="M271" s="883">
        <v>144.5</v>
      </c>
      <c r="N271" s="883" t="s">
        <v>197</v>
      </c>
      <c r="O271" s="870" t="s">
        <v>116</v>
      </c>
      <c r="P271" s="870"/>
      <c r="Q271" s="870"/>
      <c r="R271" s="870"/>
      <c r="S271" s="870"/>
      <c r="T271" s="870"/>
      <c r="U271" s="870"/>
      <c r="V271" s="870"/>
      <c r="W271" s="870"/>
      <c r="X271" s="870"/>
      <c r="Y271" s="870"/>
      <c r="Z271" s="870"/>
      <c r="AA271" s="870"/>
      <c r="AB271" s="870" t="s">
        <v>2020</v>
      </c>
      <c r="AC271" s="883" t="s">
        <v>710</v>
      </c>
      <c r="AD271" s="870" t="s">
        <v>2021</v>
      </c>
      <c r="AE271" s="870" t="s">
        <v>1668</v>
      </c>
      <c r="AF271" s="883">
        <v>67.099999999999994</v>
      </c>
      <c r="AG271" s="883">
        <v>63.9</v>
      </c>
      <c r="AH271" s="883" t="s">
        <v>122</v>
      </c>
      <c r="AI271" s="883" t="s">
        <v>122</v>
      </c>
      <c r="AJ271" s="883" t="s">
        <v>234</v>
      </c>
      <c r="AK271" s="870" t="s">
        <v>1138</v>
      </c>
      <c r="AL271" s="883"/>
      <c r="AM271" s="883"/>
      <c r="AN271" s="883" t="s">
        <v>1784</v>
      </c>
      <c r="AO271" s="883">
        <v>0.52</v>
      </c>
      <c r="AP271" s="883">
        <v>0.53</v>
      </c>
      <c r="AQ271" s="883"/>
      <c r="AR271" s="887">
        <v>18.399999999999999</v>
      </c>
      <c r="AS271" s="888">
        <v>6.2</v>
      </c>
      <c r="AT271" s="887">
        <v>5.2</v>
      </c>
      <c r="AU271" s="888">
        <v>11.3</v>
      </c>
      <c r="AV271" s="888">
        <v>10</v>
      </c>
      <c r="AW271" s="904">
        <f>(100*PI()*(A271^2))/(40*AO271*AV271*453.5924)</f>
        <v>19.419510729719185</v>
      </c>
      <c r="AX271" s="905">
        <v>37073</v>
      </c>
      <c r="AY271" s="883" t="s">
        <v>2399</v>
      </c>
      <c r="AZ271" s="870">
        <v>674</v>
      </c>
      <c r="BA271" s="870" t="s">
        <v>2022</v>
      </c>
      <c r="BB271" s="883" t="s">
        <v>539</v>
      </c>
      <c r="BC271" s="883">
        <v>14347702</v>
      </c>
      <c r="BD271" s="870" t="s">
        <v>2023</v>
      </c>
      <c r="BE271" s="870"/>
      <c r="BF271" s="870"/>
      <c r="BG271" s="870"/>
      <c r="BH271" s="891" t="s">
        <v>2024</v>
      </c>
      <c r="BI271" s="906">
        <v>37809</v>
      </c>
      <c r="BJ271" s="892">
        <v>3279</v>
      </c>
      <c r="BK271" s="892">
        <v>3321</v>
      </c>
      <c r="BL271" s="892">
        <f>BJ271+BK271</f>
        <v>6600</v>
      </c>
      <c r="BM271" s="892">
        <v>777</v>
      </c>
      <c r="BN271" s="892">
        <v>3429</v>
      </c>
      <c r="BO271" s="890">
        <v>405.4</v>
      </c>
      <c r="BP271" s="892">
        <f>IF(G271="Front",0.5*9.81*0.4535924*(BJ271+BL271*(BM271/BN271)*1.1)*1.1*(BO271/1000),IF(G271="Rear",0.5*9.81*0.4535924*(BK271+BL271*(BM271/BN271)*0.9)*0.9*(BO271/1000),"TBD"))</f>
        <v>4885.481319462403</v>
      </c>
      <c r="BQ271" s="891">
        <v>0.35</v>
      </c>
      <c r="BR271" s="904">
        <v>68</v>
      </c>
      <c r="BS271" s="904">
        <v>68</v>
      </c>
      <c r="BT271" s="943">
        <v>161</v>
      </c>
      <c r="BU271" s="892">
        <f>(2.4525*(BL271*0.4535924)*(0.8*(1000/3600)*BT271)*(BR271/100))/(AF271*2)</f>
        <v>1331.0319488773773</v>
      </c>
      <c r="BV271" s="892">
        <f>(BP271/(M271/1000))/(2*AF271)</f>
        <v>251.93412298240005</v>
      </c>
      <c r="BW271" s="892">
        <f>(1.4*BP271/(M271/1000))/(2*AF271)</f>
        <v>352.70777217536005</v>
      </c>
      <c r="BX271" s="893">
        <f>0.5*(BL271/32.2)*((BO271*0.00328084)^2)*(BS271/100)</f>
        <v>123.28339117015372</v>
      </c>
      <c r="BY271" s="891">
        <v>28</v>
      </c>
      <c r="BZ271" s="909">
        <f>BX271/(L271*BY271)</f>
        <v>1.3104101952609876E-2</v>
      </c>
      <c r="CA271" s="891">
        <v>234</v>
      </c>
      <c r="CB271" s="891">
        <v>268</v>
      </c>
      <c r="CC271" s="893">
        <f>BU271*(2*AF271)/(2*1600)</f>
        <v>55.820152356045007</v>
      </c>
      <c r="CD271" s="893">
        <f>BV271*(2*AF271)/(2*250)</f>
        <v>67.619118608476171</v>
      </c>
      <c r="CE271" s="890" t="str">
        <f>IF((CD271-CC271)&gt;0, "Shear","Power")</f>
        <v>Shear</v>
      </c>
      <c r="CF271" s="915">
        <f>(AF271/MAX(CC271,CD271))-1</f>
        <v>-7.6770981219371759E-3</v>
      </c>
      <c r="CG271" s="891"/>
      <c r="CH271" s="891"/>
      <c r="CI271" s="891"/>
      <c r="CJ271" s="873"/>
      <c r="CK271" s="955"/>
    </row>
    <row r="272" spans="1:89" ht="25.5" x14ac:dyDescent="0.2">
      <c r="A272" s="893">
        <f t="shared" si="13"/>
        <v>76.367532368147138</v>
      </c>
      <c r="B272" s="883" t="s">
        <v>2019</v>
      </c>
      <c r="C272" s="883"/>
      <c r="D272" s="870" t="s">
        <v>2879</v>
      </c>
      <c r="E272" s="883" t="s">
        <v>4225</v>
      </c>
      <c r="F272" s="883">
        <v>2004</v>
      </c>
      <c r="G272" s="901" t="s">
        <v>1738</v>
      </c>
      <c r="H272" s="870" t="s">
        <v>2896</v>
      </c>
      <c r="I272" s="902" t="s">
        <v>2905</v>
      </c>
      <c r="J272" s="883" t="s">
        <v>114</v>
      </c>
      <c r="K272" s="883">
        <v>4884</v>
      </c>
      <c r="L272" s="870">
        <v>336</v>
      </c>
      <c r="M272" s="883">
        <v>144.5</v>
      </c>
      <c r="N272" s="883" t="s">
        <v>197</v>
      </c>
      <c r="O272" s="870" t="s">
        <v>116</v>
      </c>
      <c r="P272" s="870"/>
      <c r="Q272" s="870"/>
      <c r="R272" s="870"/>
      <c r="S272" s="870"/>
      <c r="T272" s="870"/>
      <c r="U272" s="870"/>
      <c r="V272" s="870"/>
      <c r="W272" s="870"/>
      <c r="X272" s="870"/>
      <c r="Y272" s="870"/>
      <c r="Z272" s="870"/>
      <c r="AA272" s="870"/>
      <c r="AB272" s="870" t="s">
        <v>1656</v>
      </c>
      <c r="AC272" s="883" t="s">
        <v>710</v>
      </c>
      <c r="AD272" s="870" t="s">
        <v>2021</v>
      </c>
      <c r="AE272" s="870" t="s">
        <v>1668</v>
      </c>
      <c r="AF272" s="883">
        <v>67.099999999999994</v>
      </c>
      <c r="AG272" s="883">
        <v>63.9</v>
      </c>
      <c r="AH272" s="883" t="s">
        <v>122</v>
      </c>
      <c r="AI272" s="883" t="s">
        <v>122</v>
      </c>
      <c r="AJ272" s="883" t="s">
        <v>234</v>
      </c>
      <c r="AK272" s="870" t="s">
        <v>1138</v>
      </c>
      <c r="AL272" s="883"/>
      <c r="AM272" s="883"/>
      <c r="AN272" s="883" t="s">
        <v>1784</v>
      </c>
      <c r="AO272" s="883">
        <v>0.52</v>
      </c>
      <c r="AP272" s="883">
        <v>0.53</v>
      </c>
      <c r="AQ272" s="883"/>
      <c r="AR272" s="887">
        <v>18.399999999999999</v>
      </c>
      <c r="AS272" s="888">
        <v>6.2</v>
      </c>
      <c r="AT272" s="887">
        <v>5.2</v>
      </c>
      <c r="AU272" s="888">
        <v>11.3</v>
      </c>
      <c r="AV272" s="888">
        <v>10</v>
      </c>
      <c r="AW272" s="904">
        <f>(100*PI()*(A272^2))/(40*AO272*AV272*453.5924)</f>
        <v>19.419510729719185</v>
      </c>
      <c r="AX272" s="905">
        <v>37865</v>
      </c>
      <c r="AY272" s="883" t="s">
        <v>2093</v>
      </c>
      <c r="AZ272" s="870">
        <v>400</v>
      </c>
      <c r="BA272" s="870" t="s">
        <v>2025</v>
      </c>
      <c r="BB272" s="883" t="s">
        <v>2026</v>
      </c>
      <c r="BC272" s="883">
        <v>14347702</v>
      </c>
      <c r="BD272" s="870" t="s">
        <v>2023</v>
      </c>
      <c r="BE272" s="870"/>
      <c r="BF272" s="870"/>
      <c r="BG272" s="870"/>
      <c r="BH272" s="891" t="s">
        <v>2024</v>
      </c>
      <c r="BI272" s="906">
        <v>37337</v>
      </c>
      <c r="BJ272" s="892">
        <v>3150</v>
      </c>
      <c r="BK272" s="892">
        <v>3450</v>
      </c>
      <c r="BL272" s="892">
        <f>BJ272+BK272</f>
        <v>6600</v>
      </c>
      <c r="BM272" s="892">
        <v>729</v>
      </c>
      <c r="BN272" s="892">
        <v>2944</v>
      </c>
      <c r="BO272" s="890">
        <v>394</v>
      </c>
      <c r="BP272" s="892">
        <f>IF(G272="Front",0.5*9.81*0.4535924*(BJ272+BL272*(BM272/BN272)*1.1)*1.1*(BO272/1000),IF(G272="Rear",0.5*9.81*0.4535924*(BK272+BL272*(BM272/BN272)*0.9)*0.9*(BO272/1000),"TBD"))</f>
        <v>4770.9005321334598</v>
      </c>
      <c r="BQ272" s="890">
        <v>0.35</v>
      </c>
      <c r="BR272" s="893">
        <v>68</v>
      </c>
      <c r="BS272" s="904">
        <v>68</v>
      </c>
      <c r="BT272" s="894">
        <v>161</v>
      </c>
      <c r="BU272" s="892">
        <f>(2.4525*(BL272*0.4535924)*(0.8*(1000/3600)*BT272)*(BR272/100))/(AF272*2)</f>
        <v>1331.0319488773773</v>
      </c>
      <c r="BV272" s="892">
        <f>(BP272/(M272/1000))/(2*AF272)</f>
        <v>246.02542979973396</v>
      </c>
      <c r="BW272" s="892">
        <f>(1.4*BP272/(M272/1000))/(2*AF272)</f>
        <v>344.43560171962747</v>
      </c>
      <c r="BX272" s="893">
        <f>0.5*(BL272/32.2)*((BO272*0.00328084)^2)*(BS272/100)</f>
        <v>116.44732782138942</v>
      </c>
      <c r="BY272" s="891">
        <v>28</v>
      </c>
      <c r="BZ272" s="909">
        <f>BX272/(L272*BY272)</f>
        <v>1.2377479572851766E-2</v>
      </c>
      <c r="CA272" s="891">
        <v>229</v>
      </c>
      <c r="CB272" s="891">
        <v>256</v>
      </c>
      <c r="CC272" s="893">
        <f>BU272*(2*AF272)/(2*1600)</f>
        <v>55.820152356045007</v>
      </c>
      <c r="CD272" s="893">
        <f>BV272*(2*AF272)/(2*250)</f>
        <v>66.033225358248586</v>
      </c>
      <c r="CE272" s="890" t="str">
        <f>IF((CD272-CC272)&gt;0, "Shear","Power")</f>
        <v>Shear</v>
      </c>
      <c r="CF272" s="915">
        <f>(AF272/MAX(CC272,CD272))-1</f>
        <v>1.6155119426074727E-2</v>
      </c>
      <c r="CG272" s="891"/>
      <c r="CH272" s="891"/>
      <c r="CI272" s="891"/>
      <c r="CJ272" s="873"/>
      <c r="CK272" s="955"/>
    </row>
    <row r="273" spans="1:89" ht="25.5" x14ac:dyDescent="0.2">
      <c r="A273" s="893">
        <f t="shared" si="13"/>
        <v>76.367532368147138</v>
      </c>
      <c r="B273" s="870" t="s">
        <v>523</v>
      </c>
      <c r="C273" s="870"/>
      <c r="D273" s="870" t="s">
        <v>2879</v>
      </c>
      <c r="E273" s="883" t="s">
        <v>4225</v>
      </c>
      <c r="F273" s="883">
        <v>2008</v>
      </c>
      <c r="G273" s="913" t="s">
        <v>1738</v>
      </c>
      <c r="H273" s="870" t="s">
        <v>526</v>
      </c>
      <c r="I273" s="902" t="s">
        <v>2905</v>
      </c>
      <c r="J273" s="883" t="s">
        <v>114</v>
      </c>
      <c r="K273" s="883" t="s">
        <v>2094</v>
      </c>
      <c r="L273" s="883">
        <v>336</v>
      </c>
      <c r="M273" s="870" t="s">
        <v>404</v>
      </c>
      <c r="N273" s="870" t="s">
        <v>405</v>
      </c>
      <c r="O273" s="870" t="s">
        <v>1741</v>
      </c>
      <c r="P273" s="870"/>
      <c r="Q273" s="870"/>
      <c r="R273" s="870"/>
      <c r="S273" s="870"/>
      <c r="T273" s="870"/>
      <c r="U273" s="870"/>
      <c r="V273" s="870"/>
      <c r="W273" s="870"/>
      <c r="X273" s="870"/>
      <c r="Y273" s="870"/>
      <c r="Z273" s="870"/>
      <c r="AA273" s="870"/>
      <c r="AB273" s="870" t="s">
        <v>2092</v>
      </c>
      <c r="AC273" s="870" t="s">
        <v>710</v>
      </c>
      <c r="AD273" s="870" t="s">
        <v>661</v>
      </c>
      <c r="AE273" s="870" t="s">
        <v>1668</v>
      </c>
      <c r="AF273" s="883">
        <v>66.099999999999994</v>
      </c>
      <c r="AG273" s="883">
        <v>57.9</v>
      </c>
      <c r="AH273" s="883" t="s">
        <v>80</v>
      </c>
      <c r="AI273" s="883" t="s">
        <v>80</v>
      </c>
      <c r="AJ273" s="883" t="s">
        <v>234</v>
      </c>
      <c r="AK273" s="870" t="s">
        <v>978</v>
      </c>
      <c r="AL273" s="883"/>
      <c r="AM273" s="883"/>
      <c r="AN273" s="883" t="s">
        <v>1784</v>
      </c>
      <c r="AO273" s="883">
        <v>0.27</v>
      </c>
      <c r="AP273" s="962">
        <v>0.23</v>
      </c>
      <c r="AQ273" s="962"/>
      <c r="AR273" s="887">
        <v>18.399999999999999</v>
      </c>
      <c r="AS273" s="888">
        <v>5.4</v>
      </c>
      <c r="AT273" s="887">
        <v>4.7</v>
      </c>
      <c r="AU273" s="888">
        <v>10.6</v>
      </c>
      <c r="AV273" s="888">
        <v>9.5</v>
      </c>
      <c r="AW273" s="904">
        <v>32.241844123416264</v>
      </c>
      <c r="AX273" s="889">
        <v>37438</v>
      </c>
      <c r="AY273" s="883" t="s">
        <v>2093</v>
      </c>
      <c r="AZ273" s="870" t="s">
        <v>403</v>
      </c>
      <c r="BA273" s="870" t="s">
        <v>524</v>
      </c>
      <c r="BB273" s="883" t="s">
        <v>1777</v>
      </c>
      <c r="BC273" s="883">
        <v>14900800</v>
      </c>
      <c r="BD273" s="870" t="s">
        <v>525</v>
      </c>
      <c r="BE273" s="870"/>
      <c r="BF273" s="870"/>
      <c r="BG273" s="870"/>
      <c r="BH273" s="891" t="s">
        <v>1796</v>
      </c>
      <c r="BI273" s="914">
        <v>39590</v>
      </c>
      <c r="BJ273" s="892">
        <v>3474.4</v>
      </c>
      <c r="BK273" s="892">
        <v>3474.4</v>
      </c>
      <c r="BL273" s="892">
        <v>6948.8</v>
      </c>
      <c r="BM273" s="892">
        <v>775</v>
      </c>
      <c r="BN273" s="892">
        <v>3569</v>
      </c>
      <c r="BO273" s="890">
        <v>403</v>
      </c>
      <c r="BP273" s="892">
        <v>3502.3119810335106</v>
      </c>
      <c r="BQ273" s="890">
        <v>0.37</v>
      </c>
      <c r="BR273" s="893">
        <v>35</v>
      </c>
      <c r="BS273" s="893">
        <v>34</v>
      </c>
      <c r="BT273" s="894">
        <v>177</v>
      </c>
      <c r="BU273" s="892">
        <v>1103.749679502703</v>
      </c>
      <c r="BV273" s="892">
        <v>283.74424630837308</v>
      </c>
      <c r="BW273" s="892">
        <v>397.24194483172226</v>
      </c>
      <c r="BX273" s="893">
        <v>135.9</v>
      </c>
      <c r="BY273" s="891">
        <v>28</v>
      </c>
      <c r="BZ273" s="909">
        <v>7.0133982185641569E-3</v>
      </c>
      <c r="CA273" s="891">
        <v>186</v>
      </c>
      <c r="CB273" s="891">
        <v>216</v>
      </c>
      <c r="CC273" s="893">
        <v>30.629053606200003</v>
      </c>
      <c r="CD273" s="893">
        <v>50.392978144367056</v>
      </c>
      <c r="CE273" s="890" t="s">
        <v>1049</v>
      </c>
      <c r="CF273" s="915">
        <v>-0.11892486542863623</v>
      </c>
      <c r="CG273" s="891"/>
      <c r="CH273" s="891"/>
      <c r="CI273" s="891"/>
      <c r="CJ273" s="873"/>
      <c r="CK273" s="955"/>
    </row>
    <row r="274" spans="1:89" ht="25.5" x14ac:dyDescent="0.2">
      <c r="A274" s="893">
        <f t="shared" si="13"/>
        <v>76.367532368147138</v>
      </c>
      <c r="B274" s="883" t="s">
        <v>2037</v>
      </c>
      <c r="C274" s="883"/>
      <c r="D274" s="870" t="s">
        <v>2879</v>
      </c>
      <c r="E274" s="883" t="s">
        <v>4225</v>
      </c>
      <c r="F274" s="883">
        <v>2009</v>
      </c>
      <c r="G274" s="901" t="s">
        <v>1738</v>
      </c>
      <c r="H274" s="870" t="s">
        <v>2954</v>
      </c>
      <c r="I274" s="902" t="s">
        <v>1137</v>
      </c>
      <c r="J274" s="883" t="s">
        <v>114</v>
      </c>
      <c r="K274" s="883" t="s">
        <v>2699</v>
      </c>
      <c r="L274" s="883">
        <v>336</v>
      </c>
      <c r="M274" s="883">
        <v>146.69999999999999</v>
      </c>
      <c r="N274" s="883" t="s">
        <v>197</v>
      </c>
      <c r="O274" s="870" t="s">
        <v>736</v>
      </c>
      <c r="P274" s="870"/>
      <c r="Q274" s="870"/>
      <c r="R274" s="870"/>
      <c r="S274" s="870"/>
      <c r="T274" s="870"/>
      <c r="U274" s="870"/>
      <c r="V274" s="870"/>
      <c r="W274" s="870"/>
      <c r="X274" s="870"/>
      <c r="Y274" s="870"/>
      <c r="Z274" s="870"/>
      <c r="AA274" s="870"/>
      <c r="AB274" s="870" t="s">
        <v>737</v>
      </c>
      <c r="AC274" s="870" t="s">
        <v>710</v>
      </c>
      <c r="AD274" s="870" t="s">
        <v>2039</v>
      </c>
      <c r="AE274" s="883" t="s">
        <v>91</v>
      </c>
      <c r="AF274" s="883">
        <v>66.2</v>
      </c>
      <c r="AG274" s="883">
        <v>65.5</v>
      </c>
      <c r="AH274" s="883" t="s">
        <v>122</v>
      </c>
      <c r="AI274" s="883" t="s">
        <v>122</v>
      </c>
      <c r="AJ274" s="870" t="s">
        <v>2031</v>
      </c>
      <c r="AK274" s="870" t="s">
        <v>2040</v>
      </c>
      <c r="AL274" s="883"/>
      <c r="AM274" s="883"/>
      <c r="AN274" s="883" t="s">
        <v>1784</v>
      </c>
      <c r="AO274" s="883">
        <v>0.28999999999999998</v>
      </c>
      <c r="AP274" s="883">
        <v>0.28999999999999998</v>
      </c>
      <c r="AQ274" s="883"/>
      <c r="AR274" s="887">
        <v>18</v>
      </c>
      <c r="AS274" s="888">
        <v>5.29</v>
      </c>
      <c r="AT274" s="887">
        <v>4.75</v>
      </c>
      <c r="AU274" s="888">
        <v>10.27</v>
      </c>
      <c r="AV274" s="888">
        <v>9.1</v>
      </c>
      <c r="AW274" s="904">
        <v>38.265045772845689</v>
      </c>
      <c r="AX274" s="889">
        <v>39661</v>
      </c>
      <c r="AY274" s="883" t="s">
        <v>2093</v>
      </c>
      <c r="AZ274" s="870">
        <v>10</v>
      </c>
      <c r="BA274" s="870" t="s">
        <v>2955</v>
      </c>
      <c r="BB274" s="870" t="s">
        <v>800</v>
      </c>
      <c r="BC274" s="883">
        <v>14900801</v>
      </c>
      <c r="BD274" s="870" t="s">
        <v>2041</v>
      </c>
      <c r="BE274" s="870"/>
      <c r="BF274" s="870"/>
      <c r="BG274" s="870"/>
      <c r="BH274" s="891" t="s">
        <v>2698</v>
      </c>
      <c r="BI274" s="906">
        <v>39601</v>
      </c>
      <c r="BJ274" s="907">
        <v>2805</v>
      </c>
      <c r="BK274" s="907">
        <v>4578</v>
      </c>
      <c r="BL274" s="892">
        <v>7383</v>
      </c>
      <c r="BM274" s="907">
        <v>711</v>
      </c>
      <c r="BN274" s="907">
        <v>2496</v>
      </c>
      <c r="BO274" s="904">
        <v>350</v>
      </c>
      <c r="BP274" s="892">
        <v>4393</v>
      </c>
      <c r="BQ274" s="891">
        <v>0.32</v>
      </c>
      <c r="BR274" s="904">
        <v>72</v>
      </c>
      <c r="BS274" s="893">
        <v>68</v>
      </c>
      <c r="BT274" s="943">
        <v>161</v>
      </c>
      <c r="BU274" s="892">
        <v>1597.9586145164301</v>
      </c>
      <c r="BV274" s="892">
        <v>226.17422159616291</v>
      </c>
      <c r="BW274" s="892">
        <v>316.64391023462804</v>
      </c>
      <c r="BX274" s="893">
        <v>105.1</v>
      </c>
      <c r="BY274" s="891">
        <v>28</v>
      </c>
      <c r="BZ274" s="909">
        <v>1.1171343537414965E-2</v>
      </c>
      <c r="CA274" s="891" t="s">
        <v>2952</v>
      </c>
      <c r="CB274" s="891" t="s">
        <v>2952</v>
      </c>
      <c r="CC274" s="893">
        <v>66.115537675617148</v>
      </c>
      <c r="CD274" s="893">
        <v>59.890933878663944</v>
      </c>
      <c r="CE274" s="890" t="s">
        <v>103</v>
      </c>
      <c r="CF274" s="915">
        <v>1.2774958406487347E-3</v>
      </c>
      <c r="CG274" s="890">
        <v>5.68</v>
      </c>
      <c r="CH274" s="890">
        <v>3.93</v>
      </c>
      <c r="CI274" s="890">
        <v>3.5000000000000003E-2</v>
      </c>
      <c r="CJ274" s="873"/>
      <c r="CK274" s="955"/>
    </row>
    <row r="275" spans="1:89" ht="38.25" x14ac:dyDescent="0.2">
      <c r="A275" s="893">
        <f t="shared" si="13"/>
        <v>76.367532368147138</v>
      </c>
      <c r="B275" s="883" t="s">
        <v>2143</v>
      </c>
      <c r="C275" s="883"/>
      <c r="D275" s="870" t="s">
        <v>2879</v>
      </c>
      <c r="E275" s="883" t="s">
        <v>4225</v>
      </c>
      <c r="F275" s="883">
        <v>2010.5</v>
      </c>
      <c r="G275" s="913" t="s">
        <v>1738</v>
      </c>
      <c r="H275" s="870" t="s">
        <v>731</v>
      </c>
      <c r="I275" s="886" t="s">
        <v>2226</v>
      </c>
      <c r="J275" s="883" t="s">
        <v>114</v>
      </c>
      <c r="K275" s="883" t="s">
        <v>2144</v>
      </c>
      <c r="L275" s="870">
        <v>356</v>
      </c>
      <c r="M275" s="883">
        <v>151.75</v>
      </c>
      <c r="N275" s="883" t="s">
        <v>197</v>
      </c>
      <c r="O275" s="870" t="s">
        <v>973</v>
      </c>
      <c r="P275" s="870"/>
      <c r="Q275" s="870"/>
      <c r="R275" s="870"/>
      <c r="S275" s="870"/>
      <c r="T275" s="870"/>
      <c r="U275" s="870"/>
      <c r="V275" s="870"/>
      <c r="W275" s="870"/>
      <c r="X275" s="870"/>
      <c r="Y275" s="870"/>
      <c r="Z275" s="870"/>
      <c r="AA275" s="870"/>
      <c r="AB275" s="870" t="s">
        <v>2038</v>
      </c>
      <c r="AC275" s="883" t="s">
        <v>710</v>
      </c>
      <c r="AD275" s="883" t="s">
        <v>368</v>
      </c>
      <c r="AE275" s="883" t="s">
        <v>91</v>
      </c>
      <c r="AF275" s="870">
        <v>76</v>
      </c>
      <c r="AG275" s="870">
        <v>91</v>
      </c>
      <c r="AH275" s="883" t="s">
        <v>1744</v>
      </c>
      <c r="AI275" s="883" t="s">
        <v>1744</v>
      </c>
      <c r="AJ275" s="883" t="s">
        <v>2871</v>
      </c>
      <c r="AK275" s="870" t="s">
        <v>2145</v>
      </c>
      <c r="AL275" s="883"/>
      <c r="AM275" s="883"/>
      <c r="AN275" s="883" t="s">
        <v>1784</v>
      </c>
      <c r="AO275" s="883">
        <v>0.34</v>
      </c>
      <c r="AP275" s="883"/>
      <c r="AQ275" s="883"/>
      <c r="AR275" s="887">
        <v>19.95</v>
      </c>
      <c r="AS275" s="903">
        <v>5.74</v>
      </c>
      <c r="AT275" s="918">
        <v>5.28</v>
      </c>
      <c r="AU275" s="903">
        <v>10.93</v>
      </c>
      <c r="AV275" s="903">
        <v>10.25</v>
      </c>
      <c r="AW275" s="904">
        <v>29.000671022710343</v>
      </c>
      <c r="AX275" s="889">
        <v>39457</v>
      </c>
      <c r="AY275" s="883" t="s">
        <v>2093</v>
      </c>
      <c r="AZ275" s="870">
        <v>196</v>
      </c>
      <c r="BA275" s="870" t="s">
        <v>2146</v>
      </c>
      <c r="BB275" s="883" t="s">
        <v>2147</v>
      </c>
      <c r="BC275" s="883">
        <v>16321302</v>
      </c>
      <c r="BD275" s="870">
        <v>16321200</v>
      </c>
      <c r="BE275" s="870"/>
      <c r="BF275" s="870"/>
      <c r="BG275" s="870"/>
      <c r="BH275" s="891"/>
      <c r="BI275" s="914">
        <v>39595</v>
      </c>
      <c r="BJ275" s="892">
        <v>4254</v>
      </c>
      <c r="BK275" s="892">
        <v>3062</v>
      </c>
      <c r="BL275" s="892">
        <v>7317</v>
      </c>
      <c r="BM275" s="892">
        <v>787.4</v>
      </c>
      <c r="BN275" s="892">
        <v>3556</v>
      </c>
      <c r="BO275" s="944">
        <v>403</v>
      </c>
      <c r="BP275" s="892">
        <v>5951</v>
      </c>
      <c r="BQ275" s="944">
        <v>0.4</v>
      </c>
      <c r="BR275" s="893">
        <v>73.2</v>
      </c>
      <c r="BS275" s="893"/>
      <c r="BT275" s="943">
        <v>185.4</v>
      </c>
      <c r="BU275" s="892">
        <v>1615.00008497159</v>
      </c>
      <c r="BV275" s="892">
        <v>257.99878609208355</v>
      </c>
      <c r="BW275" s="892"/>
      <c r="BX275" s="893">
        <v>197.3</v>
      </c>
      <c r="BY275" s="891">
        <v>32</v>
      </c>
      <c r="BZ275" s="909">
        <v>1.7319171348314608E-2</v>
      </c>
      <c r="CA275" s="891" t="s">
        <v>2952</v>
      </c>
      <c r="CB275" s="891" t="s">
        <v>2952</v>
      </c>
      <c r="CC275" s="893">
        <v>76.71250403615052</v>
      </c>
      <c r="CD275" s="893">
        <v>78.431630971993386</v>
      </c>
      <c r="CE275" s="890" t="s">
        <v>1049</v>
      </c>
      <c r="CF275" s="915">
        <v>-3.1003192740715502E-2</v>
      </c>
      <c r="CG275" s="890"/>
      <c r="CH275" s="890"/>
      <c r="CI275" s="890"/>
      <c r="CJ275" s="873"/>
      <c r="CK275" s="955"/>
    </row>
    <row r="276" spans="1:89" ht="25.5" x14ac:dyDescent="0.2">
      <c r="A276" s="893">
        <f t="shared" si="13"/>
        <v>76.367532368147138</v>
      </c>
      <c r="B276" s="883" t="s">
        <v>2923</v>
      </c>
      <c r="C276" s="883"/>
      <c r="D276" s="883" t="s">
        <v>848</v>
      </c>
      <c r="E276" s="883" t="s">
        <v>4225</v>
      </c>
      <c r="F276" s="883"/>
      <c r="G276" s="995"/>
      <c r="H276" s="870" t="s">
        <v>2928</v>
      </c>
      <c r="I276" s="886" t="s">
        <v>2932</v>
      </c>
      <c r="J276" s="883" t="s">
        <v>114</v>
      </c>
      <c r="K276" s="883" t="s">
        <v>2924</v>
      </c>
      <c r="L276" s="870">
        <v>308</v>
      </c>
      <c r="M276" s="883">
        <v>127.1</v>
      </c>
      <c r="N276" s="883" t="s">
        <v>1361</v>
      </c>
      <c r="O276" s="870" t="s">
        <v>116</v>
      </c>
      <c r="P276" s="870"/>
      <c r="Q276" s="870"/>
      <c r="R276" s="870"/>
      <c r="S276" s="870"/>
      <c r="T276" s="870"/>
      <c r="U276" s="870"/>
      <c r="V276" s="870"/>
      <c r="W276" s="870"/>
      <c r="X276" s="870"/>
      <c r="Y276" s="870"/>
      <c r="Z276" s="870"/>
      <c r="AA276" s="870"/>
      <c r="AB276" s="870" t="s">
        <v>1742</v>
      </c>
      <c r="AC276" s="883" t="s">
        <v>710</v>
      </c>
      <c r="AD276" s="883" t="s">
        <v>2925</v>
      </c>
      <c r="AE276" s="883" t="s">
        <v>1668</v>
      </c>
      <c r="AF276" s="883" t="s">
        <v>2926</v>
      </c>
      <c r="AG276" s="883" t="s">
        <v>2927</v>
      </c>
      <c r="AH276" s="883" t="s">
        <v>122</v>
      </c>
      <c r="AI276" s="883" t="s">
        <v>1744</v>
      </c>
      <c r="AJ276" s="883" t="s">
        <v>234</v>
      </c>
      <c r="AK276" s="870" t="s">
        <v>373</v>
      </c>
      <c r="AL276" s="883"/>
      <c r="AM276" s="883"/>
      <c r="AN276" s="883" t="s">
        <v>1784</v>
      </c>
      <c r="AO276" s="883">
        <v>0.45700000000000002</v>
      </c>
      <c r="AP276" s="883">
        <v>0.45</v>
      </c>
      <c r="AQ276" s="883"/>
      <c r="AR276" s="887">
        <v>19.7</v>
      </c>
      <c r="AS276" s="888">
        <v>5.55</v>
      </c>
      <c r="AT276" s="887">
        <v>4.55</v>
      </c>
      <c r="AU276" s="888">
        <v>11.89</v>
      </c>
      <c r="AV276" s="888">
        <v>10.6</v>
      </c>
      <c r="AW276" s="904">
        <f>(100*PI()*(A276^2))/(40*AO276*AV276*453.5924)</f>
        <v>20.845847775595505</v>
      </c>
      <c r="AX276" s="889">
        <v>2002.5</v>
      </c>
      <c r="AY276" s="883" t="s">
        <v>1790</v>
      </c>
      <c r="AZ276" s="870">
        <v>120</v>
      </c>
      <c r="BA276" s="870" t="s">
        <v>2929</v>
      </c>
      <c r="BB276" s="883" t="s">
        <v>2930</v>
      </c>
      <c r="BC276" s="883">
        <v>13719501</v>
      </c>
      <c r="BD276" s="870" t="s">
        <v>2931</v>
      </c>
      <c r="BE276" s="870"/>
      <c r="BF276" s="870"/>
      <c r="BG276" s="870"/>
      <c r="BH276" s="891" t="s">
        <v>2933</v>
      </c>
      <c r="BI276" s="996">
        <v>36831</v>
      </c>
      <c r="BJ276" s="907">
        <v>3222</v>
      </c>
      <c r="BK276" s="907">
        <v>3778</v>
      </c>
      <c r="BL276" s="907">
        <f>BJ276+BK276</f>
        <v>7000</v>
      </c>
      <c r="BM276" s="907">
        <f>30.5*25.4</f>
        <v>774.69999999999993</v>
      </c>
      <c r="BN276" s="907">
        <f>138*25.4</f>
        <v>3505.2</v>
      </c>
      <c r="BO276" s="891">
        <f>13.1*25.4</f>
        <v>332.73999999999995</v>
      </c>
      <c r="BP276" s="907">
        <f>1/2*9.8*(BJ276/2.2+BL276/2.2*BM276/BN276*1)*1*BO276/1000</f>
        <v>3534.3940906982866</v>
      </c>
      <c r="BQ276" s="891">
        <v>0.3</v>
      </c>
      <c r="BR276" s="904">
        <v>66.67</v>
      </c>
      <c r="BS276" s="904"/>
      <c r="BT276" s="943">
        <f>100*1.609344</f>
        <v>160.93440000000001</v>
      </c>
      <c r="BU276" s="898">
        <f>2100*(44.16/71.44)</f>
        <v>1298.0963045912654</v>
      </c>
      <c r="BV276" s="898"/>
      <c r="BW276" s="898"/>
      <c r="BX276" s="890"/>
      <c r="BY276" s="891"/>
      <c r="BZ276" s="909"/>
      <c r="CA276" s="890">
        <v>232</v>
      </c>
      <c r="CB276" s="890" t="s">
        <v>83</v>
      </c>
      <c r="CC276" s="893"/>
      <c r="CD276" s="893"/>
      <c r="CE276" s="890"/>
      <c r="CF276" s="890"/>
      <c r="CG276" s="890"/>
      <c r="CH276" s="890"/>
      <c r="CI276" s="890"/>
      <c r="CJ276" s="873"/>
      <c r="CK276" s="955"/>
    </row>
    <row r="277" spans="1:89" ht="51" x14ac:dyDescent="0.2">
      <c r="A277" s="893">
        <f t="shared" si="13"/>
        <v>76.367532368147138</v>
      </c>
      <c r="B277" s="883" t="s">
        <v>1517</v>
      </c>
      <c r="C277" s="883"/>
      <c r="D277" s="883" t="s">
        <v>1787</v>
      </c>
      <c r="E277" s="883" t="s">
        <v>4225</v>
      </c>
      <c r="F277" s="883"/>
      <c r="G277" s="934"/>
      <c r="H277" s="870" t="s">
        <v>1520</v>
      </c>
      <c r="I277" s="886" t="s">
        <v>2027</v>
      </c>
      <c r="J277" s="883" t="s">
        <v>114</v>
      </c>
      <c r="K277" s="883">
        <v>4615</v>
      </c>
      <c r="L277" s="870" t="s">
        <v>1518</v>
      </c>
      <c r="M277" s="883">
        <v>130.6</v>
      </c>
      <c r="N277" s="883" t="s">
        <v>1361</v>
      </c>
      <c r="O277" s="870" t="s">
        <v>116</v>
      </c>
      <c r="P277" s="870"/>
      <c r="Q277" s="870"/>
      <c r="R277" s="870"/>
      <c r="S277" s="870"/>
      <c r="T277" s="870"/>
      <c r="U277" s="870"/>
      <c r="V277" s="870"/>
      <c r="W277" s="870"/>
      <c r="X277" s="870"/>
      <c r="Y277" s="870"/>
      <c r="Z277" s="870"/>
      <c r="AA277" s="870"/>
      <c r="AB277" s="870" t="s">
        <v>1519</v>
      </c>
      <c r="AC277" s="883" t="s">
        <v>710</v>
      </c>
      <c r="AD277" s="883" t="s">
        <v>25</v>
      </c>
      <c r="AE277" s="883" t="s">
        <v>120</v>
      </c>
      <c r="AF277" s="883">
        <v>61.9</v>
      </c>
      <c r="AG277" s="883">
        <v>53</v>
      </c>
      <c r="AH277" s="883" t="s">
        <v>122</v>
      </c>
      <c r="AI277" s="883" t="s">
        <v>122</v>
      </c>
      <c r="AJ277" s="883" t="s">
        <v>234</v>
      </c>
      <c r="AK277" s="870" t="s">
        <v>373</v>
      </c>
      <c r="AL277" s="883"/>
      <c r="AM277" s="883"/>
      <c r="AN277" s="883" t="s">
        <v>1784</v>
      </c>
      <c r="AO277" s="883">
        <v>0.56999999999999995</v>
      </c>
      <c r="AP277" s="883">
        <v>0.52</v>
      </c>
      <c r="AQ277" s="883"/>
      <c r="AR277" s="887">
        <v>18.399999999999999</v>
      </c>
      <c r="AS277" s="888">
        <v>6.2</v>
      </c>
      <c r="AT277" s="887">
        <v>5.4</v>
      </c>
      <c r="AU277" s="888">
        <v>11.3</v>
      </c>
      <c r="AV277" s="888">
        <v>10</v>
      </c>
      <c r="AW277" s="888"/>
      <c r="AX277" s="889">
        <v>36342</v>
      </c>
      <c r="AY277" s="883" t="s">
        <v>1790</v>
      </c>
      <c r="AZ277" s="997">
        <f>337*2</f>
        <v>674</v>
      </c>
      <c r="BA277" s="870" t="s">
        <v>1521</v>
      </c>
      <c r="BB277" s="883" t="s">
        <v>481</v>
      </c>
      <c r="BC277" s="883" t="s">
        <v>482</v>
      </c>
      <c r="BD277" s="870" t="s">
        <v>483</v>
      </c>
      <c r="BE277" s="870"/>
      <c r="BF277" s="870"/>
      <c r="BG277" s="870"/>
      <c r="BH277" s="891" t="s">
        <v>2024</v>
      </c>
      <c r="BI277" s="891"/>
      <c r="BJ277" s="907">
        <v>3279</v>
      </c>
      <c r="BK277" s="907">
        <v>3321</v>
      </c>
      <c r="BL277" s="907">
        <v>6600</v>
      </c>
      <c r="BM277" s="907">
        <v>751.8</v>
      </c>
      <c r="BN277" s="907">
        <v>3022.6</v>
      </c>
      <c r="BO277" s="891">
        <v>370.8</v>
      </c>
      <c r="BP277" s="907">
        <f>1/2*9.8*(BJ277/2.2+BL277/2.2*BM277/BN277*1)*1*BO277/1000</f>
        <v>4063.7838334498292</v>
      </c>
      <c r="BQ277" s="891">
        <v>0.34</v>
      </c>
      <c r="BR277" s="904">
        <v>73</v>
      </c>
      <c r="BS277" s="904"/>
      <c r="BT277" s="943">
        <v>161</v>
      </c>
      <c r="BU277" s="898"/>
      <c r="BV277" s="898"/>
      <c r="BW277" s="898"/>
      <c r="BX277" s="890"/>
      <c r="BY277" s="890"/>
      <c r="BZ277" s="895"/>
      <c r="CA277" s="890"/>
      <c r="CB277" s="890"/>
      <c r="CC277" s="893"/>
      <c r="CD277" s="893"/>
      <c r="CE277" s="890"/>
      <c r="CF277" s="890"/>
      <c r="CG277" s="890"/>
      <c r="CH277" s="890"/>
      <c r="CI277" s="890"/>
      <c r="CJ277" s="873"/>
      <c r="CK277" s="990" t="s">
        <v>1127</v>
      </c>
    </row>
    <row r="278" spans="1:89" ht="25.5" x14ac:dyDescent="0.2">
      <c r="A278" s="893">
        <f t="shared" si="13"/>
        <v>76.367532368147138</v>
      </c>
      <c r="B278" s="883" t="s">
        <v>510</v>
      </c>
      <c r="C278" s="883"/>
      <c r="D278" s="883" t="s">
        <v>1787</v>
      </c>
      <c r="E278" s="883" t="s">
        <v>4225</v>
      </c>
      <c r="F278" s="883"/>
      <c r="G278" s="901" t="s">
        <v>1738</v>
      </c>
      <c r="H278" s="870" t="s">
        <v>511</v>
      </c>
      <c r="I278" s="886" t="s">
        <v>2027</v>
      </c>
      <c r="J278" s="883" t="s">
        <v>114</v>
      </c>
      <c r="K278" s="883">
        <v>4212</v>
      </c>
      <c r="L278" s="870">
        <v>308</v>
      </c>
      <c r="M278" s="883">
        <v>129</v>
      </c>
      <c r="N278" s="883" t="s">
        <v>1361</v>
      </c>
      <c r="O278" s="870" t="s">
        <v>116</v>
      </c>
      <c r="P278" s="870"/>
      <c r="Q278" s="870"/>
      <c r="R278" s="870"/>
      <c r="S278" s="870"/>
      <c r="T278" s="870"/>
      <c r="U278" s="870"/>
      <c r="V278" s="870"/>
      <c r="W278" s="870"/>
      <c r="X278" s="870"/>
      <c r="Y278" s="870"/>
      <c r="Z278" s="870"/>
      <c r="AA278" s="870"/>
      <c r="AB278" s="870" t="s">
        <v>1656</v>
      </c>
      <c r="AC278" s="883" t="s">
        <v>710</v>
      </c>
      <c r="AD278" s="870" t="s">
        <v>2021</v>
      </c>
      <c r="AE278" s="883" t="s">
        <v>1699</v>
      </c>
      <c r="AF278" s="883">
        <v>61.9</v>
      </c>
      <c r="AG278" s="883">
        <v>59.6</v>
      </c>
      <c r="AH278" s="883" t="s">
        <v>122</v>
      </c>
      <c r="AI278" s="883" t="s">
        <v>122</v>
      </c>
      <c r="AJ278" s="883" t="s">
        <v>234</v>
      </c>
      <c r="AK278" s="870" t="s">
        <v>1138</v>
      </c>
      <c r="AL278" s="883"/>
      <c r="AM278" s="883"/>
      <c r="AN278" s="883" t="s">
        <v>1784</v>
      </c>
      <c r="AO278" s="883">
        <v>0.52</v>
      </c>
      <c r="AP278" s="883">
        <v>0.53</v>
      </c>
      <c r="AQ278" s="883"/>
      <c r="AR278" s="887">
        <v>18.600000000000001</v>
      </c>
      <c r="AS278" s="888">
        <v>6.2</v>
      </c>
      <c r="AT278" s="887">
        <v>4.9000000000000004</v>
      </c>
      <c r="AU278" s="888">
        <v>11.3</v>
      </c>
      <c r="AV278" s="888">
        <v>10</v>
      </c>
      <c r="AW278" s="904">
        <f>(100*PI()*(A278^2))/(40*AO278*AV278*453.5924)</f>
        <v>19.419510729719185</v>
      </c>
      <c r="AX278" s="935">
        <v>37438</v>
      </c>
      <c r="AY278" s="883" t="s">
        <v>1790</v>
      </c>
      <c r="AZ278" s="870">
        <v>400</v>
      </c>
      <c r="BA278" s="870" t="s">
        <v>512</v>
      </c>
      <c r="BB278" s="883" t="s">
        <v>513</v>
      </c>
      <c r="BC278" s="883">
        <v>14347702</v>
      </c>
      <c r="BD278" s="870" t="s">
        <v>2023</v>
      </c>
      <c r="BE278" s="870"/>
      <c r="BF278" s="870"/>
      <c r="BG278" s="870"/>
      <c r="BH278" s="891" t="s">
        <v>2024</v>
      </c>
      <c r="BI278" s="906">
        <v>37498</v>
      </c>
      <c r="BJ278" s="907">
        <v>3307</v>
      </c>
      <c r="BK278" s="907">
        <v>3093</v>
      </c>
      <c r="BL278" s="892">
        <f>BJ278+BK278</f>
        <v>6400</v>
      </c>
      <c r="BM278" s="907">
        <v>729</v>
      </c>
      <c r="BN278" s="907">
        <v>2946</v>
      </c>
      <c r="BO278" s="891">
        <v>381</v>
      </c>
      <c r="BP278" s="892">
        <f>IF(G278="Front",0.5*9.81*0.4535924*(BJ278+BL278*(BM278/BN278)*1.1)*1.1*(BO278/1000),IF(G278="Rear",0.5*9.81*0.4535924*(BK278+BL278*(BM278/BN278)*0.9)*0.9*(BO278/1000),"TBD"))</f>
        <v>4707.97848526702</v>
      </c>
      <c r="BQ278" s="891">
        <v>0.34</v>
      </c>
      <c r="BR278" s="904">
        <v>68</v>
      </c>
      <c r="BS278" s="904">
        <v>68</v>
      </c>
      <c r="BT278" s="943">
        <v>161</v>
      </c>
      <c r="BU278" s="892">
        <f>(2.4525*(BL278*0.4535924)*(0.8*(1000/3600)*BT278)*(BR278/100))/(AF278*2)</f>
        <v>1399.1245903115994</v>
      </c>
      <c r="BV278" s="892">
        <f>(BP278/(M278/1000))/(2*AF278)</f>
        <v>294.79771607537913</v>
      </c>
      <c r="BW278" s="892">
        <f>(1.4*BP278/(M278/1000))/(2*AF278)</f>
        <v>412.71680250553078</v>
      </c>
      <c r="BX278" s="893">
        <v>102.5</v>
      </c>
      <c r="BY278" s="891">
        <v>28</v>
      </c>
      <c r="BZ278" s="909">
        <f>BX278/(L278*BY278)</f>
        <v>1.188543599257885E-2</v>
      </c>
      <c r="CA278" s="891">
        <v>223</v>
      </c>
      <c r="CB278" s="891">
        <v>250</v>
      </c>
      <c r="CC278" s="893">
        <f>BU278*(2*AF278)/(2*1600)</f>
        <v>54.128632587680002</v>
      </c>
      <c r="CD278" s="893">
        <f>BV278*(2*AF278)/(2*250)</f>
        <v>72.991914500263874</v>
      </c>
      <c r="CE278" s="890" t="str">
        <f>IF((CD278-CC278)&gt;0, "Shear","Power")</f>
        <v>Shear</v>
      </c>
      <c r="CF278" s="915">
        <f>(AF278/MAX(CC278,CD278))-1</f>
        <v>-0.15196086547673415</v>
      </c>
      <c r="CG278" s="890"/>
      <c r="CH278" s="890"/>
      <c r="CI278" s="890"/>
      <c r="CJ278" s="873"/>
      <c r="CK278" s="990" t="s">
        <v>1127</v>
      </c>
    </row>
    <row r="279" spans="1:89" ht="25.5" x14ac:dyDescent="0.2">
      <c r="A279" s="893">
        <v>76.400000000000006</v>
      </c>
      <c r="B279" s="883" t="s">
        <v>2042</v>
      </c>
      <c r="C279" s="883"/>
      <c r="D279" s="883" t="s">
        <v>1091</v>
      </c>
      <c r="E279" s="883" t="s">
        <v>4225</v>
      </c>
      <c r="F279" s="883">
        <v>2004</v>
      </c>
      <c r="G279" s="901" t="s">
        <v>1738</v>
      </c>
      <c r="H279" s="870" t="s">
        <v>2886</v>
      </c>
      <c r="I279" s="886" t="s">
        <v>2864</v>
      </c>
      <c r="J279" s="883" t="s">
        <v>114</v>
      </c>
      <c r="K279" s="883" t="s">
        <v>2043</v>
      </c>
      <c r="L279" s="883">
        <v>326</v>
      </c>
      <c r="M279" s="883">
        <v>137</v>
      </c>
      <c r="N279" s="883" t="s">
        <v>1361</v>
      </c>
      <c r="O279" s="870" t="s">
        <v>1741</v>
      </c>
      <c r="P279" s="870"/>
      <c r="Q279" s="870"/>
      <c r="R279" s="870"/>
      <c r="S279" s="870"/>
      <c r="T279" s="870"/>
      <c r="U279" s="870"/>
      <c r="V279" s="870"/>
      <c r="W279" s="870"/>
      <c r="X279" s="870"/>
      <c r="Y279" s="870"/>
      <c r="Z279" s="870"/>
      <c r="AA279" s="870"/>
      <c r="AB279" s="870" t="s">
        <v>2044</v>
      </c>
      <c r="AC279" s="870" t="s">
        <v>710</v>
      </c>
      <c r="AD279" s="870" t="s">
        <v>2045</v>
      </c>
      <c r="AE279" s="870" t="s">
        <v>1668</v>
      </c>
      <c r="AF279" s="883">
        <v>60</v>
      </c>
      <c r="AG279" s="883">
        <v>90</v>
      </c>
      <c r="AH279" s="883" t="s">
        <v>122</v>
      </c>
      <c r="AI279" s="883" t="s">
        <v>1744</v>
      </c>
      <c r="AJ279" s="870" t="s">
        <v>234</v>
      </c>
      <c r="AK279" s="870" t="s">
        <v>2477</v>
      </c>
      <c r="AL279" s="883"/>
      <c r="AM279" s="883"/>
      <c r="AN279" s="883" t="s">
        <v>1784</v>
      </c>
      <c r="AO279" s="883">
        <v>0.37</v>
      </c>
      <c r="AP279" s="883">
        <v>0.41</v>
      </c>
      <c r="AQ279" s="883"/>
      <c r="AR279" s="887">
        <v>19.7</v>
      </c>
      <c r="AS279" s="888">
        <v>5.4</v>
      </c>
      <c r="AT279" s="887">
        <v>4.9000000000000004</v>
      </c>
      <c r="AU279" s="888">
        <v>13.1</v>
      </c>
      <c r="AV279" s="888">
        <v>11.8</v>
      </c>
      <c r="AW279" s="904">
        <v>23.14872618280933</v>
      </c>
      <c r="AX279" s="889">
        <v>37837</v>
      </c>
      <c r="AY279" s="883" t="s">
        <v>532</v>
      </c>
      <c r="AZ279" s="870">
        <v>144</v>
      </c>
      <c r="BA279" s="870" t="s">
        <v>2046</v>
      </c>
      <c r="BB279" s="870" t="s">
        <v>351</v>
      </c>
      <c r="BC279" s="883">
        <v>14586101</v>
      </c>
      <c r="BD279" s="870" t="s">
        <v>352</v>
      </c>
      <c r="BE279" s="870"/>
      <c r="BF279" s="870"/>
      <c r="BG279" s="870"/>
      <c r="BH279" s="891" t="s">
        <v>2481</v>
      </c>
      <c r="BI279" s="914">
        <v>39595</v>
      </c>
      <c r="BJ279" s="892">
        <v>3405</v>
      </c>
      <c r="BK279" s="892">
        <v>3595</v>
      </c>
      <c r="BL279" s="892">
        <v>7000</v>
      </c>
      <c r="BM279" s="892">
        <v>770</v>
      </c>
      <c r="BN279" s="892">
        <v>3505</v>
      </c>
      <c r="BO279" s="890">
        <v>335.3</v>
      </c>
      <c r="BP279" s="892">
        <v>4182.2516328831498</v>
      </c>
      <c r="BQ279" s="891">
        <v>0.35</v>
      </c>
      <c r="BR279" s="904">
        <v>58</v>
      </c>
      <c r="BS279" s="904">
        <v>54</v>
      </c>
      <c r="BT279" s="943">
        <v>165</v>
      </c>
      <c r="BU279" s="892">
        <v>1380.0378672849999</v>
      </c>
      <c r="BV279" s="892">
        <v>254.39486818024025</v>
      </c>
      <c r="BW279" s="892"/>
      <c r="BX279" s="893">
        <v>87</v>
      </c>
      <c r="BY279" s="891">
        <v>31.5</v>
      </c>
      <c r="BZ279" s="909">
        <v>8.4721004966403744E-3</v>
      </c>
      <c r="CA279" s="891" t="s">
        <v>2952</v>
      </c>
      <c r="CB279" s="904" t="s">
        <v>1814</v>
      </c>
      <c r="CC279" s="893">
        <v>51.751420023187499</v>
      </c>
      <c r="CD279" s="893">
        <v>61.054768363257658</v>
      </c>
      <c r="CE279" s="890" t="s">
        <v>1049</v>
      </c>
      <c r="CF279" s="915">
        <v>-1.7275773727976507E-2</v>
      </c>
      <c r="CG279" s="890">
        <v>3.9239999999999999</v>
      </c>
      <c r="CH279" s="890">
        <v>2.488</v>
      </c>
      <c r="CI279" s="890">
        <v>2.8670000000000001E-2</v>
      </c>
      <c r="CJ279" s="882"/>
      <c r="CK279" s="955"/>
    </row>
    <row r="280" spans="1:89" ht="25.5" x14ac:dyDescent="0.2">
      <c r="A280" s="893">
        <v>76.400000000000006</v>
      </c>
      <c r="B280" s="883" t="s">
        <v>2028</v>
      </c>
      <c r="C280" s="883"/>
      <c r="D280" s="883" t="s">
        <v>1091</v>
      </c>
      <c r="E280" s="883" t="s">
        <v>4225</v>
      </c>
      <c r="F280" s="883">
        <v>2005</v>
      </c>
      <c r="G280" s="901" t="s">
        <v>1797</v>
      </c>
      <c r="H280" s="870" t="s">
        <v>529</v>
      </c>
      <c r="I280" s="886" t="s">
        <v>2906</v>
      </c>
      <c r="J280" s="883" t="s">
        <v>114</v>
      </c>
      <c r="K280" s="883" t="s">
        <v>2029</v>
      </c>
      <c r="L280" s="883">
        <v>340</v>
      </c>
      <c r="M280" s="883">
        <v>145.5</v>
      </c>
      <c r="N280" s="883" t="s">
        <v>2030</v>
      </c>
      <c r="O280" s="870" t="s">
        <v>1125</v>
      </c>
      <c r="P280" s="870"/>
      <c r="Q280" s="870"/>
      <c r="R280" s="870"/>
      <c r="S280" s="870"/>
      <c r="T280" s="870"/>
      <c r="U280" s="870"/>
      <c r="V280" s="870"/>
      <c r="W280" s="870"/>
      <c r="X280" s="870"/>
      <c r="Y280" s="870"/>
      <c r="Z280" s="870"/>
      <c r="AA280" s="870"/>
      <c r="AB280" s="870" t="s">
        <v>345</v>
      </c>
      <c r="AC280" s="870" t="s">
        <v>710</v>
      </c>
      <c r="AD280" s="870" t="s">
        <v>2161</v>
      </c>
      <c r="AE280" s="883" t="s">
        <v>91</v>
      </c>
      <c r="AF280" s="883">
        <v>51.99</v>
      </c>
      <c r="AG280" s="883">
        <v>63.06</v>
      </c>
      <c r="AH280" s="883" t="s">
        <v>80</v>
      </c>
      <c r="AI280" s="883" t="s">
        <v>80</v>
      </c>
      <c r="AJ280" s="870" t="s">
        <v>2031</v>
      </c>
      <c r="AK280" s="870" t="s">
        <v>2163</v>
      </c>
      <c r="AL280" s="883"/>
      <c r="AM280" s="883"/>
      <c r="AN280" s="883" t="s">
        <v>1784</v>
      </c>
      <c r="AO280" s="883">
        <v>0.31</v>
      </c>
      <c r="AP280" s="870">
        <v>0.27</v>
      </c>
      <c r="AQ280" s="870"/>
      <c r="AR280" s="887">
        <v>22.5</v>
      </c>
      <c r="AS280" s="888">
        <v>7.5</v>
      </c>
      <c r="AT280" s="887">
        <v>6.6</v>
      </c>
      <c r="AU280" s="888">
        <v>12.9</v>
      </c>
      <c r="AV280" s="888">
        <v>11.7</v>
      </c>
      <c r="AW280" s="904">
        <v>28</v>
      </c>
      <c r="AX280" s="889">
        <v>38172</v>
      </c>
      <c r="AY280" s="883" t="s">
        <v>531</v>
      </c>
      <c r="AZ280" s="870">
        <v>96</v>
      </c>
      <c r="BA280" s="870" t="s">
        <v>2032</v>
      </c>
      <c r="BB280" s="870" t="s">
        <v>2033</v>
      </c>
      <c r="BC280" s="883" t="s">
        <v>2034</v>
      </c>
      <c r="BD280" s="870" t="s">
        <v>2035</v>
      </c>
      <c r="BE280" s="870"/>
      <c r="BF280" s="870"/>
      <c r="BG280" s="870"/>
      <c r="BH280" s="891" t="s">
        <v>2036</v>
      </c>
      <c r="BI280" s="914">
        <v>39595</v>
      </c>
      <c r="BJ280" s="907">
        <v>4079</v>
      </c>
      <c r="BK280" s="907">
        <v>8921</v>
      </c>
      <c r="BL280" s="907">
        <v>13000</v>
      </c>
      <c r="BM280" s="907">
        <v>787.4</v>
      </c>
      <c r="BN280" s="907">
        <v>4368.8</v>
      </c>
      <c r="BO280" s="891">
        <v>384.05</v>
      </c>
      <c r="BP280" s="892">
        <v>8482.025702023564</v>
      </c>
      <c r="BQ280" s="891">
        <v>0.35</v>
      </c>
      <c r="BR280" s="904">
        <v>50</v>
      </c>
      <c r="BS280" s="893">
        <v>45</v>
      </c>
      <c r="BT280" s="943">
        <v>152.9</v>
      </c>
      <c r="BU280" s="892">
        <v>2362.8344842594734</v>
      </c>
      <c r="BV280" s="892">
        <v>560.64348232600662</v>
      </c>
      <c r="BW280" s="892">
        <v>784.90087525640922</v>
      </c>
      <c r="BX280" s="893">
        <v>144.2167286791767</v>
      </c>
      <c r="BY280" s="891">
        <v>34</v>
      </c>
      <c r="BZ280" s="909">
        <v>1.2475495560482414E-2</v>
      </c>
      <c r="CA280" s="891">
        <v>249</v>
      </c>
      <c r="CB280" s="891">
        <v>275</v>
      </c>
      <c r="CC280" s="893">
        <v>76.777353022906269</v>
      </c>
      <c r="CD280" s="893">
        <v>116.59141858451635</v>
      </c>
      <c r="CE280" s="890" t="s">
        <v>1049</v>
      </c>
      <c r="CF280" s="915">
        <v>-0.55408381996559375</v>
      </c>
      <c r="CG280" s="890">
        <v>5.03</v>
      </c>
      <c r="CH280" s="890">
        <v>3.34</v>
      </c>
      <c r="CI280" s="890">
        <v>2.58E-2</v>
      </c>
      <c r="CJ280" s="882"/>
      <c r="CK280" s="955"/>
    </row>
    <row r="281" spans="1:89" ht="25.5" x14ac:dyDescent="0.2">
      <c r="A281" s="893">
        <v>76.400000000000006</v>
      </c>
      <c r="B281" s="883" t="s">
        <v>484</v>
      </c>
      <c r="C281" s="883"/>
      <c r="D281" s="883" t="s">
        <v>1787</v>
      </c>
      <c r="E281" s="883" t="s">
        <v>4225</v>
      </c>
      <c r="F281" s="883"/>
      <c r="G281" s="901" t="s">
        <v>1738</v>
      </c>
      <c r="H281" s="870" t="s">
        <v>485</v>
      </c>
      <c r="I281" s="902" t="s">
        <v>2027</v>
      </c>
      <c r="J281" s="883" t="s">
        <v>114</v>
      </c>
      <c r="K281" s="883">
        <v>4664</v>
      </c>
      <c r="L281" s="883">
        <v>323</v>
      </c>
      <c r="M281" s="883">
        <v>138</v>
      </c>
      <c r="N281" s="883" t="s">
        <v>1361</v>
      </c>
      <c r="O281" s="870" t="s">
        <v>116</v>
      </c>
      <c r="P281" s="870"/>
      <c r="Q281" s="870"/>
      <c r="R281" s="870"/>
      <c r="S281" s="870"/>
      <c r="T281" s="870"/>
      <c r="U281" s="870"/>
      <c r="V281" s="870"/>
      <c r="W281" s="870"/>
      <c r="X281" s="870"/>
      <c r="Y281" s="870"/>
      <c r="Z281" s="870"/>
      <c r="AA281" s="870"/>
      <c r="AB281" s="870" t="s">
        <v>1656</v>
      </c>
      <c r="AC281" s="870" t="s">
        <v>710</v>
      </c>
      <c r="AD281" s="870" t="s">
        <v>2021</v>
      </c>
      <c r="AE281" s="883" t="s">
        <v>120</v>
      </c>
      <c r="AF281" s="883">
        <v>61.9</v>
      </c>
      <c r="AG281" s="883">
        <v>49</v>
      </c>
      <c r="AH281" s="883" t="s">
        <v>1744</v>
      </c>
      <c r="AI281" s="883" t="s">
        <v>1744</v>
      </c>
      <c r="AJ281" s="870" t="s">
        <v>234</v>
      </c>
      <c r="AK281" s="870" t="s">
        <v>1127</v>
      </c>
      <c r="AL281" s="883"/>
      <c r="AM281" s="883"/>
      <c r="AN281" s="883" t="s">
        <v>1784</v>
      </c>
      <c r="AO281" s="883">
        <v>0.52</v>
      </c>
      <c r="AP281" s="883">
        <v>0.53</v>
      </c>
      <c r="AQ281" s="883"/>
      <c r="AR281" s="887">
        <v>19.2</v>
      </c>
      <c r="AS281" s="888">
        <v>6.3</v>
      </c>
      <c r="AT281" s="887">
        <v>5.5</v>
      </c>
      <c r="AU281" s="888">
        <v>11.3</v>
      </c>
      <c r="AV281" s="888">
        <v>10</v>
      </c>
      <c r="AW281" s="904">
        <f>(100*PI()*(A281^2))/(40*AO281*AV281*453.5924)</f>
        <v>19.436026637335683</v>
      </c>
      <c r="AX281" s="889">
        <v>37471</v>
      </c>
      <c r="AY281" s="883" t="s">
        <v>1790</v>
      </c>
      <c r="AZ281" s="870">
        <v>44</v>
      </c>
      <c r="BA281" s="870" t="s">
        <v>486</v>
      </c>
      <c r="BB281" s="870" t="s">
        <v>504</v>
      </c>
      <c r="BC281" s="883">
        <v>14347701</v>
      </c>
      <c r="BD281" s="870" t="s">
        <v>505</v>
      </c>
      <c r="BE281" s="870"/>
      <c r="BF281" s="870"/>
      <c r="BG281" s="870"/>
      <c r="BH281" s="891" t="s">
        <v>509</v>
      </c>
      <c r="BI281" s="906">
        <v>37337</v>
      </c>
      <c r="BJ281" s="907">
        <v>3283</v>
      </c>
      <c r="BK281" s="907">
        <v>3717</v>
      </c>
      <c r="BL281" s="907">
        <f>BJ281+BK281</f>
        <v>7000</v>
      </c>
      <c r="BM281" s="907">
        <v>810.3</v>
      </c>
      <c r="BN281" s="907">
        <v>3251.2</v>
      </c>
      <c r="BO281" s="891">
        <v>358.1</v>
      </c>
      <c r="BP281" s="892">
        <f>IF(G281="Front",0.5*9.81*0.4535924*(BJ281+BL281*(BM281/BN281)*1.1)*1.1*(BO281/1000),IF(G281="Rear",0.5*9.81*0.4535924*(BK281+BL281*(BM281/BN281)*0.9)*0.9*(BO281/1000),"TBD"))</f>
        <v>4559.0960246434706</v>
      </c>
      <c r="BQ281" s="891">
        <v>0.35</v>
      </c>
      <c r="BR281" s="904">
        <v>72</v>
      </c>
      <c r="BS281" s="904">
        <v>72</v>
      </c>
      <c r="BT281" s="943">
        <v>161</v>
      </c>
      <c r="BU281" s="892">
        <f>(2.4525*(BL281*0.4535924)*(0.8*(1000/3600)*BT281)*(BR281/100))/(AF281*2)</f>
        <v>1620.3097277505656</v>
      </c>
      <c r="BV281" s="892">
        <f>(BP281/(M281/1000))/(2*AF281)</f>
        <v>266.85725133124197</v>
      </c>
      <c r="BW281" s="892">
        <f>(1.4*BP281/(M281/1000))/(2*AF281)</f>
        <v>373.60015186373874</v>
      </c>
      <c r="BX281" s="893">
        <f>0.5*(BL281/32.2)*((BO281*0.00328084)^2)*(BS281/100)</f>
        <v>108.02478573488273</v>
      </c>
      <c r="BY281" s="891">
        <v>30</v>
      </c>
      <c r="BZ281" s="909">
        <f>BX281/(L281*BY281)</f>
        <v>1.114806870329027E-2</v>
      </c>
      <c r="CA281" s="891">
        <v>236</v>
      </c>
      <c r="CB281" s="891">
        <v>261</v>
      </c>
      <c r="CC281" s="893">
        <f>BU281*(2*AF281)/(2*1600)</f>
        <v>62.685732592350007</v>
      </c>
      <c r="CD281" s="893">
        <f>BV281*(2*AF281)/(2*250)</f>
        <v>66.073855429615506</v>
      </c>
      <c r="CE281" s="890" t="str">
        <f>IF((CD281-CC281)&gt;0, "Shear","Power")</f>
        <v>Shear</v>
      </c>
      <c r="CF281" s="915">
        <f>(AF281/MAX(CC281,CD281))-1</f>
        <v>-6.316954569211819E-2</v>
      </c>
      <c r="CG281" s="890"/>
      <c r="CH281" s="890"/>
      <c r="CI281" s="890"/>
      <c r="CJ281" s="882"/>
      <c r="CK281" s="998"/>
    </row>
    <row r="282" spans="1:89" ht="25.5" x14ac:dyDescent="0.2">
      <c r="A282" s="893">
        <f>SQRT(2*56^2)</f>
        <v>79.195959492893323</v>
      </c>
      <c r="B282" s="883" t="s">
        <v>372</v>
      </c>
      <c r="C282" s="883"/>
      <c r="D282" s="870" t="s">
        <v>2879</v>
      </c>
      <c r="E282" s="883" t="s">
        <v>4225</v>
      </c>
      <c r="F282" s="883">
        <v>2001</v>
      </c>
      <c r="G282" s="913" t="s">
        <v>1738</v>
      </c>
      <c r="H282" s="870" t="s">
        <v>2898</v>
      </c>
      <c r="I282" s="902" t="s">
        <v>2905</v>
      </c>
      <c r="J282" s="883" t="s">
        <v>114</v>
      </c>
      <c r="K282" s="883">
        <v>6206</v>
      </c>
      <c r="L282" s="883">
        <v>326.5</v>
      </c>
      <c r="M282" s="883">
        <v>137.9</v>
      </c>
      <c r="N282" s="883" t="s">
        <v>1361</v>
      </c>
      <c r="O282" s="870" t="s">
        <v>1125</v>
      </c>
      <c r="P282" s="870"/>
      <c r="Q282" s="870"/>
      <c r="R282" s="870"/>
      <c r="S282" s="870"/>
      <c r="T282" s="870"/>
      <c r="U282" s="870"/>
      <c r="V282" s="870"/>
      <c r="W282" s="870"/>
      <c r="X282" s="870"/>
      <c r="Y282" s="870"/>
      <c r="Z282" s="870"/>
      <c r="AA282" s="870"/>
      <c r="AB282" s="870" t="s">
        <v>1135</v>
      </c>
      <c r="AC282" s="883" t="s">
        <v>710</v>
      </c>
      <c r="AD282" s="883" t="s">
        <v>25</v>
      </c>
      <c r="AE282" s="883" t="s">
        <v>120</v>
      </c>
      <c r="AF282" s="883">
        <v>74.2</v>
      </c>
      <c r="AG282" s="883">
        <v>83.8</v>
      </c>
      <c r="AH282" s="883" t="s">
        <v>80</v>
      </c>
      <c r="AI282" s="999" t="s">
        <v>92</v>
      </c>
      <c r="AJ282" s="883" t="s">
        <v>234</v>
      </c>
      <c r="AK282" s="870" t="s">
        <v>373</v>
      </c>
      <c r="AL282" s="883"/>
      <c r="AM282" s="883"/>
      <c r="AN282" s="883" t="s">
        <v>1784</v>
      </c>
      <c r="AO282" s="883">
        <v>0.47</v>
      </c>
      <c r="AP282" s="883">
        <v>0.47</v>
      </c>
      <c r="AQ282" s="883"/>
      <c r="AR282" s="887">
        <v>25</v>
      </c>
      <c r="AS282" s="903">
        <v>8.5500000000000007</v>
      </c>
      <c r="AT282" s="918">
        <v>7.95</v>
      </c>
      <c r="AU282" s="903">
        <v>13.82</v>
      </c>
      <c r="AV282" s="903">
        <v>12.2</v>
      </c>
      <c r="AW282" s="904">
        <f>(100*PI()*(A282^2))/(40*AO282*AV282*453.5924)</f>
        <v>18.939672854319067</v>
      </c>
      <c r="AX282" s="889">
        <v>36708</v>
      </c>
      <c r="AY282" s="883" t="s">
        <v>1790</v>
      </c>
      <c r="AZ282" s="997">
        <f>138*2</f>
        <v>276</v>
      </c>
      <c r="BA282" s="870" t="s">
        <v>374</v>
      </c>
      <c r="BB282" s="883" t="s">
        <v>375</v>
      </c>
      <c r="BC282" s="883" t="s">
        <v>376</v>
      </c>
      <c r="BD282" s="870" t="s">
        <v>377</v>
      </c>
      <c r="BE282" s="870"/>
      <c r="BF282" s="870"/>
      <c r="BG282" s="870"/>
      <c r="BH282" s="891" t="s">
        <v>378</v>
      </c>
      <c r="BI282" s="914">
        <v>38111</v>
      </c>
      <c r="BJ282" s="892">
        <v>4152</v>
      </c>
      <c r="BK282" s="892">
        <v>6846</v>
      </c>
      <c r="BL282" s="892">
        <f>BJ282+BK282</f>
        <v>10998</v>
      </c>
      <c r="BM282" s="892">
        <v>739.14</v>
      </c>
      <c r="BN282" s="892">
        <v>3421.38</v>
      </c>
      <c r="BO282" s="890">
        <v>374.9</v>
      </c>
      <c r="BP282" s="892">
        <f>IF(G282="Front",0.5*9.81*0.4535924*(BJ282+BL282*(BM282/BN282)*1.1)*1.1*(BO282/1000),IF(G282="Rear",0.5*9.81*0.4535924*(BK282+BL282*(BM282/BN282)*0.9)*0.9*(BO282/1000),"TBD"))</f>
        <v>6207.4952147280192</v>
      </c>
      <c r="BQ282" s="890">
        <v>0.35</v>
      </c>
      <c r="BR282" s="893">
        <v>55</v>
      </c>
      <c r="BS282" s="893">
        <v>56</v>
      </c>
      <c r="BT282" s="969">
        <v>180</v>
      </c>
      <c r="BU282" s="892">
        <f>(2.4525*(BL282*0.4535924)*(0.8*(1000/3600)*BT282)*(BR282/100))/(AF282*2)</f>
        <v>1813.7493949199193</v>
      </c>
      <c r="BV282" s="892">
        <f>(BP282/(M282/1000))/(2*AF282)</f>
        <v>303.33199839760539</v>
      </c>
      <c r="BW282" s="892">
        <f>(1.4*BP282/(M282/1000))/(2*AF282)</f>
        <v>424.66479775664749</v>
      </c>
      <c r="BX282" s="893">
        <f>0.5*(BL282/32.2)*((BO282*0.00328084)^2)*(BS282/100)</f>
        <v>144.68278446274817</v>
      </c>
      <c r="BY282" s="891">
        <v>35.5</v>
      </c>
      <c r="BZ282" s="909">
        <f>BX282/(L282*BY282)</f>
        <v>1.2482607636498775E-2</v>
      </c>
      <c r="CA282" s="891">
        <v>306</v>
      </c>
      <c r="CB282" s="891"/>
      <c r="CC282" s="893">
        <f>BU282*(2*AF282)/(2*1600)</f>
        <v>84.112628189411268</v>
      </c>
      <c r="CD282" s="893">
        <f>BV282*(2*AF282)/(2*250)</f>
        <v>90.028937124409282</v>
      </c>
      <c r="CE282" s="890" t="str">
        <f>IF((CD282-CC282)&gt;0, "Shear","Power")</f>
        <v>Shear</v>
      </c>
      <c r="CF282" s="915">
        <f>(AF282/MAX(CC282,CD282))-1</f>
        <v>-0.17582054870353037</v>
      </c>
      <c r="CG282" s="890"/>
      <c r="CH282" s="890"/>
      <c r="CI282" s="890"/>
      <c r="CJ282" s="873"/>
      <c r="CK282" s="955"/>
    </row>
    <row r="283" spans="1:89" ht="25.5" x14ac:dyDescent="0.2">
      <c r="A283" s="893">
        <f>SQRT(2*56^2)</f>
        <v>79.195959492893323</v>
      </c>
      <c r="B283" s="883" t="s">
        <v>379</v>
      </c>
      <c r="C283" s="883"/>
      <c r="D283" s="870" t="s">
        <v>2879</v>
      </c>
      <c r="E283" s="883" t="s">
        <v>4225</v>
      </c>
      <c r="F283" s="883">
        <v>2003</v>
      </c>
      <c r="G283" s="913" t="s">
        <v>1738</v>
      </c>
      <c r="H283" s="870" t="s">
        <v>2899</v>
      </c>
      <c r="I283" s="902" t="s">
        <v>1137</v>
      </c>
      <c r="J283" s="883" t="s">
        <v>114</v>
      </c>
      <c r="K283" s="883">
        <v>6198</v>
      </c>
      <c r="L283" s="883">
        <v>353</v>
      </c>
      <c r="M283" s="883">
        <v>151.19999999999999</v>
      </c>
      <c r="N283" s="883" t="s">
        <v>197</v>
      </c>
      <c r="O283" s="870" t="s">
        <v>1125</v>
      </c>
      <c r="P283" s="870"/>
      <c r="Q283" s="870"/>
      <c r="R283" s="870"/>
      <c r="S283" s="870"/>
      <c r="T283" s="870"/>
      <c r="U283" s="870"/>
      <c r="V283" s="870"/>
      <c r="W283" s="870"/>
      <c r="X283" s="870"/>
      <c r="Y283" s="870"/>
      <c r="Z283" s="870"/>
      <c r="AA283" s="870"/>
      <c r="AB283" s="870" t="s">
        <v>380</v>
      </c>
      <c r="AC283" s="883" t="s">
        <v>710</v>
      </c>
      <c r="AD283" s="883" t="s">
        <v>381</v>
      </c>
      <c r="AE283" s="883" t="s">
        <v>91</v>
      </c>
      <c r="AF283" s="883">
        <v>91.71</v>
      </c>
      <c r="AG283" s="918">
        <f>1.1182*AF283</f>
        <v>102.550122</v>
      </c>
      <c r="AH283" s="883" t="s">
        <v>80</v>
      </c>
      <c r="AI283" s="999" t="s">
        <v>92</v>
      </c>
      <c r="AJ283" s="883" t="s">
        <v>234</v>
      </c>
      <c r="AK283" s="870" t="s">
        <v>382</v>
      </c>
      <c r="AL283" s="883"/>
      <c r="AM283" s="883"/>
      <c r="AN283" s="883" t="s">
        <v>1784</v>
      </c>
      <c r="AO283" s="883">
        <v>0.47</v>
      </c>
      <c r="AP283" s="883">
        <v>0.47</v>
      </c>
      <c r="AQ283" s="883"/>
      <c r="AR283" s="887">
        <v>26.6</v>
      </c>
      <c r="AS283" s="903">
        <v>9.69</v>
      </c>
      <c r="AT283" s="918">
        <v>9</v>
      </c>
      <c r="AU283" s="903">
        <v>13.82</v>
      </c>
      <c r="AV283" s="903">
        <v>12.2</v>
      </c>
      <c r="AW283" s="904">
        <f>(100*PI()*(A283^2))/(40*AO283*AV283*453.5924)</f>
        <v>18.939672854319067</v>
      </c>
      <c r="AX283" s="889">
        <v>37408</v>
      </c>
      <c r="AY283" s="883" t="s">
        <v>1669</v>
      </c>
      <c r="AZ283" s="870">
        <v>532</v>
      </c>
      <c r="BA283" s="870" t="s">
        <v>383</v>
      </c>
      <c r="BB283" s="883" t="s">
        <v>384</v>
      </c>
      <c r="BC283" s="883">
        <v>13424801</v>
      </c>
      <c r="BD283" s="870" t="s">
        <v>385</v>
      </c>
      <c r="BE283" s="870"/>
      <c r="BF283" s="870"/>
      <c r="BG283" s="870"/>
      <c r="BH283" s="891" t="s">
        <v>386</v>
      </c>
      <c r="BI283" s="914">
        <v>38432</v>
      </c>
      <c r="BJ283" s="892">
        <v>4467</v>
      </c>
      <c r="BK283" s="892">
        <v>8033</v>
      </c>
      <c r="BL283" s="892">
        <f>BJ283+BK283</f>
        <v>12500</v>
      </c>
      <c r="BM283" s="892">
        <v>739.14</v>
      </c>
      <c r="BN283" s="892">
        <v>3568.7</v>
      </c>
      <c r="BO283" s="890">
        <v>396.24</v>
      </c>
      <c r="BP283" s="892">
        <f>IF(G283="Front",0.5*9.81*0.4535924*(BJ283+BL283*(BM283/BN283)*1.1)*1.1*(BO283/1000),IF(G283="Rear",0.5*9.81*0.4535924*(BK283+BL283*(BM283/BN283)*0.9)*0.9*(BO283/1000),"TBD"))</f>
        <v>7093.5246587550118</v>
      </c>
      <c r="BQ283" s="890">
        <v>0.35</v>
      </c>
      <c r="BR283" s="918">
        <v>55</v>
      </c>
      <c r="BS283" s="918">
        <v>54</v>
      </c>
      <c r="BT283" s="969">
        <v>180</v>
      </c>
      <c r="BU283" s="892">
        <f>(2.4525*(BL283*0.4535924)*(0.8*(1000/3600)*BT283)*(BR283/100))/(AF283*2)</f>
        <v>1667.8645964180573</v>
      </c>
      <c r="BV283" s="892">
        <f>(BP283/(M283/1000))/(2*AF283)</f>
        <v>255.77824461174674</v>
      </c>
      <c r="BW283" s="892">
        <f>(1.4*BP283/(M283/1000))/(2*AF283)</f>
        <v>358.08954245644543</v>
      </c>
      <c r="BX283" s="893">
        <f>0.5*(BL283/32.2)*((BO283*0.00328084)^2)*(BS283/100)</f>
        <v>177.13510450434805</v>
      </c>
      <c r="BY283" s="891">
        <v>35.5</v>
      </c>
      <c r="BZ283" s="909">
        <f>BX283/(L283*BY283)</f>
        <v>1.4135187687375657E-2</v>
      </c>
      <c r="CA283" s="891" t="s">
        <v>2952</v>
      </c>
      <c r="CB283" s="891" t="s">
        <v>2952</v>
      </c>
      <c r="CC283" s="893">
        <f>BU283*(2*AF283)/(2*1600)</f>
        <v>95.599913835937514</v>
      </c>
      <c r="CD283" s="893">
        <f>BV283*(2*AF283)/(2*250)</f>
        <v>93.82969125337317</v>
      </c>
      <c r="CE283" s="890" t="str">
        <f>IF((CD283-CC283)&gt;0, "Shear","Power")</f>
        <v>Power</v>
      </c>
      <c r="CF283" s="915">
        <f>(AF283/MAX(CC283,CD283))-1</f>
        <v>-4.0689511944677514E-2</v>
      </c>
      <c r="CG283" s="890">
        <v>5.96</v>
      </c>
      <c r="CH283" s="890">
        <v>3.9</v>
      </c>
      <c r="CI283" s="890">
        <v>4.1169999999999998E-2</v>
      </c>
      <c r="CJ283" s="873"/>
      <c r="CK283" s="955"/>
    </row>
    <row r="284" spans="1:89" ht="25.5" x14ac:dyDescent="0.2">
      <c r="A284" s="893">
        <f>SQRT(2*56^2)</f>
        <v>79.195959492893323</v>
      </c>
      <c r="B284" s="883" t="s">
        <v>353</v>
      </c>
      <c r="C284" s="883"/>
      <c r="D284" s="883" t="s">
        <v>1091</v>
      </c>
      <c r="E284" s="883" t="s">
        <v>4225</v>
      </c>
      <c r="F284" s="883">
        <v>2006</v>
      </c>
      <c r="G284" s="901" t="s">
        <v>1738</v>
      </c>
      <c r="H284" s="870" t="s">
        <v>1216</v>
      </c>
      <c r="I284" s="886" t="s">
        <v>2864</v>
      </c>
      <c r="J284" s="883" t="s">
        <v>114</v>
      </c>
      <c r="K284" s="883" t="s">
        <v>354</v>
      </c>
      <c r="L284" s="883">
        <v>331</v>
      </c>
      <c r="M284" s="883">
        <v>140.5</v>
      </c>
      <c r="N284" s="883" t="s">
        <v>1361</v>
      </c>
      <c r="O284" s="870" t="s">
        <v>1125</v>
      </c>
      <c r="P284" s="870"/>
      <c r="Q284" s="870"/>
      <c r="R284" s="870"/>
      <c r="S284" s="870"/>
      <c r="T284" s="870"/>
      <c r="U284" s="870"/>
      <c r="V284" s="870"/>
      <c r="W284" s="870"/>
      <c r="X284" s="870"/>
      <c r="Y284" s="870"/>
      <c r="Z284" s="870"/>
      <c r="AA284" s="870"/>
      <c r="AB284" s="870" t="s">
        <v>1126</v>
      </c>
      <c r="AC284" s="883" t="s">
        <v>710</v>
      </c>
      <c r="AD284" s="883" t="s">
        <v>1903</v>
      </c>
      <c r="AE284" s="870" t="s">
        <v>1668</v>
      </c>
      <c r="AF284" s="883">
        <v>80.23</v>
      </c>
      <c r="AG284" s="883">
        <v>86.5</v>
      </c>
      <c r="AH284" s="883" t="s">
        <v>122</v>
      </c>
      <c r="AI284" s="883" t="s">
        <v>122</v>
      </c>
      <c r="AJ284" s="883" t="s">
        <v>234</v>
      </c>
      <c r="AK284" s="870" t="s">
        <v>2163</v>
      </c>
      <c r="AL284" s="883"/>
      <c r="AM284" s="883"/>
      <c r="AN284" s="883" t="s">
        <v>1784</v>
      </c>
      <c r="AO284" s="883">
        <v>0.51</v>
      </c>
      <c r="AP284" s="883">
        <v>0.5</v>
      </c>
      <c r="AQ284" s="883"/>
      <c r="AR284" s="887">
        <v>23.4</v>
      </c>
      <c r="AS284" s="903">
        <v>8</v>
      </c>
      <c r="AT284" s="918">
        <v>7.1</v>
      </c>
      <c r="AU284" s="903">
        <v>12.4</v>
      </c>
      <c r="AV284" s="903">
        <v>11.3</v>
      </c>
      <c r="AW284" s="904">
        <v>18.844366501243364</v>
      </c>
      <c r="AX284" s="889">
        <v>38569</v>
      </c>
      <c r="AY284" s="883" t="s">
        <v>532</v>
      </c>
      <c r="AZ284" s="870">
        <v>318</v>
      </c>
      <c r="BA284" s="870" t="s">
        <v>1904</v>
      </c>
      <c r="BB284" s="883" t="s">
        <v>1905</v>
      </c>
      <c r="BC284" s="883" t="s">
        <v>534</v>
      </c>
      <c r="BD284" s="870" t="s">
        <v>533</v>
      </c>
      <c r="BE284" s="870"/>
      <c r="BF284" s="870"/>
      <c r="BG284" s="870"/>
      <c r="BH284" s="891" t="s">
        <v>366</v>
      </c>
      <c r="BI284" s="914">
        <v>39595</v>
      </c>
      <c r="BJ284" s="907">
        <v>4600</v>
      </c>
      <c r="BK284" s="907">
        <v>9450</v>
      </c>
      <c r="BL284" s="907">
        <v>14050</v>
      </c>
      <c r="BM284" s="907">
        <v>1209</v>
      </c>
      <c r="BN284" s="907">
        <v>4470.3999999999996</v>
      </c>
      <c r="BO284" s="891">
        <v>348</v>
      </c>
      <c r="BP284" s="892">
        <v>7477.530661961373</v>
      </c>
      <c r="BQ284" s="891">
        <v>0.32</v>
      </c>
      <c r="BR284" s="904">
        <v>47.2</v>
      </c>
      <c r="BS284" s="904">
        <v>47.2</v>
      </c>
      <c r="BT284" s="943">
        <v>160</v>
      </c>
      <c r="BU284" s="892">
        <v>1634.6839148575846</v>
      </c>
      <c r="BV284" s="892">
        <v>331.67679673436072</v>
      </c>
      <c r="BW284" s="892">
        <v>464.34751542810505</v>
      </c>
      <c r="BX284" s="893">
        <v>134.23354072260673</v>
      </c>
      <c r="BY284" s="891">
        <v>30</v>
      </c>
      <c r="BZ284" s="909">
        <v>1.3517979931783155E-2</v>
      </c>
      <c r="CA284" s="891" t="s">
        <v>2952</v>
      </c>
      <c r="CB284" s="904" t="s">
        <v>1814</v>
      </c>
      <c r="CC284" s="893">
        <v>81.969181555640006</v>
      </c>
      <c r="CD284" s="893">
        <v>106.44171760799104</v>
      </c>
      <c r="CE284" s="890" t="s">
        <v>1049</v>
      </c>
      <c r="CF284" s="915">
        <v>-0.24625417737549926</v>
      </c>
      <c r="CG284" s="890">
        <v>4.516</v>
      </c>
      <c r="CH284" s="890">
        <v>2.7930000000000001</v>
      </c>
      <c r="CI284" s="890">
        <v>3.4459999999999998E-2</v>
      </c>
      <c r="CJ284" s="873"/>
      <c r="CK284" s="955"/>
    </row>
    <row r="285" spans="1:89" ht="25.5" x14ac:dyDescent="0.2">
      <c r="A285" s="893">
        <f>SQRT(2*56^2)</f>
        <v>79.195959492893323</v>
      </c>
      <c r="B285" s="883" t="s">
        <v>367</v>
      </c>
      <c r="C285" s="883"/>
      <c r="D285" s="870" t="s">
        <v>2879</v>
      </c>
      <c r="E285" s="883" t="s">
        <v>4225</v>
      </c>
      <c r="F285" s="883" t="s">
        <v>1789</v>
      </c>
      <c r="G285" s="913" t="s">
        <v>1738</v>
      </c>
      <c r="H285" s="870" t="s">
        <v>2897</v>
      </c>
      <c r="I285" s="902" t="s">
        <v>2905</v>
      </c>
      <c r="J285" s="883" t="s">
        <v>114</v>
      </c>
      <c r="K285" s="883">
        <v>5733</v>
      </c>
      <c r="L285" s="883">
        <v>325</v>
      </c>
      <c r="M285" s="883">
        <v>138.4</v>
      </c>
      <c r="N285" s="883" t="s">
        <v>1361</v>
      </c>
      <c r="O285" s="870" t="s">
        <v>1125</v>
      </c>
      <c r="P285" s="870"/>
      <c r="Q285" s="870"/>
      <c r="R285" s="870"/>
      <c r="S285" s="870"/>
      <c r="T285" s="870"/>
      <c r="U285" s="870"/>
      <c r="V285" s="870"/>
      <c r="W285" s="870"/>
      <c r="X285" s="870"/>
      <c r="Y285" s="870"/>
      <c r="Z285" s="870"/>
      <c r="AA285" s="870"/>
      <c r="AB285" s="870" t="s">
        <v>370</v>
      </c>
      <c r="AC285" s="883" t="s">
        <v>710</v>
      </c>
      <c r="AD285" s="883" t="s">
        <v>371</v>
      </c>
      <c r="AE285" s="883" t="s">
        <v>120</v>
      </c>
      <c r="AF285" s="883">
        <v>71.3</v>
      </c>
      <c r="AG285" s="883">
        <v>60.1</v>
      </c>
      <c r="AH285" s="883" t="s">
        <v>122</v>
      </c>
      <c r="AI285" s="883" t="s">
        <v>122</v>
      </c>
      <c r="AJ285" s="883" t="s">
        <v>234</v>
      </c>
      <c r="AK285" s="870" t="s">
        <v>1127</v>
      </c>
      <c r="AL285" s="883"/>
      <c r="AM285" s="883"/>
      <c r="AN285" s="883" t="s">
        <v>1784</v>
      </c>
      <c r="AO285" s="883">
        <v>0.38</v>
      </c>
      <c r="AP285" s="883"/>
      <c r="AQ285" s="883"/>
      <c r="AR285" s="887">
        <v>23.8</v>
      </c>
      <c r="AS285" s="903">
        <v>8.1999999999999993</v>
      </c>
      <c r="AT285" s="918">
        <v>7.5</v>
      </c>
      <c r="AU285" s="903">
        <v>13.7</v>
      </c>
      <c r="AV285" s="903">
        <v>11.839</v>
      </c>
      <c r="AW285" s="904">
        <f>(100*PI()*(A285^2))/(40*AO285*AV285*453.5924)</f>
        <v>24.139681993648448</v>
      </c>
      <c r="AX285" s="889" t="s">
        <v>1789</v>
      </c>
      <c r="AY285" s="883" t="s">
        <v>1790</v>
      </c>
      <c r="AZ285" s="870">
        <v>48</v>
      </c>
      <c r="BA285" s="870">
        <v>13425600</v>
      </c>
      <c r="BB285" s="970">
        <v>52009808</v>
      </c>
      <c r="BC285" s="883">
        <v>13425400</v>
      </c>
      <c r="BD285" s="870">
        <v>13425500</v>
      </c>
      <c r="BE285" s="870"/>
      <c r="BF285" s="870"/>
      <c r="BG285" s="870"/>
      <c r="BH285" s="891" t="s">
        <v>366</v>
      </c>
      <c r="BI285" s="914">
        <v>38111</v>
      </c>
      <c r="BJ285" s="892">
        <v>3649</v>
      </c>
      <c r="BK285" s="892">
        <v>5551</v>
      </c>
      <c r="BL285" s="892">
        <f>BJ285+BK285</f>
        <v>9200</v>
      </c>
      <c r="BM285" s="892">
        <v>762</v>
      </c>
      <c r="BN285" s="892">
        <v>3243.58</v>
      </c>
      <c r="BO285" s="890">
        <v>374.904</v>
      </c>
      <c r="BP285" s="892">
        <f>IF(G285="Front",0.5*9.81*0.4535924*(BJ285+BL285*(BM285/BN285)*1.1)*1.1*(BO285/1000),IF(G285="Rear",0.5*9.81*0.4535924*(BK285+BL285*(BM285/BN285)*0.9)*0.9*(BO285/1000),"TBD"))</f>
        <v>5529.4112521266352</v>
      </c>
      <c r="BQ285" s="890">
        <v>0.35</v>
      </c>
      <c r="BR285" s="893"/>
      <c r="BS285" s="893">
        <v>67</v>
      </c>
      <c r="BT285" s="969"/>
      <c r="BU285" s="892">
        <f>(2.4525*(BL285*0.4535924)*(0.8*(1000/3600)*BT285)*(BR285/100))/(AF285*2)</f>
        <v>0</v>
      </c>
      <c r="BV285" s="892">
        <f>(BP285/(M285/1000))/(2*AF285)</f>
        <v>280.17106199313713</v>
      </c>
      <c r="BW285" s="892">
        <f>(1.4*BP285/(M285/1000))/(2*AF285)</f>
        <v>392.23948679039194</v>
      </c>
      <c r="BX285" s="893">
        <f>0.5*(BL285/32.2)*((BO285*0.00328084)^2)*(BS285/100)</f>
        <v>144.80615212473617</v>
      </c>
      <c r="BY285" s="891">
        <v>32</v>
      </c>
      <c r="BZ285" s="909">
        <f>BX285/(L285*BY285)</f>
        <v>1.3923668473532325E-2</v>
      </c>
      <c r="CA285" s="891"/>
      <c r="CB285" s="891"/>
      <c r="CC285" s="893">
        <f>BU285*(2*AF285)/(2*1600)</f>
        <v>0</v>
      </c>
      <c r="CD285" s="893">
        <f>BV285*(2*AF285)/(2*250)</f>
        <v>79.904786880442714</v>
      </c>
      <c r="CE285" s="890" t="str">
        <f>IF((CD285-CC285)&gt;0, "Shear","Power")</f>
        <v>Shear</v>
      </c>
      <c r="CF285" s="915">
        <f>(AF285/MAX(CC285,CD285))-1</f>
        <v>-0.10768800238861287</v>
      </c>
      <c r="CG285" s="890"/>
      <c r="CH285" s="890"/>
      <c r="CI285" s="890"/>
      <c r="CJ285" s="873"/>
      <c r="CK285" s="955"/>
    </row>
    <row r="286" spans="1:89" ht="45" customHeight="1" x14ac:dyDescent="0.2">
      <c r="A286" s="893">
        <f>SQRT(2*56^2)</f>
        <v>79.195959492893323</v>
      </c>
      <c r="B286" s="883" t="s">
        <v>353</v>
      </c>
      <c r="C286" s="883"/>
      <c r="D286" s="883" t="s">
        <v>848</v>
      </c>
      <c r="E286" s="883" t="s">
        <v>4225</v>
      </c>
      <c r="F286" s="883"/>
      <c r="G286" s="901" t="s">
        <v>1738</v>
      </c>
      <c r="H286" s="870" t="s">
        <v>363</v>
      </c>
      <c r="I286" s="886" t="s">
        <v>1133</v>
      </c>
      <c r="J286" s="883" t="s">
        <v>114</v>
      </c>
      <c r="K286" s="883" t="s">
        <v>354</v>
      </c>
      <c r="L286" s="883">
        <v>331</v>
      </c>
      <c r="M286" s="883">
        <v>140.5</v>
      </c>
      <c r="N286" s="883" t="s">
        <v>1361</v>
      </c>
      <c r="O286" s="870" t="s">
        <v>1125</v>
      </c>
      <c r="P286" s="870"/>
      <c r="Q286" s="870"/>
      <c r="R286" s="870"/>
      <c r="S286" s="870"/>
      <c r="T286" s="870"/>
      <c r="U286" s="870"/>
      <c r="V286" s="870"/>
      <c r="W286" s="870"/>
      <c r="X286" s="870"/>
      <c r="Y286" s="870"/>
      <c r="Z286" s="870"/>
      <c r="AA286" s="870"/>
      <c r="AB286" s="870" t="s">
        <v>1126</v>
      </c>
      <c r="AC286" s="883" t="s">
        <v>710</v>
      </c>
      <c r="AD286" s="883" t="s">
        <v>355</v>
      </c>
      <c r="AE286" s="883" t="s">
        <v>120</v>
      </c>
      <c r="AF286" s="883">
        <v>80.23</v>
      </c>
      <c r="AG286" s="883">
        <v>86.5</v>
      </c>
      <c r="AH286" s="883" t="s">
        <v>122</v>
      </c>
      <c r="AI286" s="883" t="s">
        <v>122</v>
      </c>
      <c r="AJ286" s="883" t="s">
        <v>234</v>
      </c>
      <c r="AK286" s="870" t="s">
        <v>356</v>
      </c>
      <c r="AL286" s="883"/>
      <c r="AM286" s="883"/>
      <c r="AN286" s="883" t="s">
        <v>1784</v>
      </c>
      <c r="AO286" s="883">
        <v>0.51</v>
      </c>
      <c r="AP286" s="883">
        <v>0.5</v>
      </c>
      <c r="AQ286" s="883"/>
      <c r="AR286" s="887">
        <v>23.4</v>
      </c>
      <c r="AS286" s="903">
        <v>8</v>
      </c>
      <c r="AT286" s="918">
        <v>7.1</v>
      </c>
      <c r="AU286" s="903">
        <v>12.4</v>
      </c>
      <c r="AV286" s="903">
        <v>11.3</v>
      </c>
      <c r="AW286" s="904">
        <f>(100*PI()*(A286^2))/(40*AO286*AV286*453.5924)</f>
        <v>18.844366501243364</v>
      </c>
      <c r="AX286" s="889">
        <v>34881</v>
      </c>
      <c r="AY286" s="883" t="s">
        <v>1790</v>
      </c>
      <c r="AZ286" s="870">
        <v>318</v>
      </c>
      <c r="BA286" s="870" t="s">
        <v>364</v>
      </c>
      <c r="BB286" s="883" t="s">
        <v>365</v>
      </c>
      <c r="BC286" s="883">
        <v>134247</v>
      </c>
      <c r="BD286" s="870">
        <v>134246</v>
      </c>
      <c r="BE286" s="870"/>
      <c r="BF286" s="870"/>
      <c r="BG286" s="870"/>
      <c r="BH286" s="891" t="s">
        <v>366</v>
      </c>
      <c r="BI286" s="906">
        <v>38057</v>
      </c>
      <c r="BJ286" s="907">
        <v>4600</v>
      </c>
      <c r="BK286" s="907">
        <v>9450</v>
      </c>
      <c r="BL286" s="907">
        <f>BJ286+BK286</f>
        <v>14050</v>
      </c>
      <c r="BM286" s="907">
        <v>1209</v>
      </c>
      <c r="BN286" s="907">
        <v>4470.3999999999996</v>
      </c>
      <c r="BO286" s="891">
        <v>348</v>
      </c>
      <c r="BP286" s="892">
        <f>IF(G286="Front",0.5*9.81*0.4535924*(BJ286+BL286*(BM286/BN286)*1.1)*1.1*(BO286/1000),IF(G286="Rear",0.5*9.81*0.4535924*(BK286+BL286*(BM286/BN286)*0.9)*0.9*(BO286/1000),"TBD"))</f>
        <v>7477.530661961373</v>
      </c>
      <c r="BQ286" s="891">
        <v>0.32</v>
      </c>
      <c r="BR286" s="904">
        <v>47.2</v>
      </c>
      <c r="BS286" s="904">
        <v>47.2</v>
      </c>
      <c r="BT286" s="943">
        <v>160</v>
      </c>
      <c r="BU286" s="892">
        <f>(2.4525*(BL286*0.4535924)*(0.8*(1000/3600)*BT286)*(BR286/100))/(AF286*2)</f>
        <v>1634.6839148575846</v>
      </c>
      <c r="BV286" s="892">
        <f>(BP286/(M286/1000))/(2*AF286)</f>
        <v>331.67679673436072</v>
      </c>
      <c r="BW286" s="892">
        <f>(1.4*BP286/(M286/1000))/(2*AF286)</f>
        <v>464.34751542810505</v>
      </c>
      <c r="BX286" s="893">
        <f>0.5*(BL286/32.2)*((BO286*0.00328084)^2)*(BS286/100)</f>
        <v>134.23354072260673</v>
      </c>
      <c r="BY286" s="891">
        <v>30</v>
      </c>
      <c r="BZ286" s="909">
        <f>BX286/(L286*BY286)</f>
        <v>1.3517979931783155E-2</v>
      </c>
      <c r="CA286" s="891"/>
      <c r="CB286" s="891"/>
      <c r="CC286" s="893">
        <f>BU286*(2*AF286)/(2*1600)</f>
        <v>81.969181555640006</v>
      </c>
      <c r="CD286" s="893">
        <f>BV286*(2*AF286)/(2*250)</f>
        <v>106.44171760799104</v>
      </c>
      <c r="CE286" s="890" t="str">
        <f>IF((CD286-CC286)&gt;0, "Shear","Power")</f>
        <v>Shear</v>
      </c>
      <c r="CF286" s="915">
        <f>(AF286/MAX(CC286,CD286))-1</f>
        <v>-0.24625417737549926</v>
      </c>
      <c r="CG286" s="890"/>
      <c r="CH286" s="890"/>
      <c r="CI286" s="890"/>
      <c r="CJ286" s="873"/>
      <c r="CK286" s="955"/>
    </row>
    <row r="287" spans="1:89" ht="45" customHeight="1" x14ac:dyDescent="0.2">
      <c r="A287" s="893">
        <v>79.2</v>
      </c>
      <c r="B287" s="883" t="s">
        <v>387</v>
      </c>
      <c r="C287" s="883"/>
      <c r="D287" s="883" t="s">
        <v>1787</v>
      </c>
      <c r="E287" s="883" t="s">
        <v>4225</v>
      </c>
      <c r="F287" s="883"/>
      <c r="G287" s="913" t="s">
        <v>1738</v>
      </c>
      <c r="H287" s="870" t="s">
        <v>391</v>
      </c>
      <c r="I287" s="886" t="s">
        <v>100</v>
      </c>
      <c r="J287" s="883" t="s">
        <v>114</v>
      </c>
      <c r="K287" s="883" t="s">
        <v>388</v>
      </c>
      <c r="L287" s="883">
        <v>380</v>
      </c>
      <c r="M287" s="883">
        <v>169.18</v>
      </c>
      <c r="N287" s="883" t="s">
        <v>87</v>
      </c>
      <c r="O287" s="870" t="s">
        <v>1125</v>
      </c>
      <c r="P287" s="870"/>
      <c r="Q287" s="870"/>
      <c r="R287" s="870"/>
      <c r="S287" s="870"/>
      <c r="T287" s="870"/>
      <c r="U287" s="870"/>
      <c r="V287" s="870"/>
      <c r="W287" s="870"/>
      <c r="X287" s="870"/>
      <c r="Y287" s="870"/>
      <c r="Z287" s="870"/>
      <c r="AA287" s="870"/>
      <c r="AB287" s="870" t="s">
        <v>89</v>
      </c>
      <c r="AC287" s="883"/>
      <c r="AD287" s="870" t="s">
        <v>389</v>
      </c>
      <c r="AE287" s="883" t="s">
        <v>91</v>
      </c>
      <c r="AF287" s="883">
        <v>64.8</v>
      </c>
      <c r="AG287" s="887">
        <v>97.1</v>
      </c>
      <c r="AH287" s="883" t="s">
        <v>80</v>
      </c>
      <c r="AI287" s="883" t="s">
        <v>92</v>
      </c>
      <c r="AJ287" s="870" t="s">
        <v>390</v>
      </c>
      <c r="AK287" s="870" t="s">
        <v>94</v>
      </c>
      <c r="AL287" s="883"/>
      <c r="AM287" s="883"/>
      <c r="AN287" s="883" t="s">
        <v>1784</v>
      </c>
      <c r="AO287" s="883">
        <v>0.47</v>
      </c>
      <c r="AP287" s="883">
        <v>0.54</v>
      </c>
      <c r="AQ287" s="883"/>
      <c r="AR287" s="887">
        <v>26</v>
      </c>
      <c r="AS287" s="903" t="s">
        <v>819</v>
      </c>
      <c r="AT287" s="918" t="s">
        <v>819</v>
      </c>
      <c r="AU287" s="903">
        <v>15</v>
      </c>
      <c r="AV287" s="903">
        <v>12.8</v>
      </c>
      <c r="AW287" s="904" t="s">
        <v>819</v>
      </c>
      <c r="AX287" s="889">
        <v>37926</v>
      </c>
      <c r="AY287" s="883" t="s">
        <v>1790</v>
      </c>
      <c r="AZ287" s="870">
        <v>10</v>
      </c>
      <c r="BA287" s="870" t="s">
        <v>392</v>
      </c>
      <c r="BB287" s="883" t="s">
        <v>393</v>
      </c>
      <c r="BC287" s="883" t="s">
        <v>394</v>
      </c>
      <c r="BD287" s="870" t="s">
        <v>2158</v>
      </c>
      <c r="BE287" s="870"/>
      <c r="BF287" s="870"/>
      <c r="BG287" s="870"/>
      <c r="BH287" s="891"/>
      <c r="BI287" s="914">
        <v>38118</v>
      </c>
      <c r="BJ287" s="892">
        <v>3363</v>
      </c>
      <c r="BK287" s="892">
        <v>2986</v>
      </c>
      <c r="BL287" s="892">
        <v>6349</v>
      </c>
      <c r="BM287" s="892">
        <v>608</v>
      </c>
      <c r="BN287" s="892">
        <v>2997</v>
      </c>
      <c r="BO287" s="890">
        <v>402</v>
      </c>
      <c r="BP287" s="892">
        <v>4705</v>
      </c>
      <c r="BQ287" s="890">
        <v>0.38</v>
      </c>
      <c r="BR287" s="918" t="s">
        <v>819</v>
      </c>
      <c r="BS287" s="918" t="s">
        <v>819</v>
      </c>
      <c r="BT287" s="969">
        <v>256</v>
      </c>
      <c r="BU287" s="892">
        <v>1824.9</v>
      </c>
      <c r="BV287" s="892">
        <v>152.4</v>
      </c>
      <c r="BW287" s="892" t="s">
        <v>819</v>
      </c>
      <c r="BX287" s="893">
        <v>129</v>
      </c>
      <c r="BY287" s="891">
        <v>35.5</v>
      </c>
      <c r="BZ287" s="909">
        <v>2.6899999999999998E-4</v>
      </c>
      <c r="CA287" s="891" t="s">
        <v>819</v>
      </c>
      <c r="CB287" s="974" t="s">
        <v>2265</v>
      </c>
      <c r="CC287" s="893">
        <v>94.2</v>
      </c>
      <c r="CD287" s="893">
        <v>50.4</v>
      </c>
      <c r="CE287" s="890" t="s">
        <v>103</v>
      </c>
      <c r="CF287" s="915">
        <v>-0.123</v>
      </c>
      <c r="CG287" s="890" t="s">
        <v>2159</v>
      </c>
      <c r="CH287" s="890"/>
      <c r="CI287" s="890">
        <v>4.4999999999999998E-2</v>
      </c>
      <c r="CJ287" s="873"/>
      <c r="CK287" s="998"/>
    </row>
    <row r="288" spans="1:89" ht="45" customHeight="1" x14ac:dyDescent="0.2">
      <c r="A288" s="890">
        <v>79.2</v>
      </c>
      <c r="B288" s="883" t="s">
        <v>353</v>
      </c>
      <c r="C288" s="883"/>
      <c r="D288" s="883" t="s">
        <v>848</v>
      </c>
      <c r="E288" s="883" t="s">
        <v>4225</v>
      </c>
      <c r="F288" s="883"/>
      <c r="G288" s="885"/>
      <c r="H288" s="870" t="s">
        <v>2597</v>
      </c>
      <c r="I288" s="886" t="s">
        <v>1133</v>
      </c>
      <c r="J288" s="883" t="s">
        <v>114</v>
      </c>
      <c r="K288" s="883"/>
      <c r="L288" s="883">
        <v>331</v>
      </c>
      <c r="M288" s="883">
        <v>140.5</v>
      </c>
      <c r="N288" s="883" t="s">
        <v>1361</v>
      </c>
      <c r="O288" s="870" t="s">
        <v>2594</v>
      </c>
      <c r="P288" s="870"/>
      <c r="Q288" s="870"/>
      <c r="R288" s="870"/>
      <c r="S288" s="870"/>
      <c r="T288" s="870"/>
      <c r="U288" s="870"/>
      <c r="V288" s="870"/>
      <c r="W288" s="870"/>
      <c r="X288" s="870"/>
      <c r="Y288" s="870"/>
      <c r="Z288" s="870"/>
      <c r="AA288" s="870"/>
      <c r="AB288" s="870" t="s">
        <v>2595</v>
      </c>
      <c r="AC288" s="883" t="s">
        <v>710</v>
      </c>
      <c r="AD288" s="883"/>
      <c r="AE288" s="883" t="s">
        <v>120</v>
      </c>
      <c r="AF288" s="883">
        <v>80.2</v>
      </c>
      <c r="AG288" s="883">
        <v>90.9</v>
      </c>
      <c r="AH288" s="883" t="s">
        <v>122</v>
      </c>
      <c r="AI288" s="883" t="s">
        <v>122</v>
      </c>
      <c r="AJ288" s="883" t="s">
        <v>234</v>
      </c>
      <c r="AK288" s="870" t="s">
        <v>1127</v>
      </c>
      <c r="AL288" s="883"/>
      <c r="AM288" s="883"/>
      <c r="AN288" s="883" t="s">
        <v>1784</v>
      </c>
      <c r="AO288" s="883">
        <v>0.51</v>
      </c>
      <c r="AP288" s="883" t="s">
        <v>2596</v>
      </c>
      <c r="AQ288" s="883"/>
      <c r="AR288" s="887">
        <v>23.4</v>
      </c>
      <c r="AS288" s="903">
        <v>8</v>
      </c>
      <c r="AT288" s="918">
        <v>7.1</v>
      </c>
      <c r="AU288" s="903">
        <v>12.4</v>
      </c>
      <c r="AV288" s="903"/>
      <c r="AW288" s="903"/>
      <c r="AX288" s="889" t="s">
        <v>1970</v>
      </c>
      <c r="AY288" s="883" t="s">
        <v>1790</v>
      </c>
      <c r="AZ288" s="870" t="s">
        <v>83</v>
      </c>
      <c r="BA288" s="870" t="s">
        <v>2598</v>
      </c>
      <c r="BB288" s="883" t="s">
        <v>2599</v>
      </c>
      <c r="BC288" s="883">
        <v>134247</v>
      </c>
      <c r="BD288" s="870">
        <v>134246</v>
      </c>
      <c r="BE288" s="870"/>
      <c r="BF288" s="870"/>
      <c r="BG288" s="870"/>
      <c r="BH288" s="891" t="s">
        <v>366</v>
      </c>
      <c r="BI288" s="890"/>
      <c r="BJ288" s="907"/>
      <c r="BK288" s="907"/>
      <c r="BL288" s="907"/>
      <c r="BM288" s="907"/>
      <c r="BN288" s="907"/>
      <c r="BO288" s="891"/>
      <c r="BP288" s="907" t="e">
        <f>1/2*9.8*(BJ288/2.2+BL288/2.2*BM288/BN288*1)*1*BO288/1000</f>
        <v>#DIV/0!</v>
      </c>
      <c r="BQ288" s="891">
        <v>0.35</v>
      </c>
      <c r="BR288" s="904"/>
      <c r="BS288" s="904"/>
      <c r="BT288" s="943"/>
      <c r="BU288" s="898"/>
      <c r="BV288" s="898"/>
      <c r="BW288" s="898"/>
      <c r="BX288" s="890"/>
      <c r="BY288" s="890"/>
      <c r="BZ288" s="895"/>
      <c r="CA288" s="890"/>
      <c r="CB288" s="890"/>
      <c r="CC288" s="893"/>
      <c r="CD288" s="893"/>
      <c r="CE288" s="890"/>
      <c r="CF288" s="890"/>
      <c r="CG288" s="890"/>
      <c r="CH288" s="890"/>
      <c r="CI288" s="890"/>
      <c r="CJ288" s="873"/>
      <c r="CK288" s="870"/>
    </row>
    <row r="289" spans="1:89" ht="45" customHeight="1" x14ac:dyDescent="0.2">
      <c r="A289" s="893">
        <f>SQRT(2*57^2)</f>
        <v>80.610173055266415</v>
      </c>
      <c r="B289" s="883" t="s">
        <v>1099</v>
      </c>
      <c r="C289" s="883"/>
      <c r="D289" s="883" t="s">
        <v>1787</v>
      </c>
      <c r="E289" s="883" t="s">
        <v>4225</v>
      </c>
      <c r="F289" s="883"/>
      <c r="G289" s="913" t="s">
        <v>1738</v>
      </c>
      <c r="H289" s="870" t="s">
        <v>391</v>
      </c>
      <c r="I289" s="886" t="s">
        <v>100</v>
      </c>
      <c r="J289" s="883" t="s">
        <v>114</v>
      </c>
      <c r="K289" s="883" t="s">
        <v>1100</v>
      </c>
      <c r="L289" s="883">
        <v>380</v>
      </c>
      <c r="M289" s="883">
        <v>168</v>
      </c>
      <c r="N289" s="883" t="s">
        <v>87</v>
      </c>
      <c r="O289" s="870" t="s">
        <v>88</v>
      </c>
      <c r="P289" s="870"/>
      <c r="Q289" s="870"/>
      <c r="R289" s="870"/>
      <c r="S289" s="870"/>
      <c r="T289" s="870"/>
      <c r="U289" s="870"/>
      <c r="V289" s="870"/>
      <c r="W289" s="870"/>
      <c r="X289" s="870"/>
      <c r="Y289" s="870"/>
      <c r="Z289" s="870"/>
      <c r="AA289" s="870"/>
      <c r="AB289" s="870" t="s">
        <v>89</v>
      </c>
      <c r="AC289" s="883"/>
      <c r="AD289" s="870" t="s">
        <v>389</v>
      </c>
      <c r="AE289" s="883" t="s">
        <v>91</v>
      </c>
      <c r="AF289" s="883">
        <v>98.8</v>
      </c>
      <c r="AG289" s="887">
        <v>82.7</v>
      </c>
      <c r="AH289" s="883" t="s">
        <v>80</v>
      </c>
      <c r="AI289" s="883" t="s">
        <v>92</v>
      </c>
      <c r="AJ289" s="870" t="s">
        <v>1101</v>
      </c>
      <c r="AK289" s="870" t="s">
        <v>1102</v>
      </c>
      <c r="AL289" s="883"/>
      <c r="AM289" s="883" t="s">
        <v>1784</v>
      </c>
      <c r="AN289" s="883"/>
      <c r="AO289" s="883" t="s">
        <v>819</v>
      </c>
      <c r="AP289" s="883">
        <v>0.32</v>
      </c>
      <c r="AQ289" s="883"/>
      <c r="AR289" s="887">
        <v>26</v>
      </c>
      <c r="AS289" s="903" t="s">
        <v>1106</v>
      </c>
      <c r="AT289" s="903" t="s">
        <v>1103</v>
      </c>
      <c r="AU289" s="903" t="s">
        <v>1104</v>
      </c>
      <c r="AV289" s="903" t="s">
        <v>1105</v>
      </c>
      <c r="AW289" s="904" t="s">
        <v>819</v>
      </c>
      <c r="AX289" s="889">
        <v>38236</v>
      </c>
      <c r="AY289" s="870" t="s">
        <v>1107</v>
      </c>
      <c r="AZ289" s="870">
        <v>10</v>
      </c>
      <c r="BA289" s="870" t="s">
        <v>1108</v>
      </c>
      <c r="BB289" s="883" t="s">
        <v>1109</v>
      </c>
      <c r="BC289" s="870" t="s">
        <v>1110</v>
      </c>
      <c r="BD289" s="870" t="s">
        <v>1111</v>
      </c>
      <c r="BE289" s="870"/>
      <c r="BF289" s="870"/>
      <c r="BG289" s="870"/>
      <c r="BH289" s="891"/>
      <c r="BI289" s="914">
        <v>38440</v>
      </c>
      <c r="BJ289" s="892">
        <v>3399</v>
      </c>
      <c r="BK289" s="892">
        <v>3399</v>
      </c>
      <c r="BL289" s="892">
        <v>6798</v>
      </c>
      <c r="BM289" s="892">
        <v>608</v>
      </c>
      <c r="BN289" s="892">
        <v>3556</v>
      </c>
      <c r="BO289" s="890">
        <v>402</v>
      </c>
      <c r="BP289" s="892">
        <v>4705</v>
      </c>
      <c r="BQ289" s="890">
        <v>0.38</v>
      </c>
      <c r="BR289" s="918" t="s">
        <v>819</v>
      </c>
      <c r="BS289" s="918" t="s">
        <v>819</v>
      </c>
      <c r="BT289" s="969">
        <v>256</v>
      </c>
      <c r="BU289" s="892">
        <v>1633</v>
      </c>
      <c r="BV289" s="892">
        <v>137.4</v>
      </c>
      <c r="BW289" s="892" t="s">
        <v>819</v>
      </c>
      <c r="BX289" s="893">
        <v>138</v>
      </c>
      <c r="BY289" s="891">
        <v>35.5</v>
      </c>
      <c r="BZ289" s="909">
        <v>2.8800000000000001E-4</v>
      </c>
      <c r="CA289" s="891" t="s">
        <v>819</v>
      </c>
      <c r="CB289" s="891" t="s">
        <v>92</v>
      </c>
      <c r="CC289" s="893">
        <v>100.8</v>
      </c>
      <c r="CD289" s="893">
        <v>54.3</v>
      </c>
      <c r="CE289" s="890" t="s">
        <v>103</v>
      </c>
      <c r="CF289" s="915">
        <v>-1.9800000000000002E-2</v>
      </c>
      <c r="CG289" s="890" t="s">
        <v>1112</v>
      </c>
      <c r="CH289" s="890" t="s">
        <v>1113</v>
      </c>
      <c r="CI289" s="890" t="s">
        <v>1114</v>
      </c>
      <c r="CJ289" s="873"/>
      <c r="CK289" s="955"/>
    </row>
    <row r="290" spans="1:89" ht="45" customHeight="1" x14ac:dyDescent="0.2">
      <c r="A290" s="893">
        <f t="shared" ref="A290:A308" si="14">SQRT(2*60^2)</f>
        <v>84.852813742385706</v>
      </c>
      <c r="B290" s="883" t="s">
        <v>459</v>
      </c>
      <c r="C290" s="870" t="s">
        <v>3984</v>
      </c>
      <c r="D290" s="870" t="s">
        <v>791</v>
      </c>
      <c r="E290" s="883" t="s">
        <v>4225</v>
      </c>
      <c r="F290" s="883">
        <v>2009</v>
      </c>
      <c r="G290" s="901" t="s">
        <v>1738</v>
      </c>
      <c r="H290" s="870" t="s">
        <v>338</v>
      </c>
      <c r="I290" s="902" t="s">
        <v>2226</v>
      </c>
      <c r="J290" s="883" t="s">
        <v>114</v>
      </c>
      <c r="K290" s="883" t="s">
        <v>458</v>
      </c>
      <c r="L290" s="883">
        <v>360</v>
      </c>
      <c r="M290" s="883">
        <v>153.25</v>
      </c>
      <c r="N290" s="883" t="s">
        <v>197</v>
      </c>
      <c r="O290" s="870" t="s">
        <v>736</v>
      </c>
      <c r="P290" s="870"/>
      <c r="Q290" s="870"/>
      <c r="R290" s="870"/>
      <c r="S290" s="870" t="s">
        <v>3652</v>
      </c>
      <c r="T290" s="870" t="s">
        <v>3652</v>
      </c>
      <c r="U290" s="870">
        <v>0.14499999999999999</v>
      </c>
      <c r="V290" s="870">
        <v>0.14499999999999999</v>
      </c>
      <c r="W290" s="870" t="s">
        <v>3661</v>
      </c>
      <c r="X290" s="870"/>
      <c r="Y290" s="870" t="s">
        <v>3261</v>
      </c>
      <c r="Z290" s="870" t="s">
        <v>3735</v>
      </c>
      <c r="AA290" s="891">
        <v>260</v>
      </c>
      <c r="AB290" s="870" t="s">
        <v>228</v>
      </c>
      <c r="AC290" s="870" t="s">
        <v>710</v>
      </c>
      <c r="AD290" s="870" t="s">
        <v>1708</v>
      </c>
      <c r="AE290" s="883" t="s">
        <v>91</v>
      </c>
      <c r="AF290" s="883">
        <v>102</v>
      </c>
      <c r="AG290" s="883">
        <v>125.56</v>
      </c>
      <c r="AH290" s="883" t="s">
        <v>1744</v>
      </c>
      <c r="AI290" s="883" t="s">
        <v>1744</v>
      </c>
      <c r="AJ290" s="870" t="s">
        <v>2871</v>
      </c>
      <c r="AK290" s="870" t="s">
        <v>2987</v>
      </c>
      <c r="AL290" s="883"/>
      <c r="AM290" s="883"/>
      <c r="AN290" s="883" t="s">
        <v>1784</v>
      </c>
      <c r="AO290" s="883">
        <v>0.33</v>
      </c>
      <c r="AP290" s="883"/>
      <c r="AQ290" s="883"/>
      <c r="AR290" s="887">
        <v>25.5</v>
      </c>
      <c r="AS290" s="888">
        <v>5.81</v>
      </c>
      <c r="AT290" s="887">
        <v>4.88</v>
      </c>
      <c r="AU290" s="888">
        <v>15</v>
      </c>
      <c r="AV290" s="888">
        <v>13.91</v>
      </c>
      <c r="AW290" s="904">
        <v>27.159110285575281</v>
      </c>
      <c r="AX290" s="889">
        <v>39661</v>
      </c>
      <c r="AY290" s="883" t="s">
        <v>1669</v>
      </c>
      <c r="AZ290" s="870">
        <v>266</v>
      </c>
      <c r="BA290" s="870" t="s">
        <v>738</v>
      </c>
      <c r="BB290" s="870" t="s">
        <v>1309</v>
      </c>
      <c r="BC290" s="883">
        <v>15883001</v>
      </c>
      <c r="BD290" s="870" t="s">
        <v>735</v>
      </c>
      <c r="BE290" s="870">
        <v>15882804</v>
      </c>
      <c r="BF290" s="870" t="s">
        <v>157</v>
      </c>
      <c r="BG290" s="870" t="s">
        <v>157</v>
      </c>
      <c r="BH290" s="891" t="s">
        <v>1209</v>
      </c>
      <c r="BI290" s="906">
        <v>41728</v>
      </c>
      <c r="BJ290" s="907">
        <f>2223*2.2</f>
        <v>4890.6000000000004</v>
      </c>
      <c r="BK290" s="907">
        <f>4128*2.2</f>
        <v>9081.6</v>
      </c>
      <c r="BL290" s="892">
        <f>BJ290+BK290</f>
        <v>13972.2</v>
      </c>
      <c r="BM290" s="978">
        <v>787.4</v>
      </c>
      <c r="BN290" s="907">
        <v>3645</v>
      </c>
      <c r="BO290" s="904">
        <v>397</v>
      </c>
      <c r="BP290" s="892">
        <f>IF(G290="Front",0.5*9.81*0.4535924*(BJ290+BL290*(BM290/BN290)*1.1)*1.1*(BO290/1000),IF(G290="Rear",0.5*9.81*0.4535924*(BK290+BL290*(BM290/BN290)*0.9)*0.9*(BO290/1000),"TBD"))</f>
        <v>7977.5558304276947</v>
      </c>
      <c r="BQ290" s="891">
        <v>0.35</v>
      </c>
      <c r="BR290" s="904">
        <v>58</v>
      </c>
      <c r="BS290" s="904">
        <v>58</v>
      </c>
      <c r="BT290" s="943">
        <v>161</v>
      </c>
      <c r="BU290" s="892">
        <v>1584.2145927478432</v>
      </c>
      <c r="BV290" s="892">
        <f>(BP290/(M290/1000))/(2*AF290)</f>
        <v>255.17563351014601</v>
      </c>
      <c r="BW290" s="892">
        <f>(1.4*BP290/(M290/1000))/(2*AF290)</f>
        <v>357.24588691420433</v>
      </c>
      <c r="BX290" s="893">
        <f>0.5*(BL290/32.2)*((BO290*0.00328084)^2)*(BS290/100)</f>
        <v>213.48041370306191</v>
      </c>
      <c r="BY290" s="891">
        <v>39</v>
      </c>
      <c r="BZ290" s="909">
        <f>BX290/(L290*BY290)</f>
        <v>1.5205157671158256E-2</v>
      </c>
      <c r="CA290" s="891"/>
      <c r="CB290" s="891" t="s">
        <v>157</v>
      </c>
      <c r="CC290" s="893">
        <f>BU290*(2*AF290)/(2*1600)</f>
        <v>100.99368028767499</v>
      </c>
      <c r="CD290" s="893">
        <f>BV290*(2*AF290)/(2*250)</f>
        <v>104.11165847213958</v>
      </c>
      <c r="CE290" s="890" t="str">
        <f>IF((CD290-CC290)&gt;0, "Shear","Power")</f>
        <v>Shear</v>
      </c>
      <c r="CF290" s="915">
        <f>(AF290/MAX(CC290,CD290))-1</f>
        <v>-2.0282632157902492E-2</v>
      </c>
      <c r="CG290" s="890"/>
      <c r="CH290" s="890"/>
      <c r="CI290" s="890"/>
      <c r="CJ290" s="873"/>
      <c r="CK290" s="955"/>
    </row>
    <row r="291" spans="1:89" ht="45" customHeight="1" x14ac:dyDescent="0.2">
      <c r="A291" s="1000">
        <f t="shared" si="14"/>
        <v>84.852813742385706</v>
      </c>
      <c r="B291" s="1001" t="s">
        <v>2353</v>
      </c>
      <c r="C291" s="1001"/>
      <c r="D291" s="1002" t="s">
        <v>793</v>
      </c>
      <c r="E291" s="883" t="s">
        <v>4225</v>
      </c>
      <c r="F291" s="1001">
        <v>2012</v>
      </c>
      <c r="G291" s="1003" t="s">
        <v>1738</v>
      </c>
      <c r="H291" s="1002" t="s">
        <v>335</v>
      </c>
      <c r="I291" s="1004" t="s">
        <v>1714</v>
      </c>
      <c r="J291" s="1001" t="s">
        <v>114</v>
      </c>
      <c r="K291" s="1001" t="s">
        <v>456</v>
      </c>
      <c r="L291" s="1005">
        <v>347</v>
      </c>
      <c r="M291" s="1005">
        <v>148.69999999999999</v>
      </c>
      <c r="N291" s="1001" t="s">
        <v>197</v>
      </c>
      <c r="O291" s="1002" t="s">
        <v>1204</v>
      </c>
      <c r="P291" s="1002"/>
      <c r="Q291" s="1002"/>
      <c r="R291" s="1002"/>
      <c r="S291" s="1002"/>
      <c r="T291" s="1002"/>
      <c r="U291" s="1002"/>
      <c r="V291" s="1002"/>
      <c r="W291" s="870"/>
      <c r="X291" s="1002"/>
      <c r="Y291" s="870"/>
      <c r="Z291" s="870"/>
      <c r="AA291" s="1002"/>
      <c r="AB291" s="1002" t="s">
        <v>1116</v>
      </c>
      <c r="AC291" s="1002" t="s">
        <v>710</v>
      </c>
      <c r="AD291" s="1002" t="s">
        <v>1708</v>
      </c>
      <c r="AE291" s="1001" t="s">
        <v>91</v>
      </c>
      <c r="AF291" s="1006">
        <f>(78.3+56.3)/2</f>
        <v>67.3</v>
      </c>
      <c r="AG291" s="1005">
        <v>58.7</v>
      </c>
      <c r="AH291" s="1001" t="s">
        <v>1205</v>
      </c>
      <c r="AI291" s="1001" t="s">
        <v>1205</v>
      </c>
      <c r="AJ291" s="870" t="s">
        <v>2031</v>
      </c>
      <c r="AK291" s="1002" t="s">
        <v>1232</v>
      </c>
      <c r="AL291" s="1001"/>
      <c r="AM291" s="1001"/>
      <c r="AN291" s="1001" t="s">
        <v>1784</v>
      </c>
      <c r="AO291" s="1001">
        <v>0.32</v>
      </c>
      <c r="AP291" s="1001">
        <v>0.371</v>
      </c>
      <c r="AQ291" s="1001"/>
      <c r="AR291" s="1007">
        <v>26.1</v>
      </c>
      <c r="AS291" s="1008">
        <v>7.6</v>
      </c>
      <c r="AT291" s="1007">
        <v>6.2</v>
      </c>
      <c r="AU291" s="1008">
        <v>16.2</v>
      </c>
      <c r="AV291" s="1008">
        <v>14.3</v>
      </c>
      <c r="AW291" s="1009">
        <f>(100*PI()*(A291^2))/(40*AO291*AV291*453.5924)</f>
        <v>27.243982505217701</v>
      </c>
      <c r="AX291" s="1010">
        <v>40400</v>
      </c>
      <c r="AY291" s="1001" t="s">
        <v>2093</v>
      </c>
      <c r="AZ291" s="1002">
        <v>610</v>
      </c>
      <c r="BA291" s="1002" t="s">
        <v>1762</v>
      </c>
      <c r="BB291" s="1002" t="s">
        <v>798</v>
      </c>
      <c r="BC291" s="1001">
        <v>14429602</v>
      </c>
      <c r="BD291" s="1002" t="s">
        <v>2355</v>
      </c>
      <c r="BE291" s="1002"/>
      <c r="BF291" s="1002"/>
      <c r="BG291" s="1002"/>
      <c r="BH291" s="1011"/>
      <c r="BI291" s="1012">
        <v>40800</v>
      </c>
      <c r="BJ291" s="907">
        <f>1842*2.2</f>
        <v>4052.4000000000005</v>
      </c>
      <c r="BK291" s="907">
        <f>4055*2.2</f>
        <v>8921</v>
      </c>
      <c r="BL291" s="907">
        <f>BJ291+BK291</f>
        <v>12973.400000000001</v>
      </c>
      <c r="BM291" s="1013">
        <v>787</v>
      </c>
      <c r="BN291" s="1013">
        <v>4369</v>
      </c>
      <c r="BO291" s="1014">
        <v>384</v>
      </c>
      <c r="BP291" s="1015">
        <v>6577</v>
      </c>
      <c r="BQ291" s="1014">
        <v>0.33</v>
      </c>
      <c r="BR291" s="1009" t="s">
        <v>157</v>
      </c>
      <c r="BS291" s="1009" t="s">
        <v>157</v>
      </c>
      <c r="BT291" s="1016">
        <v>153</v>
      </c>
      <c r="BU291" s="1009" t="s">
        <v>157</v>
      </c>
      <c r="BV291" s="1009" t="s">
        <v>157</v>
      </c>
      <c r="BW291" s="1009" t="s">
        <v>157</v>
      </c>
      <c r="BX291" s="1017">
        <v>159.9</v>
      </c>
      <c r="BY291" s="1014">
        <v>38</v>
      </c>
      <c r="BZ291" s="1018">
        <f>BX291/(L291*BY291)</f>
        <v>1.2126497800697709E-2</v>
      </c>
      <c r="CA291" s="1014" t="s">
        <v>157</v>
      </c>
      <c r="CB291" s="1009" t="s">
        <v>157</v>
      </c>
      <c r="CC291" s="1009" t="s">
        <v>157</v>
      </c>
      <c r="CD291" s="1009" t="s">
        <v>157</v>
      </c>
      <c r="CE291" s="1009" t="s">
        <v>157</v>
      </c>
      <c r="CF291" s="1009" t="s">
        <v>157</v>
      </c>
      <c r="CG291" s="1019">
        <v>6.4</v>
      </c>
      <c r="CH291" s="1019">
        <v>4.0999999999999996</v>
      </c>
      <c r="CI291" s="1019">
        <f>(CG291-CH291)/50</f>
        <v>4.6000000000000013E-2</v>
      </c>
      <c r="CJ291" s="873"/>
      <c r="CK291" s="955" t="s">
        <v>1127</v>
      </c>
    </row>
    <row r="292" spans="1:89" ht="25.5" x14ac:dyDescent="0.2">
      <c r="A292" s="1000">
        <f t="shared" si="14"/>
        <v>84.852813742385706</v>
      </c>
      <c r="B292" s="1001" t="s">
        <v>2354</v>
      </c>
      <c r="C292" s="1001"/>
      <c r="D292" s="1002" t="s">
        <v>793</v>
      </c>
      <c r="E292" s="883" t="s">
        <v>4225</v>
      </c>
      <c r="F292" s="1001">
        <v>2012</v>
      </c>
      <c r="G292" s="1003" t="s">
        <v>1738</v>
      </c>
      <c r="H292" s="1002" t="s">
        <v>336</v>
      </c>
      <c r="I292" s="1004" t="s">
        <v>1714</v>
      </c>
      <c r="J292" s="1001" t="s">
        <v>114</v>
      </c>
      <c r="K292" s="1001" t="s">
        <v>456</v>
      </c>
      <c r="L292" s="1005">
        <v>347</v>
      </c>
      <c r="M292" s="1005">
        <v>148.69999999999999</v>
      </c>
      <c r="N292" s="1001" t="s">
        <v>197</v>
      </c>
      <c r="O292" s="1002" t="s">
        <v>1204</v>
      </c>
      <c r="P292" s="1002"/>
      <c r="Q292" s="1002"/>
      <c r="R292" s="1002"/>
      <c r="S292" s="1006"/>
      <c r="T292" s="1006"/>
      <c r="U292" s="1006"/>
      <c r="V292" s="1006"/>
      <c r="W292" s="870"/>
      <c r="X292" s="1006"/>
      <c r="Y292" s="870"/>
      <c r="Z292" s="870"/>
      <c r="AA292" s="1006"/>
      <c r="AB292" s="1002" t="s">
        <v>1116</v>
      </c>
      <c r="AC292" s="1002" t="s">
        <v>710</v>
      </c>
      <c r="AD292" s="1006" t="s">
        <v>1201</v>
      </c>
      <c r="AE292" s="1001" t="s">
        <v>91</v>
      </c>
      <c r="AF292" s="1006">
        <f>(78.3+56.3)/2</f>
        <v>67.3</v>
      </c>
      <c r="AG292" s="1005">
        <v>75.55</v>
      </c>
      <c r="AH292" s="1001" t="s">
        <v>1205</v>
      </c>
      <c r="AI292" s="1001" t="s">
        <v>1205</v>
      </c>
      <c r="AJ292" s="870" t="s">
        <v>2031</v>
      </c>
      <c r="AK292" s="1002" t="s">
        <v>1232</v>
      </c>
      <c r="AL292" s="1001"/>
      <c r="AM292" s="1001"/>
      <c r="AN292" s="1001" t="s">
        <v>1784</v>
      </c>
      <c r="AO292" s="1001">
        <v>0.32</v>
      </c>
      <c r="AP292" s="1001">
        <v>0.371</v>
      </c>
      <c r="AQ292" s="1001"/>
      <c r="AR292" s="1007">
        <v>26.1</v>
      </c>
      <c r="AS292" s="1008">
        <v>7.6</v>
      </c>
      <c r="AT292" s="1007">
        <v>6.2</v>
      </c>
      <c r="AU292" s="1008">
        <v>16.75</v>
      </c>
      <c r="AV292" s="1008">
        <v>14.85</v>
      </c>
      <c r="AW292" s="1009">
        <f>(100*PI()*(A292^2))/(40*AO292*AV292*453.5924)</f>
        <v>26.234946116135564</v>
      </c>
      <c r="AX292" s="1010">
        <v>40400</v>
      </c>
      <c r="AY292" s="1001" t="s">
        <v>2093</v>
      </c>
      <c r="AZ292" s="1002">
        <v>610</v>
      </c>
      <c r="BA292" s="1002" t="s">
        <v>410</v>
      </c>
      <c r="BB292" s="1002" t="s">
        <v>799</v>
      </c>
      <c r="BC292" s="1006" t="s">
        <v>457</v>
      </c>
      <c r="BD292" s="1006" t="s">
        <v>2356</v>
      </c>
      <c r="BE292" s="1006"/>
      <c r="BF292" s="1006"/>
      <c r="BG292" s="1006"/>
      <c r="BH292" s="1011"/>
      <c r="BI292" s="1012">
        <v>40800</v>
      </c>
      <c r="BJ292" s="1013">
        <f>1842*2.2</f>
        <v>4052.4000000000005</v>
      </c>
      <c r="BK292" s="1013">
        <f>4055*2.2</f>
        <v>8921</v>
      </c>
      <c r="BL292" s="1015">
        <f>BJ292+BK292</f>
        <v>12973.400000000001</v>
      </c>
      <c r="BM292" s="1013">
        <v>787</v>
      </c>
      <c r="BN292" s="1013">
        <v>4369</v>
      </c>
      <c r="BO292" s="1014">
        <v>384</v>
      </c>
      <c r="BP292" s="1015">
        <v>6577</v>
      </c>
      <c r="BQ292" s="1014">
        <v>0.33</v>
      </c>
      <c r="BR292" s="1009" t="s">
        <v>157</v>
      </c>
      <c r="BS292" s="1009" t="s">
        <v>157</v>
      </c>
      <c r="BT292" s="1016">
        <v>153</v>
      </c>
      <c r="BU292" s="1009" t="s">
        <v>157</v>
      </c>
      <c r="BV292" s="1009" t="s">
        <v>157</v>
      </c>
      <c r="BW292" s="1009" t="s">
        <v>157</v>
      </c>
      <c r="BX292" s="1017">
        <v>159.9</v>
      </c>
      <c r="BY292" s="1014">
        <v>38</v>
      </c>
      <c r="BZ292" s="1018">
        <f>BX292/(L292*BY292)</f>
        <v>1.2126497800697709E-2</v>
      </c>
      <c r="CA292" s="1014" t="s">
        <v>157</v>
      </c>
      <c r="CB292" s="1009" t="s">
        <v>157</v>
      </c>
      <c r="CC292" s="1009" t="s">
        <v>157</v>
      </c>
      <c r="CD292" s="1009" t="s">
        <v>157</v>
      </c>
      <c r="CE292" s="1009" t="s">
        <v>157</v>
      </c>
      <c r="CF292" s="1009" t="s">
        <v>157</v>
      </c>
      <c r="CG292" s="1019">
        <v>6.4</v>
      </c>
      <c r="CH292" s="1019">
        <v>4.0999999999999996</v>
      </c>
      <c r="CI292" s="1019">
        <f>(CG292-CH292)/50</f>
        <v>4.6000000000000013E-2</v>
      </c>
      <c r="CJ292" s="873"/>
      <c r="CK292" s="870" t="s">
        <v>1127</v>
      </c>
    </row>
    <row r="293" spans="1:89" ht="45" customHeight="1" x14ac:dyDescent="0.2">
      <c r="A293" s="893">
        <f t="shared" si="14"/>
        <v>84.852813742385706</v>
      </c>
      <c r="B293" s="883" t="s">
        <v>1115</v>
      </c>
      <c r="C293" s="883"/>
      <c r="D293" s="883" t="s">
        <v>1091</v>
      </c>
      <c r="E293" s="883" t="s">
        <v>4225</v>
      </c>
      <c r="F293" s="883">
        <v>2005</v>
      </c>
      <c r="G293" s="901" t="s">
        <v>1738</v>
      </c>
      <c r="H293" s="870" t="s">
        <v>2900</v>
      </c>
      <c r="I293" s="886" t="s">
        <v>2906</v>
      </c>
      <c r="J293" s="883" t="s">
        <v>114</v>
      </c>
      <c r="K293" s="883">
        <v>7067</v>
      </c>
      <c r="L293" s="883">
        <v>347</v>
      </c>
      <c r="M293" s="883">
        <v>148.6</v>
      </c>
      <c r="N293" s="883" t="s">
        <v>197</v>
      </c>
      <c r="O293" s="870" t="s">
        <v>1125</v>
      </c>
      <c r="P293" s="870"/>
      <c r="Q293" s="870"/>
      <c r="R293" s="870"/>
      <c r="S293" s="870"/>
      <c r="T293" s="870"/>
      <c r="U293" s="870"/>
      <c r="V293" s="870"/>
      <c r="W293" s="870"/>
      <c r="X293" s="870"/>
      <c r="Y293" s="870"/>
      <c r="Z293" s="870"/>
      <c r="AA293" s="870"/>
      <c r="AB293" s="870" t="s">
        <v>1116</v>
      </c>
      <c r="AC293" s="870" t="s">
        <v>710</v>
      </c>
      <c r="AD293" s="870" t="s">
        <v>1708</v>
      </c>
      <c r="AE293" s="883" t="s">
        <v>91</v>
      </c>
      <c r="AF293" s="883">
        <v>56.15</v>
      </c>
      <c r="AG293" s="883">
        <v>83.68</v>
      </c>
      <c r="AH293" s="883" t="s">
        <v>80</v>
      </c>
      <c r="AI293" s="883" t="s">
        <v>80</v>
      </c>
      <c r="AJ293" s="870" t="s">
        <v>2871</v>
      </c>
      <c r="AK293" s="870" t="s">
        <v>1117</v>
      </c>
      <c r="AL293" s="883"/>
      <c r="AM293" s="883"/>
      <c r="AN293" s="883" t="s">
        <v>1784</v>
      </c>
      <c r="AO293" s="883">
        <v>0.33</v>
      </c>
      <c r="AP293" s="883">
        <v>0.33</v>
      </c>
      <c r="AQ293" s="883"/>
      <c r="AR293" s="887">
        <v>25.9</v>
      </c>
      <c r="AS293" s="888">
        <v>7.58</v>
      </c>
      <c r="AT293" s="887">
        <v>6.3</v>
      </c>
      <c r="AU293" s="888">
        <v>16.399999999999999</v>
      </c>
      <c r="AV293" s="888">
        <v>14.6</v>
      </c>
      <c r="AW293" s="904">
        <v>25.875563292626861</v>
      </c>
      <c r="AX293" s="889">
        <v>38200</v>
      </c>
      <c r="AY293" s="883" t="s">
        <v>531</v>
      </c>
      <c r="AZ293" s="870">
        <v>610</v>
      </c>
      <c r="BA293" s="870" t="s">
        <v>1118</v>
      </c>
      <c r="BB293" s="870" t="s">
        <v>1119</v>
      </c>
      <c r="BC293" s="883">
        <v>14429602</v>
      </c>
      <c r="BD293" s="870" t="s">
        <v>1120</v>
      </c>
      <c r="BE293" s="870"/>
      <c r="BF293" s="870"/>
      <c r="BG293" s="870"/>
      <c r="BH293" s="891"/>
      <c r="BI293" s="914">
        <v>39595</v>
      </c>
      <c r="BJ293" s="907">
        <v>4562</v>
      </c>
      <c r="BK293" s="907">
        <v>6538</v>
      </c>
      <c r="BL293" s="892">
        <v>11100</v>
      </c>
      <c r="BM293" s="907">
        <v>787.4</v>
      </c>
      <c r="BN293" s="907">
        <v>4368.3999999999996</v>
      </c>
      <c r="BO293" s="891">
        <v>372</v>
      </c>
      <c r="BP293" s="892">
        <v>6157.006123806892</v>
      </c>
      <c r="BQ293" s="891">
        <v>0.3</v>
      </c>
      <c r="BR293" s="904">
        <v>55</v>
      </c>
      <c r="BS293" s="904">
        <v>55</v>
      </c>
      <c r="BT293" s="943">
        <v>152.9</v>
      </c>
      <c r="BU293" s="892">
        <v>2054.8289179471153</v>
      </c>
      <c r="BV293" s="892">
        <v>368.95297779614145</v>
      </c>
      <c r="BW293" s="892">
        <v>516.53416891459801</v>
      </c>
      <c r="BX293" s="893">
        <v>141.20685589192584</v>
      </c>
      <c r="BY293" s="891">
        <v>38</v>
      </c>
      <c r="BZ293" s="909">
        <v>1.0708846950699669E-2</v>
      </c>
      <c r="CA293" s="891" t="s">
        <v>2952</v>
      </c>
      <c r="CB293" s="904" t="s">
        <v>1814</v>
      </c>
      <c r="CC293" s="893">
        <v>72.111652339206572</v>
      </c>
      <c r="CD293" s="893">
        <v>82.866838813013374</v>
      </c>
      <c r="CE293" s="890" t="s">
        <v>1049</v>
      </c>
      <c r="CF293" s="915">
        <v>-0.32240687826042391</v>
      </c>
      <c r="CG293" s="890">
        <v>7.08</v>
      </c>
      <c r="CH293" s="890">
        <v>4.5599999999999996</v>
      </c>
      <c r="CI293" s="890">
        <v>5.04E-2</v>
      </c>
      <c r="CJ293" s="873"/>
      <c r="CK293" s="870" t="s">
        <v>1127</v>
      </c>
    </row>
    <row r="294" spans="1:89" ht="45" customHeight="1" x14ac:dyDescent="0.2">
      <c r="A294" s="893">
        <f t="shared" si="14"/>
        <v>84.852813742385706</v>
      </c>
      <c r="B294" s="883" t="s">
        <v>1200</v>
      </c>
      <c r="C294" s="883"/>
      <c r="D294" s="883" t="s">
        <v>1091</v>
      </c>
      <c r="E294" s="883" t="s">
        <v>4225</v>
      </c>
      <c r="F294" s="883">
        <v>2005</v>
      </c>
      <c r="G294" s="901" t="s">
        <v>1738</v>
      </c>
      <c r="H294" s="870" t="s">
        <v>2901</v>
      </c>
      <c r="I294" s="886" t="s">
        <v>2906</v>
      </c>
      <c r="J294" s="883" t="s">
        <v>114</v>
      </c>
      <c r="K294" s="883">
        <v>7067</v>
      </c>
      <c r="L294" s="883">
        <v>347</v>
      </c>
      <c r="M294" s="883">
        <v>148.6</v>
      </c>
      <c r="N294" s="883" t="s">
        <v>197</v>
      </c>
      <c r="O294" s="870" t="s">
        <v>1125</v>
      </c>
      <c r="P294" s="870"/>
      <c r="Q294" s="870"/>
      <c r="R294" s="870"/>
      <c r="S294" s="870"/>
      <c r="T294" s="870"/>
      <c r="U294" s="870"/>
      <c r="V294" s="870"/>
      <c r="W294" s="870"/>
      <c r="X294" s="870"/>
      <c r="Y294" s="870"/>
      <c r="Z294" s="870"/>
      <c r="AA294" s="870"/>
      <c r="AB294" s="870" t="s">
        <v>1116</v>
      </c>
      <c r="AC294" s="870" t="s">
        <v>710</v>
      </c>
      <c r="AD294" s="870" t="s">
        <v>1201</v>
      </c>
      <c r="AE294" s="883" t="s">
        <v>91</v>
      </c>
      <c r="AF294" s="883">
        <v>55.22</v>
      </c>
      <c r="AG294" s="883">
        <v>81.319999999999993</v>
      </c>
      <c r="AH294" s="883" t="s">
        <v>80</v>
      </c>
      <c r="AI294" s="883" t="s">
        <v>80</v>
      </c>
      <c r="AJ294" s="870" t="s">
        <v>2871</v>
      </c>
      <c r="AK294" s="870" t="s">
        <v>1117</v>
      </c>
      <c r="AL294" s="883"/>
      <c r="AM294" s="883"/>
      <c r="AN294" s="883" t="s">
        <v>1784</v>
      </c>
      <c r="AO294" s="883">
        <v>0.33</v>
      </c>
      <c r="AP294" s="883">
        <v>0.33</v>
      </c>
      <c r="AQ294" s="883"/>
      <c r="AR294" s="887">
        <v>26.1</v>
      </c>
      <c r="AS294" s="888">
        <v>7.58</v>
      </c>
      <c r="AT294" s="887">
        <v>6.3</v>
      </c>
      <c r="AU294" s="888">
        <v>16.600000000000001</v>
      </c>
      <c r="AV294" s="888">
        <v>14.8</v>
      </c>
      <c r="AW294" s="904">
        <v>25.525893518402174</v>
      </c>
      <c r="AX294" s="889">
        <v>38200</v>
      </c>
      <c r="AY294" s="883" t="s">
        <v>531</v>
      </c>
      <c r="AZ294" s="870">
        <v>610</v>
      </c>
      <c r="BA294" s="870" t="s">
        <v>411</v>
      </c>
      <c r="BB294" s="870" t="s">
        <v>1202</v>
      </c>
      <c r="BC294" s="883">
        <v>15451802</v>
      </c>
      <c r="BD294" s="870" t="s">
        <v>1203</v>
      </c>
      <c r="BE294" s="870"/>
      <c r="BF294" s="870"/>
      <c r="BG294" s="870"/>
      <c r="BH294" s="891"/>
      <c r="BI294" s="914">
        <v>39595</v>
      </c>
      <c r="BJ294" s="907">
        <v>4651</v>
      </c>
      <c r="BK294" s="907">
        <v>8349</v>
      </c>
      <c r="BL294" s="892">
        <v>13000</v>
      </c>
      <c r="BM294" s="907">
        <v>787.4</v>
      </c>
      <c r="BN294" s="907">
        <v>4368.3999999999996</v>
      </c>
      <c r="BO294" s="891">
        <v>372</v>
      </c>
      <c r="BP294" s="892">
        <v>6581.0060655389088</v>
      </c>
      <c r="BQ294" s="891">
        <v>0.3</v>
      </c>
      <c r="BR294" s="904">
        <v>55</v>
      </c>
      <c r="BS294" s="904">
        <v>55</v>
      </c>
      <c r="BT294" s="943">
        <v>152.9</v>
      </c>
      <c r="BU294" s="892">
        <v>2447.0869489372517</v>
      </c>
      <c r="BV294" s="892">
        <v>401.00250323427383</v>
      </c>
      <c r="BW294" s="892">
        <v>561.40350452798327</v>
      </c>
      <c r="BX294" s="893">
        <v>165.37739879234559</v>
      </c>
      <c r="BY294" s="891">
        <v>38</v>
      </c>
      <c r="BZ294" s="909">
        <v>1.2541892825143758E-2</v>
      </c>
      <c r="CA294" s="891" t="s">
        <v>2952</v>
      </c>
      <c r="CB294" s="904" t="s">
        <v>1814</v>
      </c>
      <c r="CC294" s="893">
        <v>84.455088325196897</v>
      </c>
      <c r="CD294" s="893">
        <v>88.573432914386402</v>
      </c>
      <c r="CE294" s="890" t="s">
        <v>1049</v>
      </c>
      <c r="CF294" s="915">
        <v>-0.37656249528710573</v>
      </c>
      <c r="CG294" s="890">
        <v>7.33</v>
      </c>
      <c r="CH294" s="890">
        <v>4.8</v>
      </c>
      <c r="CI294" s="890">
        <v>5.0500000000000003E-2</v>
      </c>
      <c r="CJ294" s="873"/>
      <c r="CK294" s="870" t="s">
        <v>1127</v>
      </c>
    </row>
    <row r="295" spans="1:89" ht="45" customHeight="1" x14ac:dyDescent="0.2">
      <c r="A295" s="893">
        <f t="shared" si="14"/>
        <v>84.852813742385706</v>
      </c>
      <c r="B295" s="883" t="s">
        <v>1211</v>
      </c>
      <c r="C295" s="883"/>
      <c r="D295" s="883" t="s">
        <v>1091</v>
      </c>
      <c r="E295" s="883" t="s">
        <v>4225</v>
      </c>
      <c r="F295" s="883">
        <v>2006</v>
      </c>
      <c r="G295" s="901" t="s">
        <v>1797</v>
      </c>
      <c r="H295" s="1020" t="s">
        <v>2902</v>
      </c>
      <c r="I295" s="886" t="s">
        <v>2864</v>
      </c>
      <c r="J295" s="883" t="s">
        <v>114</v>
      </c>
      <c r="K295" s="883" t="s">
        <v>1212</v>
      </c>
      <c r="L295" s="883">
        <v>327.7</v>
      </c>
      <c r="M295" s="883">
        <v>137</v>
      </c>
      <c r="N295" s="883" t="s">
        <v>1361</v>
      </c>
      <c r="O295" s="870" t="s">
        <v>1125</v>
      </c>
      <c r="P295" s="870"/>
      <c r="Q295" s="870"/>
      <c r="R295" s="870"/>
      <c r="S295" s="870"/>
      <c r="T295" s="870"/>
      <c r="U295" s="870"/>
      <c r="V295" s="870"/>
      <c r="W295" s="870"/>
      <c r="X295" s="870"/>
      <c r="Y295" s="870"/>
      <c r="Z295" s="870"/>
      <c r="AA295" s="870"/>
      <c r="AB295" s="870" t="s">
        <v>1213</v>
      </c>
      <c r="AC295" s="870" t="s">
        <v>710</v>
      </c>
      <c r="AD295" s="870" t="s">
        <v>1214</v>
      </c>
      <c r="AE295" s="883" t="s">
        <v>120</v>
      </c>
      <c r="AF295" s="883">
        <v>106</v>
      </c>
      <c r="AG295" s="883">
        <v>134</v>
      </c>
      <c r="AH295" s="883" t="s">
        <v>122</v>
      </c>
      <c r="AI295" s="883" t="s">
        <v>122</v>
      </c>
      <c r="AJ295" s="870" t="s">
        <v>234</v>
      </c>
      <c r="AK295" s="870" t="s">
        <v>1906</v>
      </c>
      <c r="AL295" s="883" t="s">
        <v>1784</v>
      </c>
      <c r="AM295" s="883"/>
      <c r="AN295" s="883"/>
      <c r="AO295" s="883">
        <v>0.43</v>
      </c>
      <c r="AP295" s="883">
        <v>0.30199999999999999</v>
      </c>
      <c r="AQ295" s="883"/>
      <c r="AR295" s="887">
        <v>21.8</v>
      </c>
      <c r="AS295" s="888" t="s">
        <v>2952</v>
      </c>
      <c r="AT295" s="888" t="s">
        <v>2952</v>
      </c>
      <c r="AU295" s="888">
        <v>16.899999999999999</v>
      </c>
      <c r="AV295" s="888">
        <v>14.67</v>
      </c>
      <c r="AW295" s="904">
        <v>19.763235196632301</v>
      </c>
      <c r="AX295" s="889">
        <v>38569</v>
      </c>
      <c r="AY295" s="883" t="s">
        <v>2399</v>
      </c>
      <c r="AZ295" s="870">
        <v>40</v>
      </c>
      <c r="BA295" s="870" t="s">
        <v>1907</v>
      </c>
      <c r="BB295" s="870" t="s">
        <v>1908</v>
      </c>
      <c r="BC295" s="883">
        <v>120684</v>
      </c>
      <c r="BD295" s="870" t="s">
        <v>1221</v>
      </c>
      <c r="BE295" s="870"/>
      <c r="BF295" s="870"/>
      <c r="BG295" s="870"/>
      <c r="BH295" s="891" t="s">
        <v>1222</v>
      </c>
      <c r="BI295" s="906">
        <v>38804</v>
      </c>
      <c r="BJ295" s="907">
        <v>4600</v>
      </c>
      <c r="BK295" s="907">
        <v>9450</v>
      </c>
      <c r="BL295" s="907">
        <v>14050</v>
      </c>
      <c r="BM295" s="907">
        <v>1209</v>
      </c>
      <c r="BN295" s="907">
        <v>4470.3999999999996</v>
      </c>
      <c r="BO295" s="891">
        <v>348</v>
      </c>
      <c r="BP295" s="892">
        <v>8968.0456864801072</v>
      </c>
      <c r="BQ295" s="891">
        <v>0.35</v>
      </c>
      <c r="BR295" s="904">
        <v>52.8</v>
      </c>
      <c r="BS295" s="904">
        <v>52.8</v>
      </c>
      <c r="BT295" s="943">
        <v>136</v>
      </c>
      <c r="BU295" s="892">
        <v>1176.4556662031096</v>
      </c>
      <c r="BV295" s="892">
        <v>308.77446930450719</v>
      </c>
      <c r="BW295" s="892">
        <v>432.28425702631</v>
      </c>
      <c r="BX295" s="893">
        <v>150.15955402867871</v>
      </c>
      <c r="BY295" s="891">
        <v>38</v>
      </c>
      <c r="BZ295" s="891"/>
      <c r="CA295" s="891" t="s">
        <v>2952</v>
      </c>
      <c r="CB295" s="904" t="s">
        <v>1814</v>
      </c>
      <c r="CC295" s="891"/>
      <c r="CD295" s="891"/>
      <c r="CE295" s="891"/>
      <c r="CF295" s="891"/>
      <c r="CG295" s="890">
        <v>4.0599999999999996</v>
      </c>
      <c r="CH295" s="890">
        <v>2.8359999999999999</v>
      </c>
      <c r="CI295" s="890">
        <v>2.4389999999999998E-2</v>
      </c>
      <c r="CJ295" s="873"/>
      <c r="CK295" s="1021"/>
    </row>
    <row r="296" spans="1:89" ht="45" customHeight="1" x14ac:dyDescent="0.2">
      <c r="A296" s="893">
        <f t="shared" si="14"/>
        <v>84.852813742385706</v>
      </c>
      <c r="B296" s="883" t="s">
        <v>2915</v>
      </c>
      <c r="C296" s="883"/>
      <c r="D296" s="883" t="s">
        <v>848</v>
      </c>
      <c r="E296" s="883" t="s">
        <v>4225</v>
      </c>
      <c r="F296" s="883"/>
      <c r="G296" s="885"/>
      <c r="H296" s="870" t="s">
        <v>2919</v>
      </c>
      <c r="I296" s="886" t="s">
        <v>2921</v>
      </c>
      <c r="J296" s="883" t="s">
        <v>114</v>
      </c>
      <c r="K296" s="883">
        <v>9091</v>
      </c>
      <c r="L296" s="870">
        <v>328.3</v>
      </c>
      <c r="M296" s="870">
        <v>137.4</v>
      </c>
      <c r="N296" s="883">
        <v>16</v>
      </c>
      <c r="O296" s="870" t="s">
        <v>83</v>
      </c>
      <c r="P296" s="870"/>
      <c r="Q296" s="870"/>
      <c r="R296" s="870"/>
      <c r="S296" s="870"/>
      <c r="T296" s="870"/>
      <c r="U296" s="870"/>
      <c r="V296" s="870"/>
      <c r="W296" s="870"/>
      <c r="X296" s="870"/>
      <c r="Y296" s="870"/>
      <c r="Z296" s="870"/>
      <c r="AA296" s="870"/>
      <c r="AB296" s="870" t="s">
        <v>2916</v>
      </c>
      <c r="AC296" s="883" t="s">
        <v>710</v>
      </c>
      <c r="AD296" s="883" t="s">
        <v>83</v>
      </c>
      <c r="AE296" s="883" t="s">
        <v>1668</v>
      </c>
      <c r="AF296" s="883" t="s">
        <v>2917</v>
      </c>
      <c r="AG296" s="883" t="s">
        <v>2918</v>
      </c>
      <c r="AH296" s="883" t="s">
        <v>122</v>
      </c>
      <c r="AI296" s="883" t="s">
        <v>122</v>
      </c>
      <c r="AJ296" s="883" t="s">
        <v>234</v>
      </c>
      <c r="AK296" s="870" t="s">
        <v>373</v>
      </c>
      <c r="AL296" s="883"/>
      <c r="AM296" s="883"/>
      <c r="AN296" s="883" t="s">
        <v>1784</v>
      </c>
      <c r="AO296" s="883">
        <v>0.375</v>
      </c>
      <c r="AP296" s="883" t="s">
        <v>83</v>
      </c>
      <c r="AQ296" s="883"/>
      <c r="AR296" s="887">
        <v>26</v>
      </c>
      <c r="AS296" s="903">
        <v>7.59</v>
      </c>
      <c r="AT296" s="918">
        <v>6.95</v>
      </c>
      <c r="AU296" s="903">
        <v>16.7</v>
      </c>
      <c r="AV296" s="903"/>
      <c r="AW296" s="903"/>
      <c r="AX296" s="889">
        <v>2004</v>
      </c>
      <c r="AY296" s="883" t="s">
        <v>1790</v>
      </c>
      <c r="AZ296" s="870">
        <v>60</v>
      </c>
      <c r="BA296" s="870">
        <v>13645500</v>
      </c>
      <c r="BB296" s="883" t="s">
        <v>2920</v>
      </c>
      <c r="BC296" s="883">
        <v>13645700</v>
      </c>
      <c r="BD296" s="870">
        <v>13645600</v>
      </c>
      <c r="BE296" s="870"/>
      <c r="BF296" s="870"/>
      <c r="BG296" s="870"/>
      <c r="BH296" s="891" t="s">
        <v>2922</v>
      </c>
      <c r="BI296" s="890"/>
      <c r="BJ296" s="892">
        <v>4600</v>
      </c>
      <c r="BK296" s="892">
        <v>9450</v>
      </c>
      <c r="BL296" s="892">
        <v>14050</v>
      </c>
      <c r="BM296" s="892">
        <v>47.6</v>
      </c>
      <c r="BN296" s="892">
        <v>158</v>
      </c>
      <c r="BO296" s="890">
        <v>347.5</v>
      </c>
      <c r="BP296" s="892">
        <f>1/2*9.8*(BJ296/2.2+BL296/2.2*BM296/BN296*1)*1*BO296/1000</f>
        <v>6836.3746979286534</v>
      </c>
      <c r="BQ296" s="890" t="s">
        <v>83</v>
      </c>
      <c r="BR296" s="893">
        <v>50</v>
      </c>
      <c r="BS296" s="893"/>
      <c r="BT296" s="969">
        <v>136.79</v>
      </c>
      <c r="BU296" s="975"/>
      <c r="BV296" s="975"/>
      <c r="BW296" s="975"/>
      <c r="BX296" s="890"/>
      <c r="BY296" s="891"/>
      <c r="BZ296" s="909"/>
      <c r="CA296" s="890"/>
      <c r="CB296" s="890"/>
      <c r="CC296" s="893"/>
      <c r="CD296" s="893"/>
      <c r="CE296" s="890"/>
      <c r="CF296" s="890"/>
      <c r="CG296" s="890"/>
      <c r="CH296" s="890"/>
      <c r="CI296" s="890"/>
      <c r="CJ296" s="873"/>
      <c r="CK296" s="955"/>
    </row>
    <row r="297" spans="1:89" ht="45" customHeight="1" x14ac:dyDescent="0.2">
      <c r="A297" s="893">
        <f t="shared" si="14"/>
        <v>84.852813742385706</v>
      </c>
      <c r="B297" s="883" t="s">
        <v>1223</v>
      </c>
      <c r="C297" s="883"/>
      <c r="D297" s="883" t="s">
        <v>848</v>
      </c>
      <c r="E297" s="883" t="s">
        <v>4225</v>
      </c>
      <c r="F297" s="883"/>
      <c r="G297" s="913" t="s">
        <v>1738</v>
      </c>
      <c r="H297" s="870" t="s">
        <v>1950</v>
      </c>
      <c r="I297" s="886" t="s">
        <v>1714</v>
      </c>
      <c r="J297" s="883" t="s">
        <v>114</v>
      </c>
      <c r="K297" s="883">
        <v>7700</v>
      </c>
      <c r="L297" s="870">
        <v>369</v>
      </c>
      <c r="M297" s="870">
        <v>153</v>
      </c>
      <c r="N297" s="883" t="s">
        <v>1224</v>
      </c>
      <c r="O297" s="870" t="s">
        <v>1125</v>
      </c>
      <c r="P297" s="870"/>
      <c r="Q297" s="870"/>
      <c r="R297" s="870"/>
      <c r="S297" s="870"/>
      <c r="T297" s="870"/>
      <c r="U297" s="870"/>
      <c r="V297" s="870"/>
      <c r="W297" s="870"/>
      <c r="X297" s="870"/>
      <c r="Y297" s="870"/>
      <c r="Z297" s="870"/>
      <c r="AA297" s="870"/>
      <c r="AB297" s="870" t="s">
        <v>1225</v>
      </c>
      <c r="AC297" s="883" t="s">
        <v>710</v>
      </c>
      <c r="AD297" s="883" t="s">
        <v>371</v>
      </c>
      <c r="AE297" s="883" t="s">
        <v>120</v>
      </c>
      <c r="AF297" s="883">
        <v>89.8</v>
      </c>
      <c r="AG297" s="883" t="s">
        <v>1226</v>
      </c>
      <c r="AH297" s="883" t="s">
        <v>122</v>
      </c>
      <c r="AI297" s="883" t="s">
        <v>122</v>
      </c>
      <c r="AJ297" s="883" t="s">
        <v>234</v>
      </c>
      <c r="AK297" s="870" t="s">
        <v>1227</v>
      </c>
      <c r="AL297" s="883"/>
      <c r="AM297" s="883"/>
      <c r="AN297" s="883" t="s">
        <v>1784</v>
      </c>
      <c r="AO297" s="883">
        <v>0.49</v>
      </c>
      <c r="AP297" s="883"/>
      <c r="AQ297" s="883"/>
      <c r="AR297" s="887">
        <v>32.4</v>
      </c>
      <c r="AS297" s="903">
        <v>10.5</v>
      </c>
      <c r="AT297" s="918">
        <v>9.8000000000000007</v>
      </c>
      <c r="AU297" s="903">
        <v>19.3</v>
      </c>
      <c r="AV297" s="903">
        <v>17.5</v>
      </c>
      <c r="AW297" s="904">
        <f t="shared" ref="AW297:AW303" si="15">(100*PI()*(A297^2))/(40*AO297*AV297*453.5924)</f>
        <v>14.538596378294603</v>
      </c>
      <c r="AX297" s="889">
        <v>37257</v>
      </c>
      <c r="AY297" s="883" t="s">
        <v>1659</v>
      </c>
      <c r="AZ297" s="870">
        <v>40.1</v>
      </c>
      <c r="BA297" s="870" t="s">
        <v>1083</v>
      </c>
      <c r="BB297" s="883" t="s">
        <v>1951</v>
      </c>
      <c r="BC297" s="883">
        <v>130307</v>
      </c>
      <c r="BD297" s="870">
        <v>130306</v>
      </c>
      <c r="BE297" s="870"/>
      <c r="BF297" s="870"/>
      <c r="BG297" s="870"/>
      <c r="BH297" s="891" t="s">
        <v>1952</v>
      </c>
      <c r="BI297" s="914">
        <v>37309</v>
      </c>
      <c r="BJ297" s="892"/>
      <c r="BK297" s="892"/>
      <c r="BL297" s="907">
        <f t="shared" ref="BL297:BL303" si="16">BJ297+BK297</f>
        <v>0</v>
      </c>
      <c r="BM297" s="892"/>
      <c r="BN297" s="892"/>
      <c r="BO297" s="890">
        <v>377.95</v>
      </c>
      <c r="BP297" s="892" t="e">
        <f t="shared" ref="BP297:BP303" si="17">IF(G297="Front",0.5*9.81*0.4535924*(BJ297+BL297*(BM297/BN297)*1.1)*1.1*(BO297/1000),IF(G297="Rear",0.5*9.81*0.4535924*(BK297+BL297*(BM297/BN297)*0.9)*0.9*(BO297/1000),"TBD"))</f>
        <v>#DIV/0!</v>
      </c>
      <c r="BQ297" s="890">
        <v>0.35</v>
      </c>
      <c r="BR297" s="893"/>
      <c r="BS297" s="893"/>
      <c r="BT297" s="969"/>
      <c r="BU297" s="892">
        <f t="shared" ref="BU297:BU303" si="18">(2.4525*(BL297*0.4535924)*(0.8*(1000/3600)*BT297)*(BR297/100))/(AF297*2)</f>
        <v>0</v>
      </c>
      <c r="BV297" s="892" t="e">
        <f t="shared" ref="BV297:BV303" si="19">(BP297/(M297/1000))/(2*AF297)</f>
        <v>#DIV/0!</v>
      </c>
      <c r="BW297" s="892" t="e">
        <f t="shared" ref="BW297:BW303" si="20">(1.4*BP297/(M297/1000))/(2*AF297)</f>
        <v>#DIV/0!</v>
      </c>
      <c r="BX297" s="893">
        <f t="shared" ref="BX297:BX303" si="21">0.5*(BL297/32.2)*((BO297*0.00328084)^2)*(BS297/100)</f>
        <v>0</v>
      </c>
      <c r="BY297" s="891">
        <v>38</v>
      </c>
      <c r="BZ297" s="909">
        <f>BX297/(L297*BY297)</f>
        <v>0</v>
      </c>
      <c r="CA297" s="891"/>
      <c r="CB297" s="891"/>
      <c r="CC297" s="893">
        <f>BU297*(2*AF297)/(2*1600)</f>
        <v>0</v>
      </c>
      <c r="CD297" s="893" t="e">
        <f>BV297*(2*AF297)/(2*250)</f>
        <v>#DIV/0!</v>
      </c>
      <c r="CE297" s="890" t="e">
        <f>IF((CD297-CC297)&gt;0, "Shear","Power")</f>
        <v>#DIV/0!</v>
      </c>
      <c r="CF297" s="915" t="e">
        <f>(AF297/MAX(CC297,CD297))-1</f>
        <v>#DIV/0!</v>
      </c>
      <c r="CG297" s="890"/>
      <c r="CH297" s="890"/>
      <c r="CI297" s="890"/>
      <c r="CJ297" s="873"/>
      <c r="CK297" s="955"/>
    </row>
    <row r="298" spans="1:89" ht="45" customHeight="1" x14ac:dyDescent="0.2">
      <c r="A298" s="893">
        <f t="shared" si="14"/>
        <v>84.852813742385706</v>
      </c>
      <c r="B298" s="883" t="s">
        <v>1013</v>
      </c>
      <c r="C298" s="883"/>
      <c r="D298" s="883" t="s">
        <v>848</v>
      </c>
      <c r="E298" s="883" t="s">
        <v>4225</v>
      </c>
      <c r="F298" s="883"/>
      <c r="G298" s="913" t="s">
        <v>1797</v>
      </c>
      <c r="H298" s="870" t="s">
        <v>1953</v>
      </c>
      <c r="I298" s="886" t="s">
        <v>1714</v>
      </c>
      <c r="J298" s="883" t="s">
        <v>114</v>
      </c>
      <c r="K298" s="883">
        <v>7700</v>
      </c>
      <c r="L298" s="870">
        <v>395</v>
      </c>
      <c r="M298" s="870">
        <v>166</v>
      </c>
      <c r="N298" s="883" t="s">
        <v>1224</v>
      </c>
      <c r="O298" s="870" t="s">
        <v>1125</v>
      </c>
      <c r="P298" s="870"/>
      <c r="Q298" s="870"/>
      <c r="R298" s="870"/>
      <c r="S298" s="870"/>
      <c r="T298" s="870"/>
      <c r="U298" s="870"/>
      <c r="V298" s="870"/>
      <c r="W298" s="870"/>
      <c r="X298" s="870"/>
      <c r="Y298" s="870"/>
      <c r="Z298" s="870"/>
      <c r="AA298" s="870"/>
      <c r="AB298" s="870" t="s">
        <v>1225</v>
      </c>
      <c r="AC298" s="883" t="s">
        <v>710</v>
      </c>
      <c r="AD298" s="883" t="s">
        <v>371</v>
      </c>
      <c r="AE298" s="883" t="s">
        <v>120</v>
      </c>
      <c r="AF298" s="883">
        <v>89.8</v>
      </c>
      <c r="AG298" s="883" t="s">
        <v>1226</v>
      </c>
      <c r="AH298" s="883" t="s">
        <v>122</v>
      </c>
      <c r="AI298" s="883" t="s">
        <v>122</v>
      </c>
      <c r="AJ298" s="883" t="s">
        <v>234</v>
      </c>
      <c r="AK298" s="870" t="s">
        <v>1227</v>
      </c>
      <c r="AL298" s="883"/>
      <c r="AM298" s="883"/>
      <c r="AN298" s="883" t="s">
        <v>1784</v>
      </c>
      <c r="AO298" s="883">
        <v>0.49</v>
      </c>
      <c r="AP298" s="883"/>
      <c r="AQ298" s="883"/>
      <c r="AR298" s="887">
        <v>32.4</v>
      </c>
      <c r="AS298" s="903">
        <v>10.5</v>
      </c>
      <c r="AT298" s="918">
        <v>9.8000000000000007</v>
      </c>
      <c r="AU298" s="903">
        <v>19.3</v>
      </c>
      <c r="AV298" s="903">
        <v>17.5</v>
      </c>
      <c r="AW298" s="904">
        <f t="shared" si="15"/>
        <v>14.538596378294603</v>
      </c>
      <c r="AX298" s="889">
        <v>37257</v>
      </c>
      <c r="AY298" s="883" t="s">
        <v>1659</v>
      </c>
      <c r="AZ298" s="870"/>
      <c r="BA298" s="870" t="s">
        <v>1083</v>
      </c>
      <c r="BB298" s="883" t="s">
        <v>1951</v>
      </c>
      <c r="BC298" s="883">
        <v>130307</v>
      </c>
      <c r="BD298" s="870">
        <v>130306</v>
      </c>
      <c r="BE298" s="870"/>
      <c r="BF298" s="870"/>
      <c r="BG298" s="870"/>
      <c r="BH298" s="891" t="s">
        <v>1954</v>
      </c>
      <c r="BI298" s="914"/>
      <c r="BJ298" s="892"/>
      <c r="BK298" s="892"/>
      <c r="BL298" s="907">
        <f t="shared" si="16"/>
        <v>0</v>
      </c>
      <c r="BM298" s="892"/>
      <c r="BN298" s="892"/>
      <c r="BO298" s="890">
        <v>377.95</v>
      </c>
      <c r="BP298" s="892" t="e">
        <f t="shared" si="17"/>
        <v>#DIV/0!</v>
      </c>
      <c r="BQ298" s="890">
        <v>0.35</v>
      </c>
      <c r="BR298" s="893"/>
      <c r="BS298" s="893"/>
      <c r="BT298" s="969"/>
      <c r="BU298" s="892">
        <f t="shared" si="18"/>
        <v>0</v>
      </c>
      <c r="BV298" s="892" t="e">
        <f t="shared" si="19"/>
        <v>#DIV/0!</v>
      </c>
      <c r="BW298" s="892" t="e">
        <f t="shared" si="20"/>
        <v>#DIV/0!</v>
      </c>
      <c r="BX298" s="893">
        <f t="shared" si="21"/>
        <v>0</v>
      </c>
      <c r="BY298" s="891">
        <v>38</v>
      </c>
      <c r="BZ298" s="909">
        <f>BX298/(L298*BY298)</f>
        <v>0</v>
      </c>
      <c r="CA298" s="891">
        <v>340</v>
      </c>
      <c r="CB298" s="891"/>
      <c r="CC298" s="893">
        <f>BU298*(2*AF298)/(2*1600)</f>
        <v>0</v>
      </c>
      <c r="CD298" s="893" t="e">
        <f>BV298*(2*AF298)/(2*250)</f>
        <v>#DIV/0!</v>
      </c>
      <c r="CE298" s="890" t="e">
        <f>IF((CD298-CC298)&gt;0, "Shear","Power")</f>
        <v>#DIV/0!</v>
      </c>
      <c r="CF298" s="915" t="e">
        <f>(AF298/MAX(CC298,CD298))-1</f>
        <v>#DIV/0!</v>
      </c>
      <c r="CG298" s="890"/>
      <c r="CH298" s="890"/>
      <c r="CI298" s="890"/>
      <c r="CJ298" s="873"/>
      <c r="CK298" s="955"/>
    </row>
    <row r="299" spans="1:89" ht="45" customHeight="1" x14ac:dyDescent="0.2">
      <c r="A299" s="893">
        <f t="shared" si="14"/>
        <v>84.852813742385706</v>
      </c>
      <c r="B299" s="883" t="s">
        <v>514</v>
      </c>
      <c r="C299" s="883"/>
      <c r="D299" s="883" t="s">
        <v>638</v>
      </c>
      <c r="E299" s="883" t="s">
        <v>4225</v>
      </c>
      <c r="F299" s="883"/>
      <c r="G299" s="913" t="s">
        <v>1738</v>
      </c>
      <c r="H299" s="870" t="s">
        <v>1055</v>
      </c>
      <c r="I299" s="886" t="s">
        <v>1133</v>
      </c>
      <c r="J299" s="883" t="s">
        <v>114</v>
      </c>
      <c r="K299" s="883" t="s">
        <v>515</v>
      </c>
      <c r="L299" s="870">
        <v>381</v>
      </c>
      <c r="M299" s="883">
        <v>157.6</v>
      </c>
      <c r="N299" s="883" t="s">
        <v>1224</v>
      </c>
      <c r="O299" s="870" t="s">
        <v>973</v>
      </c>
      <c r="P299" s="870"/>
      <c r="Q299" s="870"/>
      <c r="R299" s="870"/>
      <c r="S299" s="870"/>
      <c r="T299" s="870"/>
      <c r="U299" s="870"/>
      <c r="V299" s="870"/>
      <c r="W299" s="870"/>
      <c r="X299" s="870"/>
      <c r="Y299" s="870"/>
      <c r="Z299" s="870"/>
      <c r="AA299" s="870"/>
      <c r="AB299" s="870" t="s">
        <v>974</v>
      </c>
      <c r="AC299" s="883" t="s">
        <v>710</v>
      </c>
      <c r="AD299" s="883" t="s">
        <v>25</v>
      </c>
      <c r="AE299" s="883" t="s">
        <v>120</v>
      </c>
      <c r="AF299" s="870">
        <v>124.1</v>
      </c>
      <c r="AG299" s="870">
        <v>144.4</v>
      </c>
      <c r="AH299" s="883" t="s">
        <v>80</v>
      </c>
      <c r="AI299" s="883" t="s">
        <v>80</v>
      </c>
      <c r="AJ299" s="883" t="s">
        <v>2871</v>
      </c>
      <c r="AK299" s="870" t="s">
        <v>975</v>
      </c>
      <c r="AL299" s="883"/>
      <c r="AM299" s="883"/>
      <c r="AN299" s="883" t="s">
        <v>1784</v>
      </c>
      <c r="AO299" s="883">
        <v>0.26</v>
      </c>
      <c r="AP299" s="883">
        <v>0.24</v>
      </c>
      <c r="AQ299" s="883"/>
      <c r="AR299" s="887">
        <v>46.6</v>
      </c>
      <c r="AS299" s="903">
        <v>16.3</v>
      </c>
      <c r="AT299" s="918">
        <v>14.6</v>
      </c>
      <c r="AU299" s="903">
        <v>26.3</v>
      </c>
      <c r="AV299" s="903">
        <v>24.3</v>
      </c>
      <c r="AW299" s="904">
        <f t="shared" si="15"/>
        <v>19.732267164272905</v>
      </c>
      <c r="AX299" s="889">
        <v>37226</v>
      </c>
      <c r="AY299" s="883" t="s">
        <v>1659</v>
      </c>
      <c r="AZ299" s="870">
        <v>7</v>
      </c>
      <c r="BA299" s="870" t="s">
        <v>516</v>
      </c>
      <c r="BB299" s="883" t="s">
        <v>517</v>
      </c>
      <c r="BC299" s="883">
        <v>13674301</v>
      </c>
      <c r="BD299" s="870">
        <v>13674401</v>
      </c>
      <c r="BE299" s="870"/>
      <c r="BF299" s="870"/>
      <c r="BG299" s="870"/>
      <c r="BH299" s="891" t="s">
        <v>518</v>
      </c>
      <c r="BI299" s="914">
        <v>37704</v>
      </c>
      <c r="BJ299" s="892">
        <v>6000</v>
      </c>
      <c r="BK299" s="892">
        <v>13500</v>
      </c>
      <c r="BL299" s="892">
        <f t="shared" si="16"/>
        <v>19500</v>
      </c>
      <c r="BM299" s="892">
        <v>1219</v>
      </c>
      <c r="BN299" s="892">
        <v>4521</v>
      </c>
      <c r="BO299" s="944">
        <v>393.7</v>
      </c>
      <c r="BP299" s="892">
        <f t="shared" si="17"/>
        <v>11353.767898392613</v>
      </c>
      <c r="BQ299" s="944">
        <v>0.34</v>
      </c>
      <c r="BR299" s="893">
        <v>45.3</v>
      </c>
      <c r="BS299" s="893">
        <v>45.3</v>
      </c>
      <c r="BT299" s="969">
        <v>161</v>
      </c>
      <c r="BU299" s="892">
        <f t="shared" si="18"/>
        <v>1416.5084963598831</v>
      </c>
      <c r="BV299" s="892">
        <f t="shared" si="19"/>
        <v>290.25654505312906</v>
      </c>
      <c r="BW299" s="892">
        <f t="shared" si="20"/>
        <v>406.35916307438072</v>
      </c>
      <c r="BX299" s="893">
        <f t="shared" si="21"/>
        <v>228.84839876896757</v>
      </c>
      <c r="BY299" s="891">
        <v>39</v>
      </c>
      <c r="BZ299" s="909">
        <f>BX299/(L299*BY299)</f>
        <v>1.5401332442894378E-2</v>
      </c>
      <c r="CA299" s="891"/>
      <c r="CB299" s="891"/>
      <c r="CC299" s="893">
        <f>BU299*(2*AF299)/(2*1600)</f>
        <v>109.86794024891344</v>
      </c>
      <c r="CD299" s="893">
        <f>BV299*(2*AF299)/(2*250)</f>
        <v>144.08334896437327</v>
      </c>
      <c r="CE299" s="890" t="str">
        <f>IF((CD299-CC299)&gt;0, "Shear","Power")</f>
        <v>Shear</v>
      </c>
      <c r="CF299" s="915">
        <f>(AF299/MAX(CC299,CD299))-1</f>
        <v>-0.13869297950115289</v>
      </c>
      <c r="CG299" s="890"/>
      <c r="CH299" s="890"/>
      <c r="CI299" s="890"/>
      <c r="CJ299" s="873"/>
      <c r="CK299" s="870"/>
    </row>
    <row r="300" spans="1:89" ht="30.75" customHeight="1" x14ac:dyDescent="0.2">
      <c r="A300" s="893">
        <f t="shared" si="14"/>
        <v>84.852813742385706</v>
      </c>
      <c r="B300" s="883" t="s">
        <v>519</v>
      </c>
      <c r="C300" s="883"/>
      <c r="D300" s="883" t="s">
        <v>638</v>
      </c>
      <c r="E300" s="883" t="s">
        <v>4225</v>
      </c>
      <c r="F300" s="883"/>
      <c r="G300" s="913" t="s">
        <v>1797</v>
      </c>
      <c r="H300" s="870" t="s">
        <v>1055</v>
      </c>
      <c r="I300" s="886" t="s">
        <v>1133</v>
      </c>
      <c r="J300" s="883" t="s">
        <v>114</v>
      </c>
      <c r="K300" s="883" t="s">
        <v>520</v>
      </c>
      <c r="L300" s="870">
        <v>381</v>
      </c>
      <c r="M300" s="883">
        <v>157.6</v>
      </c>
      <c r="N300" s="883" t="s">
        <v>1224</v>
      </c>
      <c r="O300" s="870" t="s">
        <v>973</v>
      </c>
      <c r="P300" s="870"/>
      <c r="Q300" s="870"/>
      <c r="R300" s="870"/>
      <c r="S300" s="870"/>
      <c r="T300" s="870"/>
      <c r="U300" s="870"/>
      <c r="V300" s="870"/>
      <c r="W300" s="870"/>
      <c r="X300" s="870"/>
      <c r="Y300" s="870"/>
      <c r="Z300" s="870"/>
      <c r="AA300" s="870"/>
      <c r="AB300" s="870" t="s">
        <v>974</v>
      </c>
      <c r="AC300" s="883" t="s">
        <v>710</v>
      </c>
      <c r="AD300" s="883" t="s">
        <v>25</v>
      </c>
      <c r="AE300" s="883" t="s">
        <v>120</v>
      </c>
      <c r="AF300" s="870">
        <v>124.1</v>
      </c>
      <c r="AG300" s="870">
        <v>144.4</v>
      </c>
      <c r="AH300" s="883" t="s">
        <v>80</v>
      </c>
      <c r="AI300" s="883" t="s">
        <v>80</v>
      </c>
      <c r="AJ300" s="883" t="s">
        <v>2871</v>
      </c>
      <c r="AK300" s="870" t="s">
        <v>975</v>
      </c>
      <c r="AL300" s="883" t="s">
        <v>1784</v>
      </c>
      <c r="AM300" s="883"/>
      <c r="AN300" s="883"/>
      <c r="AO300" s="883">
        <v>0.26</v>
      </c>
      <c r="AP300" s="883">
        <v>0.24</v>
      </c>
      <c r="AQ300" s="883"/>
      <c r="AR300" s="887">
        <v>52.8</v>
      </c>
      <c r="AS300" s="903">
        <v>22.3</v>
      </c>
      <c r="AT300" s="918">
        <v>20.8</v>
      </c>
      <c r="AU300" s="903">
        <v>26.3</v>
      </c>
      <c r="AV300" s="903">
        <v>24.3</v>
      </c>
      <c r="AW300" s="904">
        <f t="shared" si="15"/>
        <v>19.732267164272905</v>
      </c>
      <c r="AX300" s="889">
        <v>37226</v>
      </c>
      <c r="AY300" s="883" t="s">
        <v>1659</v>
      </c>
      <c r="AZ300" s="870">
        <v>48</v>
      </c>
      <c r="BA300" s="870" t="s">
        <v>521</v>
      </c>
      <c r="BB300" s="883" t="s">
        <v>522</v>
      </c>
      <c r="BC300" s="883">
        <v>13674301</v>
      </c>
      <c r="BD300" s="870">
        <v>13674401</v>
      </c>
      <c r="BE300" s="870"/>
      <c r="BF300" s="870"/>
      <c r="BG300" s="870"/>
      <c r="BH300" s="891" t="s">
        <v>1778</v>
      </c>
      <c r="BI300" s="914">
        <v>37704</v>
      </c>
      <c r="BJ300" s="892">
        <v>6000</v>
      </c>
      <c r="BK300" s="892">
        <v>13500</v>
      </c>
      <c r="BL300" s="892">
        <f t="shared" si="16"/>
        <v>19500</v>
      </c>
      <c r="BM300" s="892">
        <v>1219</v>
      </c>
      <c r="BN300" s="892">
        <v>4521</v>
      </c>
      <c r="BO300" s="944">
        <v>393.7</v>
      </c>
      <c r="BP300" s="892">
        <f t="shared" si="17"/>
        <v>14373.000092492965</v>
      </c>
      <c r="BQ300" s="944">
        <v>0.34</v>
      </c>
      <c r="BR300" s="893">
        <v>45.3</v>
      </c>
      <c r="BS300" s="893">
        <v>45.3</v>
      </c>
      <c r="BT300" s="969">
        <v>161</v>
      </c>
      <c r="BU300" s="892">
        <f t="shared" si="18"/>
        <v>1416.5084963598831</v>
      </c>
      <c r="BV300" s="892">
        <f t="shared" si="19"/>
        <v>367.44254297165395</v>
      </c>
      <c r="BW300" s="892">
        <f t="shared" si="20"/>
        <v>514.41956016031543</v>
      </c>
      <c r="BX300" s="893">
        <f t="shared" si="21"/>
        <v>228.84839876896757</v>
      </c>
      <c r="BY300" s="891">
        <v>39</v>
      </c>
      <c r="BZ300" s="909">
        <f>BX300/(L300*BY300)</f>
        <v>1.5401332442894378E-2</v>
      </c>
      <c r="CA300" s="891"/>
      <c r="CB300" s="891"/>
      <c r="CC300" s="893">
        <f>BU300*(2*AF300)/(2*1600)</f>
        <v>109.86794024891344</v>
      </c>
      <c r="CD300" s="893">
        <f>BV300*(2*AF300)/(2*250)</f>
        <v>182.39847833112901</v>
      </c>
      <c r="CE300" s="890" t="str">
        <f>IF((CD300-CC300)&gt;0, "Shear","Power")</f>
        <v>Shear</v>
      </c>
      <c r="CF300" s="915">
        <f>(AF300/MAX(CC300,CD300))-1</f>
        <v>-0.31962151693663288</v>
      </c>
      <c r="CG300" s="890"/>
      <c r="CH300" s="890"/>
      <c r="CI300" s="890"/>
      <c r="CJ300" s="873"/>
      <c r="CK300" s="955"/>
    </row>
    <row r="301" spans="1:89" ht="25.5" x14ac:dyDescent="0.2">
      <c r="A301" s="893">
        <f t="shared" si="14"/>
        <v>84.852813742385706</v>
      </c>
      <c r="B301" s="883" t="s">
        <v>1211</v>
      </c>
      <c r="C301" s="883"/>
      <c r="D301" s="883" t="s">
        <v>848</v>
      </c>
      <c r="E301" s="883" t="s">
        <v>4225</v>
      </c>
      <c r="F301" s="883"/>
      <c r="G301" s="901" t="s">
        <v>1797</v>
      </c>
      <c r="H301" s="1020" t="s">
        <v>1218</v>
      </c>
      <c r="I301" s="902" t="s">
        <v>1133</v>
      </c>
      <c r="J301" s="883" t="s">
        <v>114</v>
      </c>
      <c r="K301" s="883" t="s">
        <v>1212</v>
      </c>
      <c r="L301" s="883">
        <v>327.7</v>
      </c>
      <c r="M301" s="883">
        <v>137</v>
      </c>
      <c r="N301" s="883" t="s">
        <v>1361</v>
      </c>
      <c r="O301" s="870" t="s">
        <v>1125</v>
      </c>
      <c r="P301" s="870"/>
      <c r="Q301" s="870"/>
      <c r="R301" s="870"/>
      <c r="S301" s="870"/>
      <c r="T301" s="870"/>
      <c r="U301" s="870"/>
      <c r="V301" s="870"/>
      <c r="W301" s="870"/>
      <c r="X301" s="870"/>
      <c r="Y301" s="870"/>
      <c r="Z301" s="870"/>
      <c r="AA301" s="870"/>
      <c r="AB301" s="870" t="s">
        <v>1213</v>
      </c>
      <c r="AC301" s="870" t="s">
        <v>710</v>
      </c>
      <c r="AD301" s="870" t="s">
        <v>1214</v>
      </c>
      <c r="AE301" s="883" t="s">
        <v>120</v>
      </c>
      <c r="AF301" s="883">
        <v>106</v>
      </c>
      <c r="AG301" s="883">
        <v>134</v>
      </c>
      <c r="AH301" s="883" t="s">
        <v>122</v>
      </c>
      <c r="AI301" s="883" t="s">
        <v>122</v>
      </c>
      <c r="AJ301" s="870" t="s">
        <v>234</v>
      </c>
      <c r="AK301" s="870" t="s">
        <v>1215</v>
      </c>
      <c r="AL301" s="883" t="s">
        <v>1784</v>
      </c>
      <c r="AM301" s="883"/>
      <c r="AN301" s="883"/>
      <c r="AO301" s="883">
        <v>0.43</v>
      </c>
      <c r="AP301" s="883" t="s">
        <v>819</v>
      </c>
      <c r="AQ301" s="883"/>
      <c r="AR301" s="887">
        <v>21.8</v>
      </c>
      <c r="AS301" s="888" t="s">
        <v>1921</v>
      </c>
      <c r="AT301" s="887" t="s">
        <v>1921</v>
      </c>
      <c r="AU301" s="888">
        <v>16.899999999999999</v>
      </c>
      <c r="AV301" s="888">
        <v>14.67</v>
      </c>
      <c r="AW301" s="904">
        <f t="shared" si="15"/>
        <v>19.763235196632301</v>
      </c>
      <c r="AX301" s="889">
        <v>31990</v>
      </c>
      <c r="AY301" s="883" t="s">
        <v>1659</v>
      </c>
      <c r="AZ301" s="870">
        <v>40</v>
      </c>
      <c r="BA301" s="870" t="s">
        <v>1219</v>
      </c>
      <c r="BB301" s="870" t="s">
        <v>1220</v>
      </c>
      <c r="BC301" s="883">
        <v>120684</v>
      </c>
      <c r="BD301" s="870" t="s">
        <v>1221</v>
      </c>
      <c r="BE301" s="870"/>
      <c r="BF301" s="870"/>
      <c r="BG301" s="870"/>
      <c r="BH301" s="891" t="s">
        <v>1222</v>
      </c>
      <c r="BI301" s="906">
        <v>37741</v>
      </c>
      <c r="BJ301" s="907">
        <v>4600</v>
      </c>
      <c r="BK301" s="907">
        <v>9450</v>
      </c>
      <c r="BL301" s="907">
        <f t="shared" si="16"/>
        <v>14050</v>
      </c>
      <c r="BM301" s="907">
        <v>1209</v>
      </c>
      <c r="BN301" s="907">
        <v>4470.3999999999996</v>
      </c>
      <c r="BO301" s="891">
        <v>348</v>
      </c>
      <c r="BP301" s="892">
        <f t="shared" si="17"/>
        <v>8968.0456864801072</v>
      </c>
      <c r="BQ301" s="891">
        <v>0.35</v>
      </c>
      <c r="BR301" s="904">
        <v>52.8</v>
      </c>
      <c r="BS301" s="904">
        <v>52.8</v>
      </c>
      <c r="BT301" s="943">
        <v>136</v>
      </c>
      <c r="BU301" s="892">
        <f t="shared" si="18"/>
        <v>1176.4556662031096</v>
      </c>
      <c r="BV301" s="892">
        <f t="shared" si="19"/>
        <v>308.77446930450719</v>
      </c>
      <c r="BW301" s="892">
        <f t="shared" si="20"/>
        <v>432.28425702631</v>
      </c>
      <c r="BX301" s="893">
        <f t="shared" si="21"/>
        <v>150.15955402867871</v>
      </c>
      <c r="BY301" s="891">
        <v>38</v>
      </c>
      <c r="BZ301" s="909"/>
      <c r="CA301" s="891"/>
      <c r="CB301" s="891"/>
      <c r="CC301" s="893"/>
      <c r="CD301" s="893"/>
      <c r="CE301" s="890"/>
      <c r="CF301" s="915"/>
      <c r="CG301" s="890"/>
      <c r="CH301" s="890"/>
      <c r="CI301" s="890"/>
      <c r="CJ301" s="873"/>
      <c r="CK301" s="955"/>
    </row>
    <row r="302" spans="1:89" ht="38.25" x14ac:dyDescent="0.2">
      <c r="A302" s="973">
        <f t="shared" si="14"/>
        <v>84.852813742385706</v>
      </c>
      <c r="B302" s="883" t="s">
        <v>1223</v>
      </c>
      <c r="C302" s="883"/>
      <c r="D302" s="883" t="s">
        <v>848</v>
      </c>
      <c r="E302" s="883" t="s">
        <v>4225</v>
      </c>
      <c r="F302" s="883"/>
      <c r="G302" s="913" t="s">
        <v>1738</v>
      </c>
      <c r="H302" s="870" t="s">
        <v>1082</v>
      </c>
      <c r="I302" s="886" t="s">
        <v>1085</v>
      </c>
      <c r="J302" s="883" t="s">
        <v>114</v>
      </c>
      <c r="K302" s="883">
        <v>7700</v>
      </c>
      <c r="L302" s="870">
        <v>369</v>
      </c>
      <c r="M302" s="870">
        <v>153</v>
      </c>
      <c r="N302" s="883" t="s">
        <v>1224</v>
      </c>
      <c r="O302" s="870" t="s">
        <v>1125</v>
      </c>
      <c r="P302" s="870"/>
      <c r="Q302" s="870"/>
      <c r="R302" s="870"/>
      <c r="S302" s="870"/>
      <c r="T302" s="870"/>
      <c r="U302" s="870"/>
      <c r="V302" s="870"/>
      <c r="W302" s="870"/>
      <c r="X302" s="870"/>
      <c r="Y302" s="870"/>
      <c r="Z302" s="870"/>
      <c r="AA302" s="870"/>
      <c r="AB302" s="870" t="s">
        <v>1225</v>
      </c>
      <c r="AC302" s="883" t="s">
        <v>710</v>
      </c>
      <c r="AD302" s="883" t="s">
        <v>371</v>
      </c>
      <c r="AE302" s="883" t="s">
        <v>120</v>
      </c>
      <c r="AF302" s="883">
        <v>89.8</v>
      </c>
      <c r="AG302" s="883" t="s">
        <v>1226</v>
      </c>
      <c r="AH302" s="883" t="s">
        <v>122</v>
      </c>
      <c r="AI302" s="883" t="s">
        <v>122</v>
      </c>
      <c r="AJ302" s="883" t="s">
        <v>234</v>
      </c>
      <c r="AK302" s="870" t="s">
        <v>1227</v>
      </c>
      <c r="AL302" s="883"/>
      <c r="AM302" s="883"/>
      <c r="AN302" s="883" t="s">
        <v>1784</v>
      </c>
      <c r="AO302" s="883">
        <v>0.49</v>
      </c>
      <c r="AP302" s="883">
        <v>0.4</v>
      </c>
      <c r="AQ302" s="883"/>
      <c r="AR302" s="887">
        <v>32.4</v>
      </c>
      <c r="AS302" s="903">
        <v>10.5</v>
      </c>
      <c r="AT302" s="918">
        <v>9.8000000000000007</v>
      </c>
      <c r="AU302" s="903">
        <v>19.3</v>
      </c>
      <c r="AV302" s="903">
        <v>17.5</v>
      </c>
      <c r="AW302" s="904">
        <f t="shared" si="15"/>
        <v>14.538596378294603</v>
      </c>
      <c r="AX302" s="889" t="s">
        <v>1789</v>
      </c>
      <c r="AY302" s="883" t="s">
        <v>1659</v>
      </c>
      <c r="AZ302" s="870">
        <v>280</v>
      </c>
      <c r="BA302" s="870" t="s">
        <v>1083</v>
      </c>
      <c r="BB302" s="870" t="s">
        <v>1084</v>
      </c>
      <c r="BC302" s="883">
        <v>130307</v>
      </c>
      <c r="BD302" s="870">
        <v>130306</v>
      </c>
      <c r="BE302" s="870"/>
      <c r="BF302" s="870"/>
      <c r="BG302" s="870"/>
      <c r="BH302" s="891"/>
      <c r="BI302" s="914">
        <v>37537</v>
      </c>
      <c r="BJ302" s="892"/>
      <c r="BK302" s="892"/>
      <c r="BL302" s="907">
        <f t="shared" si="16"/>
        <v>0</v>
      </c>
      <c r="BM302" s="892"/>
      <c r="BN302" s="892"/>
      <c r="BO302" s="890">
        <v>377.95</v>
      </c>
      <c r="BP302" s="892" t="e">
        <f t="shared" si="17"/>
        <v>#DIV/0!</v>
      </c>
      <c r="BQ302" s="890">
        <v>0.35</v>
      </c>
      <c r="BR302" s="893"/>
      <c r="BS302" s="893"/>
      <c r="BT302" s="969"/>
      <c r="BU302" s="892">
        <f t="shared" si="18"/>
        <v>0</v>
      </c>
      <c r="BV302" s="892" t="e">
        <f t="shared" si="19"/>
        <v>#DIV/0!</v>
      </c>
      <c r="BW302" s="892" t="e">
        <f t="shared" si="20"/>
        <v>#DIV/0!</v>
      </c>
      <c r="BX302" s="893">
        <f t="shared" si="21"/>
        <v>0</v>
      </c>
      <c r="BY302" s="891">
        <v>38</v>
      </c>
      <c r="BZ302" s="909">
        <f>BX302/(L302*BY302)</f>
        <v>0</v>
      </c>
      <c r="CA302" s="891">
        <v>282</v>
      </c>
      <c r="CB302" s="891"/>
      <c r="CC302" s="893">
        <f>BU302*(2*AF302)/(2*1600)</f>
        <v>0</v>
      </c>
      <c r="CD302" s="893" t="e">
        <f>BV302*(2*AF302)/(2*250)</f>
        <v>#DIV/0!</v>
      </c>
      <c r="CE302" s="890" t="e">
        <f>IF((CD302-CC302)&gt;0, "Shear","Power")</f>
        <v>#DIV/0!</v>
      </c>
      <c r="CF302" s="915" t="e">
        <f>(AF302/MAX(CC302,CD302))-1</f>
        <v>#DIV/0!</v>
      </c>
      <c r="CG302" s="890"/>
      <c r="CH302" s="890"/>
      <c r="CI302" s="896"/>
      <c r="CJ302" s="873"/>
      <c r="CK302" s="876"/>
    </row>
    <row r="303" spans="1:89" ht="38.25" x14ac:dyDescent="0.2">
      <c r="A303" s="893">
        <f t="shared" si="14"/>
        <v>84.852813742385706</v>
      </c>
      <c r="B303" s="883" t="s">
        <v>1013</v>
      </c>
      <c r="C303" s="883"/>
      <c r="D303" s="883" t="s">
        <v>848</v>
      </c>
      <c r="E303" s="883" t="s">
        <v>4225</v>
      </c>
      <c r="F303" s="883"/>
      <c r="G303" s="913" t="s">
        <v>1797</v>
      </c>
      <c r="H303" s="870" t="s">
        <v>1014</v>
      </c>
      <c r="I303" s="886" t="s">
        <v>1085</v>
      </c>
      <c r="J303" s="883" t="s">
        <v>114</v>
      </c>
      <c r="K303" s="883">
        <v>7700</v>
      </c>
      <c r="L303" s="870">
        <v>395</v>
      </c>
      <c r="M303" s="870">
        <v>166</v>
      </c>
      <c r="N303" s="883" t="s">
        <v>1224</v>
      </c>
      <c r="O303" s="870" t="s">
        <v>1125</v>
      </c>
      <c r="P303" s="870"/>
      <c r="Q303" s="870"/>
      <c r="R303" s="870"/>
      <c r="S303" s="870"/>
      <c r="T303" s="870"/>
      <c r="U303" s="870"/>
      <c r="V303" s="870"/>
      <c r="W303" s="870"/>
      <c r="X303" s="870"/>
      <c r="Y303" s="870"/>
      <c r="Z303" s="870"/>
      <c r="AA303" s="870"/>
      <c r="AB303" s="870" t="s">
        <v>1225</v>
      </c>
      <c r="AC303" s="883" t="s">
        <v>710</v>
      </c>
      <c r="AD303" s="883" t="s">
        <v>371</v>
      </c>
      <c r="AE303" s="883" t="s">
        <v>120</v>
      </c>
      <c r="AF303" s="883">
        <v>89.8</v>
      </c>
      <c r="AG303" s="883" t="s">
        <v>1226</v>
      </c>
      <c r="AH303" s="883" t="s">
        <v>122</v>
      </c>
      <c r="AI303" s="883" t="s">
        <v>122</v>
      </c>
      <c r="AJ303" s="883" t="s">
        <v>234</v>
      </c>
      <c r="AK303" s="870" t="s">
        <v>1227</v>
      </c>
      <c r="AL303" s="883"/>
      <c r="AM303" s="883"/>
      <c r="AN303" s="883" t="s">
        <v>1784</v>
      </c>
      <c r="AO303" s="883">
        <v>0.49</v>
      </c>
      <c r="AP303" s="883">
        <v>0.4</v>
      </c>
      <c r="AQ303" s="883"/>
      <c r="AR303" s="887">
        <v>32.4</v>
      </c>
      <c r="AS303" s="903">
        <v>10.5</v>
      </c>
      <c r="AT303" s="918">
        <v>9.8000000000000007</v>
      </c>
      <c r="AU303" s="903">
        <v>19.3</v>
      </c>
      <c r="AV303" s="903">
        <v>17.5</v>
      </c>
      <c r="AW303" s="904">
        <f t="shared" si="15"/>
        <v>14.538596378294603</v>
      </c>
      <c r="AX303" s="889" t="s">
        <v>1789</v>
      </c>
      <c r="AY303" s="883" t="s">
        <v>1659</v>
      </c>
      <c r="AZ303" s="870">
        <v>280</v>
      </c>
      <c r="BA303" s="870" t="s">
        <v>1083</v>
      </c>
      <c r="BB303" s="870" t="s">
        <v>1084</v>
      </c>
      <c r="BC303" s="883">
        <v>130307</v>
      </c>
      <c r="BD303" s="870">
        <v>130306</v>
      </c>
      <c r="BE303" s="870"/>
      <c r="BF303" s="870"/>
      <c r="BG303" s="870"/>
      <c r="BH303" s="891"/>
      <c r="BI303" s="914">
        <v>37537</v>
      </c>
      <c r="BJ303" s="892"/>
      <c r="BK303" s="892"/>
      <c r="BL303" s="907">
        <f t="shared" si="16"/>
        <v>0</v>
      </c>
      <c r="BM303" s="892"/>
      <c r="BN303" s="892"/>
      <c r="BO303" s="890">
        <v>377.95</v>
      </c>
      <c r="BP303" s="892" t="e">
        <f t="shared" si="17"/>
        <v>#DIV/0!</v>
      </c>
      <c r="BQ303" s="890">
        <v>0.35</v>
      </c>
      <c r="BR303" s="893"/>
      <c r="BS303" s="893"/>
      <c r="BT303" s="969"/>
      <c r="BU303" s="892">
        <f t="shared" si="18"/>
        <v>0</v>
      </c>
      <c r="BV303" s="892" t="e">
        <f t="shared" si="19"/>
        <v>#DIV/0!</v>
      </c>
      <c r="BW303" s="892" t="e">
        <f t="shared" si="20"/>
        <v>#DIV/0!</v>
      </c>
      <c r="BX303" s="893">
        <f t="shared" si="21"/>
        <v>0</v>
      </c>
      <c r="BY303" s="891">
        <v>38</v>
      </c>
      <c r="BZ303" s="909">
        <f>BX303/(L303*BY303)</f>
        <v>0</v>
      </c>
      <c r="CA303" s="891">
        <v>285</v>
      </c>
      <c r="CB303" s="891"/>
      <c r="CC303" s="893">
        <f>BU303*(2*AF303)/(2*1600)</f>
        <v>0</v>
      </c>
      <c r="CD303" s="893" t="e">
        <f>BV303*(2*AF303)/(2*250)</f>
        <v>#DIV/0!</v>
      </c>
      <c r="CE303" s="890" t="e">
        <f>IF((CD303-CC303)&gt;0, "Shear","Power")</f>
        <v>#DIV/0!</v>
      </c>
      <c r="CF303" s="915" t="e">
        <f>(AF303/MAX(CC303,CD303))-1</f>
        <v>#DIV/0!</v>
      </c>
      <c r="CG303" s="890"/>
      <c r="CH303" s="890"/>
      <c r="CI303" s="890"/>
      <c r="CJ303" s="873"/>
      <c r="CK303" s="873"/>
    </row>
    <row r="304" spans="1:89" x14ac:dyDescent="0.2">
      <c r="A304" s="893">
        <f t="shared" si="14"/>
        <v>84.852813742385706</v>
      </c>
      <c r="B304" s="883" t="s">
        <v>2600</v>
      </c>
      <c r="C304" s="883"/>
      <c r="D304" s="883" t="s">
        <v>848</v>
      </c>
      <c r="E304" s="883" t="s">
        <v>4225</v>
      </c>
      <c r="F304" s="883"/>
      <c r="G304" s="885"/>
      <c r="H304" s="870" t="s">
        <v>2604</v>
      </c>
      <c r="I304" s="886" t="s">
        <v>1146</v>
      </c>
      <c r="J304" s="883" t="s">
        <v>114</v>
      </c>
      <c r="K304" s="883"/>
      <c r="L304" s="883">
        <v>327.7</v>
      </c>
      <c r="M304" s="883"/>
      <c r="N304" s="883" t="s">
        <v>1361</v>
      </c>
      <c r="O304" s="870" t="s">
        <v>1706</v>
      </c>
      <c r="P304" s="870"/>
      <c r="Q304" s="870"/>
      <c r="R304" s="870"/>
      <c r="S304" s="870"/>
      <c r="T304" s="870"/>
      <c r="U304" s="870"/>
      <c r="V304" s="870"/>
      <c r="W304" s="870"/>
      <c r="X304" s="870"/>
      <c r="Y304" s="870"/>
      <c r="Z304" s="870"/>
      <c r="AA304" s="870"/>
      <c r="AB304" s="870" t="s">
        <v>2601</v>
      </c>
      <c r="AC304" s="883" t="s">
        <v>710</v>
      </c>
      <c r="AD304" s="883"/>
      <c r="AE304" s="883" t="s">
        <v>120</v>
      </c>
      <c r="AF304" s="883" t="s">
        <v>2602</v>
      </c>
      <c r="AG304" s="883" t="s">
        <v>2603</v>
      </c>
      <c r="AH304" s="883"/>
      <c r="AI304" s="883"/>
      <c r="AJ304" s="883" t="s">
        <v>234</v>
      </c>
      <c r="AK304" s="870" t="s">
        <v>1620</v>
      </c>
      <c r="AL304" s="883" t="s">
        <v>1784</v>
      </c>
      <c r="AM304" s="883"/>
      <c r="AN304" s="883"/>
      <c r="AO304" s="883"/>
      <c r="AP304" s="883"/>
      <c r="AQ304" s="883"/>
      <c r="AR304" s="887">
        <v>21.8</v>
      </c>
      <c r="AS304" s="903"/>
      <c r="AT304" s="918" t="s">
        <v>157</v>
      </c>
      <c r="AU304" s="903"/>
      <c r="AV304" s="903"/>
      <c r="AW304" s="903"/>
      <c r="AX304" s="889" t="s">
        <v>1970</v>
      </c>
      <c r="AY304" s="883" t="s">
        <v>1659</v>
      </c>
      <c r="AZ304" s="870">
        <v>70</v>
      </c>
      <c r="BA304" s="870" t="s">
        <v>2605</v>
      </c>
      <c r="BB304" s="883" t="s">
        <v>2606</v>
      </c>
      <c r="BC304" s="883">
        <v>120684</v>
      </c>
      <c r="BD304" s="870" t="s">
        <v>1221</v>
      </c>
      <c r="BE304" s="870"/>
      <c r="BF304" s="870"/>
      <c r="BG304" s="870"/>
      <c r="BH304" s="891" t="s">
        <v>1222</v>
      </c>
      <c r="BI304" s="890"/>
      <c r="BJ304" s="892"/>
      <c r="BK304" s="892"/>
      <c r="BL304" s="892"/>
      <c r="BM304" s="892"/>
      <c r="BN304" s="892"/>
      <c r="BO304" s="890"/>
      <c r="BP304" s="892" t="e">
        <f>1/2*9.8*(BJ304/2.2+BL304/2.2*BM304/BN304*1)*1*BO304/1000</f>
        <v>#DIV/0!</v>
      </c>
      <c r="BQ304" s="890">
        <v>0.35</v>
      </c>
      <c r="BR304" s="893"/>
      <c r="BS304" s="893"/>
      <c r="BT304" s="969"/>
      <c r="BU304" s="975"/>
      <c r="BV304" s="975"/>
      <c r="BW304" s="975"/>
      <c r="BX304" s="890"/>
      <c r="BY304" s="890"/>
      <c r="BZ304" s="895"/>
      <c r="CA304" s="890"/>
      <c r="CB304" s="890"/>
      <c r="CC304" s="893"/>
      <c r="CD304" s="893"/>
      <c r="CE304" s="890"/>
      <c r="CF304" s="890"/>
      <c r="CG304" s="890"/>
      <c r="CH304" s="890"/>
      <c r="CI304" s="890"/>
      <c r="CJ304" s="873"/>
      <c r="CK304" s="955"/>
    </row>
    <row r="305" spans="1:89" ht="51" x14ac:dyDescent="0.2">
      <c r="A305" s="893">
        <f t="shared" si="14"/>
        <v>84.852813742385706</v>
      </c>
      <c r="B305" s="883" t="s">
        <v>242</v>
      </c>
      <c r="C305" s="870" t="s">
        <v>3984</v>
      </c>
      <c r="D305" s="870" t="s">
        <v>3076</v>
      </c>
      <c r="E305" s="883" t="s">
        <v>4225</v>
      </c>
      <c r="F305" s="883">
        <v>2005</v>
      </c>
      <c r="G305" s="901" t="s">
        <v>3054</v>
      </c>
      <c r="H305" s="870" t="s">
        <v>4046</v>
      </c>
      <c r="I305" s="886" t="s">
        <v>4059</v>
      </c>
      <c r="J305" s="883" t="s">
        <v>114</v>
      </c>
      <c r="K305" s="883" t="s">
        <v>465</v>
      </c>
      <c r="L305" s="870" t="s">
        <v>3055</v>
      </c>
      <c r="M305" s="883">
        <v>166.5</v>
      </c>
      <c r="N305" s="883" t="s">
        <v>1224</v>
      </c>
      <c r="O305" s="870" t="s">
        <v>1125</v>
      </c>
      <c r="P305" s="870" t="s">
        <v>4004</v>
      </c>
      <c r="Q305" s="870"/>
      <c r="R305" s="870"/>
      <c r="S305" s="883" t="s">
        <v>3655</v>
      </c>
      <c r="T305" s="883" t="s">
        <v>3655</v>
      </c>
      <c r="U305" s="883" t="s">
        <v>157</v>
      </c>
      <c r="V305" s="883" t="s">
        <v>157</v>
      </c>
      <c r="W305" s="870" t="s">
        <v>3655</v>
      </c>
      <c r="X305" s="1022">
        <v>0.14000000000000001</v>
      </c>
      <c r="Y305" s="870" t="s">
        <v>3682</v>
      </c>
      <c r="Z305" s="870" t="s">
        <v>3734</v>
      </c>
      <c r="AA305" s="883" t="s">
        <v>157</v>
      </c>
      <c r="AB305" s="870" t="s">
        <v>3028</v>
      </c>
      <c r="AC305" s="870" t="s">
        <v>710</v>
      </c>
      <c r="AD305" s="870" t="s">
        <v>371</v>
      </c>
      <c r="AE305" s="883" t="s">
        <v>1668</v>
      </c>
      <c r="AF305" s="883">
        <v>76.900000000000006</v>
      </c>
      <c r="AG305" s="883">
        <v>94.4</v>
      </c>
      <c r="AH305" s="883" t="s">
        <v>122</v>
      </c>
      <c r="AI305" s="883" t="s">
        <v>122</v>
      </c>
      <c r="AJ305" s="870" t="s">
        <v>2871</v>
      </c>
      <c r="AK305" s="870" t="s">
        <v>968</v>
      </c>
      <c r="AL305" s="883"/>
      <c r="AM305" s="883"/>
      <c r="AN305" s="883" t="s">
        <v>1784</v>
      </c>
      <c r="AO305" s="883">
        <v>0.34</v>
      </c>
      <c r="AP305" s="883">
        <v>0.3</v>
      </c>
      <c r="AQ305" s="883" t="s">
        <v>157</v>
      </c>
      <c r="AR305" s="887">
        <v>33.6</v>
      </c>
      <c r="AS305" s="888">
        <v>9.8000000000000007</v>
      </c>
      <c r="AT305" s="887">
        <v>8.7799999999999994</v>
      </c>
      <c r="AU305" s="888">
        <v>21.1</v>
      </c>
      <c r="AV305" s="888">
        <v>19</v>
      </c>
      <c r="AW305" s="904">
        <f>(100*PI()*(A305^2))/(40*AO305*AV305*453.5924)</f>
        <v>19.298523830321393</v>
      </c>
      <c r="AX305" s="889">
        <v>38187</v>
      </c>
      <c r="AY305" s="883" t="s">
        <v>2093</v>
      </c>
      <c r="AZ305" s="870">
        <v>196</v>
      </c>
      <c r="BA305" s="870" t="s">
        <v>3053</v>
      </c>
      <c r="BB305" s="870" t="s">
        <v>3075</v>
      </c>
      <c r="BC305" s="883">
        <v>14229801</v>
      </c>
      <c r="BD305" s="870" t="s">
        <v>969</v>
      </c>
      <c r="BE305" s="870">
        <v>14229602</v>
      </c>
      <c r="BF305" s="870" t="s">
        <v>157</v>
      </c>
      <c r="BG305" s="870" t="s">
        <v>157</v>
      </c>
      <c r="BH305" s="891"/>
      <c r="BI305" s="914">
        <v>41353</v>
      </c>
      <c r="BJ305" s="907">
        <v>6000</v>
      </c>
      <c r="BK305" s="907">
        <v>13500</v>
      </c>
      <c r="BL305" s="907">
        <v>19500</v>
      </c>
      <c r="BM305" s="907">
        <v>1041</v>
      </c>
      <c r="BN305" s="907">
        <v>5105</v>
      </c>
      <c r="BO305" s="891">
        <v>381</v>
      </c>
      <c r="BP305" s="892">
        <v>10885</v>
      </c>
      <c r="BQ305" s="891">
        <v>0.36</v>
      </c>
      <c r="BR305" s="904">
        <v>49</v>
      </c>
      <c r="BS305" s="904">
        <v>52</v>
      </c>
      <c r="BT305" s="943">
        <v>130</v>
      </c>
      <c r="BU305" s="892">
        <f>(2.4525*(BL305*0.4535924)*(0.8*(1000/3600)*BT305)*(BR305/100))/(AF305*2)</f>
        <v>1996.549030004551</v>
      </c>
      <c r="BV305" s="892">
        <f>(BP305/(M305/1000))/(2*AF305)</f>
        <v>425.06746017799327</v>
      </c>
      <c r="BW305" s="892">
        <f>(1.4*BP305/(M305/1000))/(2*AF305)</f>
        <v>595.09444424919047</v>
      </c>
      <c r="BX305" s="893">
        <f>0.5*(BL305/32.2)*((BO305*0.00328084)^2)*(BS305/100)</f>
        <v>246.0209784782611</v>
      </c>
      <c r="BY305" s="891">
        <v>39</v>
      </c>
      <c r="BZ305" s="909" t="e">
        <f>BX305/(L305*BY305)</f>
        <v>#VALUE!</v>
      </c>
      <c r="CA305" s="891">
        <v>263</v>
      </c>
      <c r="CB305" s="891" t="s">
        <v>2952</v>
      </c>
      <c r="CC305" s="893">
        <f>BU305*(2*AF305)/(2*1600)</f>
        <v>95.959137754593741</v>
      </c>
      <c r="CD305" s="893">
        <f>BV305*(2*AF305)/(2*250)</f>
        <v>130.75075075075074</v>
      </c>
      <c r="CE305" s="890" t="str">
        <f>IF((CD305-CC305)&gt;0, "Shear","Power")</f>
        <v>Shear</v>
      </c>
      <c r="CF305" s="915">
        <f>(AF305/MAX(CC305,CD305))-1</f>
        <v>-0.41185806155259519</v>
      </c>
      <c r="CG305" s="890" t="s">
        <v>970</v>
      </c>
      <c r="CH305" s="890">
        <v>3.75</v>
      </c>
      <c r="CI305" s="890">
        <v>3.3599999999999998E-2</v>
      </c>
      <c r="CJ305" s="873"/>
      <c r="CK305" s="955"/>
    </row>
    <row r="306" spans="1:89" ht="38.25" x14ac:dyDescent="0.2">
      <c r="A306" s="973">
        <f t="shared" si="14"/>
        <v>84.852813742385706</v>
      </c>
      <c r="B306" s="883" t="s">
        <v>242</v>
      </c>
      <c r="C306" s="870" t="s">
        <v>3984</v>
      </c>
      <c r="D306" s="870" t="s">
        <v>793</v>
      </c>
      <c r="E306" s="883" t="s">
        <v>4225</v>
      </c>
      <c r="F306" s="883">
        <v>2005</v>
      </c>
      <c r="G306" s="901" t="s">
        <v>1797</v>
      </c>
      <c r="H306" s="870" t="s">
        <v>4047</v>
      </c>
      <c r="I306" s="886" t="s">
        <v>4059</v>
      </c>
      <c r="J306" s="883" t="s">
        <v>114</v>
      </c>
      <c r="K306" s="883" t="s">
        <v>465</v>
      </c>
      <c r="L306" s="870">
        <v>390</v>
      </c>
      <c r="M306" s="883">
        <v>166.5</v>
      </c>
      <c r="N306" s="883" t="s">
        <v>1224</v>
      </c>
      <c r="O306" s="870" t="s">
        <v>1125</v>
      </c>
      <c r="P306" s="870" t="s">
        <v>4004</v>
      </c>
      <c r="Q306" s="870"/>
      <c r="R306" s="870"/>
      <c r="S306" s="883" t="s">
        <v>3655</v>
      </c>
      <c r="T306" s="883" t="s">
        <v>3655</v>
      </c>
      <c r="U306" s="883" t="s">
        <v>157</v>
      </c>
      <c r="V306" s="883" t="s">
        <v>157</v>
      </c>
      <c r="W306" s="870" t="s">
        <v>3655</v>
      </c>
      <c r="X306" s="1022">
        <v>0.14000000000000001</v>
      </c>
      <c r="Y306" s="870" t="s">
        <v>3682</v>
      </c>
      <c r="Z306" s="870" t="s">
        <v>3734</v>
      </c>
      <c r="AA306" s="883" t="s">
        <v>157</v>
      </c>
      <c r="AB306" s="870" t="s">
        <v>3028</v>
      </c>
      <c r="AC306" s="870" t="s">
        <v>710</v>
      </c>
      <c r="AD306" s="870" t="s">
        <v>371</v>
      </c>
      <c r="AE306" s="883" t="s">
        <v>1668</v>
      </c>
      <c r="AF306" s="883">
        <v>76.900000000000006</v>
      </c>
      <c r="AG306" s="883">
        <v>94.4</v>
      </c>
      <c r="AH306" s="883" t="s">
        <v>122</v>
      </c>
      <c r="AI306" s="883" t="s">
        <v>122</v>
      </c>
      <c r="AJ306" s="870" t="s">
        <v>2871</v>
      </c>
      <c r="AK306" s="870" t="s">
        <v>968</v>
      </c>
      <c r="AL306" s="883"/>
      <c r="AM306" s="883"/>
      <c r="AN306" s="883" t="s">
        <v>1784</v>
      </c>
      <c r="AO306" s="883">
        <v>0.34</v>
      </c>
      <c r="AP306" s="883">
        <v>0.3</v>
      </c>
      <c r="AQ306" s="883" t="s">
        <v>157</v>
      </c>
      <c r="AR306" s="887">
        <v>33.6</v>
      </c>
      <c r="AS306" s="888">
        <v>9.8000000000000007</v>
      </c>
      <c r="AT306" s="887">
        <v>8.7799999999999994</v>
      </c>
      <c r="AU306" s="888">
        <v>21.1</v>
      </c>
      <c r="AV306" s="888">
        <v>19</v>
      </c>
      <c r="AW306" s="904">
        <f>(100*PI()*(A306^2))/(40*AO306*AV306*453.5924)</f>
        <v>19.298523830321393</v>
      </c>
      <c r="AX306" s="889">
        <v>38187</v>
      </c>
      <c r="AY306" s="883" t="s">
        <v>2093</v>
      </c>
      <c r="AZ306" s="870">
        <v>196</v>
      </c>
      <c r="BA306" s="870" t="s">
        <v>3057</v>
      </c>
      <c r="BB306" s="870" t="s">
        <v>3058</v>
      </c>
      <c r="BC306" s="883">
        <v>14229801</v>
      </c>
      <c r="BD306" s="870" t="s">
        <v>969</v>
      </c>
      <c r="BE306" s="870">
        <v>14229602</v>
      </c>
      <c r="BF306" s="870" t="s">
        <v>157</v>
      </c>
      <c r="BG306" s="870" t="s">
        <v>157</v>
      </c>
      <c r="BH306" s="891" t="s">
        <v>3056</v>
      </c>
      <c r="BI306" s="914">
        <v>41353</v>
      </c>
      <c r="BJ306" s="907">
        <v>6000</v>
      </c>
      <c r="BK306" s="907">
        <v>13500</v>
      </c>
      <c r="BL306" s="907">
        <v>19500</v>
      </c>
      <c r="BM306" s="907">
        <v>1041</v>
      </c>
      <c r="BN306" s="907">
        <v>5105</v>
      </c>
      <c r="BO306" s="891">
        <v>381</v>
      </c>
      <c r="BP306" s="892">
        <v>10885</v>
      </c>
      <c r="BQ306" s="891">
        <v>0.36</v>
      </c>
      <c r="BR306" s="904">
        <v>49</v>
      </c>
      <c r="BS306" s="904">
        <v>52</v>
      </c>
      <c r="BT306" s="943">
        <v>130</v>
      </c>
      <c r="BU306" s="892">
        <f>(2.4525*(BL306*0.4535924)*(0.8*(1000/3600)*BT306)*(BR306/100))/(AF306*2)</f>
        <v>1996.549030004551</v>
      </c>
      <c r="BV306" s="892">
        <f>(BP306/(M306/1000))/(2*AF306)</f>
        <v>425.06746017799327</v>
      </c>
      <c r="BW306" s="892">
        <f>(1.4*BP306/(M306/1000))/(2*AF306)</f>
        <v>595.09444424919047</v>
      </c>
      <c r="BX306" s="893">
        <f>0.5*(BL306/32.2)*((BO306*0.00328084)^2)*(BS306/100)</f>
        <v>246.0209784782611</v>
      </c>
      <c r="BY306" s="891">
        <v>39</v>
      </c>
      <c r="BZ306" s="909">
        <f>BX306/(L306*BY306)</f>
        <v>1.6174949275362335E-2</v>
      </c>
      <c r="CA306" s="891">
        <v>263</v>
      </c>
      <c r="CB306" s="891" t="s">
        <v>2952</v>
      </c>
      <c r="CC306" s="893">
        <f>BU306*(2*AF306)/(2*1600)</f>
        <v>95.959137754593741</v>
      </c>
      <c r="CD306" s="893">
        <f>BV306*(2*AF306)/(2*250)</f>
        <v>130.75075075075074</v>
      </c>
      <c r="CE306" s="890" t="str">
        <f>IF((CD306-CC306)&gt;0, "Shear","Power")</f>
        <v>Shear</v>
      </c>
      <c r="CF306" s="915">
        <f>(AF306/MAX(CC306,CD306))-1</f>
        <v>-0.41185806155259519</v>
      </c>
      <c r="CG306" s="890" t="s">
        <v>970</v>
      </c>
      <c r="CH306" s="890">
        <v>3.75</v>
      </c>
      <c r="CI306" s="896">
        <v>3.3599999999999998E-2</v>
      </c>
      <c r="CJ306" s="873"/>
      <c r="CK306" s="955"/>
    </row>
    <row r="307" spans="1:89" ht="38.25" x14ac:dyDescent="0.2">
      <c r="A307" s="973">
        <f t="shared" si="14"/>
        <v>84.852813742385706</v>
      </c>
      <c r="B307" s="883" t="s">
        <v>242</v>
      </c>
      <c r="C307" s="870" t="s">
        <v>3984</v>
      </c>
      <c r="D307" s="870" t="s">
        <v>793</v>
      </c>
      <c r="E307" s="883" t="s">
        <v>4225</v>
      </c>
      <c r="F307" s="883">
        <v>2008</v>
      </c>
      <c r="G307" s="901" t="s">
        <v>1738</v>
      </c>
      <c r="H307" s="870" t="s">
        <v>1462</v>
      </c>
      <c r="I307" s="886" t="s">
        <v>4059</v>
      </c>
      <c r="J307" s="883" t="s">
        <v>114</v>
      </c>
      <c r="K307" s="883" t="s">
        <v>157</v>
      </c>
      <c r="L307" s="870">
        <v>390</v>
      </c>
      <c r="M307" s="883">
        <v>166.5</v>
      </c>
      <c r="N307" s="883" t="s">
        <v>1224</v>
      </c>
      <c r="O307" s="870" t="s">
        <v>1125</v>
      </c>
      <c r="P307" s="870" t="s">
        <v>4004</v>
      </c>
      <c r="Q307" s="870"/>
      <c r="R307" s="870"/>
      <c r="S307" s="883" t="s">
        <v>3655</v>
      </c>
      <c r="T307" s="883" t="s">
        <v>3655</v>
      </c>
      <c r="U307" s="883" t="s">
        <v>157</v>
      </c>
      <c r="V307" s="883" t="s">
        <v>157</v>
      </c>
      <c r="W307" s="870" t="s">
        <v>3655</v>
      </c>
      <c r="X307" s="1022">
        <v>0.14000000000000001</v>
      </c>
      <c r="Y307" s="870" t="s">
        <v>3682</v>
      </c>
      <c r="Z307" s="870" t="s">
        <v>3734</v>
      </c>
      <c r="AA307" s="883" t="s">
        <v>157</v>
      </c>
      <c r="AB307" s="870" t="s">
        <v>3028</v>
      </c>
      <c r="AC307" s="870" t="s">
        <v>710</v>
      </c>
      <c r="AD307" s="870" t="s">
        <v>371</v>
      </c>
      <c r="AE307" s="883" t="s">
        <v>1668</v>
      </c>
      <c r="AF307" s="883">
        <v>76.900000000000006</v>
      </c>
      <c r="AG307" s="883">
        <v>94.4</v>
      </c>
      <c r="AH307" s="883" t="s">
        <v>122</v>
      </c>
      <c r="AI307" s="883" t="s">
        <v>122</v>
      </c>
      <c r="AJ307" s="870" t="s">
        <v>2871</v>
      </c>
      <c r="AK307" s="870" t="s">
        <v>968</v>
      </c>
      <c r="AL307" s="883"/>
      <c r="AM307" s="883"/>
      <c r="AN307" s="883" t="s">
        <v>1784</v>
      </c>
      <c r="AO307" s="883">
        <v>0.34</v>
      </c>
      <c r="AP307" s="883">
        <v>0.3</v>
      </c>
      <c r="AQ307" s="883" t="s">
        <v>157</v>
      </c>
      <c r="AR307" s="887">
        <v>32.4</v>
      </c>
      <c r="AS307" s="888">
        <v>9.8000000000000007</v>
      </c>
      <c r="AT307" s="887">
        <v>8.7799999999999994</v>
      </c>
      <c r="AU307" s="888">
        <v>21.1</v>
      </c>
      <c r="AV307" s="888">
        <v>19</v>
      </c>
      <c r="AW307" s="904">
        <f>(100*PI()*(A307^2))/(40*AO307*AV307*453.5924)</f>
        <v>19.298523830321393</v>
      </c>
      <c r="AX307" s="889">
        <v>38187</v>
      </c>
      <c r="AY307" s="883" t="s">
        <v>2093</v>
      </c>
      <c r="AZ307" s="870">
        <v>7.5</v>
      </c>
      <c r="BA307" s="870" t="s">
        <v>890</v>
      </c>
      <c r="BB307" s="870" t="s">
        <v>891</v>
      </c>
      <c r="BC307" s="883">
        <v>13030701</v>
      </c>
      <c r="BD307" s="883" t="s">
        <v>892</v>
      </c>
      <c r="BE307" s="883">
        <v>13032002</v>
      </c>
      <c r="BF307" s="883" t="s">
        <v>157</v>
      </c>
      <c r="BG307" s="883" t="s">
        <v>157</v>
      </c>
      <c r="BH307" s="891"/>
      <c r="BI307" s="914">
        <v>40912</v>
      </c>
      <c r="BJ307" s="907"/>
      <c r="BK307" s="907"/>
      <c r="BL307" s="907"/>
      <c r="BM307" s="907"/>
      <c r="BN307" s="907"/>
      <c r="BO307" s="891"/>
      <c r="BP307" s="892"/>
      <c r="BQ307" s="891"/>
      <c r="BR307" s="904"/>
      <c r="BS307" s="904"/>
      <c r="BT307" s="943"/>
      <c r="BU307" s="892"/>
      <c r="BV307" s="892"/>
      <c r="BW307" s="892"/>
      <c r="BX307" s="893"/>
      <c r="BY307" s="891"/>
      <c r="BZ307" s="909"/>
      <c r="CA307" s="891"/>
      <c r="CB307" s="891"/>
      <c r="CC307" s="893"/>
      <c r="CD307" s="893"/>
      <c r="CE307" s="890"/>
      <c r="CF307" s="915"/>
      <c r="CG307" s="890"/>
      <c r="CH307" s="890"/>
      <c r="CI307" s="896"/>
      <c r="CJ307" s="873"/>
      <c r="CK307" s="955"/>
    </row>
    <row r="308" spans="1:89" ht="25.5" x14ac:dyDescent="0.2">
      <c r="A308" s="973">
        <f t="shared" si="14"/>
        <v>84.852813742385706</v>
      </c>
      <c r="B308" s="883" t="s">
        <v>242</v>
      </c>
      <c r="C308" s="870" t="s">
        <v>3984</v>
      </c>
      <c r="D308" s="870" t="s">
        <v>3026</v>
      </c>
      <c r="E308" s="883" t="s">
        <v>4225</v>
      </c>
      <c r="F308" s="883">
        <v>2008</v>
      </c>
      <c r="G308" s="901" t="s">
        <v>3027</v>
      </c>
      <c r="H308" s="870" t="s">
        <v>3025</v>
      </c>
      <c r="I308" s="886" t="s">
        <v>4059</v>
      </c>
      <c r="J308" s="883" t="s">
        <v>114</v>
      </c>
      <c r="K308" s="883" t="s">
        <v>465</v>
      </c>
      <c r="L308" s="870">
        <v>390</v>
      </c>
      <c r="M308" s="883">
        <v>166.5</v>
      </c>
      <c r="N308" s="883" t="s">
        <v>1224</v>
      </c>
      <c r="O308" s="870" t="s">
        <v>1125</v>
      </c>
      <c r="P308" s="870" t="s">
        <v>4004</v>
      </c>
      <c r="Q308" s="870"/>
      <c r="R308" s="870"/>
      <c r="S308" s="883" t="s">
        <v>3655</v>
      </c>
      <c r="T308" s="883" t="s">
        <v>3655</v>
      </c>
      <c r="U308" s="883" t="s">
        <v>157</v>
      </c>
      <c r="V308" s="883" t="s">
        <v>157</v>
      </c>
      <c r="W308" s="870" t="s">
        <v>3655</v>
      </c>
      <c r="X308" s="1022">
        <v>0.14000000000000001</v>
      </c>
      <c r="Y308" s="870" t="s">
        <v>3682</v>
      </c>
      <c r="Z308" s="870" t="s">
        <v>3734</v>
      </c>
      <c r="AA308" s="883" t="s">
        <v>157</v>
      </c>
      <c r="AB308" s="870" t="s">
        <v>3028</v>
      </c>
      <c r="AC308" s="870" t="s">
        <v>710</v>
      </c>
      <c r="AD308" s="870" t="s">
        <v>3029</v>
      </c>
      <c r="AE308" s="883" t="s">
        <v>1668</v>
      </c>
      <c r="AF308" s="883">
        <v>76.900000000000006</v>
      </c>
      <c r="AG308" s="883">
        <v>94.4</v>
      </c>
      <c r="AH308" s="883" t="s">
        <v>122</v>
      </c>
      <c r="AI308" s="883" t="s">
        <v>122</v>
      </c>
      <c r="AJ308" s="870" t="s">
        <v>3030</v>
      </c>
      <c r="AK308" s="870" t="s">
        <v>2040</v>
      </c>
      <c r="AL308" s="883"/>
      <c r="AM308" s="883"/>
      <c r="AN308" s="883" t="s">
        <v>1784</v>
      </c>
      <c r="AO308" s="883">
        <v>0.34</v>
      </c>
      <c r="AP308" s="883">
        <v>0.3</v>
      </c>
      <c r="AQ308" s="883" t="s">
        <v>157</v>
      </c>
      <c r="AR308" s="887">
        <v>33.6</v>
      </c>
      <c r="AS308" s="888">
        <v>9.8000000000000007</v>
      </c>
      <c r="AT308" s="887">
        <v>8.7799999999999994</v>
      </c>
      <c r="AU308" s="888">
        <v>21.1</v>
      </c>
      <c r="AV308" s="888">
        <v>19</v>
      </c>
      <c r="AW308" s="904">
        <f>(100*PI()*(A308^2))/(40*AO308*AV308*453.5924)</f>
        <v>19.298523830321393</v>
      </c>
      <c r="AX308" s="889">
        <v>38187</v>
      </c>
      <c r="AY308" s="883" t="s">
        <v>2093</v>
      </c>
      <c r="AZ308" s="870">
        <v>15</v>
      </c>
      <c r="BA308" s="870" t="s">
        <v>3031</v>
      </c>
      <c r="BB308" s="870" t="s">
        <v>3032</v>
      </c>
      <c r="BC308" s="883">
        <v>14229801</v>
      </c>
      <c r="BD308" s="883" t="s">
        <v>3033</v>
      </c>
      <c r="BE308" s="883">
        <v>14229602</v>
      </c>
      <c r="BF308" s="883" t="s">
        <v>157</v>
      </c>
      <c r="BG308" s="883" t="s">
        <v>157</v>
      </c>
      <c r="BH308" s="891" t="s">
        <v>3034</v>
      </c>
      <c r="BI308" s="914">
        <v>40912</v>
      </c>
      <c r="BJ308" s="907">
        <v>6000</v>
      </c>
      <c r="BK308" s="907">
        <v>13500</v>
      </c>
      <c r="BL308" s="907">
        <v>19500</v>
      </c>
      <c r="BM308" s="907">
        <v>1041</v>
      </c>
      <c r="BN308" s="907">
        <v>5105</v>
      </c>
      <c r="BO308" s="891">
        <v>381</v>
      </c>
      <c r="BP308" s="892">
        <v>10885</v>
      </c>
      <c r="BQ308" s="891">
        <v>0.36</v>
      </c>
      <c r="BR308" s="904"/>
      <c r="BS308" s="904"/>
      <c r="BT308" s="943"/>
      <c r="BU308" s="892"/>
      <c r="BV308" s="892"/>
      <c r="BW308" s="892"/>
      <c r="BX308" s="893">
        <v>246</v>
      </c>
      <c r="BY308" s="891">
        <v>39</v>
      </c>
      <c r="BZ308" s="909">
        <f>BX308/(L308*BY308)</f>
        <v>1.6173570019723867E-2</v>
      </c>
      <c r="CA308" s="891"/>
      <c r="CB308" s="891" t="s">
        <v>2952</v>
      </c>
      <c r="CC308" s="893"/>
      <c r="CD308" s="893"/>
      <c r="CE308" s="890"/>
      <c r="CF308" s="915"/>
      <c r="CG308" s="890"/>
      <c r="CH308" s="890"/>
      <c r="CI308" s="896"/>
      <c r="CJ308" s="873"/>
      <c r="CK308" s="873"/>
    </row>
    <row r="309" spans="1:89" ht="38.25" x14ac:dyDescent="0.2">
      <c r="A309" s="973">
        <f t="shared" ref="A309:A315" si="22">SQRT(2*66^2)</f>
        <v>93.338095116624274</v>
      </c>
      <c r="B309" s="883" t="s">
        <v>460</v>
      </c>
      <c r="C309" s="870" t="s">
        <v>3984</v>
      </c>
      <c r="D309" s="870" t="s">
        <v>791</v>
      </c>
      <c r="E309" s="883" t="s">
        <v>4225</v>
      </c>
      <c r="F309" s="883">
        <v>2008</v>
      </c>
      <c r="G309" s="901" t="s">
        <v>795</v>
      </c>
      <c r="H309" s="870" t="s">
        <v>2904</v>
      </c>
      <c r="I309" s="902" t="s">
        <v>2226</v>
      </c>
      <c r="J309" s="883" t="s">
        <v>114</v>
      </c>
      <c r="K309" s="883" t="s">
        <v>454</v>
      </c>
      <c r="L309" s="883">
        <v>390</v>
      </c>
      <c r="M309" s="883">
        <v>168</v>
      </c>
      <c r="N309" s="883" t="s">
        <v>1224</v>
      </c>
      <c r="O309" s="870" t="s">
        <v>1045</v>
      </c>
      <c r="P309" s="870"/>
      <c r="Q309" s="870"/>
      <c r="R309" s="870"/>
      <c r="S309" s="870"/>
      <c r="T309" s="870"/>
      <c r="U309" s="870"/>
      <c r="V309" s="870"/>
      <c r="W309" s="870" t="s">
        <v>3657</v>
      </c>
      <c r="X309" s="870"/>
      <c r="Y309" s="870"/>
      <c r="Z309" s="870"/>
      <c r="AA309" s="870">
        <v>284</v>
      </c>
      <c r="AB309" s="870" t="s">
        <v>2522</v>
      </c>
      <c r="AC309" s="883" t="s">
        <v>710</v>
      </c>
      <c r="AD309" s="883" t="s">
        <v>368</v>
      </c>
      <c r="AE309" s="883" t="s">
        <v>91</v>
      </c>
      <c r="AF309" s="870">
        <v>118.5</v>
      </c>
      <c r="AG309" s="870">
        <v>137.30000000000001</v>
      </c>
      <c r="AH309" s="883" t="s">
        <v>1744</v>
      </c>
      <c r="AI309" s="883" t="s">
        <v>122</v>
      </c>
      <c r="AJ309" s="883" t="s">
        <v>369</v>
      </c>
      <c r="AK309" s="870" t="s">
        <v>978</v>
      </c>
      <c r="AL309" s="883"/>
      <c r="AM309" s="883"/>
      <c r="AN309" s="883" t="s">
        <v>1784</v>
      </c>
      <c r="AO309" s="883">
        <v>0.28000000000000003</v>
      </c>
      <c r="AP309" s="883">
        <v>0.3</v>
      </c>
      <c r="AQ309" s="883"/>
      <c r="AR309" s="887">
        <v>37.1</v>
      </c>
      <c r="AS309" s="903">
        <v>12</v>
      </c>
      <c r="AT309" s="918">
        <v>10.8</v>
      </c>
      <c r="AU309" s="903">
        <v>19.2</v>
      </c>
      <c r="AV309" s="903">
        <v>17.7</v>
      </c>
      <c r="AW309" s="904">
        <v>29.9</v>
      </c>
      <c r="AX309" s="889">
        <v>39295</v>
      </c>
      <c r="AY309" s="883" t="s">
        <v>1669</v>
      </c>
      <c r="AZ309" s="870">
        <v>100</v>
      </c>
      <c r="BA309" s="870" t="s">
        <v>1310</v>
      </c>
      <c r="BB309" s="883" t="s">
        <v>1311</v>
      </c>
      <c r="BC309" s="883">
        <v>16004801</v>
      </c>
      <c r="BD309" s="870" t="s">
        <v>1312</v>
      </c>
      <c r="BE309" s="870">
        <v>16005101</v>
      </c>
      <c r="BF309" s="870"/>
      <c r="BG309" s="870"/>
      <c r="BH309" s="891" t="s">
        <v>1796</v>
      </c>
      <c r="BI309" s="914">
        <v>40800</v>
      </c>
      <c r="BJ309" s="892">
        <f>3538*2.2</f>
        <v>7783.6</v>
      </c>
      <c r="BK309" s="892">
        <f>5307*2.2</f>
        <v>11675.400000000001</v>
      </c>
      <c r="BL309" s="892">
        <f>BJ309+BK309</f>
        <v>19459</v>
      </c>
      <c r="BM309" s="892">
        <v>1220</v>
      </c>
      <c r="BN309" s="892">
        <v>3645</v>
      </c>
      <c r="BO309" s="894">
        <v>390</v>
      </c>
      <c r="BP309" s="892">
        <v>14842</v>
      </c>
      <c r="BQ309" s="944">
        <v>0.4</v>
      </c>
      <c r="BR309" s="893"/>
      <c r="BS309" s="893"/>
      <c r="BT309" s="943">
        <v>120.7</v>
      </c>
      <c r="BU309" s="892">
        <v>1658</v>
      </c>
      <c r="BV309" s="892">
        <v>332</v>
      </c>
      <c r="BW309" s="892"/>
      <c r="BX309" s="893"/>
      <c r="BY309" s="891">
        <v>39</v>
      </c>
      <c r="BZ309" s="909"/>
      <c r="CA309" s="891"/>
      <c r="CB309" s="891"/>
      <c r="CC309" s="893">
        <v>122.7</v>
      </c>
      <c r="CD309" s="893">
        <v>157.5</v>
      </c>
      <c r="CE309" s="890" t="s">
        <v>1049</v>
      </c>
      <c r="CF309" s="915">
        <v>-0.248</v>
      </c>
      <c r="CG309" s="890">
        <v>7.0119999999999996</v>
      </c>
      <c r="CH309" s="890">
        <v>4.5830000000000002</v>
      </c>
      <c r="CI309" s="896">
        <v>4.8551999999999998E-2</v>
      </c>
      <c r="CJ309" s="873"/>
      <c r="CK309" s="873"/>
    </row>
    <row r="310" spans="1:89" ht="38.25" x14ac:dyDescent="0.2">
      <c r="A310" s="893">
        <f t="shared" si="22"/>
        <v>93.338095116624274</v>
      </c>
      <c r="B310" s="883" t="s">
        <v>460</v>
      </c>
      <c r="C310" s="883"/>
      <c r="D310" s="870" t="s">
        <v>791</v>
      </c>
      <c r="E310" s="883" t="s">
        <v>4225</v>
      </c>
      <c r="F310" s="883">
        <v>2013</v>
      </c>
      <c r="G310" s="901" t="s">
        <v>795</v>
      </c>
      <c r="H310" s="870" t="s">
        <v>3009</v>
      </c>
      <c r="I310" s="902" t="s">
        <v>2226</v>
      </c>
      <c r="J310" s="883" t="s">
        <v>114</v>
      </c>
      <c r="K310" s="883" t="s">
        <v>454</v>
      </c>
      <c r="L310" s="883">
        <v>390</v>
      </c>
      <c r="M310" s="883">
        <v>168</v>
      </c>
      <c r="N310" s="883" t="s">
        <v>1224</v>
      </c>
      <c r="O310" s="870" t="s">
        <v>1045</v>
      </c>
      <c r="P310" s="870"/>
      <c r="Q310" s="870"/>
      <c r="R310" s="870"/>
      <c r="S310" s="870"/>
      <c r="T310" s="870"/>
      <c r="U310" s="870"/>
      <c r="V310" s="870"/>
      <c r="W310" s="870"/>
      <c r="X310" s="870"/>
      <c r="Y310" s="870"/>
      <c r="Z310" s="870"/>
      <c r="AA310" s="870"/>
      <c r="AB310" s="870" t="s">
        <v>2522</v>
      </c>
      <c r="AC310" s="883" t="s">
        <v>710</v>
      </c>
      <c r="AD310" s="883" t="s">
        <v>3061</v>
      </c>
      <c r="AE310" s="883" t="s">
        <v>91</v>
      </c>
      <c r="AF310" s="870">
        <v>118.5</v>
      </c>
      <c r="AG310" s="870">
        <v>137.30000000000001</v>
      </c>
      <c r="AH310" s="883" t="s">
        <v>1744</v>
      </c>
      <c r="AI310" s="883" t="s">
        <v>122</v>
      </c>
      <c r="AJ310" s="883" t="s">
        <v>369</v>
      </c>
      <c r="AK310" s="870" t="s">
        <v>978</v>
      </c>
      <c r="AL310" s="883"/>
      <c r="AM310" s="883"/>
      <c r="AN310" s="883" t="s">
        <v>1784</v>
      </c>
      <c r="AO310" s="883">
        <v>0.28000000000000003</v>
      </c>
      <c r="AP310" s="883">
        <v>0.3</v>
      </c>
      <c r="AQ310" s="883"/>
      <c r="AR310" s="887">
        <v>37.1</v>
      </c>
      <c r="AS310" s="903">
        <v>12</v>
      </c>
      <c r="AT310" s="918">
        <v>10.8</v>
      </c>
      <c r="AU310" s="903">
        <v>19.2</v>
      </c>
      <c r="AV310" s="903">
        <v>17.7</v>
      </c>
      <c r="AW310" s="904">
        <v>29.9</v>
      </c>
      <c r="AX310" s="889">
        <v>41122</v>
      </c>
      <c r="AY310" s="883" t="s">
        <v>1669</v>
      </c>
      <c r="AZ310" s="870">
        <v>100</v>
      </c>
      <c r="BA310" s="870" t="s">
        <v>3059</v>
      </c>
      <c r="BB310" s="883" t="s">
        <v>3060</v>
      </c>
      <c r="BC310" s="883">
        <v>16004801</v>
      </c>
      <c r="BD310" s="870" t="s">
        <v>1312</v>
      </c>
      <c r="BE310" s="870">
        <v>16005101</v>
      </c>
      <c r="BF310" s="870"/>
      <c r="BG310" s="870"/>
      <c r="BH310" s="891" t="s">
        <v>1796</v>
      </c>
      <c r="BI310" s="914">
        <v>40800</v>
      </c>
      <c r="BJ310" s="892">
        <f>3538*2.2</f>
        <v>7783.6</v>
      </c>
      <c r="BK310" s="892">
        <f>5307*2.2</f>
        <v>11675.400000000001</v>
      </c>
      <c r="BL310" s="892">
        <f>BJ310+BK310</f>
        <v>19459</v>
      </c>
      <c r="BM310" s="892">
        <v>1220</v>
      </c>
      <c r="BN310" s="892">
        <v>3645</v>
      </c>
      <c r="BO310" s="894">
        <v>390</v>
      </c>
      <c r="BP310" s="892">
        <v>14842</v>
      </c>
      <c r="BQ310" s="944">
        <v>0.4</v>
      </c>
      <c r="BR310" s="893"/>
      <c r="BS310" s="893"/>
      <c r="BT310" s="943">
        <v>120.7</v>
      </c>
      <c r="BU310" s="892">
        <v>1658</v>
      </c>
      <c r="BV310" s="892">
        <v>332</v>
      </c>
      <c r="BW310" s="892"/>
      <c r="BX310" s="893"/>
      <c r="BY310" s="891">
        <v>39</v>
      </c>
      <c r="BZ310" s="909"/>
      <c r="CA310" s="891"/>
      <c r="CB310" s="891"/>
      <c r="CC310" s="893">
        <v>122.7</v>
      </c>
      <c r="CD310" s="893">
        <v>157.5</v>
      </c>
      <c r="CE310" s="890" t="s">
        <v>1049</v>
      </c>
      <c r="CF310" s="915">
        <v>-0.248</v>
      </c>
      <c r="CG310" s="890">
        <v>7.0119999999999996</v>
      </c>
      <c r="CH310" s="890">
        <v>4.5830000000000002</v>
      </c>
      <c r="CI310" s="890">
        <v>4.8551999999999998E-2</v>
      </c>
      <c r="CJ310" s="873"/>
      <c r="CK310" s="873"/>
    </row>
    <row r="311" spans="1:89" ht="25.5" x14ac:dyDescent="0.2">
      <c r="A311" s="893">
        <f t="shared" si="22"/>
        <v>93.338095116624274</v>
      </c>
      <c r="B311" s="883" t="s">
        <v>971</v>
      </c>
      <c r="C311" s="883"/>
      <c r="D311" s="883" t="s">
        <v>2877</v>
      </c>
      <c r="E311" s="883" t="s">
        <v>4225</v>
      </c>
      <c r="F311" s="883">
        <v>2002</v>
      </c>
      <c r="G311" s="913" t="s">
        <v>1738</v>
      </c>
      <c r="H311" s="870" t="s">
        <v>2903</v>
      </c>
      <c r="I311" s="886" t="s">
        <v>2907</v>
      </c>
      <c r="J311" s="883" t="s">
        <v>114</v>
      </c>
      <c r="K311" s="883" t="s">
        <v>972</v>
      </c>
      <c r="L311" s="870">
        <v>381</v>
      </c>
      <c r="M311" s="883">
        <v>157.6</v>
      </c>
      <c r="N311" s="883" t="s">
        <v>1224</v>
      </c>
      <c r="O311" s="870" t="s">
        <v>973</v>
      </c>
      <c r="P311" s="870"/>
      <c r="Q311" s="870"/>
      <c r="R311" s="870"/>
      <c r="S311" s="870"/>
      <c r="T311" s="870"/>
      <c r="U311" s="870"/>
      <c r="V311" s="870"/>
      <c r="W311" s="870"/>
      <c r="X311" s="870"/>
      <c r="Y311" s="870"/>
      <c r="Z311" s="870"/>
      <c r="AA311" s="870"/>
      <c r="AB311" s="870" t="s">
        <v>974</v>
      </c>
      <c r="AC311" s="883" t="s">
        <v>710</v>
      </c>
      <c r="AD311" s="883" t="s">
        <v>25</v>
      </c>
      <c r="AE311" s="870" t="s">
        <v>1668</v>
      </c>
      <c r="AF311" s="870">
        <v>124.1</v>
      </c>
      <c r="AG311" s="870">
        <v>144.4</v>
      </c>
      <c r="AH311" s="883" t="s">
        <v>80</v>
      </c>
      <c r="AI311" s="883" t="s">
        <v>80</v>
      </c>
      <c r="AJ311" s="883" t="s">
        <v>2871</v>
      </c>
      <c r="AK311" s="870" t="s">
        <v>975</v>
      </c>
      <c r="AL311" s="883"/>
      <c r="AM311" s="883"/>
      <c r="AN311" s="883" t="s">
        <v>1784</v>
      </c>
      <c r="AO311" s="883">
        <v>0.26</v>
      </c>
      <c r="AP311" s="883">
        <v>0.248</v>
      </c>
      <c r="AQ311" s="883"/>
      <c r="AR311" s="887">
        <v>48.6</v>
      </c>
      <c r="AS311" s="903">
        <v>16.3</v>
      </c>
      <c r="AT311" s="918">
        <v>14.6</v>
      </c>
      <c r="AU311" s="903">
        <v>28.2</v>
      </c>
      <c r="AV311" s="903">
        <v>26.2</v>
      </c>
      <c r="AW311" s="904">
        <f>(100*PI()*(A311^2))/(40*AO311*AV311*453.5924)</f>
        <v>22.144574482103671</v>
      </c>
      <c r="AX311" s="889">
        <v>37226</v>
      </c>
      <c r="AY311" s="883" t="s">
        <v>2399</v>
      </c>
      <c r="AZ311" s="870">
        <v>48</v>
      </c>
      <c r="BA311" s="870" t="s">
        <v>1056</v>
      </c>
      <c r="BB311" s="883" t="s">
        <v>985</v>
      </c>
      <c r="BC311" s="883">
        <v>13560701</v>
      </c>
      <c r="BD311" s="870">
        <v>13560601</v>
      </c>
      <c r="BE311" s="870"/>
      <c r="BF311" s="870"/>
      <c r="BG311" s="870"/>
      <c r="BH311" s="891" t="s">
        <v>986</v>
      </c>
      <c r="BI311" s="914">
        <v>38432</v>
      </c>
      <c r="BJ311" s="892">
        <v>6000</v>
      </c>
      <c r="BK311" s="892">
        <v>13500</v>
      </c>
      <c r="BL311" s="892">
        <f>BJ311+BK311</f>
        <v>19500</v>
      </c>
      <c r="BM311" s="892">
        <v>1219</v>
      </c>
      <c r="BN311" s="892">
        <v>4521</v>
      </c>
      <c r="BO311" s="944">
        <v>393.7</v>
      </c>
      <c r="BP311" s="892">
        <f>IF(G311="Front",0.5*9.81*0.4535924*(BJ311+BL311*(BM311/BN311)*1.1)*1.1*(BO311/1000),IF(G311="Rear",0.5*9.81*0.4535924*(BK311+BL311*(BM311/BN311)*0.9)*0.9*(BO311/1000),"TBD"))</f>
        <v>11353.767898392613</v>
      </c>
      <c r="BQ311" s="944">
        <v>0.34</v>
      </c>
      <c r="BR311" s="893">
        <v>54.7</v>
      </c>
      <c r="BS311" s="893">
        <v>54.7</v>
      </c>
      <c r="BT311" s="943">
        <v>161</v>
      </c>
      <c r="BU311" s="892">
        <f>(2.4525*(BL311*0.4535924)*(0.8*(1000/3600)*BT311)*(BR311/100))/(AF311*2)</f>
        <v>1710.4418267303668</v>
      </c>
      <c r="BV311" s="892">
        <f>(BP311/(M311/1000))/(2*AF311)</f>
        <v>290.25654505312906</v>
      </c>
      <c r="BW311" s="892">
        <f>(1.4*BP311/(M311/1000))/(2*AF311)</f>
        <v>406.35916307438072</v>
      </c>
      <c r="BX311" s="893">
        <f>0.5*(BL311/32.2)*((BO311*0.00328084)^2)*(BS311/100)</f>
        <v>276.33570447378651</v>
      </c>
      <c r="BY311" s="891">
        <v>39</v>
      </c>
      <c r="BZ311" s="909">
        <f>BX311/(L311*BY311)</f>
        <v>1.8597193921110877E-2</v>
      </c>
      <c r="CA311" s="891" t="s">
        <v>2952</v>
      </c>
      <c r="CB311" s="891" t="s">
        <v>2952</v>
      </c>
      <c r="CC311" s="893">
        <f>BU311*(2*AF311)/(2*1600)</f>
        <v>132.66614418577407</v>
      </c>
      <c r="CD311" s="893">
        <f>BV311*(2*AF311)/(2*250)</f>
        <v>144.08334896437327</v>
      </c>
      <c r="CE311" s="890" t="str">
        <f>IF((CD311-CC311)&gt;0, "Shear","Power")</f>
        <v>Shear</v>
      </c>
      <c r="CF311" s="915">
        <f>(AF311/MAX(CC311,CD311))-1</f>
        <v>-0.13869297950115289</v>
      </c>
      <c r="CG311" s="890">
        <v>6.67</v>
      </c>
      <c r="CH311" s="890">
        <v>4.54</v>
      </c>
      <c r="CI311" s="890">
        <v>4.2700000000000002E-2</v>
      </c>
      <c r="CJ311" s="873"/>
      <c r="CK311" s="873"/>
    </row>
    <row r="312" spans="1:89" ht="25.5" x14ac:dyDescent="0.2">
      <c r="A312" s="893">
        <f t="shared" si="22"/>
        <v>93.338095116624274</v>
      </c>
      <c r="B312" s="883" t="s">
        <v>987</v>
      </c>
      <c r="C312" s="883"/>
      <c r="D312" s="883" t="s">
        <v>2877</v>
      </c>
      <c r="E312" s="883" t="s">
        <v>4225</v>
      </c>
      <c r="F312" s="883">
        <v>2002</v>
      </c>
      <c r="G312" s="913" t="s">
        <v>1797</v>
      </c>
      <c r="H312" s="870" t="s">
        <v>2903</v>
      </c>
      <c r="I312" s="886" t="s">
        <v>2907</v>
      </c>
      <c r="J312" s="883" t="s">
        <v>114</v>
      </c>
      <c r="K312" s="883" t="s">
        <v>988</v>
      </c>
      <c r="L312" s="883">
        <v>381</v>
      </c>
      <c r="M312" s="883">
        <v>157.6</v>
      </c>
      <c r="N312" s="883" t="s">
        <v>1224</v>
      </c>
      <c r="O312" s="870" t="s">
        <v>973</v>
      </c>
      <c r="P312" s="870"/>
      <c r="Q312" s="870"/>
      <c r="R312" s="870"/>
      <c r="S312" s="870"/>
      <c r="T312" s="870"/>
      <c r="U312" s="870"/>
      <c r="V312" s="870"/>
      <c r="W312" s="870"/>
      <c r="X312" s="870"/>
      <c r="Y312" s="870"/>
      <c r="Z312" s="870"/>
      <c r="AA312" s="870"/>
      <c r="AB312" s="870" t="s">
        <v>974</v>
      </c>
      <c r="AC312" s="883" t="s">
        <v>710</v>
      </c>
      <c r="AD312" s="883" t="s">
        <v>25</v>
      </c>
      <c r="AE312" s="870" t="s">
        <v>1668</v>
      </c>
      <c r="AF312" s="870">
        <v>124.1</v>
      </c>
      <c r="AG312" s="870">
        <v>144.4</v>
      </c>
      <c r="AH312" s="883" t="s">
        <v>80</v>
      </c>
      <c r="AI312" s="883" t="s">
        <v>80</v>
      </c>
      <c r="AJ312" s="883" t="s">
        <v>2871</v>
      </c>
      <c r="AK312" s="870" t="s">
        <v>975</v>
      </c>
      <c r="AL312" s="883" t="s">
        <v>1784</v>
      </c>
      <c r="AM312" s="883"/>
      <c r="AN312" s="883"/>
      <c r="AO312" s="883">
        <v>0.26</v>
      </c>
      <c r="AP312" s="883">
        <v>0.248</v>
      </c>
      <c r="AQ312" s="883"/>
      <c r="AR312" s="887">
        <v>54.8</v>
      </c>
      <c r="AS312" s="903">
        <v>22.3</v>
      </c>
      <c r="AT312" s="918">
        <v>20.8</v>
      </c>
      <c r="AU312" s="903">
        <v>28.2</v>
      </c>
      <c r="AV312" s="903">
        <v>26.2</v>
      </c>
      <c r="AW312" s="904">
        <f>(100*PI()*(A312^2))/(40*AO312*AV312*453.5924)</f>
        <v>22.144574482103671</v>
      </c>
      <c r="AX312" s="889">
        <v>37226</v>
      </c>
      <c r="AY312" s="883" t="s">
        <v>2399</v>
      </c>
      <c r="AZ312" s="870">
        <v>17</v>
      </c>
      <c r="BA312" s="870" t="s">
        <v>976</v>
      </c>
      <c r="BB312" s="883" t="s">
        <v>977</v>
      </c>
      <c r="BC312" s="883">
        <v>13560701</v>
      </c>
      <c r="BD312" s="870">
        <v>13560601</v>
      </c>
      <c r="BE312" s="870"/>
      <c r="BF312" s="870"/>
      <c r="BG312" s="870"/>
      <c r="BH312" s="891" t="s">
        <v>2255</v>
      </c>
      <c r="BI312" s="914">
        <v>38432</v>
      </c>
      <c r="BJ312" s="892">
        <v>6000</v>
      </c>
      <c r="BK312" s="892">
        <v>13500</v>
      </c>
      <c r="BL312" s="892">
        <f>BJ312+BK312</f>
        <v>19500</v>
      </c>
      <c r="BM312" s="892">
        <v>1219</v>
      </c>
      <c r="BN312" s="892">
        <v>4521</v>
      </c>
      <c r="BO312" s="944">
        <v>393.7</v>
      </c>
      <c r="BP312" s="892">
        <f>IF(G312="Front",0.5*9.81*0.4535924*(BJ312+BL312*(BM312/BN312)*1.1)*1.1*(BO312/1000),IF(G312="Rear",0.5*9.81*0.4535924*(BK312+BL312*(BM312/BN312)*0.9)*0.9*(BO312/1000),"TBD"))</f>
        <v>14373.000092492965</v>
      </c>
      <c r="BQ312" s="944">
        <v>0.34</v>
      </c>
      <c r="BR312" s="893">
        <v>54.7</v>
      </c>
      <c r="BS312" s="893">
        <v>54.7</v>
      </c>
      <c r="BT312" s="943">
        <v>161</v>
      </c>
      <c r="BU312" s="892">
        <f>(2.4525*(BL312*0.4535924)*(0.8*(1000/3600)*BT312)*(BR312/100))/(AF312*2)</f>
        <v>1710.4418267303668</v>
      </c>
      <c r="BV312" s="892">
        <f>(BP312/(M312/1000))/(2*AF312)</f>
        <v>367.44254297165395</v>
      </c>
      <c r="BW312" s="892">
        <f>(1.4*BP312/(M312/1000))/(2*AF312)</f>
        <v>514.41956016031543</v>
      </c>
      <c r="BX312" s="893">
        <f>0.5*(BL312/32.2)*((BO312*0.00328084)^2)*(BS312/100)</f>
        <v>276.33570447378651</v>
      </c>
      <c r="BY312" s="891">
        <v>39</v>
      </c>
      <c r="BZ312" s="909">
        <f>BX312/(L312*BY312)</f>
        <v>1.8597193921110877E-2</v>
      </c>
      <c r="CA312" s="891" t="s">
        <v>2952</v>
      </c>
      <c r="CB312" s="891" t="s">
        <v>2952</v>
      </c>
      <c r="CC312" s="893">
        <f>BU312*(2*AF312)/(2*1600)</f>
        <v>132.66614418577407</v>
      </c>
      <c r="CD312" s="893">
        <f>BV312*(2*AF312)/(2*250)</f>
        <v>182.39847833112901</v>
      </c>
      <c r="CE312" s="890" t="str">
        <f>IF((CD312-CC312)&gt;0, "Shear","Power")</f>
        <v>Shear</v>
      </c>
      <c r="CF312" s="915">
        <f>(AF312/MAX(CC312,CD312))-1</f>
        <v>-0.31962151693663288</v>
      </c>
      <c r="CG312" s="890">
        <v>6.67</v>
      </c>
      <c r="CH312" s="890">
        <v>4.54</v>
      </c>
      <c r="CI312" s="890">
        <v>4.2700000000000002E-2</v>
      </c>
      <c r="CJ312" s="873"/>
      <c r="CK312" s="873"/>
    </row>
    <row r="313" spans="1:89" ht="25.5" x14ac:dyDescent="0.2">
      <c r="A313" s="973">
        <f t="shared" si="22"/>
        <v>93.338095116624274</v>
      </c>
      <c r="B313" s="883" t="s">
        <v>987</v>
      </c>
      <c r="C313" s="883"/>
      <c r="D313" s="883" t="s">
        <v>2877</v>
      </c>
      <c r="E313" s="883" t="s">
        <v>4225</v>
      </c>
      <c r="F313" s="883">
        <v>2004</v>
      </c>
      <c r="G313" s="913" t="s">
        <v>1797</v>
      </c>
      <c r="H313" s="870" t="s">
        <v>2903</v>
      </c>
      <c r="I313" s="886" t="s">
        <v>2907</v>
      </c>
      <c r="J313" s="883" t="s">
        <v>114</v>
      </c>
      <c r="K313" s="883" t="s">
        <v>893</v>
      </c>
      <c r="L313" s="870">
        <v>390</v>
      </c>
      <c r="M313" s="883">
        <v>163.30000000000001</v>
      </c>
      <c r="N313" s="883" t="s">
        <v>1224</v>
      </c>
      <c r="O313" s="870" t="s">
        <v>973</v>
      </c>
      <c r="P313" s="870"/>
      <c r="Q313" s="870"/>
      <c r="R313" s="870"/>
      <c r="S313" s="870"/>
      <c r="T313" s="870"/>
      <c r="U313" s="870"/>
      <c r="V313" s="870"/>
      <c r="W313" s="870"/>
      <c r="X313" s="870"/>
      <c r="Y313" s="870"/>
      <c r="Z313" s="870"/>
      <c r="AA313" s="870"/>
      <c r="AB313" s="870" t="s">
        <v>974</v>
      </c>
      <c r="AC313" s="883" t="s">
        <v>710</v>
      </c>
      <c r="AD313" s="883" t="s">
        <v>25</v>
      </c>
      <c r="AE313" s="883" t="s">
        <v>91</v>
      </c>
      <c r="AF313" s="870">
        <v>119</v>
      </c>
      <c r="AG313" s="870">
        <v>123.7</v>
      </c>
      <c r="AH313" s="883" t="s">
        <v>80</v>
      </c>
      <c r="AI313" s="883" t="s">
        <v>80</v>
      </c>
      <c r="AJ313" s="883" t="s">
        <v>2871</v>
      </c>
      <c r="AK313" s="870" t="s">
        <v>975</v>
      </c>
      <c r="AL313" s="883"/>
      <c r="AM313" s="883"/>
      <c r="AN313" s="883" t="s">
        <v>1784</v>
      </c>
      <c r="AO313" s="883">
        <v>0.34</v>
      </c>
      <c r="AP313" s="883">
        <v>0.35199999999999998</v>
      </c>
      <c r="AQ313" s="883"/>
      <c r="AR313" s="887">
        <v>37.4</v>
      </c>
      <c r="AS313" s="903">
        <v>11.52</v>
      </c>
      <c r="AT313" s="918">
        <v>10.6</v>
      </c>
      <c r="AU313" s="903">
        <v>21.3</v>
      </c>
      <c r="AV313" s="903">
        <v>19.3</v>
      </c>
      <c r="AW313" s="904">
        <f>(100*PI()*(A313^2))/(40*AO313*AV313*453.5924)</f>
        <v>22.988241598916517</v>
      </c>
      <c r="AX313" s="889">
        <v>37836</v>
      </c>
      <c r="AY313" s="883" t="s">
        <v>2399</v>
      </c>
      <c r="AZ313" s="870">
        <v>16</v>
      </c>
      <c r="BA313" s="870" t="s">
        <v>894</v>
      </c>
      <c r="BB313" s="883" t="s">
        <v>895</v>
      </c>
      <c r="BC313" s="883">
        <v>14551302</v>
      </c>
      <c r="BD313" s="870">
        <v>14551201</v>
      </c>
      <c r="BE313" s="870"/>
      <c r="BF313" s="870"/>
      <c r="BG313" s="870"/>
      <c r="BH313" s="891" t="s">
        <v>900</v>
      </c>
      <c r="BI313" s="914">
        <v>38432</v>
      </c>
      <c r="BJ313" s="892">
        <v>6000</v>
      </c>
      <c r="BK313" s="892">
        <v>13500</v>
      </c>
      <c r="BL313" s="892">
        <f>BJ313+BK313</f>
        <v>19500</v>
      </c>
      <c r="BM313" s="892">
        <v>1219</v>
      </c>
      <c r="BN313" s="892">
        <v>5283</v>
      </c>
      <c r="BO313" s="944">
        <v>393.7</v>
      </c>
      <c r="BP313" s="892">
        <f>IF(G313="Front",0.5*9.81*0.4535924*(BJ313+BL313*(BM313/BN313)*1.1)*1.1*(BO313/1000),IF(G313="Rear",0.5*9.81*0.4535924*(BK313+BL313*(BM313/BN313)*0.9)*0.9*(BO313/1000),"TBD"))</f>
        <v>13834.936774662716</v>
      </c>
      <c r="BQ313" s="944">
        <v>0.34</v>
      </c>
      <c r="BR313" s="893">
        <v>53.8</v>
      </c>
      <c r="BS313" s="893">
        <v>53.8</v>
      </c>
      <c r="BT313" s="943">
        <v>161</v>
      </c>
      <c r="BU313" s="892">
        <f>(2.4525*(BL313*0.4535924)*(0.8*(1000/3600)*BT313)*(BR313/100))/(AF313*2)</f>
        <v>1754.3978141292353</v>
      </c>
      <c r="BV313" s="892">
        <f>(BP313/(M313/1000))/(2*AF313)</f>
        <v>355.97052325880384</v>
      </c>
      <c r="BW313" s="892">
        <f>(1.4*BP313/(M313/1000))/(2*AF313)</f>
        <v>498.35873256232543</v>
      </c>
      <c r="BX313" s="893">
        <f>0.5*(BL313/32.2)*((BO313*0.00328084)^2)*(BS313/100)</f>
        <v>271.78904754460166</v>
      </c>
      <c r="BY313" s="891">
        <v>39</v>
      </c>
      <c r="BZ313" s="909">
        <f>BX313/(L313*BY313)</f>
        <v>1.7869102402669406E-2</v>
      </c>
      <c r="CA313" s="891" t="s">
        <v>2952</v>
      </c>
      <c r="CB313" s="891" t="s">
        <v>2952</v>
      </c>
      <c r="CC313" s="893">
        <f>BU313*(2*AF313)/(2*1600)</f>
        <v>130.48333742586186</v>
      </c>
      <c r="CD313" s="893">
        <f>BV313*(2*AF313)/(2*250)</f>
        <v>169.44196907119064</v>
      </c>
      <c r="CE313" s="890" t="str">
        <f>IF((CD313-CC313)&gt;0, "Shear","Power")</f>
        <v>Shear</v>
      </c>
      <c r="CF313" s="915">
        <f>(AF313/MAX(CC313,CD313))-1</f>
        <v>-0.29769465822247121</v>
      </c>
      <c r="CG313" s="890">
        <v>6.56</v>
      </c>
      <c r="CH313" s="890">
        <v>4.32</v>
      </c>
      <c r="CI313" s="896">
        <v>4.2700000000000002E-2</v>
      </c>
      <c r="CJ313" s="873"/>
      <c r="CK313" s="873"/>
    </row>
    <row r="314" spans="1:89" ht="38.25" x14ac:dyDescent="0.2">
      <c r="A314" s="893">
        <f t="shared" si="22"/>
        <v>93.338095116624274</v>
      </c>
      <c r="B314" s="883" t="s">
        <v>1846</v>
      </c>
      <c r="C314" s="883"/>
      <c r="D314" s="883" t="s">
        <v>848</v>
      </c>
      <c r="E314" s="883" t="s">
        <v>4225</v>
      </c>
      <c r="F314" s="883"/>
      <c r="G314" s="934"/>
      <c r="H314" s="870" t="s">
        <v>1852</v>
      </c>
      <c r="I314" s="902" t="s">
        <v>1854</v>
      </c>
      <c r="J314" s="883" t="s">
        <v>114</v>
      </c>
      <c r="K314" s="883"/>
      <c r="L314" s="870" t="s">
        <v>1847</v>
      </c>
      <c r="M314" s="870" t="s">
        <v>1848</v>
      </c>
      <c r="N314" s="883">
        <v>19.5</v>
      </c>
      <c r="O314" s="870" t="s">
        <v>973</v>
      </c>
      <c r="P314" s="870"/>
      <c r="Q314" s="870"/>
      <c r="R314" s="870"/>
      <c r="S314" s="870"/>
      <c r="T314" s="870"/>
      <c r="U314" s="870"/>
      <c r="V314" s="870"/>
      <c r="W314" s="870"/>
      <c r="X314" s="870"/>
      <c r="Y314" s="870"/>
      <c r="Z314" s="870"/>
      <c r="AA314" s="870"/>
      <c r="AB314" s="870" t="s">
        <v>974</v>
      </c>
      <c r="AC314" s="883" t="s">
        <v>710</v>
      </c>
      <c r="AD314" s="883" t="s">
        <v>25</v>
      </c>
      <c r="AE314" s="883" t="s">
        <v>120</v>
      </c>
      <c r="AF314" s="883" t="s">
        <v>1849</v>
      </c>
      <c r="AG314" s="883" t="s">
        <v>1850</v>
      </c>
      <c r="AH314" s="883" t="s">
        <v>80</v>
      </c>
      <c r="AI314" s="883" t="s">
        <v>80</v>
      </c>
      <c r="AJ314" s="870" t="s">
        <v>234</v>
      </c>
      <c r="AK314" s="870" t="s">
        <v>1851</v>
      </c>
      <c r="AL314" s="883"/>
      <c r="AM314" s="883"/>
      <c r="AN314" s="883" t="s">
        <v>1784</v>
      </c>
      <c r="AO314" s="883">
        <v>0.36</v>
      </c>
      <c r="AP314" s="883" t="s">
        <v>819</v>
      </c>
      <c r="AQ314" s="883"/>
      <c r="AR314" s="887"/>
      <c r="AS314" s="888"/>
      <c r="AT314" s="887"/>
      <c r="AU314" s="888"/>
      <c r="AV314" s="888"/>
      <c r="AW314" s="904" t="e">
        <f>(100*PI()*(A314^2))/(40*AO314*AV314*453.5924)</f>
        <v>#DIV/0!</v>
      </c>
      <c r="AX314" s="889" t="s">
        <v>1853</v>
      </c>
      <c r="AY314" s="883" t="s">
        <v>1659</v>
      </c>
      <c r="AZ314" s="870"/>
      <c r="BA314" s="870"/>
      <c r="BB314" s="870"/>
      <c r="BC314" s="883"/>
      <c r="BD314" s="870"/>
      <c r="BE314" s="870"/>
      <c r="BF314" s="870"/>
      <c r="BG314" s="870"/>
      <c r="BH314" s="891"/>
      <c r="BI314" s="891"/>
      <c r="BJ314" s="907"/>
      <c r="BK314" s="907"/>
      <c r="BL314" s="907"/>
      <c r="BM314" s="907"/>
      <c r="BN314" s="907"/>
      <c r="BO314" s="891"/>
      <c r="BP314" s="907"/>
      <c r="BQ314" s="891"/>
      <c r="BR314" s="904">
        <v>66.3</v>
      </c>
      <c r="BS314" s="904">
        <v>66</v>
      </c>
      <c r="BT314" s="943">
        <v>100</v>
      </c>
      <c r="BU314" s="975" t="e">
        <f>((0.5*((0.5*BL314/2.20462)*(0.8*BT314/3.6)^2))*(BR314/100)/((0.8*BT314/3.6)/9.8))/(AF314*2)</f>
        <v>#VALUE!</v>
      </c>
      <c r="BV314" s="898"/>
      <c r="BW314" s="898"/>
      <c r="BX314" s="893">
        <f>0.5*(BL314/32.2)*((BO314*0.00328084)^2)*(BS314/100)</f>
        <v>0</v>
      </c>
      <c r="BY314" s="891"/>
      <c r="BZ314" s="909"/>
      <c r="CA314" s="891"/>
      <c r="CB314" s="891"/>
      <c r="CC314" s="893"/>
      <c r="CD314" s="893"/>
      <c r="CE314" s="890"/>
      <c r="CF314" s="890"/>
      <c r="CG314" s="890"/>
      <c r="CH314" s="890"/>
      <c r="CI314" s="890"/>
      <c r="CJ314" s="873"/>
      <c r="CK314" s="873"/>
    </row>
    <row r="315" spans="1:89" ht="25.5" x14ac:dyDescent="0.2">
      <c r="A315" s="893">
        <f t="shared" si="22"/>
        <v>93.338095116624274</v>
      </c>
      <c r="B315" s="883" t="s">
        <v>1855</v>
      </c>
      <c r="C315" s="883"/>
      <c r="D315" s="883" t="s">
        <v>1787</v>
      </c>
      <c r="E315" s="883" t="s">
        <v>4225</v>
      </c>
      <c r="F315" s="883"/>
      <c r="G315" s="913" t="s">
        <v>1738</v>
      </c>
      <c r="H315" s="870" t="s">
        <v>1860</v>
      </c>
      <c r="I315" s="886" t="s">
        <v>1863</v>
      </c>
      <c r="J315" s="883" t="s">
        <v>114</v>
      </c>
      <c r="K315" s="883" t="s">
        <v>1856</v>
      </c>
      <c r="L315" s="883">
        <v>390</v>
      </c>
      <c r="M315" s="883">
        <v>163.32</v>
      </c>
      <c r="N315" s="883" t="s">
        <v>1224</v>
      </c>
      <c r="O315" s="870" t="s">
        <v>973</v>
      </c>
      <c r="P315" s="870"/>
      <c r="Q315" s="870"/>
      <c r="R315" s="870"/>
      <c r="S315" s="870"/>
      <c r="T315" s="870"/>
      <c r="U315" s="870"/>
      <c r="V315" s="870"/>
      <c r="W315" s="870"/>
      <c r="X315" s="870"/>
      <c r="Y315" s="870"/>
      <c r="Z315" s="870"/>
      <c r="AA315" s="870"/>
      <c r="AB315" s="870" t="s">
        <v>1857</v>
      </c>
      <c r="AC315" s="883" t="s">
        <v>710</v>
      </c>
      <c r="AD315" s="883" t="s">
        <v>1858</v>
      </c>
      <c r="AE315" s="883" t="s">
        <v>1859</v>
      </c>
      <c r="AF315" s="883">
        <v>107</v>
      </c>
      <c r="AG315" s="883" t="s">
        <v>1850</v>
      </c>
      <c r="AH315" s="883" t="s">
        <v>80</v>
      </c>
      <c r="AI315" s="883" t="s">
        <v>80</v>
      </c>
      <c r="AJ315" s="883" t="s">
        <v>234</v>
      </c>
      <c r="AK315" s="870" t="s">
        <v>975</v>
      </c>
      <c r="AL315" s="883"/>
      <c r="AM315" s="883"/>
      <c r="AN315" s="883" t="s">
        <v>1784</v>
      </c>
      <c r="AO315" s="883">
        <v>0.27</v>
      </c>
      <c r="AP315" s="883">
        <v>0.27</v>
      </c>
      <c r="AQ315" s="883"/>
      <c r="AR315" s="887">
        <v>45.124000000000002</v>
      </c>
      <c r="AS315" s="903">
        <v>16.3</v>
      </c>
      <c r="AT315" s="918">
        <v>14.6</v>
      </c>
      <c r="AU315" s="903">
        <v>26.48</v>
      </c>
      <c r="AV315" s="903">
        <v>24.1</v>
      </c>
      <c r="AW315" s="904">
        <f>(100*PI()*(A315^2))/(40*AO315*AV315*453.5924)</f>
        <v>23.18254823606734</v>
      </c>
      <c r="AX315" s="889">
        <v>2004</v>
      </c>
      <c r="AY315" s="883" t="s">
        <v>1659</v>
      </c>
      <c r="AZ315" s="870">
        <v>28</v>
      </c>
      <c r="BA315" s="870" t="s">
        <v>1861</v>
      </c>
      <c r="BB315" s="883" t="s">
        <v>1862</v>
      </c>
      <c r="BC315" s="883">
        <v>13912701</v>
      </c>
      <c r="BD315" s="870">
        <v>13912801</v>
      </c>
      <c r="BE315" s="870"/>
      <c r="BF315" s="870"/>
      <c r="BG315" s="870"/>
      <c r="BH315" s="891" t="s">
        <v>1864</v>
      </c>
      <c r="BI315" s="914">
        <v>37160</v>
      </c>
      <c r="BJ315" s="892">
        <v>7000</v>
      </c>
      <c r="BK315" s="892">
        <v>12500</v>
      </c>
      <c r="BL315" s="892">
        <v>19500</v>
      </c>
      <c r="BM315" s="892">
        <v>1066.8</v>
      </c>
      <c r="BN315" s="892">
        <v>3644.9</v>
      </c>
      <c r="BO315" s="944">
        <v>415.13799999999998</v>
      </c>
      <c r="BP315" s="892">
        <f>IF(G315="Front",0.5*9.81*0.4535924*(BJ315+BL315*(BM315/BN315))*(BO315/1000),IF(G315="Rear",0.5*9.81*0.4535924*(BK315-BL315*(BM315/BN315))*(BO315/1000),"TBD"))</f>
        <v>11736.838705180498</v>
      </c>
      <c r="BQ315" s="944">
        <v>0.35</v>
      </c>
      <c r="BR315" s="893">
        <v>50</v>
      </c>
      <c r="BS315" s="893">
        <v>50</v>
      </c>
      <c r="BT315" s="943">
        <v>161</v>
      </c>
      <c r="BU315" s="892">
        <f>(2.4525*(BL315*0.4535924)*(0.8*(1000/3600)*BT315)*(BR315/100))/(AF315*2)</f>
        <v>1813.3389490443926</v>
      </c>
      <c r="BV315" s="892"/>
      <c r="BW315" s="892"/>
      <c r="BX315" s="893">
        <f>0.5*(BL315/32.2)*((BO315*0.00328084)^2)*(BS315/100)</f>
        <v>280.84961198598143</v>
      </c>
      <c r="BY315" s="891">
        <v>39</v>
      </c>
      <c r="BZ315" s="909">
        <f>BX315/(L315*BY315)</f>
        <v>1.8464800262063211E-2</v>
      </c>
      <c r="CA315" s="891"/>
      <c r="CB315" s="891"/>
      <c r="CC315" s="893"/>
      <c r="CD315" s="893"/>
      <c r="CE315" s="890"/>
      <c r="CF315" s="890"/>
      <c r="CG315" s="890"/>
      <c r="CH315" s="890"/>
      <c r="CI315" s="890"/>
      <c r="CJ315" s="873"/>
      <c r="CK315" s="873"/>
    </row>
    <row r="316" spans="1:89" x14ac:dyDescent="0.2">
      <c r="A316" s="877"/>
      <c r="B316" s="1023"/>
      <c r="C316" s="1023"/>
      <c r="D316" s="1023"/>
      <c r="E316" s="1023"/>
      <c r="F316" s="1023"/>
      <c r="G316" s="1024"/>
      <c r="H316" s="870"/>
      <c r="I316" s="873"/>
      <c r="J316" s="1023"/>
      <c r="K316" s="1023"/>
      <c r="L316" s="1023"/>
      <c r="M316" s="1023"/>
      <c r="N316" s="1023"/>
      <c r="O316" s="876"/>
      <c r="P316" s="876"/>
      <c r="Q316" s="876"/>
      <c r="R316" s="876"/>
      <c r="S316" s="876"/>
      <c r="T316" s="876"/>
      <c r="U316" s="876"/>
      <c r="V316" s="876"/>
      <c r="W316" s="870"/>
      <c r="X316" s="876"/>
      <c r="Y316" s="870"/>
      <c r="Z316" s="876"/>
      <c r="AA316" s="876"/>
      <c r="AB316" s="876"/>
      <c r="AC316" s="1023"/>
      <c r="AD316" s="1023"/>
      <c r="AE316" s="1023"/>
      <c r="AF316" s="1023"/>
      <c r="AG316" s="1023"/>
      <c r="AH316" s="1023"/>
      <c r="AI316" s="1023"/>
      <c r="AJ316" s="1023"/>
      <c r="AK316" s="876"/>
      <c r="AL316" s="1023"/>
      <c r="AM316" s="1023"/>
      <c r="AN316" s="1023"/>
      <c r="AO316" s="1023"/>
      <c r="AP316" s="1023"/>
      <c r="AQ316" s="1023"/>
      <c r="AR316" s="1025"/>
      <c r="AS316" s="1026"/>
      <c r="AT316" s="1027"/>
      <c r="AU316" s="1026"/>
      <c r="AV316" s="1026"/>
      <c r="AW316" s="878"/>
      <c r="AX316" s="1028"/>
      <c r="AY316" s="1023"/>
      <c r="AZ316" s="876"/>
      <c r="BA316" s="876"/>
      <c r="BB316" s="1023"/>
      <c r="BC316" s="1023"/>
      <c r="BD316" s="876"/>
      <c r="BE316" s="876"/>
      <c r="BF316" s="876"/>
      <c r="BG316" s="876"/>
      <c r="BH316" s="875"/>
      <c r="BI316" s="1024"/>
      <c r="BJ316" s="880"/>
      <c r="BK316" s="880"/>
      <c r="BL316" s="880"/>
      <c r="BM316" s="880"/>
      <c r="BN316" s="880"/>
      <c r="BO316" s="1029"/>
      <c r="BP316" s="880"/>
      <c r="BQ316" s="1029"/>
      <c r="BR316" s="877"/>
      <c r="BS316" s="877"/>
      <c r="BT316" s="1030"/>
      <c r="BU316" s="880"/>
      <c r="BV316" s="880"/>
      <c r="BW316" s="880"/>
      <c r="BX316" s="877"/>
      <c r="BY316" s="875"/>
      <c r="BZ316" s="882"/>
      <c r="CA316" s="875"/>
      <c r="CB316" s="875"/>
      <c r="CC316" s="877"/>
      <c r="CD316" s="877"/>
      <c r="CE316" s="873"/>
      <c r="CF316" s="873"/>
      <c r="CG316" s="873"/>
      <c r="CH316" s="873"/>
      <c r="CI316" s="873"/>
      <c r="CJ316" s="873"/>
      <c r="CK316" s="873"/>
    </row>
    <row r="317" spans="1:89" x14ac:dyDescent="0.2">
      <c r="A317" s="873"/>
      <c r="B317" s="873" t="s">
        <v>1779</v>
      </c>
      <c r="C317" s="873"/>
      <c r="D317" s="873"/>
      <c r="E317" s="873"/>
      <c r="F317" s="873"/>
      <c r="G317" s="873"/>
      <c r="H317" s="890"/>
      <c r="I317" s="873"/>
      <c r="J317" s="873"/>
      <c r="K317" s="873"/>
      <c r="L317" s="873"/>
      <c r="M317" s="873"/>
      <c r="N317" s="873"/>
      <c r="O317" s="875"/>
      <c r="P317" s="875"/>
      <c r="Q317" s="875"/>
      <c r="R317" s="875"/>
      <c r="S317" s="873"/>
      <c r="T317" s="873"/>
      <c r="U317" s="873"/>
      <c r="V317" s="873"/>
      <c r="W317" s="870"/>
      <c r="X317" s="873"/>
      <c r="Y317" s="870"/>
      <c r="Z317" s="876"/>
      <c r="AA317" s="873"/>
      <c r="AB317" s="875"/>
      <c r="AC317" s="873"/>
      <c r="AD317" s="873"/>
      <c r="AE317" s="873"/>
      <c r="AF317" s="873"/>
      <c r="AG317" s="873"/>
      <c r="AH317" s="873"/>
      <c r="AI317" s="873"/>
      <c r="AJ317" s="873"/>
      <c r="AK317" s="875"/>
      <c r="AL317" s="873"/>
      <c r="AM317" s="873"/>
      <c r="AN317" s="873"/>
      <c r="AO317" s="873"/>
      <c r="AP317" s="873"/>
      <c r="AQ317" s="873"/>
      <c r="AR317" s="877"/>
      <c r="AS317" s="878"/>
      <c r="AT317" s="877"/>
      <c r="AU317" s="878"/>
      <c r="AV317" s="878"/>
      <c r="AW317" s="878"/>
      <c r="AX317" s="879"/>
      <c r="AY317" s="873"/>
      <c r="AZ317" s="873"/>
      <c r="BA317" s="873"/>
      <c r="BB317" s="873"/>
      <c r="BC317" s="873"/>
      <c r="BD317" s="873"/>
      <c r="BE317" s="873"/>
      <c r="BF317" s="873"/>
      <c r="BG317" s="873"/>
      <c r="BH317" s="875"/>
      <c r="BI317" s="873"/>
      <c r="BJ317" s="880"/>
      <c r="BK317" s="880"/>
      <c r="BL317" s="880"/>
      <c r="BM317" s="880"/>
      <c r="BN317" s="880"/>
      <c r="BO317" s="873"/>
      <c r="BP317" s="880"/>
      <c r="BQ317" s="873"/>
      <c r="BR317" s="877"/>
      <c r="BS317" s="877"/>
      <c r="BT317" s="881"/>
      <c r="BU317" s="880"/>
      <c r="BV317" s="880"/>
      <c r="BW317" s="880"/>
      <c r="BX317" s="873"/>
      <c r="BY317" s="873"/>
      <c r="BZ317" s="1031"/>
      <c r="CA317" s="873"/>
      <c r="CB317" s="873"/>
      <c r="CC317" s="877"/>
      <c r="CD317" s="877"/>
      <c r="CE317" s="873"/>
      <c r="CF317" s="873"/>
      <c r="CG317" s="873"/>
      <c r="CH317" s="873"/>
      <c r="CI317" s="873"/>
      <c r="CJ317" s="873"/>
      <c r="CK317" s="873"/>
    </row>
    <row r="318" spans="1:89" x14ac:dyDescent="0.2">
      <c r="A318" s="890">
        <v>66</v>
      </c>
      <c r="B318" s="883" t="s">
        <v>2571</v>
      </c>
      <c r="C318" s="883"/>
      <c r="D318" s="883" t="s">
        <v>848</v>
      </c>
      <c r="E318" s="883"/>
      <c r="F318" s="883"/>
      <c r="G318" s="885"/>
      <c r="H318" s="870" t="s">
        <v>1781</v>
      </c>
      <c r="I318" s="886" t="s">
        <v>1527</v>
      </c>
      <c r="J318" s="883" t="s">
        <v>114</v>
      </c>
      <c r="K318" s="883"/>
      <c r="L318" s="883">
        <v>276</v>
      </c>
      <c r="M318" s="883">
        <v>111</v>
      </c>
      <c r="N318" s="883" t="s">
        <v>1705</v>
      </c>
      <c r="O318" s="870" t="s">
        <v>1706</v>
      </c>
      <c r="P318" s="870"/>
      <c r="Q318" s="870"/>
      <c r="R318" s="870"/>
      <c r="S318" s="870"/>
      <c r="T318" s="870"/>
      <c r="U318" s="870"/>
      <c r="V318" s="870"/>
      <c r="W318" s="870"/>
      <c r="X318" s="870"/>
      <c r="Y318" s="870"/>
      <c r="Z318" s="870"/>
      <c r="AA318" s="870"/>
      <c r="AB318" s="870" t="s">
        <v>1780</v>
      </c>
      <c r="AC318" s="870" t="s">
        <v>119</v>
      </c>
      <c r="AD318" s="870" t="s">
        <v>1552</v>
      </c>
      <c r="AE318" s="870" t="s">
        <v>120</v>
      </c>
      <c r="AF318" s="883">
        <v>51.69</v>
      </c>
      <c r="AG318" s="883">
        <v>54.3</v>
      </c>
      <c r="AH318" s="883" t="s">
        <v>122</v>
      </c>
      <c r="AI318" s="883" t="s">
        <v>122</v>
      </c>
      <c r="AJ318" s="883" t="s">
        <v>2871</v>
      </c>
      <c r="AK318" s="870" t="s">
        <v>1530</v>
      </c>
      <c r="AL318" s="883"/>
      <c r="AM318" s="883"/>
      <c r="AN318" s="883" t="s">
        <v>1784</v>
      </c>
      <c r="AO318" s="883"/>
      <c r="AP318" s="883">
        <v>0.41</v>
      </c>
      <c r="AQ318" s="883"/>
      <c r="AR318" s="918">
        <v>13.9</v>
      </c>
      <c r="AS318" s="888">
        <v>3.3</v>
      </c>
      <c r="AT318" s="887">
        <v>3.5</v>
      </c>
      <c r="AU318" s="888">
        <v>8</v>
      </c>
      <c r="AV318" s="888"/>
      <c r="AW318" s="888"/>
      <c r="AX318" s="889" t="s">
        <v>1789</v>
      </c>
      <c r="AY318" s="883" t="s">
        <v>2576</v>
      </c>
      <c r="AZ318" s="870">
        <v>960</v>
      </c>
      <c r="BA318" s="870" t="s">
        <v>1782</v>
      </c>
      <c r="BB318" s="883" t="s">
        <v>1783</v>
      </c>
      <c r="BC318" s="883" t="s">
        <v>1556</v>
      </c>
      <c r="BD318" s="870" t="s">
        <v>2448</v>
      </c>
      <c r="BE318" s="870"/>
      <c r="BF318" s="870"/>
      <c r="BG318" s="870"/>
      <c r="BH318" s="891" t="s">
        <v>1653</v>
      </c>
      <c r="BI318" s="890"/>
      <c r="BJ318" s="892"/>
      <c r="BK318" s="892"/>
      <c r="BL318" s="892"/>
      <c r="BM318" s="892"/>
      <c r="BN318" s="892"/>
      <c r="BO318" s="890"/>
      <c r="BP318" s="892" t="e">
        <f>1/2*9.8*(BJ318/2.2+BL318/2.2*BM318/BN318*1)*1*BO318/1000</f>
        <v>#DIV/0!</v>
      </c>
      <c r="BQ318" s="890">
        <v>0.35</v>
      </c>
      <c r="BR318" s="893"/>
      <c r="BS318" s="893"/>
      <c r="BT318" s="969"/>
      <c r="BU318" s="975"/>
      <c r="BV318" s="975"/>
      <c r="BW318" s="975"/>
      <c r="BX318" s="890"/>
      <c r="BY318" s="890"/>
      <c r="BZ318" s="895"/>
      <c r="CA318" s="890"/>
      <c r="CB318" s="890"/>
      <c r="CC318" s="893"/>
      <c r="CD318" s="893"/>
      <c r="CE318" s="890"/>
      <c r="CF318" s="890"/>
      <c r="CG318" s="890"/>
      <c r="CH318" s="890"/>
      <c r="CI318" s="890"/>
      <c r="CJ318" s="873"/>
      <c r="CK318" s="873"/>
    </row>
    <row r="319" spans="1:89" ht="25.5" x14ac:dyDescent="0.2">
      <c r="A319" s="890">
        <v>66</v>
      </c>
      <c r="B319" s="883" t="s">
        <v>2571</v>
      </c>
      <c r="C319" s="883"/>
      <c r="D319" s="883" t="s">
        <v>848</v>
      </c>
      <c r="E319" s="883"/>
      <c r="F319" s="883"/>
      <c r="G319" s="885"/>
      <c r="H319" s="870" t="s">
        <v>2725</v>
      </c>
      <c r="I319" s="886" t="s">
        <v>1527</v>
      </c>
      <c r="J319" s="883" t="s">
        <v>114</v>
      </c>
      <c r="K319" s="883"/>
      <c r="L319" s="883">
        <v>294</v>
      </c>
      <c r="M319" s="883">
        <v>120</v>
      </c>
      <c r="N319" s="883" t="s">
        <v>1361</v>
      </c>
      <c r="O319" s="870" t="s">
        <v>1706</v>
      </c>
      <c r="P319" s="870"/>
      <c r="Q319" s="870"/>
      <c r="R319" s="870"/>
      <c r="S319" s="870"/>
      <c r="T319" s="870"/>
      <c r="U319" s="870"/>
      <c r="V319" s="870"/>
      <c r="W319" s="870"/>
      <c r="X319" s="870"/>
      <c r="Y319" s="870"/>
      <c r="Z319" s="870"/>
      <c r="AA319" s="870"/>
      <c r="AB319" s="870" t="s">
        <v>2724</v>
      </c>
      <c r="AC319" s="870" t="s">
        <v>119</v>
      </c>
      <c r="AD319" s="870" t="s">
        <v>1552</v>
      </c>
      <c r="AE319" s="870" t="s">
        <v>120</v>
      </c>
      <c r="AF319" s="883">
        <v>58.23</v>
      </c>
      <c r="AG319" s="883">
        <v>61.1</v>
      </c>
      <c r="AH319" s="883" t="s">
        <v>122</v>
      </c>
      <c r="AI319" s="883" t="s">
        <v>122</v>
      </c>
      <c r="AJ319" s="883" t="s">
        <v>2871</v>
      </c>
      <c r="AK319" s="870" t="s">
        <v>1530</v>
      </c>
      <c r="AL319" s="883"/>
      <c r="AM319" s="883"/>
      <c r="AN319" s="883" t="s">
        <v>1784</v>
      </c>
      <c r="AO319" s="883"/>
      <c r="AP319" s="883">
        <v>0.41</v>
      </c>
      <c r="AQ319" s="883"/>
      <c r="AR319" s="918">
        <v>13.9</v>
      </c>
      <c r="AS319" s="888">
        <v>3.7</v>
      </c>
      <c r="AT319" s="887">
        <v>3.5</v>
      </c>
      <c r="AU319" s="888">
        <v>8</v>
      </c>
      <c r="AV319" s="888"/>
      <c r="AW319" s="888"/>
      <c r="AX319" s="889" t="s">
        <v>1789</v>
      </c>
      <c r="AY319" s="883" t="s">
        <v>2576</v>
      </c>
      <c r="AZ319" s="870">
        <v>68</v>
      </c>
      <c r="BA319" s="870" t="s">
        <v>2726</v>
      </c>
      <c r="BB319" s="883" t="s">
        <v>2727</v>
      </c>
      <c r="BC319" s="883" t="s">
        <v>1556</v>
      </c>
      <c r="BD319" s="870" t="s">
        <v>2448</v>
      </c>
      <c r="BE319" s="870"/>
      <c r="BF319" s="870"/>
      <c r="BG319" s="870"/>
      <c r="BH319" s="891"/>
      <c r="BI319" s="890"/>
      <c r="BJ319" s="892"/>
      <c r="BK319" s="892"/>
      <c r="BL319" s="892"/>
      <c r="BM319" s="892"/>
      <c r="BN319" s="892"/>
      <c r="BO319" s="890"/>
      <c r="BP319" s="892" t="e">
        <f>1/2*9.8*(BJ319/2.2+BL319/2.2*BM319/BN319*1)*1*BO319/1000</f>
        <v>#DIV/0!</v>
      </c>
      <c r="BQ319" s="890">
        <v>0.35</v>
      </c>
      <c r="BR319" s="893"/>
      <c r="BS319" s="893"/>
      <c r="BT319" s="969"/>
      <c r="BU319" s="975"/>
      <c r="BV319" s="975"/>
      <c r="BW319" s="975"/>
      <c r="BX319" s="890"/>
      <c r="BY319" s="890"/>
      <c r="BZ319" s="895"/>
      <c r="CA319" s="890"/>
      <c r="CB319" s="890"/>
      <c r="CC319" s="893"/>
      <c r="CD319" s="893"/>
      <c r="CE319" s="890"/>
      <c r="CF319" s="890"/>
      <c r="CG319" s="890"/>
      <c r="CH319" s="890"/>
      <c r="CI319" s="890"/>
      <c r="CJ319" s="873"/>
      <c r="CK319" s="873"/>
    </row>
    <row r="320" spans="1:89" ht="25.5" x14ac:dyDescent="0.2">
      <c r="A320" s="890">
        <v>66</v>
      </c>
      <c r="B320" s="883" t="s">
        <v>2571</v>
      </c>
      <c r="C320" s="883"/>
      <c r="D320" s="883" t="s">
        <v>848</v>
      </c>
      <c r="E320" s="883"/>
      <c r="F320" s="883"/>
      <c r="G320" s="885"/>
      <c r="H320" s="870" t="s">
        <v>2725</v>
      </c>
      <c r="I320" s="886" t="s">
        <v>1527</v>
      </c>
      <c r="J320" s="883" t="s">
        <v>114</v>
      </c>
      <c r="K320" s="883"/>
      <c r="L320" s="883">
        <v>294</v>
      </c>
      <c r="M320" s="883">
        <v>120</v>
      </c>
      <c r="N320" s="883" t="s">
        <v>1361</v>
      </c>
      <c r="O320" s="870" t="s">
        <v>1706</v>
      </c>
      <c r="P320" s="870"/>
      <c r="Q320" s="870"/>
      <c r="R320" s="870"/>
      <c r="S320" s="870"/>
      <c r="T320" s="870"/>
      <c r="U320" s="870"/>
      <c r="V320" s="870"/>
      <c r="W320" s="870"/>
      <c r="X320" s="870"/>
      <c r="Y320" s="870"/>
      <c r="Z320" s="870"/>
      <c r="AA320" s="870"/>
      <c r="AB320" s="870" t="s">
        <v>2724</v>
      </c>
      <c r="AC320" s="870" t="s">
        <v>119</v>
      </c>
      <c r="AD320" s="870" t="s">
        <v>1552</v>
      </c>
      <c r="AE320" s="870" t="s">
        <v>120</v>
      </c>
      <c r="AF320" s="883">
        <v>58.23</v>
      </c>
      <c r="AG320" s="883">
        <v>61.1</v>
      </c>
      <c r="AH320" s="883" t="s">
        <v>122</v>
      </c>
      <c r="AI320" s="883" t="s">
        <v>122</v>
      </c>
      <c r="AJ320" s="883" t="s">
        <v>2871</v>
      </c>
      <c r="AK320" s="870" t="s">
        <v>1530</v>
      </c>
      <c r="AL320" s="883"/>
      <c r="AM320" s="883"/>
      <c r="AN320" s="883" t="s">
        <v>1784</v>
      </c>
      <c r="AO320" s="883"/>
      <c r="AP320" s="883">
        <v>0.41</v>
      </c>
      <c r="AQ320" s="883"/>
      <c r="AR320" s="918">
        <v>13.9</v>
      </c>
      <c r="AS320" s="888">
        <v>3.7</v>
      </c>
      <c r="AT320" s="887">
        <v>3.5</v>
      </c>
      <c r="AU320" s="888">
        <v>8</v>
      </c>
      <c r="AV320" s="888"/>
      <c r="AW320" s="888"/>
      <c r="AX320" s="889" t="s">
        <v>1789</v>
      </c>
      <c r="AY320" s="883" t="s">
        <v>2576</v>
      </c>
      <c r="AZ320" s="870">
        <v>68</v>
      </c>
      <c r="BA320" s="870" t="s">
        <v>2726</v>
      </c>
      <c r="BB320" s="883" t="s">
        <v>2727</v>
      </c>
      <c r="BC320" s="883" t="s">
        <v>1556</v>
      </c>
      <c r="BD320" s="870" t="s">
        <v>2448</v>
      </c>
      <c r="BE320" s="870"/>
      <c r="BF320" s="870"/>
      <c r="BG320" s="870"/>
      <c r="BH320" s="891"/>
      <c r="BI320" s="890"/>
      <c r="BJ320" s="892"/>
      <c r="BK320" s="892"/>
      <c r="BL320" s="892"/>
      <c r="BM320" s="892"/>
      <c r="BN320" s="892"/>
      <c r="BO320" s="890"/>
      <c r="BP320" s="892" t="e">
        <f>1/2*9.8*(BJ319/2.2+BL319/2.2*BM319/BN319*1)*1*BO319/1000</f>
        <v>#DIV/0!</v>
      </c>
      <c r="BQ320" s="890">
        <v>0.35</v>
      </c>
      <c r="BR320" s="893"/>
      <c r="BS320" s="893"/>
      <c r="BT320" s="969"/>
      <c r="BU320" s="975"/>
      <c r="BV320" s="975"/>
      <c r="BW320" s="975"/>
      <c r="BX320" s="890"/>
      <c r="BY320" s="890"/>
      <c r="BZ320" s="895"/>
      <c r="CA320" s="890"/>
      <c r="CB320" s="890"/>
      <c r="CC320" s="893"/>
      <c r="CD320" s="893"/>
      <c r="CE320" s="890"/>
      <c r="CF320" s="890"/>
      <c r="CG320" s="890"/>
      <c r="CH320" s="890"/>
      <c r="CI320" s="890"/>
      <c r="CJ320" s="873"/>
      <c r="CK320" s="873"/>
    </row>
    <row r="321" spans="1:89" ht="25.5" x14ac:dyDescent="0.2">
      <c r="A321" s="890">
        <v>66</v>
      </c>
      <c r="B321" s="883" t="s">
        <v>2571</v>
      </c>
      <c r="C321" s="883"/>
      <c r="D321" s="883" t="s">
        <v>848</v>
      </c>
      <c r="E321" s="883"/>
      <c r="F321" s="883"/>
      <c r="G321" s="885"/>
      <c r="H321" s="870" t="s">
        <v>2725</v>
      </c>
      <c r="I321" s="886" t="s">
        <v>1527</v>
      </c>
      <c r="J321" s="883" t="s">
        <v>114</v>
      </c>
      <c r="K321" s="883"/>
      <c r="L321" s="883">
        <v>294</v>
      </c>
      <c r="M321" s="883">
        <v>120</v>
      </c>
      <c r="N321" s="883" t="s">
        <v>1361</v>
      </c>
      <c r="O321" s="870" t="s">
        <v>1706</v>
      </c>
      <c r="P321" s="870"/>
      <c r="Q321" s="870"/>
      <c r="R321" s="870"/>
      <c r="S321" s="870"/>
      <c r="T321" s="870"/>
      <c r="U321" s="870"/>
      <c r="V321" s="870"/>
      <c r="W321" s="870"/>
      <c r="X321" s="870"/>
      <c r="Y321" s="870"/>
      <c r="Z321" s="870"/>
      <c r="AA321" s="870"/>
      <c r="AB321" s="870" t="s">
        <v>2724</v>
      </c>
      <c r="AC321" s="870" t="s">
        <v>119</v>
      </c>
      <c r="AD321" s="870" t="s">
        <v>1552</v>
      </c>
      <c r="AE321" s="870" t="s">
        <v>120</v>
      </c>
      <c r="AF321" s="883">
        <v>58.23</v>
      </c>
      <c r="AG321" s="883">
        <v>61.1</v>
      </c>
      <c r="AH321" s="883" t="s">
        <v>122</v>
      </c>
      <c r="AI321" s="883" t="s">
        <v>122</v>
      </c>
      <c r="AJ321" s="883" t="s">
        <v>2871</v>
      </c>
      <c r="AK321" s="870" t="s">
        <v>1530</v>
      </c>
      <c r="AL321" s="883"/>
      <c r="AM321" s="883"/>
      <c r="AN321" s="883" t="s">
        <v>1784</v>
      </c>
      <c r="AO321" s="883"/>
      <c r="AP321" s="883">
        <v>0.41</v>
      </c>
      <c r="AQ321" s="883"/>
      <c r="AR321" s="918">
        <v>13.9</v>
      </c>
      <c r="AS321" s="888">
        <v>3.7</v>
      </c>
      <c r="AT321" s="887">
        <v>3.5</v>
      </c>
      <c r="AU321" s="888">
        <v>8</v>
      </c>
      <c r="AV321" s="888"/>
      <c r="AW321" s="888"/>
      <c r="AX321" s="889" t="s">
        <v>1789</v>
      </c>
      <c r="AY321" s="883" t="s">
        <v>2576</v>
      </c>
      <c r="AZ321" s="870">
        <v>68</v>
      </c>
      <c r="BA321" s="870" t="s">
        <v>2726</v>
      </c>
      <c r="BB321" s="883" t="s">
        <v>2727</v>
      </c>
      <c r="BC321" s="883" t="s">
        <v>1556</v>
      </c>
      <c r="BD321" s="870" t="s">
        <v>2448</v>
      </c>
      <c r="BE321" s="870"/>
      <c r="BF321" s="870"/>
      <c r="BG321" s="870"/>
      <c r="BH321" s="891"/>
      <c r="BI321" s="890"/>
      <c r="BJ321" s="892"/>
      <c r="BK321" s="892"/>
      <c r="BL321" s="892"/>
      <c r="BM321" s="892"/>
      <c r="BN321" s="892"/>
      <c r="BO321" s="890"/>
      <c r="BP321" s="892" t="e">
        <f>1/2*9.8*(BJ319/2.2+BL319/2.2*BM319/BN319*1)*1*BO319/1000</f>
        <v>#DIV/0!</v>
      </c>
      <c r="BQ321" s="890">
        <v>0.35</v>
      </c>
      <c r="BR321" s="893"/>
      <c r="BS321" s="893"/>
      <c r="BT321" s="969"/>
      <c r="BU321" s="975"/>
      <c r="BV321" s="975"/>
      <c r="BW321" s="975"/>
      <c r="BX321" s="890"/>
      <c r="BY321" s="890"/>
      <c r="BZ321" s="895"/>
      <c r="CA321" s="890"/>
      <c r="CB321" s="890"/>
      <c r="CC321" s="893"/>
      <c r="CD321" s="893"/>
      <c r="CE321" s="890"/>
      <c r="CF321" s="890"/>
      <c r="CG321" s="890"/>
      <c r="CH321" s="890"/>
      <c r="CI321" s="890"/>
      <c r="CJ321" s="873"/>
      <c r="CK321" s="873"/>
    </row>
  </sheetData>
  <autoFilter ref="A3:DJ108" xr:uid="{00000000-0009-0000-0000-000000000000}">
    <filterColumn colId="2">
      <filters>
        <filter val="Caliper for DIH"/>
        <filter val="Hydraulic Brake"/>
      </filters>
    </filterColumn>
    <filterColumn colId="3">
      <filters>
        <filter val="Chrysler _x000a_Truck"/>
        <filter val="Chrysler Truck"/>
        <filter val="Ford _x000a_LD Truck"/>
        <filter val="Ford _x000a_Truck"/>
        <filter val="GM Truck"/>
      </filters>
    </filterColumn>
    <filterColumn colId="4">
      <filters>
        <filter val="Launch Mode"/>
        <filter val="Serial Production"/>
      </filters>
    </filterColumn>
    <filterColumn colId="6">
      <filters>
        <filter val="Front"/>
        <filter val="Front &amp; _x000a_Rear"/>
      </filters>
    </filterColumn>
    <sortState xmlns:xlrd2="http://schemas.microsoft.com/office/spreadsheetml/2017/richdata2" ref="A6:DJ98">
      <sortCondition descending="1" ref="R3:R98"/>
    </sortState>
  </autoFilter>
  <sortState xmlns:xlrd2="http://schemas.microsoft.com/office/spreadsheetml/2017/richdata2" ref="A4:CK108">
    <sortCondition ref="A4:A108"/>
  </sortState>
  <customSheetViews>
    <customSheetView guid="{21F37784-ACDF-4AA9-A8FA-2D6F1A2FCD6C}" scale="115">
      <pane ySplit="3" topLeftCell="A4" activePane="bottomLeft" state="frozen"/>
      <selection pane="bottomLeft" activeCell="AA93" sqref="AA93"/>
      <colBreaks count="4" manualBreakCount="4">
        <brk id="21" max="1048575" man="1"/>
        <brk id="58" max="1048575" man="1"/>
        <brk id="66" max="1048575" man="1"/>
        <brk id="79" max="1048575" man="1"/>
      </colBreaks>
      <pageMargins left="0.7" right="0.7" top="0.75" bottom="0.75" header="0.3" footer="0.3"/>
      <pageSetup scale="60" orientation="portrait" r:id="rId1"/>
    </customSheetView>
    <customSheetView guid="{BD983C39-643B-49A4-A851-3C307533663B}" scale="85">
      <pane xSplit="6" ySplit="3" topLeftCell="AT4" activePane="bottomRight" state="frozen"/>
      <selection pane="bottomRight" activeCell="AX286" sqref="AX286"/>
      <colBreaks count="4" manualBreakCount="4">
        <brk id="21" max="1048575" man="1"/>
        <brk id="58" max="1048575" man="1"/>
        <brk id="66" max="1048575" man="1"/>
        <brk id="79" max="1048575" man="1"/>
      </colBreaks>
      <pageMargins left="0.7" right="0.7" top="0.75" bottom="0.75" header="0.3" footer="0.3"/>
      <pageSetup scale="60" orientation="portrait" r:id="rId2"/>
    </customSheetView>
  </customSheetViews>
  <mergeCells count="54">
    <mergeCell ref="BH1:BH3"/>
    <mergeCell ref="BU1:BU2"/>
    <mergeCell ref="CE1:CE2"/>
    <mergeCell ref="BG1:BG2"/>
    <mergeCell ref="BE1:BE2"/>
    <mergeCell ref="BF1:BF2"/>
    <mergeCell ref="BN1:BO2"/>
    <mergeCell ref="BI1:BI3"/>
    <mergeCell ref="CG1:CI2"/>
    <mergeCell ref="CC1:CD2"/>
    <mergeCell ref="BQ1:BQ2"/>
    <mergeCell ref="BR1:BS2"/>
    <mergeCell ref="BT1:BT2"/>
    <mergeCell ref="BZ1:BZ2"/>
    <mergeCell ref="CA1:CA2"/>
    <mergeCell ref="CB1:CB2"/>
    <mergeCell ref="BY1:BY2"/>
    <mergeCell ref="I1:I2"/>
    <mergeCell ref="AH1:AI2"/>
    <mergeCell ref="BV1:BV2"/>
    <mergeCell ref="BW1:BW2"/>
    <mergeCell ref="BX1:BX2"/>
    <mergeCell ref="M1:M2"/>
    <mergeCell ref="BJ1:BL1"/>
    <mergeCell ref="BP1:BP3"/>
    <mergeCell ref="BA1:BB2"/>
    <mergeCell ref="AR1:AV1"/>
    <mergeCell ref="BC1:BD2"/>
    <mergeCell ref="P1:R2"/>
    <mergeCell ref="J1:J2"/>
    <mergeCell ref="S2:T2"/>
    <mergeCell ref="U2:V2"/>
    <mergeCell ref="AW1:AW2"/>
    <mergeCell ref="A1:A3"/>
    <mergeCell ref="AJ1:AK1"/>
    <mergeCell ref="AL1:AN1"/>
    <mergeCell ref="AL2:AN2"/>
    <mergeCell ref="AJ2:AJ3"/>
    <mergeCell ref="AE1:AE2"/>
    <mergeCell ref="N1:N2"/>
    <mergeCell ref="D1:H2"/>
    <mergeCell ref="AK2:AK3"/>
    <mergeCell ref="K1:K2"/>
    <mergeCell ref="AA1:AA3"/>
    <mergeCell ref="X1:X3"/>
    <mergeCell ref="S1:W1"/>
    <mergeCell ref="W2:W3"/>
    <mergeCell ref="Y1:Y3"/>
    <mergeCell ref="Z1:Z3"/>
    <mergeCell ref="L1:L2"/>
    <mergeCell ref="AD1:AD2"/>
    <mergeCell ref="AC1:AC2"/>
    <mergeCell ref="O1:O2"/>
    <mergeCell ref="AB1:AB2"/>
  </mergeCells>
  <phoneticPr fontId="0" type="noConversion"/>
  <dataValidations count="3">
    <dataValidation type="list" allowBlank="1" showInputMessage="1" showErrorMessage="1" sqref="S4:S26 S27:T321 T10:T26 T4:T6" xr:uid="{00000000-0002-0000-0000-000000000000}">
      <formula1>"Plain, Bushed, RPS"</formula1>
    </dataValidation>
    <dataValidation type="list" allowBlank="1" showInputMessage="1" showErrorMessage="1" sqref="Y4:Y321" xr:uid="{00000000-0002-0000-0000-000001000000}">
      <formula1>"Conti Textured, Conti Smooth, Hankook Textured, BI Smooth, LJF, Other"</formula1>
    </dataValidation>
    <dataValidation type="list" allowBlank="1" showInputMessage="1" sqref="Z4:Z321" xr:uid="{00000000-0002-0000-0000-000002000000}">
      <formula1>#REF!</formula1>
    </dataValidation>
  </dataValidations>
  <hyperlinks>
    <hyperlink ref="AJ180" r:id="rId3" display="TS@-11-83" xr:uid="{00000000-0004-0000-0000-000000000000}"/>
  </hyperlinks>
  <pageMargins left="0.7" right="0.7" top="0.75" bottom="0.75" header="0.3" footer="0.3"/>
  <pageSetup scale="60" orientation="portrait" r:id="rId4"/>
  <colBreaks count="4" manualBreakCount="4">
    <brk id="35" max="1048575" man="1"/>
    <brk id="63" max="1048575" man="1"/>
    <brk id="71" max="1048575" man="1"/>
    <brk id="84" max="1048575" man="1"/>
  </colBreaks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U1021"/>
  <sheetViews>
    <sheetView zoomScaleNormal="100" workbookViewId="0">
      <pane xSplit="5" ySplit="2" topLeftCell="X17" activePane="bottomRight" state="frozen"/>
      <selection pane="topRight" activeCell="F1" sqref="F1"/>
      <selection pane="bottomLeft" activeCell="A3" sqref="A3"/>
      <selection pane="bottomRight" activeCell="Y17" sqref="Y17"/>
    </sheetView>
  </sheetViews>
  <sheetFormatPr defaultColWidth="9.140625" defaultRowHeight="12.75" x14ac:dyDescent="0.2"/>
  <cols>
    <col min="1" max="1" width="9.140625" style="235"/>
    <col min="2" max="2" width="9.85546875" style="235" customWidth="1"/>
    <col min="3" max="3" width="9.140625" style="235"/>
    <col min="4" max="4" width="12.42578125" style="235" customWidth="1"/>
    <col min="5" max="5" width="30.42578125" style="235" customWidth="1"/>
    <col min="6" max="6" width="13.42578125" style="235" customWidth="1"/>
    <col min="7" max="7" width="12.85546875" style="235" customWidth="1"/>
    <col min="8" max="8" width="11.42578125" style="235" customWidth="1"/>
    <col min="9" max="10" width="9.140625" style="235"/>
    <col min="11" max="11" width="11.85546875" style="235" customWidth="1"/>
    <col min="12" max="12" width="11.42578125" style="235" customWidth="1"/>
    <col min="13" max="13" width="15.140625" style="235" customWidth="1"/>
    <col min="14" max="14" width="14.42578125" style="235" customWidth="1"/>
    <col min="15" max="15" width="13.42578125" style="235" customWidth="1"/>
    <col min="16" max="16" width="13.140625" style="235" customWidth="1"/>
    <col min="17" max="23" width="9.140625" style="235"/>
    <col min="24" max="24" width="10" style="235" customWidth="1"/>
    <col min="25" max="25" width="9.140625" style="235"/>
    <col min="26" max="26" width="10.140625" style="235" customWidth="1"/>
    <col min="27" max="27" width="9.140625" style="235"/>
    <col min="28" max="28" width="11.42578125" style="235" customWidth="1"/>
    <col min="29" max="31" width="9.140625" style="235"/>
    <col min="32" max="32" width="10.42578125" style="235" customWidth="1"/>
    <col min="33" max="33" width="9.140625" style="235"/>
    <col min="34" max="34" width="10.42578125" style="235" customWidth="1"/>
    <col min="35" max="47" width="9.140625" style="235"/>
    <col min="48" max="48" width="10.42578125" style="235" customWidth="1"/>
    <col min="49" max="16384" width="9.140625" style="235"/>
  </cols>
  <sheetData>
    <row r="1" spans="1:255" ht="22.5" x14ac:dyDescent="0.2">
      <c r="D1" s="1057" t="s">
        <v>1392</v>
      </c>
      <c r="E1" s="1057"/>
      <c r="F1" s="1057"/>
      <c r="G1" s="1057"/>
      <c r="H1" s="1057"/>
      <c r="I1" s="1057"/>
      <c r="J1" s="1057"/>
      <c r="K1" s="1057"/>
      <c r="L1" s="1057" t="s">
        <v>1394</v>
      </c>
      <c r="M1" s="1057"/>
      <c r="N1" s="1057"/>
      <c r="O1" s="1057"/>
      <c r="P1" s="1057"/>
      <c r="Q1" s="1057"/>
      <c r="R1" s="1057"/>
      <c r="S1" s="1057"/>
      <c r="T1" s="1057"/>
      <c r="U1" s="1057"/>
      <c r="V1" s="1057"/>
      <c r="W1" s="1057"/>
      <c r="X1" s="1057"/>
      <c r="Y1" s="1057"/>
      <c r="Z1" s="217"/>
      <c r="AA1" s="1057" t="s">
        <v>1395</v>
      </c>
      <c r="AB1" s="1057"/>
      <c r="AC1" s="1057"/>
      <c r="AD1" s="1057" t="s">
        <v>1396</v>
      </c>
      <c r="AE1" s="1057"/>
      <c r="AF1" s="1057"/>
      <c r="AG1" s="1057"/>
      <c r="AH1" s="1057"/>
      <c r="AI1" s="1059" t="s">
        <v>1397</v>
      </c>
      <c r="AJ1" s="1059"/>
      <c r="AK1" s="1059"/>
      <c r="AL1" s="1059"/>
      <c r="AM1" s="1059"/>
      <c r="AN1" s="1059"/>
      <c r="AO1" s="1059"/>
      <c r="AP1" s="1059"/>
      <c r="AQ1" s="1057" t="s">
        <v>1398</v>
      </c>
      <c r="AR1" s="1058"/>
      <c r="AS1" s="219" t="s">
        <v>1399</v>
      </c>
      <c r="AT1" s="1059" t="s">
        <v>1400</v>
      </c>
      <c r="AU1" s="1058"/>
      <c r="AV1" s="220"/>
    </row>
    <row r="2" spans="1:255" ht="101.25" x14ac:dyDescent="0.2">
      <c r="A2" s="413" t="s">
        <v>555</v>
      </c>
      <c r="B2" s="413" t="s">
        <v>342</v>
      </c>
      <c r="C2" s="413" t="s">
        <v>340</v>
      </c>
      <c r="D2" s="413" t="s">
        <v>1401</v>
      </c>
      <c r="E2" s="413" t="s">
        <v>1810</v>
      </c>
      <c r="F2" s="414" t="s">
        <v>130</v>
      </c>
      <c r="G2" s="413" t="s">
        <v>131</v>
      </c>
      <c r="H2" s="413" t="s">
        <v>132</v>
      </c>
      <c r="I2" s="413" t="s">
        <v>134</v>
      </c>
      <c r="J2" s="413" t="s">
        <v>1192</v>
      </c>
      <c r="K2" s="413" t="s">
        <v>549</v>
      </c>
      <c r="L2" s="415" t="s">
        <v>550</v>
      </c>
      <c r="M2" s="413" t="s">
        <v>551</v>
      </c>
      <c r="N2" s="413" t="s">
        <v>552</v>
      </c>
      <c r="O2" s="413" t="s">
        <v>553</v>
      </c>
      <c r="P2" s="413" t="s">
        <v>554</v>
      </c>
      <c r="Q2" s="413" t="s">
        <v>555</v>
      </c>
      <c r="R2" s="413" t="s">
        <v>556</v>
      </c>
      <c r="S2" s="413" t="s">
        <v>557</v>
      </c>
      <c r="T2" s="413" t="s">
        <v>558</v>
      </c>
      <c r="U2" s="413" t="s">
        <v>2476</v>
      </c>
      <c r="V2" s="413" t="s">
        <v>210</v>
      </c>
      <c r="W2" s="413" t="s">
        <v>2658</v>
      </c>
      <c r="X2" s="413" t="s">
        <v>2659</v>
      </c>
      <c r="Y2" s="413" t="s">
        <v>2660</v>
      </c>
      <c r="Z2" s="413" t="s">
        <v>2909</v>
      </c>
      <c r="AA2" s="413" t="s">
        <v>222</v>
      </c>
      <c r="AB2" s="413" t="s">
        <v>223</v>
      </c>
      <c r="AC2" s="413" t="s">
        <v>224</v>
      </c>
      <c r="AD2" s="413" t="s">
        <v>225</v>
      </c>
      <c r="AE2" s="413" t="s">
        <v>226</v>
      </c>
      <c r="AF2" s="413" t="s">
        <v>71</v>
      </c>
      <c r="AG2" s="415" t="s">
        <v>72</v>
      </c>
      <c r="AH2" s="413" t="s">
        <v>73</v>
      </c>
      <c r="AI2" s="415" t="s">
        <v>74</v>
      </c>
      <c r="AJ2" s="415" t="s">
        <v>75</v>
      </c>
      <c r="AK2" s="415" t="s">
        <v>76</v>
      </c>
      <c r="AL2" s="415" t="s">
        <v>141</v>
      </c>
      <c r="AM2" s="415" t="s">
        <v>142</v>
      </c>
      <c r="AN2" s="415" t="s">
        <v>143</v>
      </c>
      <c r="AO2" s="415" t="s">
        <v>144</v>
      </c>
      <c r="AP2" s="415" t="s">
        <v>145</v>
      </c>
      <c r="AQ2" s="415" t="s">
        <v>146</v>
      </c>
      <c r="AR2" s="415" t="s">
        <v>147</v>
      </c>
      <c r="AS2" s="415" t="s">
        <v>147</v>
      </c>
      <c r="AT2" s="415" t="s">
        <v>147</v>
      </c>
      <c r="AU2" s="415" t="s">
        <v>148</v>
      </c>
      <c r="AV2" s="416" t="s">
        <v>1610</v>
      </c>
    </row>
    <row r="3" spans="1:255" ht="45" hidden="1" x14ac:dyDescent="0.2">
      <c r="A3" s="217">
        <f t="shared" ref="A3:A14" si="0">Q3</f>
        <v>276</v>
      </c>
      <c r="B3" s="217">
        <f t="shared" ref="B3:B21" si="1">S3</f>
        <v>26</v>
      </c>
      <c r="C3" s="217" t="s">
        <v>341</v>
      </c>
      <c r="D3" s="223" t="s">
        <v>2122</v>
      </c>
      <c r="E3" s="226" t="s">
        <v>2981</v>
      </c>
      <c r="F3" s="217" t="s">
        <v>2848</v>
      </c>
      <c r="G3" s="223" t="s">
        <v>2271</v>
      </c>
      <c r="H3" s="223" t="s">
        <v>2126</v>
      </c>
      <c r="I3" s="226">
        <v>16845100</v>
      </c>
      <c r="J3" s="226">
        <v>16845001</v>
      </c>
      <c r="K3" s="223">
        <v>13502824</v>
      </c>
      <c r="L3" s="222" t="s">
        <v>153</v>
      </c>
      <c r="M3" s="221" t="s">
        <v>2124</v>
      </c>
      <c r="N3" s="221" t="s">
        <v>2084</v>
      </c>
      <c r="O3" s="223" t="s">
        <v>1547</v>
      </c>
      <c r="P3" s="221" t="s">
        <v>643</v>
      </c>
      <c r="Q3" s="227">
        <v>276</v>
      </c>
      <c r="R3" s="226">
        <v>158</v>
      </c>
      <c r="S3" s="226">
        <v>26</v>
      </c>
      <c r="T3" s="226" t="s">
        <v>2129</v>
      </c>
      <c r="U3" s="226">
        <v>37.5</v>
      </c>
      <c r="V3" s="227">
        <v>9</v>
      </c>
      <c r="W3" s="226">
        <v>9.56</v>
      </c>
      <c r="X3" s="223"/>
      <c r="Y3" s="228">
        <v>6.78</v>
      </c>
      <c r="Z3" s="223"/>
      <c r="AA3" s="223"/>
      <c r="AB3" s="223"/>
      <c r="AC3" s="223"/>
      <c r="AD3" s="217" t="s">
        <v>159</v>
      </c>
      <c r="AE3" s="221">
        <v>0.02</v>
      </c>
      <c r="AF3" s="217">
        <v>6.0000000000000001E-3</v>
      </c>
      <c r="AG3" s="218">
        <v>0.05</v>
      </c>
      <c r="AH3" s="223">
        <v>30</v>
      </c>
      <c r="AI3" s="222"/>
      <c r="AJ3" s="229"/>
      <c r="AK3" s="222"/>
      <c r="AL3" s="222"/>
      <c r="AM3" s="222"/>
      <c r="AN3" s="222"/>
      <c r="AO3" s="222"/>
      <c r="AP3" s="222"/>
      <c r="AQ3" s="222"/>
      <c r="AR3" s="222"/>
      <c r="AS3" s="222"/>
      <c r="AT3" s="222"/>
      <c r="AU3" s="222"/>
      <c r="AV3" s="224">
        <f t="shared" ref="AV3:AV22" si="2">W3/Y3</f>
        <v>1.4100294985250739</v>
      </c>
      <c r="AW3" s="225"/>
      <c r="AX3" s="225"/>
      <c r="AY3" s="225"/>
      <c r="AZ3" s="225"/>
      <c r="BA3" s="225"/>
      <c r="BB3" s="225"/>
      <c r="BC3" s="225"/>
      <c r="BD3" s="225"/>
      <c r="BE3" s="225"/>
      <c r="BF3" s="225"/>
      <c r="BG3" s="225"/>
      <c r="BH3" s="225"/>
      <c r="BI3" s="225"/>
      <c r="BJ3" s="225"/>
      <c r="BK3" s="225"/>
      <c r="BL3" s="225"/>
      <c r="BM3" s="225"/>
      <c r="BN3" s="225"/>
      <c r="BO3" s="225"/>
      <c r="BP3" s="225"/>
      <c r="BQ3" s="225"/>
      <c r="BR3" s="225"/>
      <c r="BS3" s="225"/>
      <c r="BT3" s="225"/>
      <c r="BU3" s="225"/>
      <c r="BV3" s="225"/>
      <c r="BW3" s="225"/>
      <c r="BX3" s="225"/>
      <c r="BY3" s="225"/>
      <c r="BZ3" s="225"/>
      <c r="CA3" s="225"/>
      <c r="CB3" s="225"/>
      <c r="CC3" s="225"/>
      <c r="CD3" s="225"/>
      <c r="CE3" s="225"/>
      <c r="CF3" s="225"/>
      <c r="CG3" s="225"/>
      <c r="CH3" s="225"/>
      <c r="CI3" s="225"/>
      <c r="CJ3" s="225"/>
      <c r="CK3" s="225"/>
      <c r="CL3" s="225"/>
      <c r="CM3" s="225"/>
      <c r="CN3" s="225"/>
      <c r="CO3" s="225"/>
      <c r="CP3" s="225"/>
      <c r="CQ3" s="225"/>
      <c r="CR3" s="225"/>
      <c r="CS3" s="225"/>
      <c r="CT3" s="225"/>
      <c r="CU3" s="225"/>
      <c r="CV3" s="225"/>
      <c r="CW3" s="225"/>
      <c r="CX3" s="225"/>
      <c r="CY3" s="225"/>
      <c r="CZ3" s="225"/>
      <c r="DA3" s="225"/>
      <c r="DB3" s="225"/>
      <c r="DC3" s="225"/>
      <c r="DD3" s="225"/>
      <c r="DE3" s="225"/>
      <c r="DF3" s="225"/>
      <c r="DG3" s="225"/>
      <c r="DH3" s="225"/>
      <c r="DI3" s="225"/>
      <c r="DJ3" s="225"/>
      <c r="DK3" s="225"/>
      <c r="DL3" s="225"/>
      <c r="DM3" s="225"/>
      <c r="DN3" s="225"/>
      <c r="DO3" s="225"/>
      <c r="DP3" s="225"/>
      <c r="DQ3" s="225"/>
      <c r="DR3" s="225"/>
      <c r="DS3" s="225"/>
      <c r="DT3" s="225"/>
      <c r="DU3" s="225"/>
      <c r="DV3" s="225"/>
      <c r="DW3" s="225"/>
      <c r="DX3" s="225"/>
      <c r="DY3" s="225"/>
      <c r="DZ3" s="225"/>
      <c r="EA3" s="225"/>
      <c r="EB3" s="225"/>
      <c r="EC3" s="225"/>
      <c r="ED3" s="225"/>
      <c r="EE3" s="225"/>
      <c r="EF3" s="225"/>
      <c r="EG3" s="225"/>
      <c r="EH3" s="225"/>
      <c r="EI3" s="225"/>
      <c r="EJ3" s="225"/>
      <c r="EK3" s="225"/>
      <c r="EL3" s="225"/>
      <c r="EM3" s="225"/>
      <c r="EN3" s="225"/>
      <c r="EO3" s="225"/>
      <c r="EP3" s="225"/>
      <c r="EQ3" s="225"/>
      <c r="ER3" s="225"/>
      <c r="ES3" s="225"/>
      <c r="ET3" s="225"/>
      <c r="EU3" s="225"/>
      <c r="EV3" s="225"/>
      <c r="EW3" s="225"/>
      <c r="EX3" s="225"/>
      <c r="EY3" s="225"/>
      <c r="EZ3" s="225"/>
      <c r="FA3" s="225"/>
      <c r="FB3" s="225"/>
      <c r="FC3" s="225"/>
      <c r="FD3" s="225"/>
      <c r="FE3" s="225"/>
      <c r="FF3" s="225"/>
      <c r="FG3" s="225"/>
      <c r="FH3" s="225"/>
      <c r="FI3" s="225"/>
      <c r="FJ3" s="225"/>
      <c r="FK3" s="225"/>
      <c r="FL3" s="225"/>
      <c r="FM3" s="225"/>
      <c r="FN3" s="225"/>
      <c r="FO3" s="225"/>
      <c r="FP3" s="225"/>
      <c r="FQ3" s="225"/>
      <c r="FR3" s="225"/>
      <c r="FS3" s="225"/>
      <c r="FT3" s="225"/>
      <c r="FU3" s="225"/>
      <c r="FV3" s="225"/>
      <c r="FW3" s="225"/>
      <c r="FX3" s="225"/>
      <c r="FY3" s="225"/>
      <c r="FZ3" s="225"/>
      <c r="GA3" s="225"/>
      <c r="GB3" s="225"/>
      <c r="GC3" s="225"/>
      <c r="GD3" s="225"/>
      <c r="GE3" s="225"/>
      <c r="GF3" s="225"/>
      <c r="GG3" s="225"/>
      <c r="GH3" s="225"/>
      <c r="GI3" s="225"/>
      <c r="GJ3" s="225"/>
      <c r="GK3" s="225"/>
      <c r="GL3" s="225"/>
      <c r="GM3" s="225"/>
      <c r="GN3" s="225"/>
      <c r="GO3" s="225"/>
      <c r="GP3" s="225"/>
      <c r="GQ3" s="225"/>
      <c r="GR3" s="225"/>
      <c r="GS3" s="225"/>
      <c r="GT3" s="225"/>
      <c r="GU3" s="225"/>
      <c r="GV3" s="225"/>
      <c r="GW3" s="225"/>
      <c r="GX3" s="225"/>
      <c r="GY3" s="225"/>
      <c r="GZ3" s="225"/>
      <c r="HA3" s="225"/>
      <c r="HB3" s="225"/>
      <c r="HC3" s="225"/>
      <c r="HD3" s="225"/>
      <c r="HE3" s="225"/>
      <c r="HF3" s="225"/>
      <c r="HG3" s="225"/>
      <c r="HH3" s="225"/>
      <c r="HI3" s="225"/>
      <c r="HJ3" s="225"/>
      <c r="HK3" s="225"/>
      <c r="HL3" s="225"/>
      <c r="HM3" s="225"/>
      <c r="HN3" s="225"/>
      <c r="HO3" s="225"/>
      <c r="HP3" s="225"/>
      <c r="HQ3" s="225"/>
      <c r="HR3" s="225"/>
      <c r="HS3" s="225"/>
      <c r="HT3" s="225"/>
      <c r="HU3" s="225"/>
      <c r="HV3" s="225"/>
      <c r="HW3" s="225"/>
      <c r="HX3" s="225"/>
      <c r="HY3" s="225"/>
      <c r="HZ3" s="225"/>
      <c r="IA3" s="225"/>
      <c r="IB3" s="225"/>
      <c r="IC3" s="225"/>
      <c r="ID3" s="225"/>
      <c r="IE3" s="225"/>
      <c r="IF3" s="225"/>
      <c r="IG3" s="225"/>
      <c r="IH3" s="225"/>
      <c r="II3" s="225"/>
      <c r="IJ3" s="225"/>
      <c r="IK3" s="225"/>
      <c r="IL3" s="225"/>
      <c r="IM3" s="225"/>
      <c r="IN3" s="225"/>
      <c r="IO3" s="225"/>
      <c r="IP3" s="225"/>
      <c r="IQ3" s="225"/>
      <c r="IR3" s="225"/>
      <c r="IS3" s="225"/>
      <c r="IT3" s="225"/>
      <c r="IU3" s="225"/>
    </row>
    <row r="4" spans="1:255" ht="56.25" hidden="1" x14ac:dyDescent="0.2">
      <c r="A4" s="217">
        <f t="shared" si="0"/>
        <v>296</v>
      </c>
      <c r="B4" s="217">
        <f t="shared" si="1"/>
        <v>30</v>
      </c>
      <c r="C4" s="217" t="s">
        <v>341</v>
      </c>
      <c r="D4" s="223" t="s">
        <v>2122</v>
      </c>
      <c r="E4" s="223" t="s">
        <v>2980</v>
      </c>
      <c r="F4" s="217" t="s">
        <v>2848</v>
      </c>
      <c r="G4" s="223" t="s">
        <v>2272</v>
      </c>
      <c r="H4" s="223" t="s">
        <v>2126</v>
      </c>
      <c r="I4" s="221">
        <v>17395700</v>
      </c>
      <c r="J4" s="221">
        <v>16849201</v>
      </c>
      <c r="K4" s="223">
        <v>13501319</v>
      </c>
      <c r="L4" s="222" t="s">
        <v>153</v>
      </c>
      <c r="M4" s="221" t="s">
        <v>2127</v>
      </c>
      <c r="N4" s="221" t="s">
        <v>1549</v>
      </c>
      <c r="O4" s="223" t="s">
        <v>1547</v>
      </c>
      <c r="P4" s="221" t="s">
        <v>643</v>
      </c>
      <c r="Q4" s="217">
        <v>296</v>
      </c>
      <c r="R4" s="221">
        <v>186</v>
      </c>
      <c r="S4" s="221">
        <v>30</v>
      </c>
      <c r="T4" s="217" t="s">
        <v>2131</v>
      </c>
      <c r="U4" s="221">
        <v>42.5</v>
      </c>
      <c r="V4" s="221">
        <v>12</v>
      </c>
      <c r="W4" s="221">
        <v>11.15</v>
      </c>
      <c r="X4" s="223"/>
      <c r="Y4" s="221">
        <v>8.6300000000000008</v>
      </c>
      <c r="Z4" s="223"/>
      <c r="AA4" s="223"/>
      <c r="AB4" s="223"/>
      <c r="AC4" s="223"/>
      <c r="AD4" s="217" t="s">
        <v>159</v>
      </c>
      <c r="AE4" s="221">
        <v>0.02</v>
      </c>
      <c r="AF4" s="217">
        <v>6.0000000000000001E-3</v>
      </c>
      <c r="AG4" s="218">
        <v>0.05</v>
      </c>
      <c r="AH4" s="217">
        <v>30</v>
      </c>
      <c r="AI4" s="222"/>
      <c r="AJ4" s="229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U4" s="222"/>
      <c r="AV4" s="224">
        <f t="shared" si="2"/>
        <v>1.2920046349942063</v>
      </c>
      <c r="AW4" s="225"/>
    </row>
    <row r="5" spans="1:255" ht="33.75" hidden="1" x14ac:dyDescent="0.2">
      <c r="A5" s="217">
        <f t="shared" si="0"/>
        <v>300</v>
      </c>
      <c r="B5" s="217">
        <f t="shared" si="1"/>
        <v>26</v>
      </c>
      <c r="C5" s="217" t="s">
        <v>341</v>
      </c>
      <c r="D5" s="223" t="s">
        <v>2122</v>
      </c>
      <c r="E5" s="226" t="s">
        <v>2982</v>
      </c>
      <c r="F5" s="217" t="s">
        <v>2848</v>
      </c>
      <c r="G5" s="223">
        <v>2010</v>
      </c>
      <c r="H5" s="223" t="s">
        <v>2126</v>
      </c>
      <c r="I5" s="226">
        <v>16845300</v>
      </c>
      <c r="J5" s="226">
        <v>16845201</v>
      </c>
      <c r="K5" s="223">
        <v>13502825</v>
      </c>
      <c r="L5" s="222" t="s">
        <v>153</v>
      </c>
      <c r="M5" s="221" t="s">
        <v>2125</v>
      </c>
      <c r="N5" s="221" t="s">
        <v>2084</v>
      </c>
      <c r="O5" s="223" t="s">
        <v>1547</v>
      </c>
      <c r="P5" s="221" t="s">
        <v>643</v>
      </c>
      <c r="Q5" s="227">
        <v>300</v>
      </c>
      <c r="R5" s="226">
        <v>166</v>
      </c>
      <c r="S5" s="226">
        <v>26</v>
      </c>
      <c r="T5" s="226" t="s">
        <v>2130</v>
      </c>
      <c r="U5" s="226">
        <v>37</v>
      </c>
      <c r="V5" s="227">
        <v>9</v>
      </c>
      <c r="W5" s="226">
        <v>11.54</v>
      </c>
      <c r="X5" s="223"/>
      <c r="Y5" s="228">
        <v>8.16</v>
      </c>
      <c r="Z5" s="223"/>
      <c r="AA5" s="223"/>
      <c r="AB5" s="223"/>
      <c r="AC5" s="223"/>
      <c r="AD5" s="217" t="s">
        <v>159</v>
      </c>
      <c r="AE5" s="221">
        <v>0.02</v>
      </c>
      <c r="AF5" s="217">
        <v>6.0000000000000001E-3</v>
      </c>
      <c r="AG5" s="218">
        <v>0.05</v>
      </c>
      <c r="AH5" s="223">
        <v>30</v>
      </c>
      <c r="AI5" s="222"/>
      <c r="AJ5" s="229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U5" s="222"/>
      <c r="AV5" s="224">
        <f t="shared" si="2"/>
        <v>1.4142156862745097</v>
      </c>
      <c r="AW5" s="225"/>
      <c r="AX5" s="225"/>
      <c r="AY5" s="225"/>
      <c r="AZ5" s="225"/>
      <c r="BA5" s="225"/>
      <c r="BB5" s="225"/>
      <c r="BC5" s="225"/>
      <c r="BD5" s="225"/>
      <c r="BE5" s="225"/>
      <c r="BF5" s="225"/>
      <c r="BG5" s="225"/>
      <c r="BH5" s="225"/>
      <c r="BI5" s="225"/>
      <c r="BJ5" s="225"/>
      <c r="BK5" s="225"/>
      <c r="BL5" s="225"/>
      <c r="BM5" s="225"/>
      <c r="BN5" s="225"/>
      <c r="BO5" s="225"/>
      <c r="BP5" s="225"/>
      <c r="BQ5" s="225"/>
      <c r="BR5" s="225"/>
      <c r="BS5" s="225"/>
      <c r="BT5" s="225"/>
      <c r="BU5" s="225"/>
      <c r="BV5" s="225"/>
      <c r="BW5" s="225"/>
      <c r="BX5" s="225"/>
      <c r="BY5" s="225"/>
      <c r="BZ5" s="225"/>
      <c r="CA5" s="225"/>
      <c r="CB5" s="225"/>
      <c r="CC5" s="225"/>
      <c r="CD5" s="225"/>
      <c r="CE5" s="225"/>
      <c r="CF5" s="225"/>
      <c r="CG5" s="225"/>
      <c r="CH5" s="225"/>
      <c r="CI5" s="225"/>
      <c r="CJ5" s="225"/>
      <c r="CK5" s="225"/>
      <c r="CL5" s="225"/>
      <c r="CM5" s="225"/>
      <c r="CN5" s="225"/>
      <c r="CO5" s="225"/>
      <c r="CP5" s="225"/>
      <c r="CQ5" s="225"/>
      <c r="CR5" s="225"/>
      <c r="CS5" s="225"/>
      <c r="CT5" s="225"/>
      <c r="CU5" s="225"/>
      <c r="CV5" s="225"/>
      <c r="CW5" s="225"/>
      <c r="CX5" s="225"/>
      <c r="CY5" s="225"/>
      <c r="CZ5" s="225"/>
      <c r="DA5" s="225"/>
      <c r="DB5" s="225"/>
      <c r="DC5" s="225"/>
      <c r="DD5" s="225"/>
      <c r="DE5" s="225"/>
      <c r="DF5" s="225"/>
      <c r="DG5" s="225"/>
      <c r="DH5" s="225"/>
      <c r="DI5" s="225"/>
      <c r="DJ5" s="225"/>
      <c r="DK5" s="225"/>
      <c r="DL5" s="225"/>
      <c r="DM5" s="225"/>
      <c r="DN5" s="225"/>
      <c r="DO5" s="225"/>
      <c r="DP5" s="225"/>
      <c r="DQ5" s="225"/>
      <c r="DR5" s="225"/>
      <c r="DS5" s="225"/>
      <c r="DT5" s="225"/>
      <c r="DU5" s="225"/>
      <c r="DV5" s="225"/>
      <c r="DW5" s="225"/>
      <c r="DX5" s="225"/>
      <c r="DY5" s="225"/>
      <c r="DZ5" s="225"/>
      <c r="EA5" s="225"/>
      <c r="EB5" s="225"/>
      <c r="EC5" s="225"/>
      <c r="ED5" s="225"/>
      <c r="EE5" s="225"/>
      <c r="EF5" s="225"/>
      <c r="EG5" s="225"/>
      <c r="EH5" s="225"/>
      <c r="EI5" s="225"/>
      <c r="EJ5" s="225"/>
      <c r="EK5" s="225"/>
      <c r="EL5" s="225"/>
      <c r="EM5" s="225"/>
      <c r="EN5" s="225"/>
      <c r="EO5" s="225"/>
      <c r="EP5" s="225"/>
      <c r="EQ5" s="225"/>
      <c r="ER5" s="225"/>
      <c r="ES5" s="225"/>
      <c r="ET5" s="225"/>
      <c r="EU5" s="225"/>
      <c r="EV5" s="225"/>
      <c r="EW5" s="225"/>
      <c r="EX5" s="225"/>
      <c r="EY5" s="225"/>
      <c r="EZ5" s="225"/>
      <c r="FA5" s="225"/>
      <c r="FB5" s="225"/>
      <c r="FC5" s="225"/>
      <c r="FD5" s="225"/>
      <c r="FE5" s="225"/>
      <c r="FF5" s="225"/>
      <c r="FG5" s="225"/>
      <c r="FH5" s="225"/>
      <c r="FI5" s="225"/>
      <c r="FJ5" s="225"/>
      <c r="FK5" s="225"/>
      <c r="FL5" s="225"/>
      <c r="FM5" s="225"/>
      <c r="FN5" s="225"/>
      <c r="FO5" s="225"/>
      <c r="FP5" s="225"/>
      <c r="FQ5" s="225"/>
      <c r="FR5" s="225"/>
      <c r="FS5" s="225"/>
      <c r="FT5" s="225"/>
      <c r="FU5" s="225"/>
      <c r="FV5" s="225"/>
      <c r="FW5" s="225"/>
      <c r="FX5" s="225"/>
      <c r="FY5" s="225"/>
      <c r="FZ5" s="225"/>
      <c r="GA5" s="225"/>
      <c r="GB5" s="225"/>
      <c r="GC5" s="225"/>
      <c r="GD5" s="225"/>
      <c r="GE5" s="225"/>
      <c r="GF5" s="225"/>
      <c r="GG5" s="225"/>
      <c r="GH5" s="225"/>
      <c r="GI5" s="225"/>
      <c r="GJ5" s="225"/>
      <c r="GK5" s="225"/>
      <c r="GL5" s="225"/>
      <c r="GM5" s="225"/>
      <c r="GN5" s="225"/>
      <c r="GO5" s="225"/>
      <c r="GP5" s="225"/>
      <c r="GQ5" s="225"/>
      <c r="GR5" s="225"/>
      <c r="GS5" s="225"/>
      <c r="GT5" s="225"/>
      <c r="GU5" s="225"/>
      <c r="GV5" s="225"/>
      <c r="GW5" s="225"/>
      <c r="GX5" s="225"/>
      <c r="GY5" s="225"/>
      <c r="GZ5" s="225"/>
      <c r="HA5" s="225"/>
      <c r="HB5" s="225"/>
      <c r="HC5" s="225"/>
      <c r="HD5" s="225"/>
      <c r="HE5" s="225"/>
      <c r="HF5" s="225"/>
      <c r="HG5" s="225"/>
      <c r="HH5" s="225"/>
      <c r="HI5" s="225"/>
      <c r="HJ5" s="225"/>
      <c r="HK5" s="225"/>
      <c r="HL5" s="225"/>
      <c r="HM5" s="225"/>
      <c r="HN5" s="225"/>
      <c r="HO5" s="225"/>
      <c r="HP5" s="225"/>
      <c r="HQ5" s="225"/>
      <c r="HR5" s="225"/>
      <c r="HS5" s="225"/>
      <c r="HT5" s="225"/>
      <c r="HU5" s="225"/>
      <c r="HV5" s="225"/>
      <c r="HW5" s="225"/>
      <c r="HX5" s="225"/>
      <c r="HY5" s="225"/>
      <c r="HZ5" s="225"/>
      <c r="IA5" s="225"/>
      <c r="IB5" s="225"/>
      <c r="IC5" s="225"/>
      <c r="ID5" s="225"/>
      <c r="IE5" s="225"/>
      <c r="IF5" s="225"/>
      <c r="IG5" s="225"/>
      <c r="IH5" s="225"/>
      <c r="II5" s="225"/>
      <c r="IJ5" s="225"/>
      <c r="IK5" s="225"/>
      <c r="IL5" s="225"/>
      <c r="IM5" s="225"/>
      <c r="IN5" s="225"/>
      <c r="IO5" s="225"/>
      <c r="IP5" s="225"/>
      <c r="IQ5" s="225"/>
      <c r="IR5" s="225"/>
      <c r="IS5" s="225"/>
      <c r="IT5" s="225"/>
      <c r="IU5" s="225"/>
    </row>
    <row r="6" spans="1:255" ht="33.75" hidden="1" x14ac:dyDescent="0.2">
      <c r="A6" s="217">
        <f t="shared" si="0"/>
        <v>300</v>
      </c>
      <c r="B6" s="217">
        <f t="shared" si="1"/>
        <v>26</v>
      </c>
      <c r="C6" s="217" t="s">
        <v>341</v>
      </c>
      <c r="D6" s="223" t="s">
        <v>2122</v>
      </c>
      <c r="E6" s="226" t="s">
        <v>2983</v>
      </c>
      <c r="F6" s="217" t="s">
        <v>2848</v>
      </c>
      <c r="G6" s="223">
        <v>2011</v>
      </c>
      <c r="H6" s="223" t="s">
        <v>2126</v>
      </c>
      <c r="I6" s="226">
        <v>17400300</v>
      </c>
      <c r="J6" s="226">
        <v>16845201</v>
      </c>
      <c r="K6" s="223">
        <v>13501437</v>
      </c>
      <c r="L6" s="222" t="s">
        <v>153</v>
      </c>
      <c r="M6" s="221" t="s">
        <v>2125</v>
      </c>
      <c r="N6" s="221" t="s">
        <v>2084</v>
      </c>
      <c r="O6" s="223" t="s">
        <v>1547</v>
      </c>
      <c r="P6" s="221" t="s">
        <v>643</v>
      </c>
      <c r="Q6" s="227">
        <v>300</v>
      </c>
      <c r="R6" s="226">
        <v>166</v>
      </c>
      <c r="S6" s="226">
        <v>26</v>
      </c>
      <c r="T6" s="226" t="s">
        <v>2129</v>
      </c>
      <c r="U6" s="226">
        <v>37</v>
      </c>
      <c r="V6" s="227">
        <v>9</v>
      </c>
      <c r="W6" s="233">
        <v>11.54</v>
      </c>
      <c r="X6" s="223"/>
      <c r="Y6" s="228">
        <v>8.16</v>
      </c>
      <c r="Z6" s="223"/>
      <c r="AA6" s="223"/>
      <c r="AB6" s="223"/>
      <c r="AC6" s="223"/>
      <c r="AD6" s="217" t="s">
        <v>159</v>
      </c>
      <c r="AE6" s="221">
        <v>0.02</v>
      </c>
      <c r="AF6" s="217">
        <v>6.0000000000000001E-3</v>
      </c>
      <c r="AG6" s="218">
        <v>0.05</v>
      </c>
      <c r="AH6" s="223">
        <v>30</v>
      </c>
      <c r="AI6" s="222"/>
      <c r="AJ6" s="229"/>
      <c r="AK6" s="222"/>
      <c r="AL6" s="222"/>
      <c r="AM6" s="222"/>
      <c r="AN6" s="222"/>
      <c r="AO6" s="222"/>
      <c r="AP6" s="222"/>
      <c r="AQ6" s="222"/>
      <c r="AR6" s="222"/>
      <c r="AS6" s="222"/>
      <c r="AT6" s="222"/>
      <c r="AU6" s="222"/>
      <c r="AV6" s="224">
        <f t="shared" si="2"/>
        <v>1.4142156862745097</v>
      </c>
      <c r="AW6" s="225"/>
      <c r="AX6" s="225"/>
      <c r="AY6" s="225"/>
      <c r="AZ6" s="225"/>
      <c r="BA6" s="225"/>
      <c r="BB6" s="225"/>
      <c r="BC6" s="225"/>
      <c r="BD6" s="225"/>
      <c r="BE6" s="225"/>
      <c r="BF6" s="225"/>
      <c r="BG6" s="225"/>
      <c r="BH6" s="225"/>
      <c r="BI6" s="225"/>
      <c r="BJ6" s="225"/>
      <c r="BK6" s="225"/>
      <c r="BL6" s="225"/>
      <c r="BM6" s="225"/>
      <c r="BN6" s="225"/>
      <c r="BO6" s="225"/>
      <c r="BP6" s="225"/>
      <c r="BQ6" s="225"/>
      <c r="BR6" s="225"/>
      <c r="BS6" s="225"/>
      <c r="BT6" s="225"/>
      <c r="BU6" s="225"/>
      <c r="BV6" s="225"/>
      <c r="BW6" s="225"/>
      <c r="BX6" s="225"/>
      <c r="BY6" s="225"/>
      <c r="BZ6" s="225"/>
      <c r="CA6" s="225"/>
      <c r="CB6" s="225"/>
      <c r="CC6" s="225"/>
      <c r="CD6" s="225"/>
      <c r="CE6" s="225"/>
      <c r="CF6" s="225"/>
      <c r="CG6" s="225"/>
      <c r="CH6" s="225"/>
      <c r="CI6" s="225"/>
      <c r="CJ6" s="225"/>
      <c r="CK6" s="225"/>
      <c r="CL6" s="225"/>
      <c r="CM6" s="225"/>
      <c r="CN6" s="225"/>
      <c r="CO6" s="225"/>
      <c r="CP6" s="225"/>
      <c r="CQ6" s="225"/>
      <c r="CR6" s="225"/>
      <c r="CS6" s="225"/>
      <c r="CT6" s="225"/>
      <c r="CU6" s="225"/>
      <c r="CV6" s="225"/>
      <c r="CW6" s="225"/>
      <c r="CX6" s="225"/>
      <c r="CY6" s="225"/>
      <c r="CZ6" s="225"/>
      <c r="DA6" s="225"/>
      <c r="DB6" s="225"/>
      <c r="DC6" s="225"/>
      <c r="DD6" s="225"/>
      <c r="DE6" s="225"/>
      <c r="DF6" s="225"/>
      <c r="DG6" s="225"/>
      <c r="DH6" s="225"/>
      <c r="DI6" s="225"/>
      <c r="DJ6" s="225"/>
      <c r="DK6" s="225"/>
      <c r="DL6" s="225"/>
      <c r="DM6" s="225"/>
      <c r="DN6" s="225"/>
      <c r="DO6" s="225"/>
      <c r="DP6" s="225"/>
      <c r="DQ6" s="225"/>
      <c r="DR6" s="225"/>
      <c r="DS6" s="225"/>
      <c r="DT6" s="225"/>
      <c r="DU6" s="225"/>
      <c r="DV6" s="225"/>
      <c r="DW6" s="225"/>
      <c r="DX6" s="225"/>
      <c r="DY6" s="225"/>
      <c r="DZ6" s="225"/>
      <c r="EA6" s="225"/>
      <c r="EB6" s="225"/>
      <c r="EC6" s="225"/>
      <c r="ED6" s="225"/>
      <c r="EE6" s="225"/>
      <c r="EF6" s="225"/>
      <c r="EG6" s="225"/>
      <c r="EH6" s="225"/>
      <c r="EI6" s="225"/>
      <c r="EJ6" s="225"/>
      <c r="EK6" s="225"/>
      <c r="EL6" s="225"/>
      <c r="EM6" s="225"/>
      <c r="EN6" s="225"/>
      <c r="EO6" s="225"/>
      <c r="EP6" s="225"/>
      <c r="EQ6" s="225"/>
      <c r="ER6" s="225"/>
      <c r="ES6" s="225"/>
      <c r="ET6" s="225"/>
      <c r="EU6" s="225"/>
      <c r="EV6" s="225"/>
      <c r="EW6" s="225"/>
      <c r="EX6" s="225"/>
      <c r="EY6" s="225"/>
      <c r="EZ6" s="225"/>
      <c r="FA6" s="225"/>
      <c r="FB6" s="225"/>
      <c r="FC6" s="225"/>
      <c r="FD6" s="225"/>
      <c r="FE6" s="225"/>
      <c r="FF6" s="225"/>
      <c r="FG6" s="225"/>
      <c r="FH6" s="225"/>
      <c r="FI6" s="225"/>
      <c r="FJ6" s="225"/>
      <c r="FK6" s="225"/>
      <c r="FL6" s="225"/>
      <c r="FM6" s="225"/>
      <c r="FN6" s="225"/>
      <c r="FO6" s="225"/>
      <c r="FP6" s="225"/>
      <c r="FQ6" s="225"/>
      <c r="FR6" s="225"/>
      <c r="FS6" s="225"/>
      <c r="FT6" s="225"/>
      <c r="FU6" s="225"/>
      <c r="FV6" s="225"/>
      <c r="FW6" s="225"/>
      <c r="FX6" s="225"/>
      <c r="FY6" s="225"/>
      <c r="FZ6" s="225"/>
      <c r="GA6" s="225"/>
      <c r="GB6" s="225"/>
      <c r="GC6" s="225"/>
      <c r="GD6" s="225"/>
      <c r="GE6" s="225"/>
      <c r="GF6" s="225"/>
      <c r="GG6" s="225"/>
      <c r="GH6" s="225"/>
      <c r="GI6" s="225"/>
      <c r="GJ6" s="225"/>
      <c r="GK6" s="225"/>
      <c r="GL6" s="225"/>
      <c r="GM6" s="225"/>
      <c r="GN6" s="225"/>
      <c r="GO6" s="225"/>
      <c r="GP6" s="225"/>
      <c r="GQ6" s="225"/>
      <c r="GR6" s="225"/>
      <c r="GS6" s="225"/>
      <c r="GT6" s="225"/>
      <c r="GU6" s="225"/>
      <c r="GV6" s="225"/>
      <c r="GW6" s="225"/>
      <c r="GX6" s="225"/>
      <c r="GY6" s="225"/>
      <c r="GZ6" s="225"/>
      <c r="HA6" s="225"/>
      <c r="HB6" s="225"/>
      <c r="HC6" s="225"/>
      <c r="HD6" s="225"/>
      <c r="HE6" s="225"/>
      <c r="HF6" s="225"/>
      <c r="HG6" s="225"/>
      <c r="HH6" s="225"/>
      <c r="HI6" s="225"/>
      <c r="HJ6" s="225"/>
      <c r="HK6" s="225"/>
      <c r="HL6" s="225"/>
      <c r="HM6" s="225"/>
      <c r="HN6" s="225"/>
      <c r="HO6" s="225"/>
      <c r="HP6" s="225"/>
      <c r="HQ6" s="225"/>
      <c r="HR6" s="225"/>
      <c r="HS6" s="225"/>
      <c r="HT6" s="225"/>
      <c r="HU6" s="225"/>
      <c r="HV6" s="225"/>
      <c r="HW6" s="225"/>
      <c r="HX6" s="225"/>
      <c r="HY6" s="225"/>
      <c r="HZ6" s="225"/>
      <c r="IA6" s="225"/>
      <c r="IB6" s="225"/>
      <c r="IC6" s="225"/>
      <c r="ID6" s="225"/>
      <c r="IE6" s="225"/>
      <c r="IF6" s="225"/>
      <c r="IG6" s="225"/>
      <c r="IH6" s="225"/>
      <c r="II6" s="225"/>
      <c r="IJ6" s="225"/>
      <c r="IK6" s="225"/>
      <c r="IL6" s="225"/>
      <c r="IM6" s="225"/>
      <c r="IN6" s="225"/>
      <c r="IO6" s="225"/>
      <c r="IP6" s="225"/>
      <c r="IQ6" s="225"/>
      <c r="IR6" s="225"/>
      <c r="IS6" s="225"/>
      <c r="IT6" s="225"/>
      <c r="IU6" s="225"/>
    </row>
    <row r="7" spans="1:255" ht="56.25" hidden="1" x14ac:dyDescent="0.2">
      <c r="A7" s="217">
        <f t="shared" si="0"/>
        <v>302</v>
      </c>
      <c r="B7" s="217">
        <f t="shared" si="1"/>
        <v>28</v>
      </c>
      <c r="C7" s="217" t="s">
        <v>341</v>
      </c>
      <c r="D7" s="221" t="s">
        <v>358</v>
      </c>
      <c r="E7" s="223" t="s">
        <v>1147</v>
      </c>
      <c r="F7" s="222" t="s">
        <v>669</v>
      </c>
      <c r="G7" s="223">
        <v>2008</v>
      </c>
      <c r="H7" s="223" t="s">
        <v>559</v>
      </c>
      <c r="I7" s="223">
        <v>16047502</v>
      </c>
      <c r="J7" s="223">
        <v>16047300</v>
      </c>
      <c r="K7" s="223" t="s">
        <v>1183</v>
      </c>
      <c r="L7" s="222" t="s">
        <v>653</v>
      </c>
      <c r="M7" s="223" t="s">
        <v>219</v>
      </c>
      <c r="N7" s="223" t="s">
        <v>2085</v>
      </c>
      <c r="O7" s="217" t="s">
        <v>2</v>
      </c>
      <c r="P7" s="221" t="s">
        <v>2771</v>
      </c>
      <c r="Q7" s="230">
        <v>302</v>
      </c>
      <c r="R7" s="223">
        <v>196</v>
      </c>
      <c r="S7" s="223">
        <v>28</v>
      </c>
      <c r="T7" s="223" t="s">
        <v>1184</v>
      </c>
      <c r="U7" s="223">
        <v>31</v>
      </c>
      <c r="V7" s="223">
        <v>13.5</v>
      </c>
      <c r="W7" s="223">
        <v>9.2100000000000009</v>
      </c>
      <c r="X7" s="223"/>
      <c r="Y7" s="223">
        <v>7.1820000000000004</v>
      </c>
      <c r="Z7" s="223"/>
      <c r="AA7" s="223">
        <v>5.7670000000000003</v>
      </c>
      <c r="AB7" s="223"/>
      <c r="AC7" s="223"/>
      <c r="AD7" s="230" t="s">
        <v>576</v>
      </c>
      <c r="AE7" s="231">
        <v>0.02</v>
      </c>
      <c r="AF7" s="223">
        <v>8.9999999999999993E-3</v>
      </c>
      <c r="AG7" s="222">
        <v>0.05</v>
      </c>
      <c r="AH7" s="223">
        <v>36</v>
      </c>
      <c r="AI7" s="222"/>
      <c r="AJ7" s="222">
        <v>2681</v>
      </c>
      <c r="AK7" s="222"/>
      <c r="AL7" s="222">
        <v>190</v>
      </c>
      <c r="AM7" s="222">
        <v>334</v>
      </c>
      <c r="AN7" s="222">
        <v>708.66</v>
      </c>
      <c r="AO7" s="222">
        <v>3076</v>
      </c>
      <c r="AP7" s="232">
        <v>0.74</v>
      </c>
      <c r="AQ7" s="222"/>
      <c r="AR7" s="222"/>
      <c r="AS7" s="222"/>
      <c r="AT7" s="222"/>
      <c r="AU7" s="222"/>
      <c r="AV7" s="224">
        <f t="shared" si="2"/>
        <v>1.2823725981620719</v>
      </c>
      <c r="AX7" s="225"/>
      <c r="AY7" s="225"/>
      <c r="AZ7" s="225"/>
      <c r="BA7" s="225"/>
      <c r="BB7" s="225"/>
      <c r="BC7" s="225"/>
      <c r="BD7" s="225"/>
      <c r="BE7" s="225"/>
      <c r="BF7" s="225"/>
      <c r="BG7" s="225"/>
      <c r="BH7" s="225"/>
      <c r="BI7" s="225"/>
      <c r="BJ7" s="225"/>
      <c r="BK7" s="225"/>
      <c r="BL7" s="225"/>
      <c r="BM7" s="225"/>
      <c r="BN7" s="225"/>
      <c r="BO7" s="225"/>
      <c r="BP7" s="225"/>
      <c r="BQ7" s="225"/>
      <c r="BR7" s="225"/>
      <c r="BS7" s="225"/>
      <c r="BT7" s="225"/>
      <c r="BU7" s="225"/>
      <c r="BV7" s="225"/>
      <c r="BW7" s="225"/>
      <c r="BX7" s="225"/>
      <c r="BY7" s="225"/>
      <c r="BZ7" s="225"/>
      <c r="CA7" s="225"/>
      <c r="CB7" s="225"/>
      <c r="CC7" s="225"/>
      <c r="CD7" s="225"/>
      <c r="CE7" s="225"/>
      <c r="CF7" s="225"/>
      <c r="CG7" s="225"/>
      <c r="CH7" s="225"/>
      <c r="CI7" s="225"/>
      <c r="CJ7" s="225"/>
      <c r="CK7" s="225"/>
      <c r="CL7" s="225"/>
      <c r="CM7" s="225"/>
      <c r="CN7" s="225"/>
      <c r="CO7" s="225"/>
      <c r="CP7" s="225"/>
      <c r="CQ7" s="225"/>
      <c r="CR7" s="225"/>
      <c r="CS7" s="225"/>
      <c r="CT7" s="225"/>
      <c r="CU7" s="225"/>
      <c r="CV7" s="225"/>
      <c r="CW7" s="225"/>
      <c r="CX7" s="225"/>
      <c r="CY7" s="225"/>
      <c r="CZ7" s="225"/>
      <c r="DA7" s="225"/>
      <c r="DB7" s="225"/>
      <c r="DC7" s="225"/>
      <c r="DD7" s="225"/>
      <c r="DE7" s="225"/>
      <c r="DF7" s="225"/>
      <c r="DG7" s="225"/>
      <c r="DH7" s="225"/>
      <c r="DI7" s="225"/>
      <c r="DJ7" s="225"/>
      <c r="DK7" s="225"/>
      <c r="DL7" s="225"/>
      <c r="DM7" s="225"/>
      <c r="DN7" s="225"/>
      <c r="DO7" s="225"/>
      <c r="DP7" s="225"/>
      <c r="DQ7" s="225"/>
      <c r="DR7" s="225"/>
      <c r="DS7" s="225"/>
      <c r="DT7" s="225"/>
      <c r="DU7" s="225"/>
      <c r="DV7" s="225"/>
      <c r="DW7" s="225"/>
      <c r="DX7" s="225"/>
      <c r="DY7" s="225"/>
      <c r="DZ7" s="225"/>
      <c r="EA7" s="225"/>
      <c r="EB7" s="225"/>
      <c r="EC7" s="225"/>
      <c r="ED7" s="225"/>
      <c r="EE7" s="225"/>
      <c r="EF7" s="225"/>
      <c r="EG7" s="225"/>
      <c r="EH7" s="225"/>
      <c r="EI7" s="225"/>
      <c r="EJ7" s="225"/>
      <c r="EK7" s="225"/>
      <c r="EL7" s="225"/>
      <c r="EM7" s="225"/>
      <c r="EN7" s="225"/>
      <c r="EO7" s="225"/>
      <c r="EP7" s="225"/>
      <c r="EQ7" s="225"/>
      <c r="ER7" s="225"/>
      <c r="ES7" s="225"/>
      <c r="ET7" s="225"/>
      <c r="EU7" s="225"/>
      <c r="EV7" s="225"/>
      <c r="EW7" s="225"/>
      <c r="EX7" s="225"/>
      <c r="EY7" s="225"/>
      <c r="EZ7" s="225"/>
      <c r="FA7" s="225"/>
      <c r="FB7" s="225"/>
      <c r="FC7" s="225"/>
      <c r="FD7" s="225"/>
      <c r="FE7" s="225"/>
      <c r="FF7" s="225"/>
      <c r="FG7" s="225"/>
      <c r="FH7" s="225"/>
      <c r="FI7" s="225"/>
      <c r="FJ7" s="225"/>
      <c r="FK7" s="225"/>
      <c r="FL7" s="225"/>
      <c r="FM7" s="225"/>
      <c r="FN7" s="225"/>
      <c r="FO7" s="225"/>
      <c r="FP7" s="225"/>
      <c r="FQ7" s="225"/>
      <c r="FR7" s="225"/>
      <c r="FS7" s="225"/>
      <c r="FT7" s="225"/>
      <c r="FU7" s="225"/>
      <c r="FV7" s="225"/>
      <c r="FW7" s="225"/>
      <c r="FX7" s="225"/>
      <c r="FY7" s="225"/>
      <c r="FZ7" s="225"/>
      <c r="GA7" s="225"/>
      <c r="GB7" s="225"/>
      <c r="GC7" s="225"/>
      <c r="GD7" s="225"/>
      <c r="GE7" s="225"/>
      <c r="GF7" s="225"/>
      <c r="GG7" s="225"/>
      <c r="GH7" s="225"/>
      <c r="GI7" s="225"/>
      <c r="GJ7" s="225"/>
      <c r="GK7" s="225"/>
      <c r="GL7" s="225"/>
      <c r="GM7" s="225"/>
      <c r="GN7" s="225"/>
      <c r="GO7" s="225"/>
      <c r="GP7" s="225"/>
      <c r="GQ7" s="225"/>
      <c r="GR7" s="225"/>
      <c r="GS7" s="225"/>
      <c r="GT7" s="225"/>
      <c r="GU7" s="225"/>
      <c r="GV7" s="225"/>
      <c r="GW7" s="225"/>
      <c r="GX7" s="225"/>
      <c r="GY7" s="225"/>
      <c r="GZ7" s="225"/>
      <c r="HA7" s="225"/>
      <c r="HB7" s="225"/>
      <c r="HC7" s="225"/>
      <c r="HD7" s="225"/>
      <c r="HE7" s="225"/>
      <c r="HF7" s="225"/>
      <c r="HG7" s="225"/>
      <c r="HH7" s="225"/>
      <c r="HI7" s="225"/>
      <c r="HJ7" s="225"/>
      <c r="HK7" s="225"/>
      <c r="HL7" s="225"/>
      <c r="HM7" s="225"/>
      <c r="HN7" s="225"/>
      <c r="HO7" s="225"/>
      <c r="HP7" s="225"/>
      <c r="HQ7" s="225"/>
      <c r="HR7" s="225"/>
      <c r="HS7" s="225"/>
      <c r="HT7" s="225"/>
      <c r="HU7" s="225"/>
      <c r="HV7" s="225"/>
      <c r="HW7" s="225"/>
      <c r="HX7" s="225"/>
      <c r="HY7" s="225"/>
      <c r="HZ7" s="225"/>
      <c r="IA7" s="225"/>
      <c r="IB7" s="225"/>
      <c r="IC7" s="225"/>
      <c r="ID7" s="225"/>
      <c r="IE7" s="225"/>
      <c r="IF7" s="225"/>
      <c r="IG7" s="225"/>
      <c r="IH7" s="225"/>
      <c r="II7" s="225"/>
      <c r="IJ7" s="225"/>
      <c r="IK7" s="225"/>
      <c r="IL7" s="225"/>
      <c r="IM7" s="225"/>
      <c r="IN7" s="225"/>
      <c r="IO7" s="225"/>
      <c r="IP7" s="225"/>
      <c r="IQ7" s="225"/>
      <c r="IR7" s="225"/>
      <c r="IS7" s="225"/>
      <c r="IT7" s="225"/>
      <c r="IU7" s="225"/>
    </row>
    <row r="8" spans="1:255" ht="56.25" hidden="1" x14ac:dyDescent="0.2">
      <c r="A8" s="217">
        <f t="shared" si="0"/>
        <v>302</v>
      </c>
      <c r="B8" s="217">
        <f t="shared" si="1"/>
        <v>28</v>
      </c>
      <c r="C8" s="217" t="s">
        <v>341</v>
      </c>
      <c r="D8" s="221" t="s">
        <v>359</v>
      </c>
      <c r="E8" s="357" t="s">
        <v>3181</v>
      </c>
      <c r="F8" s="222" t="s">
        <v>669</v>
      </c>
      <c r="G8" s="221">
        <v>2007</v>
      </c>
      <c r="H8" s="221" t="s">
        <v>559</v>
      </c>
      <c r="I8" s="221">
        <v>16041302</v>
      </c>
      <c r="J8" s="221">
        <v>16041100</v>
      </c>
      <c r="K8" s="221" t="s">
        <v>676</v>
      </c>
      <c r="L8" s="218" t="s">
        <v>653</v>
      </c>
      <c r="M8" s="223" t="s">
        <v>219</v>
      </c>
      <c r="N8" s="221" t="s">
        <v>2085</v>
      </c>
      <c r="O8" s="217" t="s">
        <v>2</v>
      </c>
      <c r="P8" s="221" t="s">
        <v>2771</v>
      </c>
      <c r="Q8" s="221">
        <v>302</v>
      </c>
      <c r="R8" s="221">
        <v>194</v>
      </c>
      <c r="S8" s="221">
        <v>28</v>
      </c>
      <c r="T8" s="221" t="s">
        <v>677</v>
      </c>
      <c r="U8" s="221">
        <v>48.12</v>
      </c>
      <c r="V8" s="223">
        <v>14</v>
      </c>
      <c r="W8" s="221">
        <v>9.26</v>
      </c>
      <c r="X8" s="223"/>
      <c r="Y8" s="221">
        <v>7.13</v>
      </c>
      <c r="Z8" s="223"/>
      <c r="AA8" s="221"/>
      <c r="AB8" s="221"/>
      <c r="AC8" s="221"/>
      <c r="AD8" s="221" t="s">
        <v>576</v>
      </c>
      <c r="AE8" s="221">
        <v>0.02</v>
      </c>
      <c r="AF8" s="223">
        <v>8.9999999999999993E-3</v>
      </c>
      <c r="AG8" s="218">
        <v>0.05</v>
      </c>
      <c r="AH8" s="223">
        <v>36</v>
      </c>
      <c r="AI8" s="218"/>
      <c r="AJ8" s="218"/>
      <c r="AK8" s="218"/>
      <c r="AL8" s="218"/>
      <c r="AM8" s="218"/>
      <c r="AN8" s="218"/>
      <c r="AO8" s="218"/>
      <c r="AP8" s="218"/>
      <c r="AQ8" s="218"/>
      <c r="AR8" s="218"/>
      <c r="AS8" s="218"/>
      <c r="AT8" s="218"/>
      <c r="AU8" s="218"/>
      <c r="AV8" s="224">
        <f t="shared" si="2"/>
        <v>1.2987377279102383</v>
      </c>
    </row>
    <row r="9" spans="1:255" ht="56.25" hidden="1" x14ac:dyDescent="0.2">
      <c r="A9" s="217">
        <f t="shared" si="0"/>
        <v>302</v>
      </c>
      <c r="B9" s="217">
        <f t="shared" si="1"/>
        <v>28</v>
      </c>
      <c r="C9" s="217" t="s">
        <v>341</v>
      </c>
      <c r="D9" s="221" t="s">
        <v>359</v>
      </c>
      <c r="E9" s="357" t="s">
        <v>3182</v>
      </c>
      <c r="F9" s="222" t="s">
        <v>669</v>
      </c>
      <c r="G9" s="221" t="s">
        <v>1822</v>
      </c>
      <c r="H9" s="221" t="s">
        <v>559</v>
      </c>
      <c r="I9" s="221">
        <v>15867702</v>
      </c>
      <c r="J9" s="221">
        <v>15867500</v>
      </c>
      <c r="K9" s="221" t="s">
        <v>678</v>
      </c>
      <c r="L9" s="218" t="s">
        <v>653</v>
      </c>
      <c r="M9" s="223" t="s">
        <v>219</v>
      </c>
      <c r="N9" s="221" t="s">
        <v>2085</v>
      </c>
      <c r="O9" s="217" t="s">
        <v>2</v>
      </c>
      <c r="P9" s="221" t="s">
        <v>2771</v>
      </c>
      <c r="Q9" s="221">
        <v>302</v>
      </c>
      <c r="R9" s="221">
        <v>195</v>
      </c>
      <c r="S9" s="221">
        <v>28</v>
      </c>
      <c r="T9" s="221" t="s">
        <v>581</v>
      </c>
      <c r="U9" s="221">
        <v>57.05</v>
      </c>
      <c r="V9" s="223">
        <v>14</v>
      </c>
      <c r="W9" s="221">
        <v>9.6199999999999992</v>
      </c>
      <c r="X9" s="223"/>
      <c r="Y9" s="221">
        <v>7.31</v>
      </c>
      <c r="Z9" s="223"/>
      <c r="AA9" s="221"/>
      <c r="AB9" s="221"/>
      <c r="AC9" s="221"/>
      <c r="AD9" s="221" t="s">
        <v>576</v>
      </c>
      <c r="AE9" s="221">
        <v>0.02</v>
      </c>
      <c r="AF9" s="223">
        <v>8.9999999999999993E-3</v>
      </c>
      <c r="AG9" s="218">
        <v>0.05</v>
      </c>
      <c r="AH9" s="223">
        <v>36</v>
      </c>
      <c r="AI9" s="218"/>
      <c r="AJ9" s="218"/>
      <c r="AK9" s="218"/>
      <c r="AL9" s="218"/>
      <c r="AM9" s="218"/>
      <c r="AN9" s="218"/>
      <c r="AO9" s="218"/>
      <c r="AP9" s="218"/>
      <c r="AQ9" s="218"/>
      <c r="AR9" s="218"/>
      <c r="AS9" s="218"/>
      <c r="AT9" s="218"/>
      <c r="AU9" s="218"/>
      <c r="AV9" s="224">
        <f t="shared" si="2"/>
        <v>1.3160054719562244</v>
      </c>
    </row>
    <row r="10" spans="1:255" ht="33.75" hidden="1" x14ac:dyDescent="0.2">
      <c r="A10" s="217">
        <f t="shared" si="0"/>
        <v>316</v>
      </c>
      <c r="B10" s="217">
        <f t="shared" si="1"/>
        <v>30</v>
      </c>
      <c r="C10" s="217" t="s">
        <v>341</v>
      </c>
      <c r="D10" s="221" t="s">
        <v>13</v>
      </c>
      <c r="E10" s="221" t="s">
        <v>2310</v>
      </c>
      <c r="F10" s="340" t="s">
        <v>3217</v>
      </c>
      <c r="G10" s="221">
        <v>2005</v>
      </c>
      <c r="H10" s="221" t="s">
        <v>559</v>
      </c>
      <c r="I10" s="221">
        <v>13947704</v>
      </c>
      <c r="J10" s="221">
        <v>13947601</v>
      </c>
      <c r="K10" s="223" t="s">
        <v>2312</v>
      </c>
      <c r="L10" s="218" t="s">
        <v>153</v>
      </c>
      <c r="M10" s="223" t="s">
        <v>2651</v>
      </c>
      <c r="N10" s="221" t="s">
        <v>2086</v>
      </c>
      <c r="O10" s="217" t="s">
        <v>2</v>
      </c>
      <c r="P10" s="221" t="s">
        <v>0</v>
      </c>
      <c r="Q10" s="221">
        <v>316</v>
      </c>
      <c r="R10" s="223">
        <v>199.5</v>
      </c>
      <c r="S10" s="221">
        <v>30</v>
      </c>
      <c r="T10" s="221" t="s">
        <v>581</v>
      </c>
      <c r="U10" s="221">
        <v>40</v>
      </c>
      <c r="V10" s="221">
        <v>13</v>
      </c>
      <c r="W10" s="221">
        <v>11.2</v>
      </c>
      <c r="X10" s="223">
        <v>11.234999999999999</v>
      </c>
      <c r="Y10" s="221">
        <v>8.6300000000000008</v>
      </c>
      <c r="Z10" s="223">
        <v>8.7360000000000007</v>
      </c>
      <c r="AA10" s="223">
        <v>6.9</v>
      </c>
      <c r="AB10" s="223">
        <v>1218.3</v>
      </c>
      <c r="AC10" s="221">
        <v>895</v>
      </c>
      <c r="AD10" s="221" t="s">
        <v>159</v>
      </c>
      <c r="AE10" s="221">
        <v>2.5000000000000001E-2</v>
      </c>
      <c r="AF10" s="221">
        <v>8.9999999999999993E-3</v>
      </c>
      <c r="AG10" s="218">
        <v>0.05</v>
      </c>
      <c r="AH10" s="221">
        <v>36</v>
      </c>
      <c r="AI10" s="218">
        <v>1602</v>
      </c>
      <c r="AJ10" s="218">
        <v>2000</v>
      </c>
      <c r="AK10" s="218">
        <v>958</v>
      </c>
      <c r="AL10" s="218">
        <v>233</v>
      </c>
      <c r="AM10" s="218">
        <v>317</v>
      </c>
      <c r="AN10" s="218">
        <v>535</v>
      </c>
      <c r="AO10" s="218">
        <v>2720</v>
      </c>
      <c r="AP10" s="218">
        <v>0.82399999999999995</v>
      </c>
      <c r="AQ10" s="218">
        <v>43.3</v>
      </c>
      <c r="AR10" s="218">
        <v>331</v>
      </c>
      <c r="AS10" s="218"/>
      <c r="AT10" s="218" t="s">
        <v>17</v>
      </c>
      <c r="AU10" s="218" t="s">
        <v>18</v>
      </c>
      <c r="AV10" s="224">
        <f t="shared" si="2"/>
        <v>1.2977983777520277</v>
      </c>
    </row>
    <row r="11" spans="1:255" ht="78.75" hidden="1" x14ac:dyDescent="0.2">
      <c r="A11" s="217">
        <f t="shared" si="0"/>
        <v>321</v>
      </c>
      <c r="B11" s="217">
        <f t="shared" si="1"/>
        <v>30</v>
      </c>
      <c r="C11" s="217" t="s">
        <v>341</v>
      </c>
      <c r="D11" s="223" t="s">
        <v>2122</v>
      </c>
      <c r="E11" s="223" t="s">
        <v>1409</v>
      </c>
      <c r="F11" s="217" t="s">
        <v>2848</v>
      </c>
      <c r="G11" s="223" t="s">
        <v>2273</v>
      </c>
      <c r="H11" s="223" t="s">
        <v>2126</v>
      </c>
      <c r="I11" s="221">
        <v>17323200</v>
      </c>
      <c r="J11" s="221">
        <v>16849401</v>
      </c>
      <c r="K11" s="223">
        <v>13501320</v>
      </c>
      <c r="L11" s="222" t="s">
        <v>153</v>
      </c>
      <c r="M11" s="221" t="s">
        <v>2125</v>
      </c>
      <c r="N11" s="221" t="s">
        <v>1550</v>
      </c>
      <c r="O11" s="223" t="s">
        <v>1547</v>
      </c>
      <c r="P11" s="221" t="s">
        <v>643</v>
      </c>
      <c r="Q11" s="217">
        <v>321</v>
      </c>
      <c r="R11" s="221">
        <v>191</v>
      </c>
      <c r="S11" s="221">
        <v>30</v>
      </c>
      <c r="T11" s="217" t="s">
        <v>2131</v>
      </c>
      <c r="U11" s="221">
        <v>42.5</v>
      </c>
      <c r="V11" s="221">
        <v>12</v>
      </c>
      <c r="W11" s="221">
        <v>13</v>
      </c>
      <c r="X11" s="223"/>
      <c r="Y11" s="221">
        <v>10</v>
      </c>
      <c r="Z11" s="223"/>
      <c r="AA11" s="223"/>
      <c r="AB11" s="223"/>
      <c r="AC11" s="223"/>
      <c r="AD11" s="217" t="s">
        <v>159</v>
      </c>
      <c r="AE11" s="221">
        <v>0.02</v>
      </c>
      <c r="AF11" s="217">
        <v>6.0000000000000001E-3</v>
      </c>
      <c r="AG11" s="218">
        <v>0.05</v>
      </c>
      <c r="AH11" s="217">
        <v>30</v>
      </c>
      <c r="AI11" s="222"/>
      <c r="AJ11" s="229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/>
      <c r="AV11" s="224">
        <f t="shared" si="2"/>
        <v>1.3</v>
      </c>
    </row>
    <row r="12" spans="1:255" ht="56.25" hidden="1" x14ac:dyDescent="0.2">
      <c r="A12" s="217">
        <f t="shared" si="0"/>
        <v>332</v>
      </c>
      <c r="B12" s="217">
        <f t="shared" si="1"/>
        <v>28</v>
      </c>
      <c r="C12" s="217" t="s">
        <v>341</v>
      </c>
      <c r="D12" s="221" t="s">
        <v>359</v>
      </c>
      <c r="E12" s="221" t="s">
        <v>1819</v>
      </c>
      <c r="F12" s="222" t="s">
        <v>669</v>
      </c>
      <c r="G12" s="221">
        <v>2009</v>
      </c>
      <c r="H12" s="221" t="s">
        <v>559</v>
      </c>
      <c r="I12" s="221">
        <v>16717502</v>
      </c>
      <c r="J12" s="221">
        <v>16717301</v>
      </c>
      <c r="K12" s="221" t="s">
        <v>2696</v>
      </c>
      <c r="L12" s="222" t="s">
        <v>1354</v>
      </c>
      <c r="M12" s="223" t="s">
        <v>219</v>
      </c>
      <c r="N12" s="221" t="s">
        <v>2085</v>
      </c>
      <c r="O12" s="217" t="s">
        <v>2654</v>
      </c>
      <c r="P12" s="221" t="s">
        <v>2771</v>
      </c>
      <c r="Q12" s="221">
        <v>332</v>
      </c>
      <c r="R12" s="221">
        <v>225</v>
      </c>
      <c r="S12" s="221">
        <v>28</v>
      </c>
      <c r="T12" s="221" t="s">
        <v>677</v>
      </c>
      <c r="U12" s="221">
        <v>48.12</v>
      </c>
      <c r="V12" s="223">
        <v>10</v>
      </c>
      <c r="W12" s="221">
        <v>11.96</v>
      </c>
      <c r="X12" s="223"/>
      <c r="Y12" s="221">
        <v>9.5500000000000007</v>
      </c>
      <c r="Z12" s="223"/>
      <c r="AA12" s="221"/>
      <c r="AB12" s="221"/>
      <c r="AC12" s="221"/>
      <c r="AD12" s="221" t="s">
        <v>576</v>
      </c>
      <c r="AE12" s="221">
        <v>0.02</v>
      </c>
      <c r="AF12" s="223">
        <v>8.9999999999999993E-3</v>
      </c>
      <c r="AG12" s="218">
        <v>0.05</v>
      </c>
      <c r="AH12" s="223">
        <v>36</v>
      </c>
      <c r="AI12" s="218"/>
      <c r="AJ12" s="218"/>
      <c r="AK12" s="218"/>
      <c r="AL12" s="218"/>
      <c r="AM12" s="218"/>
      <c r="AN12" s="218"/>
      <c r="AO12" s="218"/>
      <c r="AP12" s="218"/>
      <c r="AQ12" s="218"/>
      <c r="AR12" s="218"/>
      <c r="AS12" s="218"/>
      <c r="AT12" s="218"/>
      <c r="AU12" s="218"/>
      <c r="AV12" s="224">
        <f t="shared" si="2"/>
        <v>1.2523560209424083</v>
      </c>
    </row>
    <row r="13" spans="1:255" ht="56.25" hidden="1" x14ac:dyDescent="0.2">
      <c r="A13" s="217">
        <f t="shared" si="0"/>
        <v>332</v>
      </c>
      <c r="B13" s="217">
        <f t="shared" si="1"/>
        <v>28</v>
      </c>
      <c r="C13" s="217" t="s">
        <v>341</v>
      </c>
      <c r="D13" s="221" t="s">
        <v>359</v>
      </c>
      <c r="E13" s="221" t="s">
        <v>1820</v>
      </c>
      <c r="F13" s="222" t="s">
        <v>669</v>
      </c>
      <c r="G13" s="221">
        <v>2009</v>
      </c>
      <c r="H13" s="221" t="s">
        <v>559</v>
      </c>
      <c r="I13" s="221">
        <v>16717202</v>
      </c>
      <c r="J13" s="221">
        <v>16717001</v>
      </c>
      <c r="K13" s="221" t="s">
        <v>2657</v>
      </c>
      <c r="L13" s="222" t="s">
        <v>1354</v>
      </c>
      <c r="M13" s="223" t="s">
        <v>219</v>
      </c>
      <c r="N13" s="221" t="s">
        <v>2085</v>
      </c>
      <c r="O13" s="217" t="s">
        <v>2654</v>
      </c>
      <c r="P13" s="221" t="s">
        <v>2771</v>
      </c>
      <c r="Q13" s="221">
        <v>332</v>
      </c>
      <c r="R13" s="221">
        <v>225</v>
      </c>
      <c r="S13" s="221">
        <v>28</v>
      </c>
      <c r="T13" s="221" t="s">
        <v>581</v>
      </c>
      <c r="U13" s="221">
        <v>57.05</v>
      </c>
      <c r="V13" s="223">
        <v>10</v>
      </c>
      <c r="W13" s="226">
        <v>12.3</v>
      </c>
      <c r="X13" s="223"/>
      <c r="Y13" s="221">
        <v>9.8049999999999997</v>
      </c>
      <c r="Z13" s="223"/>
      <c r="AA13" s="221"/>
      <c r="AB13" s="221"/>
      <c r="AC13" s="221"/>
      <c r="AD13" s="221" t="s">
        <v>576</v>
      </c>
      <c r="AE13" s="221">
        <v>0.02</v>
      </c>
      <c r="AF13" s="223">
        <v>8.9999999999999993E-3</v>
      </c>
      <c r="AG13" s="218">
        <v>0.05</v>
      </c>
      <c r="AH13" s="223">
        <v>36</v>
      </c>
      <c r="AI13" s="218"/>
      <c r="AJ13" s="218"/>
      <c r="AK13" s="218"/>
      <c r="AL13" s="218"/>
      <c r="AM13" s="218"/>
      <c r="AN13" s="218"/>
      <c r="AO13" s="218"/>
      <c r="AP13" s="218"/>
      <c r="AQ13" s="218"/>
      <c r="AR13" s="218"/>
      <c r="AS13" s="218"/>
      <c r="AT13" s="218"/>
      <c r="AU13" s="218"/>
      <c r="AV13" s="224">
        <f t="shared" si="2"/>
        <v>1.2544620091789904</v>
      </c>
      <c r="AX13" s="233"/>
      <c r="AY13" s="233"/>
      <c r="AZ13" s="233"/>
      <c r="BA13" s="233"/>
      <c r="BB13" s="233"/>
      <c r="BC13" s="233"/>
      <c r="BD13" s="233"/>
      <c r="BE13" s="233"/>
      <c r="BF13" s="233"/>
      <c r="BG13" s="233"/>
      <c r="BH13" s="233"/>
      <c r="BI13" s="233"/>
      <c r="BJ13" s="233"/>
      <c r="BK13" s="233"/>
      <c r="BL13" s="233"/>
      <c r="BM13" s="233"/>
      <c r="BN13" s="233"/>
      <c r="BO13" s="233"/>
      <c r="BP13" s="233"/>
      <c r="BQ13" s="233"/>
      <c r="BR13" s="233"/>
      <c r="BS13" s="233"/>
      <c r="BT13" s="233"/>
      <c r="BU13" s="233"/>
      <c r="BV13" s="233"/>
      <c r="BW13" s="233"/>
      <c r="BX13" s="233"/>
      <c r="BY13" s="233"/>
      <c r="BZ13" s="233"/>
      <c r="CA13" s="233"/>
      <c r="CB13" s="233"/>
      <c r="CC13" s="233"/>
      <c r="CD13" s="233"/>
      <c r="CE13" s="233"/>
      <c r="CF13" s="233"/>
      <c r="CG13" s="233"/>
      <c r="CH13" s="233"/>
      <c r="CI13" s="233"/>
      <c r="CJ13" s="233"/>
      <c r="CK13" s="233"/>
      <c r="CL13" s="233"/>
      <c r="CM13" s="233"/>
      <c r="CN13" s="233"/>
      <c r="CO13" s="233"/>
      <c r="CP13" s="233"/>
      <c r="CQ13" s="233"/>
      <c r="CR13" s="233"/>
      <c r="CS13" s="233"/>
      <c r="CT13" s="233"/>
      <c r="CU13" s="233"/>
      <c r="CV13" s="233"/>
      <c r="CW13" s="233"/>
      <c r="CX13" s="233"/>
      <c r="CY13" s="233"/>
      <c r="CZ13" s="233"/>
      <c r="DA13" s="233"/>
      <c r="DB13" s="233"/>
      <c r="DC13" s="233"/>
      <c r="DD13" s="233"/>
      <c r="DE13" s="233"/>
      <c r="DF13" s="233"/>
      <c r="DG13" s="233"/>
      <c r="DH13" s="233"/>
      <c r="DI13" s="233"/>
      <c r="DJ13" s="233"/>
      <c r="DK13" s="233"/>
      <c r="DL13" s="233"/>
      <c r="DM13" s="233"/>
      <c r="DN13" s="233"/>
      <c r="DO13" s="233"/>
      <c r="DP13" s="233"/>
      <c r="DQ13" s="233"/>
      <c r="DR13" s="233"/>
      <c r="DS13" s="233"/>
      <c r="DT13" s="233"/>
      <c r="DU13" s="233"/>
      <c r="DV13" s="233"/>
      <c r="DW13" s="233"/>
      <c r="DX13" s="233"/>
      <c r="DY13" s="233"/>
      <c r="DZ13" s="233"/>
      <c r="EA13" s="233"/>
      <c r="EB13" s="233"/>
      <c r="EC13" s="233"/>
      <c r="ED13" s="233"/>
      <c r="EE13" s="233"/>
      <c r="EF13" s="233"/>
      <c r="EG13" s="233"/>
      <c r="EH13" s="233"/>
      <c r="EI13" s="233"/>
      <c r="EJ13" s="233"/>
      <c r="EK13" s="233"/>
      <c r="EL13" s="233"/>
      <c r="EM13" s="233"/>
      <c r="EN13" s="233"/>
      <c r="EO13" s="233"/>
      <c r="EP13" s="233"/>
      <c r="EQ13" s="233"/>
      <c r="ER13" s="233"/>
      <c r="ES13" s="233"/>
      <c r="ET13" s="233"/>
      <c r="EU13" s="233"/>
      <c r="EV13" s="233"/>
      <c r="EW13" s="233"/>
      <c r="EX13" s="233"/>
      <c r="EY13" s="233"/>
      <c r="EZ13" s="233"/>
      <c r="FA13" s="233"/>
      <c r="FB13" s="233"/>
      <c r="FC13" s="233"/>
      <c r="FD13" s="233"/>
      <c r="FE13" s="233"/>
      <c r="FF13" s="233"/>
      <c r="FG13" s="233"/>
      <c r="FH13" s="233"/>
      <c r="FI13" s="233"/>
      <c r="FJ13" s="233"/>
      <c r="FK13" s="233"/>
      <c r="FL13" s="233"/>
      <c r="FM13" s="233"/>
      <c r="FN13" s="233"/>
      <c r="FO13" s="233"/>
      <c r="FP13" s="233"/>
      <c r="FQ13" s="233"/>
      <c r="FR13" s="233"/>
      <c r="FS13" s="233"/>
      <c r="FT13" s="233"/>
      <c r="FU13" s="233"/>
      <c r="FV13" s="233"/>
      <c r="FW13" s="233"/>
      <c r="FX13" s="233"/>
      <c r="FY13" s="233"/>
      <c r="FZ13" s="233"/>
      <c r="GA13" s="233"/>
      <c r="GB13" s="233"/>
      <c r="GC13" s="233"/>
      <c r="GD13" s="233"/>
      <c r="GE13" s="233"/>
      <c r="GF13" s="233"/>
      <c r="GG13" s="233"/>
      <c r="GH13" s="233"/>
      <c r="GI13" s="233"/>
      <c r="GJ13" s="233"/>
      <c r="GK13" s="233"/>
      <c r="GL13" s="233"/>
      <c r="GM13" s="233"/>
      <c r="GN13" s="233"/>
      <c r="GO13" s="233"/>
      <c r="GP13" s="233"/>
      <c r="GQ13" s="233"/>
      <c r="GR13" s="233"/>
      <c r="GS13" s="233"/>
      <c r="GT13" s="233"/>
      <c r="GU13" s="233"/>
      <c r="GV13" s="233"/>
      <c r="GW13" s="233"/>
      <c r="GX13" s="233"/>
      <c r="GY13" s="233"/>
      <c r="GZ13" s="233"/>
      <c r="HA13" s="233"/>
      <c r="HB13" s="233"/>
      <c r="HC13" s="233"/>
      <c r="HD13" s="233"/>
      <c r="HE13" s="233"/>
      <c r="HF13" s="233"/>
      <c r="HG13" s="233"/>
      <c r="HH13" s="233"/>
      <c r="HI13" s="233"/>
      <c r="HJ13" s="233"/>
      <c r="HK13" s="233"/>
      <c r="HL13" s="233"/>
      <c r="HM13" s="233"/>
      <c r="HN13" s="233"/>
      <c r="HO13" s="233"/>
      <c r="HP13" s="233"/>
      <c r="HQ13" s="233"/>
      <c r="HR13" s="233"/>
      <c r="HS13" s="233"/>
      <c r="HT13" s="233"/>
      <c r="HU13" s="233"/>
      <c r="HV13" s="233"/>
      <c r="HW13" s="233"/>
      <c r="HX13" s="233"/>
      <c r="HY13" s="233"/>
      <c r="HZ13" s="233"/>
      <c r="IA13" s="233"/>
      <c r="IB13" s="233"/>
      <c r="IC13" s="233"/>
      <c r="ID13" s="233"/>
      <c r="IE13" s="233"/>
      <c r="IF13" s="233"/>
      <c r="IG13" s="233"/>
      <c r="IH13" s="233"/>
      <c r="II13" s="233"/>
      <c r="IJ13" s="233"/>
      <c r="IK13" s="233"/>
      <c r="IL13" s="233"/>
      <c r="IM13" s="233"/>
      <c r="IN13" s="233"/>
      <c r="IO13" s="233"/>
      <c r="IP13" s="233"/>
      <c r="IQ13" s="233"/>
      <c r="IR13" s="233"/>
      <c r="IS13" s="233"/>
      <c r="IT13" s="233"/>
      <c r="IU13" s="233"/>
    </row>
    <row r="14" spans="1:255" ht="56.25" hidden="1" x14ac:dyDescent="0.2">
      <c r="A14" s="217">
        <f t="shared" si="0"/>
        <v>336</v>
      </c>
      <c r="B14" s="217">
        <f t="shared" si="1"/>
        <v>28</v>
      </c>
      <c r="C14" s="217" t="s">
        <v>341</v>
      </c>
      <c r="D14" s="221" t="s">
        <v>359</v>
      </c>
      <c r="E14" s="357" t="s">
        <v>3216</v>
      </c>
      <c r="F14" s="217" t="s">
        <v>2226</v>
      </c>
      <c r="G14" s="221">
        <v>2002</v>
      </c>
      <c r="H14" s="221" t="s">
        <v>559</v>
      </c>
      <c r="I14" s="221">
        <v>13707310</v>
      </c>
      <c r="J14" s="221">
        <v>13707200</v>
      </c>
      <c r="K14" s="221" t="s">
        <v>1</v>
      </c>
      <c r="L14" s="218" t="s">
        <v>153</v>
      </c>
      <c r="M14" s="223" t="s">
        <v>219</v>
      </c>
      <c r="N14" s="221" t="s">
        <v>2082</v>
      </c>
      <c r="O14" s="217" t="s">
        <v>2</v>
      </c>
      <c r="P14" s="221" t="s">
        <v>2771</v>
      </c>
      <c r="Q14" s="217">
        <v>336</v>
      </c>
      <c r="R14" s="221" t="s">
        <v>1350</v>
      </c>
      <c r="S14" s="221">
        <v>28</v>
      </c>
      <c r="T14" s="221" t="s">
        <v>1749</v>
      </c>
      <c r="U14" s="221">
        <v>59.45</v>
      </c>
      <c r="V14" s="221">
        <v>8</v>
      </c>
      <c r="W14" s="221">
        <v>14.53</v>
      </c>
      <c r="X14" s="221"/>
      <c r="Y14" s="221">
        <v>11.11</v>
      </c>
      <c r="Z14" s="221"/>
      <c r="AA14" s="221">
        <v>8.6280000000000001</v>
      </c>
      <c r="AB14" s="221">
        <v>1202.08</v>
      </c>
      <c r="AC14" s="221">
        <v>852.18</v>
      </c>
      <c r="AD14" s="217" t="s">
        <v>159</v>
      </c>
      <c r="AE14" s="221">
        <v>2.5000000000000001E-2</v>
      </c>
      <c r="AF14" s="221">
        <v>0.01</v>
      </c>
      <c r="AG14" s="222">
        <v>0.1</v>
      </c>
      <c r="AH14" s="221">
        <v>54</v>
      </c>
      <c r="AI14" s="218">
        <v>2313</v>
      </c>
      <c r="AJ14" s="218">
        <v>3016</v>
      </c>
      <c r="AK14" s="218">
        <v>980</v>
      </c>
      <c r="AL14" s="218">
        <v>153</v>
      </c>
      <c r="AM14" s="218">
        <v>405.4</v>
      </c>
      <c r="AN14" s="218">
        <v>777.24</v>
      </c>
      <c r="AO14" s="218">
        <v>3429</v>
      </c>
      <c r="AP14" s="218">
        <v>0.66</v>
      </c>
      <c r="AQ14" s="218"/>
      <c r="AR14" s="218">
        <v>413.93</v>
      </c>
      <c r="AS14" s="218"/>
      <c r="AT14" s="218" t="s">
        <v>3</v>
      </c>
      <c r="AU14" s="218" t="s">
        <v>4</v>
      </c>
      <c r="AV14" s="224">
        <f t="shared" si="2"/>
        <v>1.3078307830783078</v>
      </c>
    </row>
    <row r="15" spans="1:255" ht="45" hidden="1" x14ac:dyDescent="0.2">
      <c r="A15" s="217">
        <v>336</v>
      </c>
      <c r="B15" s="217">
        <f t="shared" si="1"/>
        <v>30</v>
      </c>
      <c r="C15" s="217" t="s">
        <v>341</v>
      </c>
      <c r="D15" s="221" t="s">
        <v>13</v>
      </c>
      <c r="E15" s="221" t="s">
        <v>2311</v>
      </c>
      <c r="F15" s="340" t="s">
        <v>3217</v>
      </c>
      <c r="G15" s="221">
        <v>2005</v>
      </c>
      <c r="H15" s="221" t="s">
        <v>559</v>
      </c>
      <c r="I15" s="221">
        <v>13947904</v>
      </c>
      <c r="J15" s="221">
        <v>13947801</v>
      </c>
      <c r="K15" s="223" t="s">
        <v>2655</v>
      </c>
      <c r="L15" s="218" t="s">
        <v>153</v>
      </c>
      <c r="M15" s="223" t="s">
        <v>2651</v>
      </c>
      <c r="N15" s="221" t="s">
        <v>2086</v>
      </c>
      <c r="O15" s="217" t="s">
        <v>2</v>
      </c>
      <c r="P15" s="221" t="s">
        <v>0</v>
      </c>
      <c r="Q15" s="221">
        <v>293</v>
      </c>
      <c r="R15" s="223">
        <v>176.5</v>
      </c>
      <c r="S15" s="221">
        <v>30</v>
      </c>
      <c r="T15" s="221" t="s">
        <v>581</v>
      </c>
      <c r="U15" s="221">
        <v>40</v>
      </c>
      <c r="V15" s="221">
        <v>13</v>
      </c>
      <c r="W15" s="221">
        <v>10.093</v>
      </c>
      <c r="X15" s="223">
        <v>10.528</v>
      </c>
      <c r="Y15" s="221">
        <v>7.7</v>
      </c>
      <c r="Z15" s="223">
        <v>7.8520000000000003</v>
      </c>
      <c r="AA15" s="221">
        <v>6.4</v>
      </c>
      <c r="AB15" s="221">
        <v>1199.8</v>
      </c>
      <c r="AC15" s="221">
        <v>805.2</v>
      </c>
      <c r="AD15" s="221" t="s">
        <v>159</v>
      </c>
      <c r="AE15" s="221">
        <v>2.5000000000000001E-2</v>
      </c>
      <c r="AF15" s="221">
        <v>8.9999999999999993E-3</v>
      </c>
      <c r="AG15" s="218">
        <v>0.05</v>
      </c>
      <c r="AH15" s="221">
        <v>36</v>
      </c>
      <c r="AI15" s="218">
        <v>1530</v>
      </c>
      <c r="AJ15" s="218">
        <v>1960</v>
      </c>
      <c r="AK15" s="218">
        <v>933</v>
      </c>
      <c r="AL15" s="218">
        <v>180</v>
      </c>
      <c r="AM15" s="218">
        <v>311</v>
      </c>
      <c r="AN15" s="218">
        <v>535</v>
      </c>
      <c r="AO15" s="218">
        <v>2720</v>
      </c>
      <c r="AP15" s="218">
        <v>0.81100000000000005</v>
      </c>
      <c r="AQ15" s="218">
        <v>45.5</v>
      </c>
      <c r="AR15" s="218">
        <v>347.59</v>
      </c>
      <c r="AS15" s="218"/>
      <c r="AT15" s="218" t="s">
        <v>15</v>
      </c>
      <c r="AU15" s="218" t="s">
        <v>16</v>
      </c>
      <c r="AV15" s="224">
        <f t="shared" si="2"/>
        <v>1.3107792207792208</v>
      </c>
    </row>
    <row r="16" spans="1:255" ht="56.25" hidden="1" x14ac:dyDescent="0.2">
      <c r="A16" s="217">
        <f t="shared" ref="A16:A21" si="3">Q16</f>
        <v>345</v>
      </c>
      <c r="B16" s="217">
        <f t="shared" si="1"/>
        <v>30</v>
      </c>
      <c r="C16" s="217" t="s">
        <v>341</v>
      </c>
      <c r="D16" s="223" t="s">
        <v>2122</v>
      </c>
      <c r="E16" s="223" t="s">
        <v>2979</v>
      </c>
      <c r="F16" s="217" t="s">
        <v>2848</v>
      </c>
      <c r="G16" s="223">
        <v>2012</v>
      </c>
      <c r="H16" s="223" t="s">
        <v>2126</v>
      </c>
      <c r="I16" s="217">
        <v>16850800</v>
      </c>
      <c r="J16" s="217">
        <v>16850701</v>
      </c>
      <c r="K16" s="223">
        <v>13501323</v>
      </c>
      <c r="L16" s="222" t="s">
        <v>153</v>
      </c>
      <c r="M16" s="221" t="s">
        <v>2124</v>
      </c>
      <c r="N16" s="234" t="s">
        <v>1548</v>
      </c>
      <c r="O16" s="223" t="s">
        <v>1547</v>
      </c>
      <c r="P16" s="221" t="s">
        <v>643</v>
      </c>
      <c r="Q16" s="217">
        <v>345</v>
      </c>
      <c r="R16" s="217">
        <v>215</v>
      </c>
      <c r="S16" s="217">
        <v>30</v>
      </c>
      <c r="T16" s="217" t="s">
        <v>2131</v>
      </c>
      <c r="U16" s="217">
        <v>42.5</v>
      </c>
      <c r="V16" s="217">
        <v>12</v>
      </c>
      <c r="W16" s="217">
        <v>14.879</v>
      </c>
      <c r="X16" s="223"/>
      <c r="Y16" s="217">
        <v>11.321</v>
      </c>
      <c r="Z16" s="223"/>
      <c r="AA16" s="223"/>
      <c r="AB16" s="223"/>
      <c r="AC16" s="223"/>
      <c r="AD16" s="217" t="s">
        <v>159</v>
      </c>
      <c r="AE16" s="221">
        <v>0.02</v>
      </c>
      <c r="AF16" s="217">
        <v>6.0000000000000001E-3</v>
      </c>
      <c r="AG16" s="218">
        <v>0.05</v>
      </c>
      <c r="AH16" s="217">
        <v>30</v>
      </c>
      <c r="AI16" s="222"/>
      <c r="AJ16" s="229"/>
      <c r="AK16" s="222"/>
      <c r="AL16" s="222"/>
      <c r="AM16" s="222"/>
      <c r="AN16" s="222"/>
      <c r="AO16" s="222"/>
      <c r="AP16" s="222"/>
      <c r="AQ16" s="222"/>
      <c r="AR16" s="222"/>
      <c r="AS16" s="222"/>
      <c r="AT16" s="222"/>
      <c r="AU16" s="222"/>
      <c r="AV16" s="224">
        <f t="shared" si="2"/>
        <v>1.3142831905308718</v>
      </c>
      <c r="AW16" s="225"/>
    </row>
    <row r="17" spans="1:255" ht="33.75" x14ac:dyDescent="0.2">
      <c r="A17" s="749">
        <v>350</v>
      </c>
      <c r="B17" s="749">
        <v>34</v>
      </c>
      <c r="C17" s="749" t="s">
        <v>341</v>
      </c>
      <c r="D17" s="751" t="s">
        <v>659</v>
      </c>
      <c r="E17" s="751" t="s">
        <v>4237</v>
      </c>
      <c r="F17" s="750" t="s">
        <v>2908</v>
      </c>
      <c r="G17" s="751" t="s">
        <v>67</v>
      </c>
      <c r="H17" s="750" t="s">
        <v>4298</v>
      </c>
      <c r="I17" s="751" t="s">
        <v>4238</v>
      </c>
      <c r="J17" s="751">
        <v>16012201</v>
      </c>
      <c r="K17" s="751" t="s">
        <v>4239</v>
      </c>
      <c r="L17" s="750" t="s">
        <v>1185</v>
      </c>
      <c r="M17" s="751" t="s">
        <v>2651</v>
      </c>
      <c r="N17" s="751" t="s">
        <v>2085</v>
      </c>
      <c r="O17" s="751" t="s">
        <v>66</v>
      </c>
      <c r="P17" s="756"/>
      <c r="Q17" s="754">
        <v>350</v>
      </c>
      <c r="R17" s="751">
        <v>237</v>
      </c>
      <c r="S17" s="751">
        <v>34</v>
      </c>
      <c r="T17" s="751" t="s">
        <v>1934</v>
      </c>
      <c r="U17" s="751">
        <v>40.5</v>
      </c>
      <c r="V17" s="751">
        <v>12</v>
      </c>
      <c r="W17" s="751">
        <v>16.23</v>
      </c>
      <c r="X17" s="751"/>
      <c r="Y17" s="751">
        <v>13.1</v>
      </c>
      <c r="Z17" s="751"/>
      <c r="AA17" s="751">
        <v>10.4</v>
      </c>
      <c r="AB17" s="751">
        <v>2303.8000000000002</v>
      </c>
      <c r="AC17" s="751">
        <v>949.7</v>
      </c>
      <c r="AD17" s="754" t="s">
        <v>159</v>
      </c>
      <c r="AE17" s="751">
        <v>2.5000000000000001E-2</v>
      </c>
      <c r="AF17" s="751">
        <v>8.9999999999999993E-3</v>
      </c>
      <c r="AG17" s="750">
        <v>0.1</v>
      </c>
      <c r="AH17" s="751">
        <v>20</v>
      </c>
      <c r="AI17" s="750"/>
      <c r="AJ17" s="750"/>
      <c r="AK17" s="750"/>
      <c r="AL17" s="750"/>
      <c r="AM17" s="750"/>
      <c r="AN17" s="750"/>
      <c r="AO17" s="750"/>
      <c r="AP17" s="757"/>
      <c r="AQ17" s="750"/>
      <c r="AR17" s="750"/>
      <c r="AS17" s="750"/>
      <c r="AT17" s="750"/>
      <c r="AU17" s="750"/>
      <c r="AV17" s="752">
        <v>1.2389312977099238</v>
      </c>
      <c r="AW17" s="753"/>
      <c r="AX17" s="755"/>
      <c r="AY17" s="755"/>
      <c r="AZ17" s="755"/>
      <c r="BA17" s="755"/>
      <c r="BB17" s="755"/>
      <c r="BC17" s="755"/>
      <c r="BD17" s="755"/>
      <c r="BE17" s="755"/>
      <c r="BF17" s="755"/>
      <c r="BG17" s="755"/>
      <c r="BH17" s="755"/>
      <c r="BI17" s="755"/>
      <c r="BJ17" s="755"/>
      <c r="BK17" s="755"/>
      <c r="BL17" s="755"/>
      <c r="BM17" s="755"/>
      <c r="BN17" s="755"/>
      <c r="BO17" s="755"/>
      <c r="BP17" s="755"/>
      <c r="BQ17" s="755"/>
      <c r="BR17" s="755"/>
      <c r="BS17" s="755"/>
      <c r="BT17" s="755"/>
      <c r="BU17" s="755"/>
      <c r="BV17" s="755"/>
      <c r="BW17" s="755"/>
      <c r="BX17" s="755"/>
      <c r="BY17" s="755"/>
      <c r="BZ17" s="755"/>
      <c r="CA17" s="755"/>
      <c r="CB17" s="755"/>
      <c r="CC17" s="755"/>
      <c r="CD17" s="755"/>
      <c r="CE17" s="755"/>
      <c r="CF17" s="755"/>
      <c r="CG17" s="755"/>
      <c r="CH17" s="755"/>
      <c r="CI17" s="755"/>
      <c r="CJ17" s="755"/>
      <c r="CK17" s="755"/>
      <c r="CL17" s="755"/>
      <c r="CM17" s="755"/>
      <c r="CN17" s="755"/>
      <c r="CO17" s="755"/>
      <c r="CP17" s="755"/>
      <c r="CQ17" s="755"/>
      <c r="CR17" s="755"/>
      <c r="CS17" s="755"/>
      <c r="CT17" s="755"/>
      <c r="CU17" s="755"/>
      <c r="CV17" s="755"/>
      <c r="CW17" s="755"/>
      <c r="CX17" s="755"/>
      <c r="CY17" s="755"/>
      <c r="CZ17" s="755"/>
      <c r="DA17" s="755"/>
      <c r="DB17" s="755"/>
      <c r="DC17" s="755"/>
      <c r="DD17" s="755"/>
      <c r="DE17" s="755"/>
      <c r="DF17" s="755"/>
      <c r="DG17" s="755"/>
      <c r="DH17" s="755"/>
      <c r="DI17" s="755"/>
      <c r="DJ17" s="755"/>
      <c r="DK17" s="755"/>
      <c r="DL17" s="755"/>
      <c r="DM17" s="755"/>
      <c r="DN17" s="755"/>
      <c r="DO17" s="755"/>
      <c r="DP17" s="755"/>
      <c r="DQ17" s="755"/>
      <c r="DR17" s="755"/>
      <c r="DS17" s="755"/>
      <c r="DT17" s="755"/>
      <c r="DU17" s="755"/>
      <c r="DV17" s="755"/>
      <c r="DW17" s="755"/>
      <c r="DX17" s="755"/>
      <c r="DY17" s="755"/>
      <c r="DZ17" s="755"/>
      <c r="EA17" s="755"/>
      <c r="EB17" s="755"/>
      <c r="EC17" s="755"/>
      <c r="ED17" s="755"/>
      <c r="EE17" s="755"/>
      <c r="EF17" s="755"/>
      <c r="EG17" s="755"/>
      <c r="EH17" s="755"/>
      <c r="EI17" s="755"/>
      <c r="EJ17" s="755"/>
      <c r="EK17" s="755"/>
      <c r="EL17" s="755"/>
      <c r="EM17" s="755"/>
      <c r="EN17" s="755"/>
      <c r="EO17" s="755"/>
      <c r="EP17" s="755"/>
      <c r="EQ17" s="755"/>
      <c r="ER17" s="755"/>
      <c r="ES17" s="755"/>
      <c r="ET17" s="755"/>
      <c r="EU17" s="755"/>
      <c r="EV17" s="755"/>
      <c r="EW17" s="755"/>
      <c r="EX17" s="755"/>
      <c r="EY17" s="755"/>
      <c r="EZ17" s="755"/>
      <c r="FA17" s="755"/>
      <c r="FB17" s="755"/>
      <c r="FC17" s="755"/>
      <c r="FD17" s="755"/>
      <c r="FE17" s="755"/>
      <c r="FF17" s="755"/>
      <c r="FG17" s="755"/>
      <c r="FH17" s="755"/>
      <c r="FI17" s="755"/>
      <c r="FJ17" s="755"/>
      <c r="FK17" s="755"/>
      <c r="FL17" s="755"/>
      <c r="FM17" s="755"/>
      <c r="FN17" s="755"/>
      <c r="FO17" s="755"/>
      <c r="FP17" s="755"/>
      <c r="FQ17" s="755"/>
      <c r="FR17" s="755"/>
      <c r="FS17" s="755"/>
      <c r="FT17" s="755"/>
      <c r="FU17" s="755"/>
      <c r="FV17" s="755"/>
      <c r="FW17" s="755"/>
      <c r="FX17" s="755"/>
      <c r="FY17" s="755"/>
      <c r="FZ17" s="755"/>
      <c r="GA17" s="755"/>
      <c r="GB17" s="755"/>
      <c r="GC17" s="755"/>
      <c r="GD17" s="755"/>
      <c r="GE17" s="755"/>
      <c r="GF17" s="755"/>
      <c r="GG17" s="755"/>
      <c r="GH17" s="755"/>
      <c r="GI17" s="755"/>
      <c r="GJ17" s="755"/>
      <c r="GK17" s="755"/>
      <c r="GL17" s="755"/>
      <c r="GM17" s="755"/>
      <c r="GN17" s="755"/>
      <c r="GO17" s="755"/>
      <c r="GP17" s="755"/>
      <c r="GQ17" s="755"/>
      <c r="GR17" s="755"/>
      <c r="GS17" s="755"/>
      <c r="GT17" s="755"/>
      <c r="GU17" s="755"/>
      <c r="GV17" s="755"/>
      <c r="GW17" s="755"/>
      <c r="GX17" s="755"/>
      <c r="GY17" s="755"/>
      <c r="GZ17" s="755"/>
      <c r="HA17" s="755"/>
      <c r="HB17" s="755"/>
      <c r="HC17" s="755"/>
      <c r="HD17" s="755"/>
      <c r="HE17" s="755"/>
      <c r="HF17" s="755"/>
      <c r="HG17" s="755"/>
      <c r="HH17" s="755"/>
      <c r="HI17" s="755"/>
      <c r="HJ17" s="755"/>
      <c r="HK17" s="755"/>
      <c r="HL17" s="755"/>
      <c r="HM17" s="755"/>
      <c r="HN17" s="755"/>
      <c r="HO17" s="755"/>
      <c r="HP17" s="755"/>
      <c r="HQ17" s="755"/>
      <c r="HR17" s="755"/>
      <c r="HS17" s="755"/>
      <c r="HT17" s="755"/>
      <c r="HU17" s="755"/>
      <c r="HV17" s="755"/>
      <c r="HW17" s="755"/>
      <c r="HX17" s="755"/>
      <c r="HY17" s="755"/>
      <c r="HZ17" s="755"/>
      <c r="IA17" s="755"/>
      <c r="IB17" s="755"/>
      <c r="IC17" s="755"/>
      <c r="ID17" s="755"/>
      <c r="IE17" s="755"/>
      <c r="IF17" s="755"/>
      <c r="IG17" s="755"/>
      <c r="IH17" s="755"/>
      <c r="II17" s="755"/>
      <c r="IJ17" s="755"/>
      <c r="IK17" s="755"/>
      <c r="IL17" s="755"/>
      <c r="IM17" s="755"/>
      <c r="IN17" s="755"/>
      <c r="IO17" s="755"/>
      <c r="IP17" s="755"/>
      <c r="IQ17" s="755"/>
      <c r="IR17" s="755"/>
      <c r="IS17" s="755"/>
      <c r="IT17" s="755"/>
      <c r="IU17" s="755"/>
    </row>
    <row r="18" spans="1:255" ht="56.25" hidden="1" x14ac:dyDescent="0.2">
      <c r="A18" s="217">
        <f t="shared" si="3"/>
        <v>360</v>
      </c>
      <c r="B18" s="217">
        <f t="shared" si="1"/>
        <v>39</v>
      </c>
      <c r="C18" s="217" t="s">
        <v>341</v>
      </c>
      <c r="D18" s="221" t="s">
        <v>359</v>
      </c>
      <c r="E18" s="222" t="s">
        <v>2165</v>
      </c>
      <c r="F18" s="230" t="s">
        <v>2226</v>
      </c>
      <c r="G18" s="223">
        <v>2009</v>
      </c>
      <c r="H18" s="223" t="s">
        <v>1015</v>
      </c>
      <c r="I18" s="222">
        <v>16006004</v>
      </c>
      <c r="J18" s="222">
        <v>16005801</v>
      </c>
      <c r="K18" s="342" t="s">
        <v>3062</v>
      </c>
      <c r="L18" s="342" t="s">
        <v>153</v>
      </c>
      <c r="M18" s="223" t="s">
        <v>1460</v>
      </c>
      <c r="N18" s="223" t="s">
        <v>2086</v>
      </c>
      <c r="O18" s="217" t="s">
        <v>2</v>
      </c>
      <c r="P18" s="221" t="s">
        <v>2771</v>
      </c>
      <c r="Q18" s="230">
        <v>360</v>
      </c>
      <c r="R18" s="223">
        <v>233</v>
      </c>
      <c r="S18" s="223">
        <v>39</v>
      </c>
      <c r="T18" s="223">
        <v>165.1</v>
      </c>
      <c r="U18" s="223">
        <v>92</v>
      </c>
      <c r="V18" s="223">
        <v>14</v>
      </c>
      <c r="W18" s="223">
        <v>21.4</v>
      </c>
      <c r="X18" s="223"/>
      <c r="Y18" s="223">
        <v>17.14</v>
      </c>
      <c r="Z18" s="223"/>
      <c r="AA18" s="223">
        <v>12.97</v>
      </c>
      <c r="AB18" s="223">
        <v>1692</v>
      </c>
      <c r="AC18" s="223">
        <v>1172</v>
      </c>
      <c r="AD18" s="230" t="s">
        <v>159</v>
      </c>
      <c r="AE18" s="223">
        <v>2.5000000000000001E-2</v>
      </c>
      <c r="AF18" s="223">
        <v>0.01</v>
      </c>
      <c r="AG18" s="222" t="s">
        <v>2166</v>
      </c>
      <c r="AH18" s="223">
        <v>100</v>
      </c>
      <c r="AI18" s="222"/>
      <c r="AJ18" s="222"/>
      <c r="AK18" s="222"/>
      <c r="AL18" s="222"/>
      <c r="AM18" s="222"/>
      <c r="AN18" s="222"/>
      <c r="AO18" s="222"/>
      <c r="AP18" s="222"/>
      <c r="AQ18" s="222"/>
      <c r="AR18" s="222"/>
      <c r="AS18" s="222"/>
      <c r="AT18" s="222"/>
      <c r="AU18" s="222"/>
      <c r="AV18" s="224">
        <f t="shared" si="2"/>
        <v>1.2485414235705949</v>
      </c>
    </row>
    <row r="19" spans="1:255" ht="33.75" hidden="1" x14ac:dyDescent="0.2">
      <c r="A19" s="217">
        <f t="shared" si="3"/>
        <v>363</v>
      </c>
      <c r="B19" s="217">
        <f t="shared" si="1"/>
        <v>38</v>
      </c>
      <c r="C19" s="217" t="s">
        <v>341</v>
      </c>
      <c r="D19" s="223" t="s">
        <v>679</v>
      </c>
      <c r="E19" s="223" t="s">
        <v>2960</v>
      </c>
      <c r="F19" s="342" t="s">
        <v>4059</v>
      </c>
      <c r="G19" s="223" t="s">
        <v>2957</v>
      </c>
      <c r="H19" s="221" t="s">
        <v>681</v>
      </c>
      <c r="I19" s="223">
        <v>17941400</v>
      </c>
      <c r="J19" s="223">
        <v>17941201</v>
      </c>
      <c r="K19" s="223" t="s">
        <v>2961</v>
      </c>
      <c r="L19" s="218" t="s">
        <v>153</v>
      </c>
      <c r="M19" s="223" t="s">
        <v>2651</v>
      </c>
      <c r="N19" s="223" t="s">
        <v>2082</v>
      </c>
      <c r="O19" s="223" t="s">
        <v>577</v>
      </c>
      <c r="P19" s="236" t="s">
        <v>578</v>
      </c>
      <c r="Q19" s="230">
        <v>363</v>
      </c>
      <c r="R19" s="223">
        <v>231</v>
      </c>
      <c r="S19" s="223">
        <v>38</v>
      </c>
      <c r="T19" s="223" t="s">
        <v>2962</v>
      </c>
      <c r="U19" s="223">
        <v>90</v>
      </c>
      <c r="V19" s="223">
        <v>10</v>
      </c>
      <c r="W19" s="223">
        <v>22.85</v>
      </c>
      <c r="X19" s="223"/>
      <c r="Y19" s="223">
        <v>17.72</v>
      </c>
      <c r="Z19" s="223"/>
      <c r="AA19" s="223"/>
      <c r="AB19" s="223"/>
      <c r="AC19" s="223"/>
      <c r="AD19" s="230" t="s">
        <v>159</v>
      </c>
      <c r="AE19" s="223">
        <v>2.5000000000000001E-2</v>
      </c>
      <c r="AF19" s="223">
        <v>8.9999999999999993E-3</v>
      </c>
      <c r="AG19" s="222">
        <v>0.05</v>
      </c>
      <c r="AH19" s="223">
        <v>144</v>
      </c>
      <c r="AI19" s="222"/>
      <c r="AJ19" s="222"/>
      <c r="AK19" s="222"/>
      <c r="AL19" s="222"/>
      <c r="AM19" s="222"/>
      <c r="AN19" s="222"/>
      <c r="AO19" s="222"/>
      <c r="AP19" s="237"/>
      <c r="AQ19" s="222"/>
      <c r="AR19" s="222"/>
      <c r="AS19" s="222"/>
      <c r="AT19" s="222"/>
      <c r="AU19" s="222"/>
      <c r="AV19" s="224">
        <f t="shared" si="2"/>
        <v>1.2895033860045149</v>
      </c>
      <c r="AW19" s="225"/>
      <c r="AX19" s="225"/>
      <c r="AY19" s="225"/>
      <c r="AZ19" s="225"/>
      <c r="BA19" s="225"/>
      <c r="BB19" s="225"/>
      <c r="BC19" s="225"/>
      <c r="BD19" s="225"/>
      <c r="BE19" s="225"/>
      <c r="BF19" s="225"/>
      <c r="BG19" s="225"/>
      <c r="BH19" s="225"/>
      <c r="BI19" s="225"/>
      <c r="BJ19" s="225"/>
      <c r="BK19" s="225"/>
      <c r="BL19" s="225"/>
      <c r="BM19" s="225"/>
      <c r="BN19" s="225"/>
      <c r="BO19" s="225"/>
      <c r="BP19" s="225"/>
      <c r="BQ19" s="225"/>
      <c r="BR19" s="225"/>
      <c r="BS19" s="225"/>
      <c r="BT19" s="225"/>
      <c r="BU19" s="225"/>
      <c r="BV19" s="225"/>
      <c r="BW19" s="225"/>
      <c r="BX19" s="225"/>
      <c r="BY19" s="225"/>
      <c r="BZ19" s="225"/>
      <c r="CA19" s="225"/>
      <c r="CB19" s="225"/>
      <c r="CC19" s="225"/>
      <c r="CD19" s="225"/>
      <c r="CE19" s="225"/>
      <c r="CF19" s="225"/>
      <c r="CG19" s="225"/>
      <c r="CH19" s="225"/>
      <c r="CI19" s="225"/>
      <c r="CJ19" s="225"/>
      <c r="CK19" s="225"/>
      <c r="CL19" s="225"/>
      <c r="CM19" s="225"/>
      <c r="CN19" s="225"/>
      <c r="CO19" s="225"/>
      <c r="CP19" s="225"/>
      <c r="CQ19" s="225"/>
      <c r="CR19" s="225"/>
      <c r="CS19" s="225"/>
      <c r="CT19" s="225"/>
      <c r="CU19" s="225"/>
      <c r="CV19" s="225"/>
      <c r="CW19" s="225"/>
      <c r="CX19" s="225"/>
      <c r="CY19" s="225"/>
      <c r="CZ19" s="225"/>
      <c r="DA19" s="225"/>
      <c r="DB19" s="225"/>
      <c r="DC19" s="225"/>
      <c r="DD19" s="225"/>
      <c r="DE19" s="225"/>
      <c r="DF19" s="225"/>
      <c r="DG19" s="225"/>
      <c r="DH19" s="225"/>
      <c r="DI19" s="225"/>
      <c r="DJ19" s="225"/>
      <c r="DK19" s="225"/>
      <c r="DL19" s="225"/>
      <c r="DM19" s="225"/>
      <c r="DN19" s="225"/>
      <c r="DO19" s="225"/>
      <c r="DP19" s="225"/>
      <c r="DQ19" s="225"/>
      <c r="DR19" s="225"/>
      <c r="DS19" s="225"/>
      <c r="DT19" s="225"/>
      <c r="DU19" s="225"/>
      <c r="DV19" s="225"/>
      <c r="DW19" s="225"/>
      <c r="DX19" s="225"/>
      <c r="DY19" s="225"/>
      <c r="DZ19" s="225"/>
      <c r="EA19" s="225"/>
      <c r="EB19" s="225"/>
      <c r="EC19" s="225"/>
      <c r="ED19" s="225"/>
      <c r="EE19" s="225"/>
      <c r="EF19" s="225"/>
      <c r="EG19" s="225"/>
      <c r="EH19" s="225"/>
      <c r="EI19" s="225"/>
      <c r="EJ19" s="225"/>
      <c r="EK19" s="225"/>
      <c r="EL19" s="225"/>
      <c r="EM19" s="225"/>
      <c r="EN19" s="225"/>
      <c r="EO19" s="225"/>
      <c r="EP19" s="225"/>
      <c r="EQ19" s="225"/>
      <c r="ER19" s="225"/>
      <c r="ES19" s="225"/>
      <c r="ET19" s="225"/>
      <c r="EU19" s="225"/>
      <c r="EV19" s="225"/>
      <c r="EW19" s="225"/>
      <c r="EX19" s="225"/>
      <c r="EY19" s="225"/>
      <c r="EZ19" s="225"/>
      <c r="FA19" s="225"/>
      <c r="FB19" s="225"/>
      <c r="FC19" s="225"/>
      <c r="FD19" s="225"/>
      <c r="FE19" s="225"/>
      <c r="FF19" s="225"/>
      <c r="FG19" s="225"/>
      <c r="FH19" s="225"/>
      <c r="FI19" s="225"/>
      <c r="FJ19" s="225"/>
      <c r="FK19" s="225"/>
      <c r="FL19" s="225"/>
      <c r="FM19" s="225"/>
      <c r="FN19" s="225"/>
      <c r="FO19" s="225"/>
      <c r="FP19" s="225"/>
      <c r="FQ19" s="225"/>
      <c r="FR19" s="225"/>
      <c r="FS19" s="225"/>
      <c r="FT19" s="225"/>
      <c r="FU19" s="225"/>
      <c r="FV19" s="225"/>
      <c r="FW19" s="225"/>
      <c r="FX19" s="225"/>
      <c r="FY19" s="225"/>
      <c r="FZ19" s="225"/>
      <c r="GA19" s="225"/>
      <c r="GB19" s="225"/>
      <c r="GC19" s="225"/>
      <c r="GD19" s="225"/>
      <c r="GE19" s="225"/>
      <c r="GF19" s="225"/>
      <c r="GG19" s="225"/>
      <c r="GH19" s="225"/>
      <c r="GI19" s="225"/>
      <c r="GJ19" s="225"/>
      <c r="GK19" s="225"/>
      <c r="GL19" s="225"/>
      <c r="GM19" s="225"/>
      <c r="GN19" s="225"/>
      <c r="GO19" s="225"/>
      <c r="GP19" s="225"/>
      <c r="GQ19" s="225"/>
      <c r="GR19" s="225"/>
      <c r="GS19" s="225"/>
      <c r="GT19" s="225"/>
      <c r="GU19" s="225"/>
      <c r="GV19" s="225"/>
      <c r="GW19" s="225"/>
      <c r="GX19" s="225"/>
      <c r="GY19" s="225"/>
      <c r="GZ19" s="225"/>
      <c r="HA19" s="225"/>
      <c r="HB19" s="225"/>
      <c r="HC19" s="225"/>
      <c r="HD19" s="225"/>
      <c r="HE19" s="225"/>
      <c r="HF19" s="225"/>
      <c r="HG19" s="225"/>
      <c r="HH19" s="225"/>
      <c r="HI19" s="225"/>
      <c r="HJ19" s="225"/>
      <c r="HK19" s="225"/>
      <c r="HL19" s="225"/>
      <c r="HM19" s="225"/>
      <c r="HN19" s="225"/>
      <c r="HO19" s="225"/>
      <c r="HP19" s="225"/>
      <c r="HQ19" s="225"/>
      <c r="HR19" s="225"/>
      <c r="HS19" s="225"/>
      <c r="HT19" s="225"/>
      <c r="HU19" s="225"/>
      <c r="HV19" s="225"/>
      <c r="HW19" s="225"/>
      <c r="HX19" s="225"/>
      <c r="HY19" s="225"/>
      <c r="HZ19" s="225"/>
      <c r="IA19" s="225"/>
      <c r="IB19" s="225"/>
      <c r="IC19" s="225"/>
      <c r="ID19" s="225"/>
      <c r="IE19" s="225"/>
      <c r="IF19" s="225"/>
      <c r="IG19" s="225"/>
      <c r="IH19" s="225"/>
      <c r="II19" s="225"/>
      <c r="IJ19" s="225"/>
      <c r="IK19" s="225"/>
      <c r="IL19" s="225"/>
      <c r="IM19" s="225"/>
      <c r="IN19" s="225"/>
      <c r="IO19" s="225"/>
      <c r="IP19" s="225"/>
      <c r="IQ19" s="225"/>
      <c r="IR19" s="225"/>
      <c r="IS19" s="225"/>
      <c r="IT19" s="225"/>
      <c r="IU19" s="225"/>
    </row>
    <row r="20" spans="1:255" ht="33.75" hidden="1" x14ac:dyDescent="0.2">
      <c r="A20" s="217">
        <f t="shared" si="3"/>
        <v>369</v>
      </c>
      <c r="B20" s="217">
        <f t="shared" si="1"/>
        <v>39</v>
      </c>
      <c r="C20" s="217" t="s">
        <v>341</v>
      </c>
      <c r="D20" s="223" t="s">
        <v>679</v>
      </c>
      <c r="E20" s="221" t="s">
        <v>1818</v>
      </c>
      <c r="F20" s="342" t="s">
        <v>4059</v>
      </c>
      <c r="G20" s="218">
        <v>2005</v>
      </c>
      <c r="H20" s="221" t="s">
        <v>681</v>
      </c>
      <c r="I20" s="221">
        <v>14139705</v>
      </c>
      <c r="J20" s="223">
        <v>14139601</v>
      </c>
      <c r="K20" s="221" t="s">
        <v>2241</v>
      </c>
      <c r="L20" s="218" t="s">
        <v>153</v>
      </c>
      <c r="M20" s="223" t="s">
        <v>2651</v>
      </c>
      <c r="N20" s="221" t="s">
        <v>2082</v>
      </c>
      <c r="O20" s="221" t="s">
        <v>577</v>
      </c>
      <c r="P20" s="221" t="s">
        <v>684</v>
      </c>
      <c r="Q20" s="221">
        <v>369</v>
      </c>
      <c r="R20" s="218">
        <v>238</v>
      </c>
      <c r="S20" s="221">
        <v>39</v>
      </c>
      <c r="T20" s="221" t="s">
        <v>2242</v>
      </c>
      <c r="U20" s="221">
        <v>88.5</v>
      </c>
      <c r="V20" s="218">
        <v>15</v>
      </c>
      <c r="W20" s="221">
        <v>20.47</v>
      </c>
      <c r="X20" s="223">
        <v>20.76</v>
      </c>
      <c r="Y20" s="221">
        <v>16.75</v>
      </c>
      <c r="Z20" s="223">
        <v>17.181000000000001</v>
      </c>
      <c r="AA20" s="218">
        <v>12.4</v>
      </c>
      <c r="AB20" s="218">
        <v>1717</v>
      </c>
      <c r="AC20" s="218">
        <v>987.8</v>
      </c>
      <c r="AD20" s="221" t="s">
        <v>159</v>
      </c>
      <c r="AE20" s="221">
        <v>2.5000000000000001E-2</v>
      </c>
      <c r="AF20" s="223">
        <v>8.9999999999999993E-3</v>
      </c>
      <c r="AG20" s="221">
        <v>0.05</v>
      </c>
      <c r="AH20" s="218">
        <v>288</v>
      </c>
      <c r="AI20" s="218">
        <v>3714.5</v>
      </c>
      <c r="AJ20" s="218">
        <v>8618</v>
      </c>
      <c r="AK20" s="218">
        <v>3175</v>
      </c>
      <c r="AL20" s="218">
        <v>140</v>
      </c>
      <c r="AM20" s="218">
        <v>381</v>
      </c>
      <c r="AN20" s="218">
        <v>787</v>
      </c>
      <c r="AO20" s="218">
        <v>5080</v>
      </c>
      <c r="AP20" s="218">
        <v>0.48099999999999998</v>
      </c>
      <c r="AQ20" s="218"/>
      <c r="AR20" s="218" t="s">
        <v>2243</v>
      </c>
      <c r="AS20" s="218"/>
      <c r="AT20" s="218" t="s">
        <v>2244</v>
      </c>
      <c r="AU20" s="218" t="s">
        <v>2245</v>
      </c>
      <c r="AV20" s="224">
        <f t="shared" si="2"/>
        <v>1.222089552238806</v>
      </c>
      <c r="AW20" s="233"/>
      <c r="AX20" s="233"/>
      <c r="AY20" s="233"/>
      <c r="AZ20" s="233"/>
      <c r="BA20" s="233"/>
      <c r="BB20" s="233"/>
      <c r="BC20" s="233"/>
      <c r="BD20" s="233"/>
      <c r="BE20" s="233"/>
      <c r="BF20" s="233"/>
      <c r="BG20" s="233"/>
      <c r="BH20" s="233"/>
      <c r="BI20" s="233"/>
      <c r="BJ20" s="233"/>
      <c r="BK20" s="233"/>
      <c r="BL20" s="233"/>
      <c r="BM20" s="233"/>
      <c r="BN20" s="233"/>
      <c r="BO20" s="233"/>
      <c r="BP20" s="233"/>
      <c r="BQ20" s="233"/>
      <c r="BR20" s="233"/>
      <c r="BS20" s="233"/>
      <c r="BT20" s="233"/>
      <c r="BU20" s="233"/>
      <c r="BV20" s="233"/>
      <c r="BW20" s="233"/>
      <c r="BX20" s="233"/>
      <c r="BY20" s="233"/>
      <c r="BZ20" s="233"/>
      <c r="CA20" s="233"/>
      <c r="CB20" s="233"/>
      <c r="CC20" s="233"/>
      <c r="CD20" s="233"/>
      <c r="CE20" s="233"/>
      <c r="CF20" s="233"/>
      <c r="CG20" s="233"/>
      <c r="CH20" s="233"/>
      <c r="CI20" s="233"/>
      <c r="CJ20" s="233"/>
      <c r="CK20" s="233"/>
      <c r="CL20" s="233"/>
      <c r="CM20" s="233"/>
      <c r="CN20" s="233"/>
      <c r="CO20" s="233"/>
      <c r="CP20" s="233"/>
      <c r="CQ20" s="233"/>
      <c r="CR20" s="233"/>
      <c r="CS20" s="233"/>
      <c r="CT20" s="233"/>
      <c r="CU20" s="233"/>
      <c r="CV20" s="233"/>
      <c r="CW20" s="233"/>
      <c r="CX20" s="233"/>
      <c r="CY20" s="233"/>
      <c r="CZ20" s="233"/>
      <c r="DA20" s="233"/>
      <c r="DB20" s="233"/>
      <c r="DC20" s="233"/>
      <c r="DD20" s="233"/>
      <c r="DE20" s="233"/>
      <c r="DF20" s="233"/>
      <c r="DG20" s="233"/>
      <c r="DH20" s="233"/>
      <c r="DI20" s="233"/>
      <c r="DJ20" s="233"/>
      <c r="DK20" s="233"/>
      <c r="DL20" s="233"/>
      <c r="DM20" s="233"/>
      <c r="DN20" s="233"/>
      <c r="DO20" s="233"/>
      <c r="DP20" s="233"/>
      <c r="DQ20" s="233"/>
      <c r="DR20" s="233"/>
      <c r="DS20" s="233"/>
      <c r="DT20" s="233"/>
      <c r="DU20" s="233"/>
      <c r="DV20" s="233"/>
      <c r="DW20" s="233"/>
      <c r="DX20" s="233"/>
      <c r="DY20" s="233"/>
      <c r="DZ20" s="233"/>
      <c r="EA20" s="233"/>
      <c r="EB20" s="233"/>
      <c r="EC20" s="233"/>
      <c r="ED20" s="233"/>
      <c r="EE20" s="233"/>
      <c r="EF20" s="233"/>
      <c r="EG20" s="233"/>
      <c r="EH20" s="233"/>
      <c r="EI20" s="233"/>
      <c r="EJ20" s="233"/>
      <c r="EK20" s="233"/>
      <c r="EL20" s="233"/>
      <c r="EM20" s="233"/>
      <c r="EN20" s="233"/>
      <c r="EO20" s="233"/>
      <c r="EP20" s="233"/>
      <c r="EQ20" s="233"/>
      <c r="ER20" s="233"/>
      <c r="ES20" s="233"/>
      <c r="ET20" s="233"/>
      <c r="EU20" s="233"/>
      <c r="EV20" s="233"/>
      <c r="EW20" s="233"/>
      <c r="EX20" s="233"/>
      <c r="EY20" s="233"/>
      <c r="EZ20" s="233"/>
      <c r="FA20" s="233"/>
      <c r="FB20" s="233"/>
      <c r="FC20" s="233"/>
      <c r="FD20" s="233"/>
      <c r="FE20" s="233"/>
      <c r="FF20" s="233"/>
      <c r="FG20" s="233"/>
      <c r="FH20" s="233"/>
      <c r="FI20" s="233"/>
      <c r="FJ20" s="233"/>
      <c r="FK20" s="233"/>
      <c r="FL20" s="233"/>
      <c r="FM20" s="233"/>
      <c r="FN20" s="233"/>
      <c r="FO20" s="233"/>
      <c r="FP20" s="233"/>
      <c r="FQ20" s="233"/>
      <c r="FR20" s="233"/>
      <c r="FS20" s="233"/>
      <c r="FT20" s="233"/>
      <c r="FU20" s="233"/>
      <c r="FV20" s="233"/>
      <c r="FW20" s="233"/>
      <c r="FX20" s="233"/>
      <c r="FY20" s="233"/>
      <c r="FZ20" s="233"/>
      <c r="GA20" s="233"/>
      <c r="GB20" s="233"/>
      <c r="GC20" s="233"/>
      <c r="GD20" s="233"/>
      <c r="GE20" s="233"/>
      <c r="GF20" s="233"/>
      <c r="GG20" s="233"/>
      <c r="GH20" s="233"/>
      <c r="GI20" s="233"/>
      <c r="GJ20" s="233"/>
      <c r="GK20" s="233"/>
      <c r="GL20" s="233"/>
      <c r="GM20" s="233"/>
      <c r="GN20" s="233"/>
      <c r="GO20" s="233"/>
      <c r="GP20" s="233"/>
      <c r="GQ20" s="233"/>
      <c r="GR20" s="233"/>
      <c r="GS20" s="233"/>
      <c r="GT20" s="233"/>
      <c r="GU20" s="233"/>
      <c r="GV20" s="233"/>
      <c r="GW20" s="233"/>
      <c r="GX20" s="233"/>
      <c r="GY20" s="233"/>
      <c r="GZ20" s="233"/>
      <c r="HA20" s="233"/>
      <c r="HB20" s="233"/>
      <c r="HC20" s="233"/>
      <c r="HD20" s="233"/>
      <c r="HE20" s="233"/>
      <c r="HF20" s="233"/>
      <c r="HG20" s="233"/>
      <c r="HH20" s="233"/>
      <c r="HI20" s="233"/>
      <c r="HJ20" s="233"/>
      <c r="HK20" s="233"/>
      <c r="HL20" s="233"/>
      <c r="HM20" s="233"/>
      <c r="HN20" s="233"/>
      <c r="HO20" s="233"/>
      <c r="HP20" s="233"/>
      <c r="HQ20" s="233"/>
      <c r="HR20" s="233"/>
      <c r="HS20" s="233"/>
      <c r="HT20" s="233"/>
      <c r="HU20" s="233"/>
      <c r="HV20" s="233"/>
      <c r="HW20" s="233"/>
      <c r="HX20" s="233"/>
      <c r="HY20" s="233"/>
      <c r="HZ20" s="233"/>
      <c r="IA20" s="233"/>
      <c r="IB20" s="233"/>
      <c r="IC20" s="233"/>
      <c r="ID20" s="233"/>
      <c r="IE20" s="233"/>
      <c r="IF20" s="233"/>
      <c r="IG20" s="233"/>
      <c r="IH20" s="233"/>
      <c r="II20" s="233"/>
      <c r="IJ20" s="233"/>
      <c r="IK20" s="233"/>
      <c r="IL20" s="233"/>
      <c r="IM20" s="233"/>
      <c r="IN20" s="233"/>
      <c r="IO20" s="233"/>
      <c r="IP20" s="233"/>
      <c r="IQ20" s="233"/>
      <c r="IR20" s="233"/>
      <c r="IS20" s="233"/>
      <c r="IT20" s="233"/>
      <c r="IU20" s="233"/>
    </row>
    <row r="21" spans="1:255" ht="56.25" hidden="1" x14ac:dyDescent="0.2">
      <c r="A21" s="217">
        <f t="shared" si="3"/>
        <v>390</v>
      </c>
      <c r="B21" s="217">
        <f t="shared" si="1"/>
        <v>39</v>
      </c>
      <c r="C21" s="217" t="s">
        <v>341</v>
      </c>
      <c r="D21" s="221" t="s">
        <v>359</v>
      </c>
      <c r="E21" s="222" t="s">
        <v>218</v>
      </c>
      <c r="F21" s="222" t="s">
        <v>2226</v>
      </c>
      <c r="G21" s="223">
        <v>2008</v>
      </c>
      <c r="H21" s="223" t="s">
        <v>1015</v>
      </c>
      <c r="I21" s="222">
        <v>15893102</v>
      </c>
      <c r="J21" s="222">
        <v>15892901</v>
      </c>
      <c r="K21" s="342" t="s">
        <v>3193</v>
      </c>
      <c r="L21" s="342" t="s">
        <v>153</v>
      </c>
      <c r="M21" s="223" t="s">
        <v>1460</v>
      </c>
      <c r="N21" s="223" t="s">
        <v>2084</v>
      </c>
      <c r="O21" s="217" t="s">
        <v>2</v>
      </c>
      <c r="P21" s="221" t="s">
        <v>2771</v>
      </c>
      <c r="Q21" s="230">
        <v>390</v>
      </c>
      <c r="R21" s="223">
        <v>266</v>
      </c>
      <c r="S21" s="223">
        <v>39</v>
      </c>
      <c r="T21" s="223">
        <v>170</v>
      </c>
      <c r="U21" s="223">
        <v>102.65</v>
      </c>
      <c r="V21" s="223">
        <v>14</v>
      </c>
      <c r="W21" s="223">
        <v>23.28</v>
      </c>
      <c r="X21" s="223"/>
      <c r="Y21" s="223">
        <v>19.760000000000002</v>
      </c>
      <c r="Z21" s="223"/>
      <c r="AA21" s="223">
        <v>14.2</v>
      </c>
      <c r="AB21" s="223"/>
      <c r="AC21" s="223"/>
      <c r="AD21" s="230" t="s">
        <v>576</v>
      </c>
      <c r="AE21" s="223">
        <v>2.5000000000000001E-2</v>
      </c>
      <c r="AF21" s="223">
        <v>0.01</v>
      </c>
      <c r="AG21" s="222" t="s">
        <v>1284</v>
      </c>
      <c r="AH21" s="223">
        <v>216</v>
      </c>
      <c r="AI21" s="222"/>
      <c r="AJ21" s="222">
        <v>8845</v>
      </c>
      <c r="AK21" s="222"/>
      <c r="AL21" s="222"/>
      <c r="AM21" s="222"/>
      <c r="AN21" s="222"/>
      <c r="AO21" s="222"/>
      <c r="AP21" s="222"/>
      <c r="AQ21" s="222"/>
      <c r="AR21" s="222"/>
      <c r="AS21" s="222"/>
      <c r="AT21" s="222"/>
      <c r="AU21" s="222"/>
      <c r="AV21" s="224">
        <f t="shared" si="2"/>
        <v>1.1781376518218623</v>
      </c>
      <c r="AW21" s="235">
        <f>AVERAGE(AV3:AV21)</f>
        <v>1.2969628535633877</v>
      </c>
    </row>
    <row r="22" spans="1:255" ht="39" hidden="1" customHeight="1" x14ac:dyDescent="0.2">
      <c r="A22" s="217">
        <v>390</v>
      </c>
      <c r="B22" s="217">
        <v>39</v>
      </c>
      <c r="C22" s="340" t="s">
        <v>341</v>
      </c>
      <c r="D22" s="341" t="s">
        <v>3035</v>
      </c>
      <c r="E22" s="342" t="s">
        <v>3036</v>
      </c>
      <c r="F22" s="342" t="s">
        <v>1714</v>
      </c>
      <c r="G22" s="223">
        <v>2008</v>
      </c>
      <c r="H22" s="223" t="s">
        <v>681</v>
      </c>
      <c r="I22" s="222">
        <v>14139508</v>
      </c>
      <c r="J22" s="222">
        <v>14134903</v>
      </c>
      <c r="K22" s="342" t="s">
        <v>3037</v>
      </c>
      <c r="L22" s="342" t="s">
        <v>153</v>
      </c>
      <c r="M22" s="223" t="s">
        <v>2651</v>
      </c>
      <c r="N22" s="221" t="s">
        <v>2082</v>
      </c>
      <c r="O22" s="223" t="s">
        <v>577</v>
      </c>
      <c r="P22" s="236" t="s">
        <v>578</v>
      </c>
      <c r="Q22" s="230">
        <v>390</v>
      </c>
      <c r="R22" s="223">
        <v>270</v>
      </c>
      <c r="S22" s="223">
        <v>39</v>
      </c>
      <c r="T22" s="341" t="s">
        <v>3038</v>
      </c>
      <c r="U22" s="223">
        <v>112.2</v>
      </c>
      <c r="V22" s="223">
        <v>15</v>
      </c>
      <c r="W22" s="223">
        <v>24.74</v>
      </c>
      <c r="X22" s="223"/>
      <c r="Y22" s="231">
        <v>19.399999999999999</v>
      </c>
      <c r="Z22" s="223"/>
      <c r="AA22" s="218">
        <v>12.4</v>
      </c>
      <c r="AB22" s="218">
        <v>1717</v>
      </c>
      <c r="AC22" s="218">
        <v>987.8</v>
      </c>
      <c r="AD22" s="230" t="s">
        <v>159</v>
      </c>
      <c r="AE22" s="223">
        <v>2.5000000000000001E-2</v>
      </c>
      <c r="AF22" s="223">
        <v>8.9999999999999993E-3</v>
      </c>
      <c r="AG22" s="222">
        <v>0.05</v>
      </c>
      <c r="AH22" s="223">
        <v>288</v>
      </c>
      <c r="AI22" s="222"/>
      <c r="AJ22" s="222"/>
      <c r="AK22" s="222"/>
      <c r="AL22" s="222"/>
      <c r="AM22" s="222"/>
      <c r="AN22" s="222"/>
      <c r="AO22" s="222"/>
      <c r="AP22" s="222"/>
      <c r="AQ22" s="222"/>
      <c r="AR22" s="222"/>
      <c r="AS22" s="222"/>
      <c r="AT22" s="222"/>
      <c r="AU22" s="222"/>
      <c r="AV22" s="224">
        <f t="shared" si="2"/>
        <v>1.2752577319587628</v>
      </c>
      <c r="AW22" s="225"/>
    </row>
    <row r="23" spans="1:255" ht="39" hidden="1" customHeight="1" x14ac:dyDescent="0.2">
      <c r="A23" s="217">
        <v>391</v>
      </c>
      <c r="B23" s="217">
        <v>39</v>
      </c>
      <c r="C23" s="340" t="s">
        <v>341</v>
      </c>
      <c r="D23" s="223" t="s">
        <v>679</v>
      </c>
      <c r="E23" s="342" t="s">
        <v>3944</v>
      </c>
      <c r="F23" s="342" t="s">
        <v>4059</v>
      </c>
      <c r="G23" s="223">
        <v>2017</v>
      </c>
      <c r="H23" s="223" t="s">
        <v>681</v>
      </c>
      <c r="I23" s="222">
        <v>18988801</v>
      </c>
      <c r="J23" s="222">
        <v>18828501</v>
      </c>
      <c r="K23" s="342" t="s">
        <v>3947</v>
      </c>
      <c r="L23" s="342" t="s">
        <v>153</v>
      </c>
      <c r="M23" s="223" t="s">
        <v>2651</v>
      </c>
      <c r="N23" s="221" t="s">
        <v>2082</v>
      </c>
      <c r="O23" s="341" t="s">
        <v>3945</v>
      </c>
      <c r="P23" s="424" t="s">
        <v>3946</v>
      </c>
      <c r="Q23" s="230">
        <v>391</v>
      </c>
      <c r="R23" s="223">
        <v>248</v>
      </c>
      <c r="S23" s="223">
        <v>39</v>
      </c>
      <c r="T23" s="341" t="s">
        <v>3948</v>
      </c>
      <c r="U23" s="223">
        <v>91.75</v>
      </c>
      <c r="V23" s="223">
        <v>11</v>
      </c>
      <c r="W23" s="223">
        <v>26</v>
      </c>
      <c r="X23" s="223"/>
      <c r="Y23" s="541">
        <v>21.4</v>
      </c>
      <c r="Z23" s="223"/>
      <c r="AA23" s="218">
        <v>17.3</v>
      </c>
      <c r="AB23" s="218"/>
      <c r="AC23" s="218">
        <v>2770</v>
      </c>
      <c r="AD23" s="393" t="s">
        <v>159</v>
      </c>
      <c r="AE23" s="223">
        <v>2.5000000000000001E-2</v>
      </c>
      <c r="AF23" s="223">
        <v>8.9999999999999993E-3</v>
      </c>
      <c r="AG23" s="222">
        <v>0.05</v>
      </c>
      <c r="AH23" s="223">
        <v>288</v>
      </c>
      <c r="AI23" s="222"/>
      <c r="AJ23" s="222"/>
      <c r="AK23" s="222"/>
      <c r="AL23" s="222">
        <v>130</v>
      </c>
      <c r="AM23" s="222"/>
      <c r="AN23" s="222"/>
      <c r="AO23" s="222"/>
      <c r="AP23" s="222"/>
      <c r="AQ23" s="222"/>
      <c r="AR23" s="222"/>
      <c r="AS23" s="222"/>
      <c r="AT23" s="222"/>
      <c r="AU23" s="222"/>
      <c r="AV23" s="224">
        <f>W23/Y23</f>
        <v>1.2149532710280375</v>
      </c>
      <c r="AW23" s="225"/>
    </row>
    <row r="24" spans="1:255" x14ac:dyDescent="0.2">
      <c r="A24" s="239"/>
      <c r="B24" s="239"/>
      <c r="C24" s="239"/>
      <c r="D24" s="265"/>
      <c r="E24" s="266"/>
      <c r="F24" s="266"/>
      <c r="G24" s="265"/>
      <c r="H24" s="265"/>
      <c r="I24" s="266"/>
      <c r="J24" s="266"/>
      <c r="K24" s="266"/>
      <c r="L24" s="266"/>
      <c r="M24" s="265"/>
      <c r="N24" s="265"/>
      <c r="O24" s="265"/>
      <c r="P24" s="267"/>
      <c r="Q24" s="268"/>
      <c r="R24" s="265"/>
      <c r="S24" s="265"/>
      <c r="T24" s="265"/>
      <c r="U24" s="265"/>
      <c r="V24" s="265"/>
      <c r="W24" s="265"/>
      <c r="X24" s="265"/>
      <c r="Y24" s="269"/>
      <c r="Z24" s="265"/>
      <c r="AA24" s="265"/>
      <c r="AB24" s="265"/>
      <c r="AC24" s="265"/>
      <c r="AD24" s="268"/>
      <c r="AE24" s="265"/>
      <c r="AF24" s="265"/>
      <c r="AG24" s="266"/>
      <c r="AH24" s="265"/>
      <c r="AI24" s="266"/>
      <c r="AJ24" s="266"/>
      <c r="AK24" s="266"/>
      <c r="AL24" s="266"/>
      <c r="AM24" s="266"/>
      <c r="AN24" s="266"/>
      <c r="AO24" s="266"/>
      <c r="AP24" s="266"/>
      <c r="AQ24" s="266"/>
      <c r="AR24" s="266"/>
      <c r="AS24" s="266"/>
      <c r="AT24" s="266"/>
      <c r="AU24" s="266"/>
      <c r="AV24" s="224"/>
      <c r="AW24" s="225"/>
    </row>
    <row r="25" spans="1:255" x14ac:dyDescent="0.2">
      <c r="A25" s="239"/>
      <c r="B25" s="239"/>
      <c r="C25" s="239"/>
      <c r="D25" s="265"/>
      <c r="E25" s="266"/>
      <c r="F25" s="266"/>
      <c r="G25" s="265"/>
      <c r="H25" s="265"/>
      <c r="I25" s="266"/>
      <c r="J25" s="266"/>
      <c r="K25" s="266"/>
      <c r="L25" s="266"/>
      <c r="M25" s="265"/>
      <c r="N25" s="265"/>
      <c r="O25" s="265"/>
      <c r="P25" s="267"/>
      <c r="Q25" s="268"/>
      <c r="R25" s="265"/>
      <c r="S25" s="265"/>
      <c r="T25" s="265"/>
      <c r="U25" s="265"/>
      <c r="V25" s="265"/>
      <c r="W25" s="265"/>
      <c r="X25" s="265"/>
      <c r="Y25" s="269"/>
      <c r="Z25" s="265"/>
      <c r="AA25" s="265"/>
      <c r="AB25" s="265"/>
      <c r="AC25" s="265"/>
      <c r="AD25" s="268"/>
      <c r="AE25" s="265"/>
      <c r="AF25" s="265"/>
      <c r="AG25" s="266"/>
      <c r="AH25" s="265"/>
      <c r="AI25" s="266"/>
      <c r="AJ25" s="266"/>
      <c r="AK25" s="266"/>
      <c r="AL25" s="266"/>
      <c r="AM25" s="266"/>
      <c r="AN25" s="266"/>
      <c r="AO25" s="266"/>
      <c r="AP25" s="266"/>
      <c r="AQ25" s="266"/>
      <c r="AR25" s="266"/>
      <c r="AS25" s="266"/>
      <c r="AT25" s="266"/>
      <c r="AU25" s="266"/>
      <c r="AV25" s="224"/>
      <c r="AW25" s="225"/>
    </row>
    <row r="26" spans="1:255" x14ac:dyDescent="0.2">
      <c r="A26" s="239"/>
      <c r="B26" s="239"/>
      <c r="C26" s="239"/>
      <c r="D26" s="265"/>
      <c r="E26" s="266"/>
      <c r="F26" s="266"/>
      <c r="G26" s="265"/>
      <c r="H26" s="265"/>
      <c r="I26" s="266"/>
      <c r="J26" s="266"/>
      <c r="K26" s="266"/>
      <c r="L26" s="266"/>
      <c r="M26" s="265"/>
      <c r="N26" s="265"/>
      <c r="O26" s="265"/>
      <c r="P26" s="267"/>
      <c r="Q26" s="268"/>
      <c r="R26" s="265"/>
      <c r="S26" s="265"/>
      <c r="T26" s="265"/>
      <c r="U26" s="265"/>
      <c r="V26" s="265"/>
      <c r="W26" s="265"/>
      <c r="X26" s="265"/>
      <c r="Y26" s="269"/>
      <c r="Z26" s="265"/>
      <c r="AA26" s="265"/>
      <c r="AB26" s="265"/>
      <c r="AC26" s="265"/>
      <c r="AD26" s="268"/>
      <c r="AE26" s="265"/>
      <c r="AF26" s="265"/>
      <c r="AG26" s="266"/>
      <c r="AH26" s="265"/>
      <c r="AI26" s="266"/>
      <c r="AJ26" s="266"/>
      <c r="AK26" s="266"/>
      <c r="AL26" s="266"/>
      <c r="AM26" s="266"/>
      <c r="AN26" s="266"/>
      <c r="AO26" s="266"/>
      <c r="AP26" s="266"/>
      <c r="AQ26" s="266"/>
      <c r="AR26" s="266"/>
      <c r="AS26" s="266"/>
      <c r="AT26" s="266"/>
      <c r="AU26" s="266"/>
      <c r="AV26" s="224"/>
      <c r="AW26" s="225"/>
    </row>
    <row r="27" spans="1:255" x14ac:dyDescent="0.2">
      <c r="A27" s="239"/>
      <c r="B27" s="239"/>
      <c r="C27" s="239"/>
      <c r="D27" s="265"/>
      <c r="E27" s="266"/>
      <c r="F27" s="266"/>
      <c r="G27" s="265"/>
      <c r="H27" s="265"/>
      <c r="I27" s="266"/>
      <c r="J27" s="266"/>
      <c r="K27" s="266"/>
      <c r="L27" s="266"/>
      <c r="M27" s="265"/>
      <c r="N27" s="265"/>
      <c r="O27" s="265"/>
      <c r="P27" s="267"/>
      <c r="Q27" s="268"/>
      <c r="R27" s="265"/>
      <c r="S27" s="265"/>
      <c r="T27" s="265"/>
      <c r="U27" s="265"/>
      <c r="V27" s="265"/>
      <c r="W27" s="265"/>
      <c r="X27" s="265"/>
      <c r="Y27" s="269"/>
      <c r="Z27" s="265"/>
      <c r="AA27" s="265"/>
      <c r="AB27" s="265"/>
      <c r="AC27" s="265"/>
      <c r="AD27" s="268"/>
      <c r="AE27" s="265"/>
      <c r="AF27" s="265"/>
      <c r="AG27" s="266"/>
      <c r="AH27" s="265"/>
      <c r="AI27" s="266"/>
      <c r="AJ27" s="266"/>
      <c r="AK27" s="266"/>
      <c r="AL27" s="266"/>
      <c r="AM27" s="266"/>
      <c r="AN27" s="266"/>
      <c r="AO27" s="266"/>
      <c r="AP27" s="266"/>
      <c r="AQ27" s="266"/>
      <c r="AR27" s="266"/>
      <c r="AS27" s="266"/>
      <c r="AT27" s="266"/>
      <c r="AU27" s="266"/>
      <c r="AV27" s="224"/>
      <c r="AW27" s="225"/>
    </row>
    <row r="28" spans="1:255" x14ac:dyDescent="0.2">
      <c r="D28" s="238"/>
      <c r="E28" s="238"/>
      <c r="F28" s="239"/>
      <c r="G28" s="238"/>
      <c r="H28" s="238"/>
      <c r="I28" s="238"/>
      <c r="J28" s="238"/>
      <c r="K28" s="238"/>
      <c r="L28" s="240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  <c r="AA28" s="238"/>
      <c r="AB28" s="238"/>
      <c r="AC28" s="238"/>
      <c r="AD28" s="238"/>
      <c r="AE28" s="238"/>
      <c r="AF28" s="238"/>
      <c r="AG28" s="240"/>
      <c r="AH28" s="238"/>
      <c r="AI28" s="240"/>
      <c r="AJ28" s="240"/>
      <c r="AK28" s="240"/>
      <c r="AL28" s="240"/>
      <c r="AM28" s="240"/>
      <c r="AN28" s="240"/>
      <c r="AO28" s="240"/>
      <c r="AP28" s="240"/>
      <c r="AQ28" s="240"/>
      <c r="AR28" s="240"/>
      <c r="AS28" s="240"/>
      <c r="AT28" s="240"/>
      <c r="AU28" s="240"/>
      <c r="AV28" s="241"/>
    </row>
    <row r="29" spans="1:255" x14ac:dyDescent="0.2">
      <c r="A29" s="242" t="s">
        <v>1935</v>
      </c>
      <c r="E29" s="220"/>
      <c r="F29" s="240"/>
      <c r="G29" s="240"/>
      <c r="H29" s="240"/>
      <c r="I29" s="240"/>
      <c r="J29" s="240"/>
      <c r="K29" s="240"/>
      <c r="L29" s="240"/>
      <c r="M29" s="240"/>
      <c r="N29" s="240"/>
      <c r="O29" s="240"/>
      <c r="P29" s="240"/>
      <c r="Q29" s="240"/>
      <c r="R29" s="240"/>
      <c r="S29" s="240"/>
      <c r="T29" s="240"/>
      <c r="U29" s="240"/>
      <c r="V29" s="240"/>
      <c r="W29" s="240"/>
      <c r="X29" s="240"/>
      <c r="Y29" s="240"/>
      <c r="Z29" s="240"/>
      <c r="AA29" s="240"/>
      <c r="AB29" s="240"/>
      <c r="AC29" s="240"/>
      <c r="AD29" s="240"/>
      <c r="AE29" s="240"/>
      <c r="AF29" s="240"/>
      <c r="AG29" s="240"/>
      <c r="AH29" s="240"/>
      <c r="AI29" s="240"/>
      <c r="AJ29" s="240"/>
      <c r="AK29" s="240"/>
      <c r="AL29" s="240"/>
      <c r="AM29" s="240"/>
      <c r="AN29" s="240"/>
      <c r="AO29" s="240"/>
      <c r="AP29" s="240"/>
      <c r="AQ29" s="240"/>
      <c r="AR29" s="240"/>
      <c r="AS29" s="240"/>
      <c r="AT29" s="240"/>
      <c r="AU29" s="240"/>
      <c r="AV29" s="220"/>
    </row>
    <row r="30" spans="1:255" x14ac:dyDescent="0.2">
      <c r="D30" s="243"/>
      <c r="E30" s="220"/>
      <c r="F30" s="240"/>
      <c r="G30" s="240"/>
      <c r="H30" s="240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  <c r="V30" s="240"/>
      <c r="W30" s="240"/>
      <c r="X30" s="240"/>
      <c r="Y30" s="240"/>
      <c r="Z30" s="240"/>
      <c r="AA30" s="240"/>
      <c r="AB30" s="240"/>
      <c r="AC30" s="240"/>
      <c r="AD30" s="240"/>
      <c r="AE30" s="240"/>
      <c r="AF30" s="240"/>
      <c r="AG30" s="240"/>
      <c r="AH30" s="240"/>
      <c r="AI30" s="240"/>
      <c r="AJ30" s="240"/>
      <c r="AK30" s="240"/>
      <c r="AL30" s="240"/>
      <c r="AM30" s="240"/>
      <c r="AN30" s="240"/>
      <c r="AO30" s="240"/>
      <c r="AP30" s="240"/>
      <c r="AQ30" s="240"/>
      <c r="AR30" s="240"/>
      <c r="AS30" s="240"/>
      <c r="AT30" s="240"/>
      <c r="AU30" s="240"/>
      <c r="AV30" s="220"/>
    </row>
    <row r="31" spans="1:255" ht="56.25" x14ac:dyDescent="0.2">
      <c r="A31" s="217">
        <f>Q31</f>
        <v>356</v>
      </c>
      <c r="B31" s="217">
        <f>S31</f>
        <v>32</v>
      </c>
      <c r="C31" s="217" t="s">
        <v>341</v>
      </c>
      <c r="D31" s="221" t="s">
        <v>2564</v>
      </c>
      <c r="E31" s="221" t="s">
        <v>731</v>
      </c>
      <c r="F31" s="217" t="s">
        <v>2226</v>
      </c>
      <c r="G31" s="217">
        <v>2010.5</v>
      </c>
      <c r="H31" s="217" t="s">
        <v>559</v>
      </c>
      <c r="I31" s="217">
        <v>17157702</v>
      </c>
      <c r="J31" s="230">
        <v>17157601</v>
      </c>
      <c r="K31" s="217">
        <v>5285599601</v>
      </c>
      <c r="L31" s="218" t="s">
        <v>153</v>
      </c>
      <c r="M31" s="221" t="s">
        <v>154</v>
      </c>
      <c r="N31" s="221" t="s">
        <v>24</v>
      </c>
      <c r="O31" s="217" t="s">
        <v>2565</v>
      </c>
      <c r="P31" s="221" t="s">
        <v>2771</v>
      </c>
      <c r="Q31" s="217">
        <v>356</v>
      </c>
      <c r="R31" s="217">
        <v>246.6</v>
      </c>
      <c r="S31" s="217">
        <v>32</v>
      </c>
      <c r="T31" s="217" t="s">
        <v>1749</v>
      </c>
      <c r="U31" s="217">
        <v>59.5</v>
      </c>
      <c r="V31" s="230">
        <v>16</v>
      </c>
      <c r="W31" s="217">
        <v>14</v>
      </c>
      <c r="X31" s="217"/>
      <c r="Y31" s="230">
        <v>11.5</v>
      </c>
      <c r="Z31" s="217"/>
      <c r="AA31" s="217">
        <v>8.5</v>
      </c>
      <c r="AB31" s="217">
        <v>1435</v>
      </c>
      <c r="AC31" s="217">
        <v>998</v>
      </c>
      <c r="AD31" s="217" t="s">
        <v>159</v>
      </c>
      <c r="AE31" s="217">
        <v>2.5000000000000001E-2</v>
      </c>
      <c r="AF31" s="217">
        <v>8.9999999999999993E-3</v>
      </c>
      <c r="AG31" s="218">
        <v>0.1</v>
      </c>
      <c r="AH31" s="217">
        <v>54</v>
      </c>
      <c r="AI31" s="218"/>
      <c r="AJ31" s="218">
        <v>3319</v>
      </c>
      <c r="AK31" s="218">
        <v>1930</v>
      </c>
      <c r="AL31" s="218"/>
      <c r="AM31" s="218">
        <v>403</v>
      </c>
      <c r="AN31" s="218">
        <v>787.4</v>
      </c>
      <c r="AO31" s="218">
        <v>3556</v>
      </c>
      <c r="AP31" s="218">
        <v>0.65</v>
      </c>
      <c r="AQ31" s="218"/>
      <c r="AR31" s="218">
        <v>538</v>
      </c>
      <c r="AS31" s="218"/>
      <c r="AT31" s="218"/>
      <c r="AU31" s="218"/>
      <c r="AV31" s="224">
        <f>W31/Y31</f>
        <v>1.2173913043478262</v>
      </c>
    </row>
    <row r="32" spans="1:255" ht="33.75" x14ac:dyDescent="0.2">
      <c r="A32" s="217">
        <f>Q32</f>
        <v>325</v>
      </c>
      <c r="B32" s="217">
        <f>S32</f>
        <v>38</v>
      </c>
      <c r="C32" s="217" t="s">
        <v>341</v>
      </c>
      <c r="D32" s="221" t="s">
        <v>648</v>
      </c>
      <c r="E32" s="221" t="s">
        <v>1353</v>
      </c>
      <c r="F32" s="230" t="s">
        <v>2848</v>
      </c>
      <c r="G32" s="221">
        <v>2001</v>
      </c>
      <c r="H32" s="223" t="s">
        <v>1015</v>
      </c>
      <c r="I32" s="221">
        <v>13219301</v>
      </c>
      <c r="J32" s="221">
        <v>13219100</v>
      </c>
      <c r="K32" s="221">
        <v>15733625</v>
      </c>
      <c r="L32" s="218" t="s">
        <v>153</v>
      </c>
      <c r="M32" s="221" t="s">
        <v>1177</v>
      </c>
      <c r="N32" s="221" t="s">
        <v>2084</v>
      </c>
      <c r="O32" s="221" t="s">
        <v>217</v>
      </c>
      <c r="P32" s="221" t="s">
        <v>651</v>
      </c>
      <c r="Q32" s="221">
        <v>325</v>
      </c>
      <c r="R32" s="221">
        <v>223</v>
      </c>
      <c r="S32" s="221">
        <v>38</v>
      </c>
      <c r="T32" s="221" t="s">
        <v>685</v>
      </c>
      <c r="U32" s="221">
        <v>79.3</v>
      </c>
      <c r="V32" s="221">
        <v>10</v>
      </c>
      <c r="W32" s="221">
        <v>17.68</v>
      </c>
      <c r="X32" s="221"/>
      <c r="Y32" s="221">
        <v>12.94</v>
      </c>
      <c r="Z32" s="221"/>
      <c r="AA32" s="221">
        <v>11.26</v>
      </c>
      <c r="AB32" s="221">
        <v>1050.4000000000001</v>
      </c>
      <c r="AC32" s="221">
        <v>878</v>
      </c>
      <c r="AD32" s="221" t="s">
        <v>159</v>
      </c>
      <c r="AE32" s="221">
        <v>0.05</v>
      </c>
      <c r="AF32" s="221">
        <v>0.01</v>
      </c>
      <c r="AG32" s="218">
        <v>0.1</v>
      </c>
      <c r="AH32" s="221">
        <v>108</v>
      </c>
      <c r="AI32" s="218">
        <v>4722</v>
      </c>
      <c r="AJ32" s="218">
        <v>5400</v>
      </c>
      <c r="AK32" s="218">
        <v>2160</v>
      </c>
      <c r="AL32" s="218">
        <v>192</v>
      </c>
      <c r="AM32" s="218">
        <v>378</v>
      </c>
      <c r="AN32" s="218">
        <v>914</v>
      </c>
      <c r="AO32" s="218">
        <v>3480</v>
      </c>
      <c r="AP32" s="218"/>
      <c r="AQ32" s="218"/>
      <c r="AR32" s="218"/>
      <c r="AS32" s="218"/>
      <c r="AT32" s="218"/>
      <c r="AU32" s="218"/>
      <c r="AV32" s="224">
        <f>W32/Y32</f>
        <v>1.3663060278207111</v>
      </c>
    </row>
    <row r="33" spans="1:48" ht="45" x14ac:dyDescent="0.2">
      <c r="A33" s="217">
        <f>Q33</f>
        <v>280</v>
      </c>
      <c r="B33" s="217">
        <f>S33</f>
        <v>28</v>
      </c>
      <c r="C33" s="217" t="s">
        <v>341</v>
      </c>
      <c r="D33" s="357" t="s">
        <v>1646</v>
      </c>
      <c r="E33" s="221" t="s">
        <v>572</v>
      </c>
      <c r="F33" s="222" t="s">
        <v>669</v>
      </c>
      <c r="G33" s="221">
        <v>2003</v>
      </c>
      <c r="H33" s="221" t="s">
        <v>573</v>
      </c>
      <c r="I33" s="391">
        <v>13722818</v>
      </c>
      <c r="J33" s="218" t="s">
        <v>574</v>
      </c>
      <c r="K33" s="357" t="s">
        <v>3194</v>
      </c>
      <c r="L33" s="218" t="s">
        <v>153</v>
      </c>
      <c r="M33" s="223" t="s">
        <v>219</v>
      </c>
      <c r="N33" s="221" t="s">
        <v>2084</v>
      </c>
      <c r="O33" s="221" t="s">
        <v>2656</v>
      </c>
      <c r="P33" s="221" t="s">
        <v>575</v>
      </c>
      <c r="Q33" s="217">
        <v>280</v>
      </c>
      <c r="R33" s="221">
        <v>170.5</v>
      </c>
      <c r="S33" s="221">
        <v>28</v>
      </c>
      <c r="T33" s="221" t="s">
        <v>565</v>
      </c>
      <c r="U33" s="221">
        <v>33.6</v>
      </c>
      <c r="V33" s="221">
        <v>8</v>
      </c>
      <c r="W33" s="221">
        <v>10.3</v>
      </c>
      <c r="X33" s="221"/>
      <c r="Y33" s="221">
        <v>7.77</v>
      </c>
      <c r="Z33" s="221"/>
      <c r="AA33" s="221">
        <v>6.7</v>
      </c>
      <c r="AB33" s="221">
        <v>710.8</v>
      </c>
      <c r="AC33" s="221">
        <v>774.9</v>
      </c>
      <c r="AD33" s="217" t="s">
        <v>576</v>
      </c>
      <c r="AE33" s="221">
        <v>0.04</v>
      </c>
      <c r="AF33" s="221">
        <v>0.01</v>
      </c>
      <c r="AG33" s="218">
        <v>0.08</v>
      </c>
      <c r="AH33" s="221">
        <v>54</v>
      </c>
      <c r="AI33" s="218">
        <v>1513</v>
      </c>
      <c r="AJ33" s="218">
        <v>1932</v>
      </c>
      <c r="AK33" s="218">
        <v>1016</v>
      </c>
      <c r="AL33" s="218">
        <v>225</v>
      </c>
      <c r="AM33" s="218">
        <v>299.5</v>
      </c>
      <c r="AN33" s="218">
        <v>533</v>
      </c>
      <c r="AO33" s="218">
        <v>2616</v>
      </c>
      <c r="AP33" s="218">
        <v>0.82</v>
      </c>
      <c r="AQ33" s="218"/>
      <c r="AR33" s="218"/>
      <c r="AS33" s="218"/>
      <c r="AT33" s="218"/>
      <c r="AU33" s="218"/>
      <c r="AV33" s="224">
        <f>W33/Y33</f>
        <v>1.3256113256113258</v>
      </c>
    </row>
    <row r="34" spans="1:48" ht="33.75" x14ac:dyDescent="0.2">
      <c r="A34" s="217">
        <f>Q34</f>
        <v>347</v>
      </c>
      <c r="B34" s="217">
        <f>S34</f>
        <v>38</v>
      </c>
      <c r="C34" s="217" t="s">
        <v>341</v>
      </c>
      <c r="D34" s="223" t="s">
        <v>679</v>
      </c>
      <c r="E34" s="221" t="s">
        <v>1816</v>
      </c>
      <c r="F34" s="230" t="s">
        <v>1714</v>
      </c>
      <c r="G34" s="218">
        <v>2005</v>
      </c>
      <c r="H34" s="221" t="s">
        <v>681</v>
      </c>
      <c r="I34" s="221">
        <v>14522905</v>
      </c>
      <c r="J34" s="221">
        <v>14420901</v>
      </c>
      <c r="K34" s="221" t="s">
        <v>2859</v>
      </c>
      <c r="L34" s="218" t="s">
        <v>1354</v>
      </c>
      <c r="M34" s="223" t="s">
        <v>2651</v>
      </c>
      <c r="N34" s="221" t="s">
        <v>2082</v>
      </c>
      <c r="O34" s="221" t="s">
        <v>577</v>
      </c>
      <c r="P34" s="221" t="s">
        <v>684</v>
      </c>
      <c r="Q34" s="221">
        <v>347</v>
      </c>
      <c r="R34" s="218">
        <v>229</v>
      </c>
      <c r="S34" s="221">
        <v>38</v>
      </c>
      <c r="T34" s="221" t="s">
        <v>1618</v>
      </c>
      <c r="U34" s="221">
        <v>90.04</v>
      </c>
      <c r="V34" s="218">
        <v>14</v>
      </c>
      <c r="W34" s="223">
        <v>18.760000000000002</v>
      </c>
      <c r="X34" s="223">
        <v>18.78</v>
      </c>
      <c r="Y34" s="221">
        <v>14.61</v>
      </c>
      <c r="Z34" s="223">
        <v>14.613</v>
      </c>
      <c r="AA34" s="222">
        <v>10.5</v>
      </c>
      <c r="AB34" s="222">
        <v>1468</v>
      </c>
      <c r="AC34" s="218">
        <v>721</v>
      </c>
      <c r="AD34" s="221" t="s">
        <v>159</v>
      </c>
      <c r="AE34" s="221">
        <v>2.5000000000000001E-2</v>
      </c>
      <c r="AF34" s="223">
        <v>8.9999999999999993E-3</v>
      </c>
      <c r="AG34" s="221">
        <v>0.05</v>
      </c>
      <c r="AH34" s="218">
        <v>144</v>
      </c>
      <c r="AI34" s="218">
        <v>3119.1</v>
      </c>
      <c r="AJ34" s="218">
        <v>5034</v>
      </c>
      <c r="AK34" s="218">
        <v>2721</v>
      </c>
      <c r="AL34" s="218">
        <v>161</v>
      </c>
      <c r="AM34" s="218">
        <v>378</v>
      </c>
      <c r="AN34" s="218">
        <v>787</v>
      </c>
      <c r="AO34" s="218">
        <v>5105</v>
      </c>
      <c r="AP34" s="218">
        <v>0.62</v>
      </c>
      <c r="AQ34" s="218"/>
      <c r="AR34" s="218" t="s">
        <v>2860</v>
      </c>
      <c r="AS34" s="218"/>
      <c r="AT34" s="218"/>
      <c r="AU34" s="218"/>
      <c r="AV34" s="224">
        <f>W34/Y34</f>
        <v>1.2840520191649556</v>
      </c>
    </row>
    <row r="35" spans="1:48" ht="33.75" x14ac:dyDescent="0.2">
      <c r="A35" s="217">
        <f>Q35</f>
        <v>347</v>
      </c>
      <c r="B35" s="217">
        <f>S35</f>
        <v>38</v>
      </c>
      <c r="C35" s="217" t="s">
        <v>341</v>
      </c>
      <c r="D35" s="223" t="s">
        <v>679</v>
      </c>
      <c r="E35" s="221" t="s">
        <v>1817</v>
      </c>
      <c r="F35" s="230" t="s">
        <v>1714</v>
      </c>
      <c r="G35" s="218">
        <v>2005</v>
      </c>
      <c r="H35" s="221" t="s">
        <v>681</v>
      </c>
      <c r="I35" s="221">
        <v>15504605</v>
      </c>
      <c r="J35" s="221">
        <v>15504501</v>
      </c>
      <c r="K35" s="221" t="s">
        <v>2240</v>
      </c>
      <c r="L35" s="218" t="s">
        <v>1354</v>
      </c>
      <c r="M35" s="223" t="s">
        <v>2651</v>
      </c>
      <c r="N35" s="221" t="s">
        <v>2082</v>
      </c>
      <c r="O35" s="221" t="s">
        <v>577</v>
      </c>
      <c r="P35" s="221" t="s">
        <v>684</v>
      </c>
      <c r="Q35" s="223">
        <v>347</v>
      </c>
      <c r="R35" s="218">
        <v>229</v>
      </c>
      <c r="S35" s="221">
        <v>38</v>
      </c>
      <c r="T35" s="221" t="s">
        <v>1618</v>
      </c>
      <c r="U35" s="221">
        <v>90.04</v>
      </c>
      <c r="V35" s="218">
        <v>10</v>
      </c>
      <c r="W35" s="223">
        <v>20.529</v>
      </c>
      <c r="X35" s="223">
        <v>20.77</v>
      </c>
      <c r="Y35" s="221">
        <v>16.079999999999998</v>
      </c>
      <c r="Z35" s="223">
        <v>16.23</v>
      </c>
      <c r="AA35" s="218">
        <v>12.1</v>
      </c>
      <c r="AB35" s="222">
        <v>1376.3</v>
      </c>
      <c r="AC35" s="218">
        <v>721</v>
      </c>
      <c r="AD35" s="221" t="s">
        <v>159</v>
      </c>
      <c r="AE35" s="221">
        <v>2.5000000000000001E-2</v>
      </c>
      <c r="AF35" s="223">
        <v>8.9999999999999993E-3</v>
      </c>
      <c r="AG35" s="221">
        <v>0.05</v>
      </c>
      <c r="AH35" s="218">
        <v>144</v>
      </c>
      <c r="AI35" s="218">
        <v>3360.9</v>
      </c>
      <c r="AJ35" s="218">
        <v>5896</v>
      </c>
      <c r="AK35" s="218">
        <v>2721</v>
      </c>
      <c r="AL35" s="218">
        <v>161</v>
      </c>
      <c r="AM35" s="218">
        <v>378</v>
      </c>
      <c r="AN35" s="218">
        <v>787</v>
      </c>
      <c r="AO35" s="218">
        <v>5080</v>
      </c>
      <c r="AP35" s="218">
        <v>0.62</v>
      </c>
      <c r="AQ35" s="218"/>
      <c r="AR35" s="218"/>
      <c r="AS35" s="218"/>
      <c r="AT35" s="218"/>
      <c r="AU35" s="218"/>
      <c r="AV35" s="224">
        <f>W35/Y35</f>
        <v>1.276679104477612</v>
      </c>
    </row>
    <row r="36" spans="1:48" ht="22.5" x14ac:dyDescent="0.2">
      <c r="A36" s="217">
        <f t="shared" ref="A36:A62" si="4">Q36</f>
        <v>234.8</v>
      </c>
      <c r="B36" s="217">
        <f t="shared" ref="B36:B62" si="5">S36</f>
        <v>22</v>
      </c>
      <c r="C36" s="217" t="s">
        <v>341</v>
      </c>
      <c r="D36" s="221" t="s">
        <v>2056</v>
      </c>
      <c r="E36" s="221" t="s">
        <v>2060</v>
      </c>
      <c r="F36" s="218"/>
      <c r="G36" s="218"/>
      <c r="H36" s="221" t="s">
        <v>152</v>
      </c>
      <c r="I36" s="391">
        <v>124107</v>
      </c>
      <c r="J36" s="221">
        <v>12410601</v>
      </c>
      <c r="K36" s="221" t="s">
        <v>2061</v>
      </c>
      <c r="L36" s="218"/>
      <c r="M36" s="221"/>
      <c r="N36" s="221" t="s">
        <v>155</v>
      </c>
      <c r="O36" s="221" t="s">
        <v>577</v>
      </c>
      <c r="P36" s="218"/>
      <c r="Q36" s="221">
        <v>234.8</v>
      </c>
      <c r="R36" s="218">
        <v>143.80000000000001</v>
      </c>
      <c r="S36" s="221">
        <v>22</v>
      </c>
      <c r="T36" s="221" t="s">
        <v>2062</v>
      </c>
      <c r="U36" s="221">
        <v>39</v>
      </c>
      <c r="V36" s="218">
        <v>6</v>
      </c>
      <c r="W36" s="221">
        <v>6.37</v>
      </c>
      <c r="X36" s="221"/>
      <c r="Y36" s="221">
        <v>4.32</v>
      </c>
      <c r="Z36" s="221"/>
      <c r="AA36" s="218"/>
      <c r="AB36" s="218"/>
      <c r="AC36" s="218"/>
      <c r="AD36" s="221" t="s">
        <v>576</v>
      </c>
      <c r="AE36" s="221">
        <v>0.04</v>
      </c>
      <c r="AF36" s="221">
        <v>0.01</v>
      </c>
      <c r="AG36" s="221">
        <v>0.15</v>
      </c>
      <c r="AH36" s="218">
        <v>50</v>
      </c>
      <c r="AI36" s="218"/>
      <c r="AJ36" s="218"/>
      <c r="AK36" s="218"/>
      <c r="AL36" s="218"/>
      <c r="AM36" s="218"/>
      <c r="AN36" s="218"/>
      <c r="AO36" s="218"/>
      <c r="AP36" s="218"/>
      <c r="AQ36" s="218"/>
      <c r="AR36" s="218"/>
      <c r="AS36" s="218"/>
      <c r="AT36" s="218"/>
      <c r="AU36" s="218"/>
      <c r="AV36" s="244"/>
    </row>
    <row r="37" spans="1:48" ht="22.5" x14ac:dyDescent="0.2">
      <c r="A37" s="217">
        <f t="shared" si="4"/>
        <v>256.39999999999998</v>
      </c>
      <c r="B37" s="217">
        <f t="shared" si="5"/>
        <v>24</v>
      </c>
      <c r="C37" s="217" t="s">
        <v>341</v>
      </c>
      <c r="D37" s="357" t="s">
        <v>1646</v>
      </c>
      <c r="E37" s="221" t="s">
        <v>755</v>
      </c>
      <c r="F37" s="217"/>
      <c r="G37" s="221">
        <v>1996</v>
      </c>
      <c r="H37" s="221" t="s">
        <v>559</v>
      </c>
      <c r="I37" s="221">
        <v>12704106</v>
      </c>
      <c r="J37" s="223">
        <v>12707701</v>
      </c>
      <c r="K37" s="221" t="s">
        <v>756</v>
      </c>
      <c r="L37" s="218"/>
      <c r="M37" s="221"/>
      <c r="N37" s="221" t="s">
        <v>155</v>
      </c>
      <c r="O37" s="221" t="s">
        <v>156</v>
      </c>
      <c r="P37" s="245" t="s">
        <v>2265</v>
      </c>
      <c r="Q37" s="221">
        <v>256.39999999999998</v>
      </c>
      <c r="R37" s="221">
        <v>156</v>
      </c>
      <c r="S37" s="221">
        <v>24</v>
      </c>
      <c r="T37" s="221" t="s">
        <v>565</v>
      </c>
      <c r="U37" s="221">
        <v>31</v>
      </c>
      <c r="V37" s="223">
        <v>14.4</v>
      </c>
      <c r="W37" s="221">
        <v>6.85</v>
      </c>
      <c r="X37" s="221"/>
      <c r="Y37" s="221">
        <v>3.79</v>
      </c>
      <c r="Z37" s="221"/>
      <c r="AA37" s="221">
        <v>4.3</v>
      </c>
      <c r="AB37" s="221">
        <v>848.9</v>
      </c>
      <c r="AC37" s="221">
        <v>581.20000000000005</v>
      </c>
      <c r="AD37" s="221" t="s">
        <v>576</v>
      </c>
      <c r="AE37" s="221">
        <v>0.04</v>
      </c>
      <c r="AF37" s="221">
        <v>0.01</v>
      </c>
      <c r="AG37" s="218">
        <v>0.13</v>
      </c>
      <c r="AH37" s="221">
        <v>36</v>
      </c>
      <c r="AI37" s="218">
        <v>1996</v>
      </c>
      <c r="AJ37" s="218">
        <v>2449</v>
      </c>
      <c r="AK37" s="218">
        <v>1224</v>
      </c>
      <c r="AL37" s="218">
        <v>161</v>
      </c>
      <c r="AM37" s="218">
        <v>328</v>
      </c>
      <c r="AN37" s="218">
        <v>671</v>
      </c>
      <c r="AO37" s="218">
        <v>3030</v>
      </c>
      <c r="AP37" s="218"/>
      <c r="AQ37" s="218"/>
      <c r="AR37" s="218"/>
      <c r="AS37" s="218"/>
      <c r="AT37" s="218"/>
      <c r="AU37" s="218"/>
      <c r="AV37" s="244"/>
    </row>
    <row r="38" spans="1:48" ht="22.5" x14ac:dyDescent="0.2">
      <c r="A38" s="217">
        <f t="shared" si="4"/>
        <v>256.8</v>
      </c>
      <c r="B38" s="217">
        <f t="shared" si="5"/>
        <v>22</v>
      </c>
      <c r="C38" s="217" t="s">
        <v>341</v>
      </c>
      <c r="D38" s="221" t="s">
        <v>2056</v>
      </c>
      <c r="E38" s="221" t="s">
        <v>2057</v>
      </c>
      <c r="F38" s="217" t="s">
        <v>601</v>
      </c>
      <c r="G38" s="221">
        <v>1995</v>
      </c>
      <c r="H38" s="221" t="s">
        <v>152</v>
      </c>
      <c r="I38" s="221">
        <v>12448604</v>
      </c>
      <c r="J38" s="221">
        <v>12448701</v>
      </c>
      <c r="K38" s="221" t="s">
        <v>2058</v>
      </c>
      <c r="L38" s="218"/>
      <c r="M38" s="221" t="s">
        <v>2526</v>
      </c>
      <c r="N38" s="221" t="s">
        <v>155</v>
      </c>
      <c r="O38" s="221" t="s">
        <v>563</v>
      </c>
      <c r="P38" s="221"/>
      <c r="Q38" s="221">
        <v>256.8</v>
      </c>
      <c r="R38" s="221">
        <v>143.80000000000001</v>
      </c>
      <c r="S38" s="221">
        <v>22</v>
      </c>
      <c r="T38" s="221" t="s">
        <v>2059</v>
      </c>
      <c r="U38" s="221">
        <v>39</v>
      </c>
      <c r="V38" s="221">
        <v>6</v>
      </c>
      <c r="W38" s="221">
        <v>7.85</v>
      </c>
      <c r="X38" s="221"/>
      <c r="Y38" s="221">
        <v>5.38</v>
      </c>
      <c r="Z38" s="221"/>
      <c r="AA38" s="221">
        <v>4.49</v>
      </c>
      <c r="AB38" s="221">
        <v>791.72</v>
      </c>
      <c r="AC38" s="221"/>
      <c r="AD38" s="221" t="s">
        <v>576</v>
      </c>
      <c r="AE38" s="221">
        <v>0.04</v>
      </c>
      <c r="AF38" s="221">
        <v>0.01</v>
      </c>
      <c r="AG38" s="218">
        <v>0.15</v>
      </c>
      <c r="AH38" s="221">
        <v>50</v>
      </c>
      <c r="AI38" s="218"/>
      <c r="AJ38" s="218"/>
      <c r="AK38" s="218"/>
      <c r="AL38" s="218"/>
      <c r="AM38" s="218"/>
      <c r="AN38" s="218"/>
      <c r="AO38" s="218"/>
      <c r="AP38" s="218"/>
      <c r="AQ38" s="218"/>
      <c r="AR38" s="218"/>
      <c r="AS38" s="218"/>
      <c r="AT38" s="218"/>
      <c r="AU38" s="218"/>
      <c r="AV38" s="224"/>
    </row>
    <row r="39" spans="1:48" ht="33.75" x14ac:dyDescent="0.2">
      <c r="A39" s="217">
        <f t="shared" si="4"/>
        <v>257</v>
      </c>
      <c r="B39" s="217">
        <f t="shared" si="5"/>
        <v>22</v>
      </c>
      <c r="C39" s="217" t="s">
        <v>341</v>
      </c>
      <c r="D39" s="357" t="s">
        <v>1646</v>
      </c>
      <c r="E39" s="221" t="s">
        <v>566</v>
      </c>
      <c r="F39" s="230" t="s">
        <v>166</v>
      </c>
      <c r="G39" s="221">
        <v>2000</v>
      </c>
      <c r="H39" s="221" t="s">
        <v>152</v>
      </c>
      <c r="I39" s="221">
        <v>13446006</v>
      </c>
      <c r="J39" s="221">
        <v>13445901</v>
      </c>
      <c r="K39" s="221" t="s">
        <v>567</v>
      </c>
      <c r="L39" s="218" t="s">
        <v>568</v>
      </c>
      <c r="M39" s="221" t="s">
        <v>562</v>
      </c>
      <c r="N39" s="221" t="s">
        <v>2084</v>
      </c>
      <c r="O39" s="221" t="s">
        <v>563</v>
      </c>
      <c r="P39" s="221" t="s">
        <v>571</v>
      </c>
      <c r="Q39" s="217">
        <v>257</v>
      </c>
      <c r="R39" s="221">
        <v>148</v>
      </c>
      <c r="S39" s="221">
        <v>22</v>
      </c>
      <c r="T39" s="221" t="s">
        <v>565</v>
      </c>
      <c r="U39" s="221">
        <v>32</v>
      </c>
      <c r="V39" s="223">
        <v>10</v>
      </c>
      <c r="W39" s="221">
        <v>7.37</v>
      </c>
      <c r="X39" s="221"/>
      <c r="Y39" s="221">
        <v>5.63</v>
      </c>
      <c r="Z39" s="221"/>
      <c r="AA39" s="221">
        <v>4.2</v>
      </c>
      <c r="AB39" s="221">
        <v>833</v>
      </c>
      <c r="AC39" s="221">
        <v>670</v>
      </c>
      <c r="AD39" s="217" t="s">
        <v>159</v>
      </c>
      <c r="AE39" s="221">
        <v>0.03</v>
      </c>
      <c r="AF39" s="221">
        <v>0.01</v>
      </c>
      <c r="AG39" s="218">
        <v>0.13</v>
      </c>
      <c r="AH39" s="221">
        <v>36</v>
      </c>
      <c r="AI39" s="218">
        <v>1290</v>
      </c>
      <c r="AJ39" s="218">
        <v>1649</v>
      </c>
      <c r="AK39" s="218">
        <v>884</v>
      </c>
      <c r="AL39" s="218">
        <v>187</v>
      </c>
      <c r="AM39" s="218">
        <v>284.5</v>
      </c>
      <c r="AN39" s="218">
        <v>508</v>
      </c>
      <c r="AO39" s="218">
        <v>2667</v>
      </c>
      <c r="AP39" s="218">
        <v>0.82</v>
      </c>
      <c r="AQ39" s="218" t="s">
        <v>157</v>
      </c>
      <c r="AR39" s="218" t="s">
        <v>157</v>
      </c>
      <c r="AS39" s="218"/>
      <c r="AT39" s="218"/>
      <c r="AU39" s="218"/>
      <c r="AV39" s="244"/>
    </row>
    <row r="40" spans="1:48" ht="22.5" x14ac:dyDescent="0.2">
      <c r="A40" s="217">
        <f t="shared" si="4"/>
        <v>257.8</v>
      </c>
      <c r="B40" s="217">
        <f t="shared" si="5"/>
        <v>24</v>
      </c>
      <c r="C40" s="217" t="s">
        <v>341</v>
      </c>
      <c r="D40" s="217" t="s">
        <v>2056</v>
      </c>
      <c r="E40" s="217" t="s">
        <v>2063</v>
      </c>
      <c r="F40" s="217" t="s">
        <v>151</v>
      </c>
      <c r="G40" s="217">
        <v>1998</v>
      </c>
      <c r="H40" s="221" t="s">
        <v>559</v>
      </c>
      <c r="I40" s="217">
        <v>13180101</v>
      </c>
      <c r="J40" s="217">
        <v>12433701</v>
      </c>
      <c r="K40" s="217" t="s">
        <v>2064</v>
      </c>
      <c r="L40" s="218"/>
      <c r="M40" s="221" t="s">
        <v>154</v>
      </c>
      <c r="N40" s="221" t="s">
        <v>155</v>
      </c>
      <c r="O40" s="217" t="s">
        <v>577</v>
      </c>
      <c r="P40" s="221" t="s">
        <v>643</v>
      </c>
      <c r="Q40" s="217">
        <v>257.8</v>
      </c>
      <c r="R40" s="217">
        <v>165.8</v>
      </c>
      <c r="S40" s="217">
        <v>24</v>
      </c>
      <c r="T40" s="217" t="s">
        <v>581</v>
      </c>
      <c r="U40" s="217">
        <v>41.6</v>
      </c>
      <c r="V40" s="217">
        <v>7</v>
      </c>
      <c r="W40" s="217">
        <v>7.49</v>
      </c>
      <c r="X40" s="217"/>
      <c r="Y40" s="217">
        <v>5.22</v>
      </c>
      <c r="Z40" s="217"/>
      <c r="AA40" s="217">
        <v>3.9</v>
      </c>
      <c r="AB40" s="217">
        <v>721</v>
      </c>
      <c r="AC40" s="217">
        <v>608</v>
      </c>
      <c r="AD40" s="217" t="s">
        <v>159</v>
      </c>
      <c r="AE40" s="217">
        <v>0.04</v>
      </c>
      <c r="AF40" s="217">
        <v>0.01</v>
      </c>
      <c r="AG40" s="218">
        <v>-0.15</v>
      </c>
      <c r="AH40" s="217">
        <v>150</v>
      </c>
      <c r="AI40" s="218">
        <v>1310</v>
      </c>
      <c r="AJ40" s="218">
        <v>1696</v>
      </c>
      <c r="AK40" s="218">
        <v>817</v>
      </c>
      <c r="AL40" s="218">
        <v>180</v>
      </c>
      <c r="AM40" s="218">
        <v>307.3</v>
      </c>
      <c r="AN40" s="218">
        <v>532</v>
      </c>
      <c r="AO40" s="218">
        <v>2670</v>
      </c>
      <c r="AP40" s="218">
        <v>0.74</v>
      </c>
      <c r="AQ40" s="218"/>
      <c r="AR40" s="218"/>
      <c r="AS40" s="218"/>
      <c r="AT40" s="218"/>
      <c r="AU40" s="218"/>
      <c r="AV40" s="244"/>
    </row>
    <row r="41" spans="1:48" ht="22.5" x14ac:dyDescent="0.2">
      <c r="A41" s="217">
        <f t="shared" si="4"/>
        <v>260</v>
      </c>
      <c r="B41" s="217">
        <f t="shared" si="5"/>
        <v>23</v>
      </c>
      <c r="C41" s="217" t="s">
        <v>341</v>
      </c>
      <c r="D41" s="357" t="s">
        <v>1646</v>
      </c>
      <c r="E41" s="221" t="s">
        <v>2263</v>
      </c>
      <c r="F41" s="217"/>
      <c r="G41" s="221">
        <v>1996</v>
      </c>
      <c r="H41" s="221" t="s">
        <v>559</v>
      </c>
      <c r="I41" s="221">
        <v>13650502</v>
      </c>
      <c r="J41" s="223">
        <v>12700501</v>
      </c>
      <c r="K41" s="221" t="s">
        <v>2264</v>
      </c>
      <c r="L41" s="218"/>
      <c r="M41" s="223" t="s">
        <v>154</v>
      </c>
      <c r="N41" s="221" t="s">
        <v>155</v>
      </c>
      <c r="O41" s="221" t="s">
        <v>156</v>
      </c>
      <c r="P41" s="245" t="s">
        <v>2265</v>
      </c>
      <c r="Q41" s="221">
        <v>260</v>
      </c>
      <c r="R41" s="221">
        <v>156</v>
      </c>
      <c r="S41" s="221">
        <v>23</v>
      </c>
      <c r="T41" s="221" t="s">
        <v>565</v>
      </c>
      <c r="U41" s="221">
        <v>26</v>
      </c>
      <c r="V41" s="223">
        <v>13</v>
      </c>
      <c r="W41" s="221">
        <v>7.1</v>
      </c>
      <c r="X41" s="221"/>
      <c r="Y41" s="221">
        <v>4.55</v>
      </c>
      <c r="Z41" s="221"/>
      <c r="AA41" s="221">
        <v>3.91</v>
      </c>
      <c r="AB41" s="221">
        <v>728.6</v>
      </c>
      <c r="AC41" s="221">
        <v>542</v>
      </c>
      <c r="AD41" s="221" t="s">
        <v>159</v>
      </c>
      <c r="AE41" s="221">
        <v>2.5000000000000001E-2</v>
      </c>
      <c r="AF41" s="221">
        <v>0.01</v>
      </c>
      <c r="AG41" s="218">
        <v>0.13</v>
      </c>
      <c r="AH41" s="221">
        <v>108</v>
      </c>
      <c r="AI41" s="218">
        <v>1446</v>
      </c>
      <c r="AJ41" s="218"/>
      <c r="AK41" s="218"/>
      <c r="AL41" s="218"/>
      <c r="AM41" s="218">
        <v>285.89999999999998</v>
      </c>
      <c r="AN41" s="218"/>
      <c r="AO41" s="218">
        <v>2743.2</v>
      </c>
      <c r="AP41" s="218"/>
      <c r="AQ41" s="218"/>
      <c r="AR41" s="218"/>
      <c r="AS41" s="218"/>
      <c r="AT41" s="218"/>
      <c r="AU41" s="218"/>
      <c r="AV41" s="241"/>
    </row>
    <row r="42" spans="1:48" ht="22.5" x14ac:dyDescent="0.2">
      <c r="A42" s="217">
        <f t="shared" si="4"/>
        <v>260</v>
      </c>
      <c r="B42" s="217">
        <f t="shared" si="5"/>
        <v>23</v>
      </c>
      <c r="C42" s="217" t="s">
        <v>341</v>
      </c>
      <c r="D42" s="357" t="s">
        <v>1646</v>
      </c>
      <c r="E42" s="221" t="s">
        <v>2268</v>
      </c>
      <c r="F42" s="217"/>
      <c r="G42" s="221">
        <v>1996</v>
      </c>
      <c r="H42" s="221" t="s">
        <v>559</v>
      </c>
      <c r="I42" s="221">
        <v>12700606</v>
      </c>
      <c r="J42" s="221"/>
      <c r="K42" s="221" t="s">
        <v>2269</v>
      </c>
      <c r="L42" s="218"/>
      <c r="M42" s="223" t="s">
        <v>154</v>
      </c>
      <c r="N42" s="221" t="s">
        <v>155</v>
      </c>
      <c r="O42" s="221" t="s">
        <v>563</v>
      </c>
      <c r="P42" s="221" t="s">
        <v>564</v>
      </c>
      <c r="Q42" s="221">
        <v>260</v>
      </c>
      <c r="R42" s="221">
        <v>156</v>
      </c>
      <c r="S42" s="221">
        <v>23</v>
      </c>
      <c r="T42" s="221" t="s">
        <v>565</v>
      </c>
      <c r="U42" s="221">
        <v>26</v>
      </c>
      <c r="V42" s="223">
        <v>13</v>
      </c>
      <c r="W42" s="221">
        <v>7.1</v>
      </c>
      <c r="X42" s="221"/>
      <c r="Y42" s="221">
        <v>4.55</v>
      </c>
      <c r="Z42" s="221"/>
      <c r="AA42" s="221">
        <v>3.91</v>
      </c>
      <c r="AB42" s="221">
        <v>728.6</v>
      </c>
      <c r="AC42" s="221">
        <v>738</v>
      </c>
      <c r="AD42" s="221" t="s">
        <v>159</v>
      </c>
      <c r="AE42" s="221">
        <v>0.05</v>
      </c>
      <c r="AF42" s="221">
        <v>1.3000000000000001E-2</v>
      </c>
      <c r="AG42" s="218">
        <v>0.13</v>
      </c>
      <c r="AH42" s="221">
        <v>108</v>
      </c>
      <c r="AI42" s="218">
        <v>1452.8</v>
      </c>
      <c r="AJ42" s="218"/>
      <c r="AK42" s="218"/>
      <c r="AL42" s="218"/>
      <c r="AM42" s="218">
        <v>285.89999999999998</v>
      </c>
      <c r="AN42" s="218"/>
      <c r="AO42" s="218">
        <v>2634</v>
      </c>
      <c r="AP42" s="218"/>
      <c r="AQ42" s="218"/>
      <c r="AR42" s="218"/>
      <c r="AS42" s="218"/>
      <c r="AT42" s="218"/>
      <c r="AU42" s="218"/>
      <c r="AV42" s="244"/>
    </row>
    <row r="43" spans="1:48" ht="22.5" x14ac:dyDescent="0.2">
      <c r="A43" s="217">
        <f t="shared" si="4"/>
        <v>273.8</v>
      </c>
      <c r="B43" s="217">
        <f t="shared" si="5"/>
        <v>24</v>
      </c>
      <c r="C43" s="217" t="s">
        <v>341</v>
      </c>
      <c r="D43" s="217" t="s">
        <v>2056</v>
      </c>
      <c r="E43" s="217" t="s">
        <v>2063</v>
      </c>
      <c r="F43" s="217" t="s">
        <v>151</v>
      </c>
      <c r="G43" s="217">
        <v>1998</v>
      </c>
      <c r="H43" s="221" t="s">
        <v>559</v>
      </c>
      <c r="I43" s="217">
        <v>13143105</v>
      </c>
      <c r="J43" s="217"/>
      <c r="K43" s="217" t="s">
        <v>2065</v>
      </c>
      <c r="L43" s="218"/>
      <c r="M43" s="221"/>
      <c r="N43" s="221" t="s">
        <v>155</v>
      </c>
      <c r="O43" s="217" t="s">
        <v>577</v>
      </c>
      <c r="P43" s="221" t="s">
        <v>643</v>
      </c>
      <c r="Q43" s="217">
        <v>273.8</v>
      </c>
      <c r="R43" s="217">
        <v>166.8</v>
      </c>
      <c r="S43" s="217">
        <v>24</v>
      </c>
      <c r="T43" s="217" t="s">
        <v>581</v>
      </c>
      <c r="U43" s="217">
        <v>40.5</v>
      </c>
      <c r="V43" s="217">
        <v>7</v>
      </c>
      <c r="W43" s="217">
        <v>8.8699999999999992</v>
      </c>
      <c r="X43" s="217"/>
      <c r="Y43" s="217">
        <v>6.55</v>
      </c>
      <c r="Z43" s="217"/>
      <c r="AA43" s="217">
        <v>4.8</v>
      </c>
      <c r="AB43" s="217">
        <v>907</v>
      </c>
      <c r="AC43" s="217">
        <v>742</v>
      </c>
      <c r="AD43" s="217" t="s">
        <v>159</v>
      </c>
      <c r="AE43" s="217">
        <v>0.04</v>
      </c>
      <c r="AF43" s="217">
        <v>0.01</v>
      </c>
      <c r="AG43" s="218">
        <v>0.15</v>
      </c>
      <c r="AH43" s="217">
        <v>150</v>
      </c>
      <c r="AI43" s="218">
        <v>1390</v>
      </c>
      <c r="AJ43" s="218">
        <v>1776</v>
      </c>
      <c r="AK43" s="218">
        <v>875</v>
      </c>
      <c r="AL43" s="218">
        <v>209</v>
      </c>
      <c r="AM43" s="218">
        <v>313.5</v>
      </c>
      <c r="AN43" s="218">
        <v>532</v>
      </c>
      <c r="AO43" s="218">
        <v>2670</v>
      </c>
      <c r="AP43" s="218">
        <v>0.74399999999999999</v>
      </c>
      <c r="AQ43" s="218"/>
      <c r="AR43" s="218"/>
      <c r="AS43" s="218"/>
      <c r="AT43" s="218"/>
      <c r="AU43" s="218"/>
      <c r="AV43" s="224"/>
    </row>
    <row r="44" spans="1:48" ht="22.5" x14ac:dyDescent="0.2">
      <c r="A44" s="217">
        <f t="shared" si="4"/>
        <v>274</v>
      </c>
      <c r="B44" s="217">
        <f t="shared" si="5"/>
        <v>29</v>
      </c>
      <c r="C44" s="217" t="s">
        <v>341</v>
      </c>
      <c r="D44" s="221" t="s">
        <v>648</v>
      </c>
      <c r="E44" s="217" t="s">
        <v>2047</v>
      </c>
      <c r="F44" s="218"/>
      <c r="G44" s="218">
        <v>1997</v>
      </c>
      <c r="H44" s="217" t="s">
        <v>559</v>
      </c>
      <c r="I44" s="217" t="s">
        <v>2048</v>
      </c>
      <c r="J44" s="217"/>
      <c r="K44" s="217">
        <v>15733699</v>
      </c>
      <c r="L44" s="218"/>
      <c r="M44" s="221"/>
      <c r="N44" s="221" t="s">
        <v>155</v>
      </c>
      <c r="O44" s="217" t="s">
        <v>1838</v>
      </c>
      <c r="P44" s="218"/>
      <c r="Q44" s="217">
        <v>274</v>
      </c>
      <c r="R44" s="218">
        <v>172</v>
      </c>
      <c r="S44" s="217">
        <v>29</v>
      </c>
      <c r="T44" s="217" t="s">
        <v>2049</v>
      </c>
      <c r="U44" s="217">
        <v>46</v>
      </c>
      <c r="V44" s="218"/>
      <c r="W44" s="217">
        <v>20.190000000000001</v>
      </c>
      <c r="X44" s="217"/>
      <c r="Y44" s="217">
        <v>14.77</v>
      </c>
      <c r="Z44" s="217"/>
      <c r="AA44" s="218"/>
      <c r="AB44" s="218"/>
      <c r="AC44" s="218"/>
      <c r="AD44" s="217" t="s">
        <v>159</v>
      </c>
      <c r="AE44" s="217">
        <v>0.08</v>
      </c>
      <c r="AF44" s="217">
        <v>9.0000000000000011E-3</v>
      </c>
      <c r="AG44" s="217"/>
      <c r="AH44" s="218">
        <v>108</v>
      </c>
      <c r="AI44" s="218"/>
      <c r="AJ44" s="218"/>
      <c r="AK44" s="218"/>
      <c r="AL44" s="218"/>
      <c r="AM44" s="218"/>
      <c r="AN44" s="218"/>
      <c r="AO44" s="218"/>
      <c r="AP44" s="218"/>
      <c r="AQ44" s="218"/>
      <c r="AR44" s="218"/>
      <c r="AS44" s="218"/>
      <c r="AT44" s="218"/>
      <c r="AU44" s="218"/>
      <c r="AV44" s="241"/>
    </row>
    <row r="45" spans="1:48" ht="33.75" x14ac:dyDescent="0.2">
      <c r="A45" s="217">
        <f t="shared" si="4"/>
        <v>275</v>
      </c>
      <c r="B45" s="217">
        <f t="shared" si="5"/>
        <v>30</v>
      </c>
      <c r="C45" s="217" t="s">
        <v>341</v>
      </c>
      <c r="D45" s="217" t="s">
        <v>638</v>
      </c>
      <c r="E45" s="221" t="s">
        <v>645</v>
      </c>
      <c r="F45" s="230" t="s">
        <v>166</v>
      </c>
      <c r="G45" s="221">
        <v>2003</v>
      </c>
      <c r="H45" s="221" t="s">
        <v>640</v>
      </c>
      <c r="I45" s="221">
        <v>13541406</v>
      </c>
      <c r="J45" s="221" t="s">
        <v>646</v>
      </c>
      <c r="K45" s="221" t="s">
        <v>647</v>
      </c>
      <c r="L45" s="218" t="s">
        <v>640</v>
      </c>
      <c r="M45" s="221" t="s">
        <v>154</v>
      </c>
      <c r="N45" s="221" t="s">
        <v>2082</v>
      </c>
      <c r="O45" s="217" t="s">
        <v>642</v>
      </c>
      <c r="P45" s="221" t="s">
        <v>643</v>
      </c>
      <c r="Q45" s="221">
        <v>275</v>
      </c>
      <c r="R45" s="223">
        <v>172</v>
      </c>
      <c r="S45" s="221">
        <v>30</v>
      </c>
      <c r="T45" s="221" t="s">
        <v>644</v>
      </c>
      <c r="U45" s="221">
        <v>43.49</v>
      </c>
      <c r="V45" s="221">
        <v>12</v>
      </c>
      <c r="W45" s="221">
        <v>9.8000000000000007</v>
      </c>
      <c r="X45" s="221"/>
      <c r="Y45" s="221">
        <v>7.0659999999999998</v>
      </c>
      <c r="Z45" s="221"/>
      <c r="AA45" s="221">
        <v>5.7</v>
      </c>
      <c r="AB45" s="221">
        <v>901</v>
      </c>
      <c r="AC45" s="221">
        <v>722</v>
      </c>
      <c r="AD45" s="217" t="s">
        <v>159</v>
      </c>
      <c r="AE45" s="221">
        <v>2.5000000000000001E-2</v>
      </c>
      <c r="AF45" s="221">
        <v>0.01</v>
      </c>
      <c r="AG45" s="222">
        <v>0.05</v>
      </c>
      <c r="AH45" s="221">
        <v>72</v>
      </c>
      <c r="AI45" s="218">
        <v>1694.18</v>
      </c>
      <c r="AJ45" s="218">
        <v>2285</v>
      </c>
      <c r="AK45" s="218">
        <v>1210</v>
      </c>
      <c r="AL45" s="218">
        <v>180.25</v>
      </c>
      <c r="AM45" s="218">
        <v>330.96199999999999</v>
      </c>
      <c r="AN45" s="218">
        <v>643</v>
      </c>
      <c r="AO45" s="218">
        <v>2743.2</v>
      </c>
      <c r="AP45" s="218">
        <v>0.7</v>
      </c>
      <c r="AQ45" s="218"/>
      <c r="AR45" s="218"/>
      <c r="AS45" s="218"/>
      <c r="AT45" s="218">
        <v>516</v>
      </c>
      <c r="AU45" s="218"/>
      <c r="AV45" s="241"/>
    </row>
    <row r="46" spans="1:48" ht="22.5" x14ac:dyDescent="0.2">
      <c r="A46" s="217">
        <f t="shared" si="4"/>
        <v>276</v>
      </c>
      <c r="B46" s="217">
        <f t="shared" si="5"/>
        <v>26</v>
      </c>
      <c r="C46" s="217" t="s">
        <v>341</v>
      </c>
      <c r="D46" s="221" t="s">
        <v>13</v>
      </c>
      <c r="E46" s="221" t="s">
        <v>2216</v>
      </c>
      <c r="F46" s="217" t="s">
        <v>151</v>
      </c>
      <c r="G46" s="221">
        <v>1994</v>
      </c>
      <c r="H46" s="221" t="s">
        <v>559</v>
      </c>
      <c r="I46" s="221">
        <v>12817011</v>
      </c>
      <c r="J46" s="221">
        <v>12799501</v>
      </c>
      <c r="K46" s="221" t="s">
        <v>2217</v>
      </c>
      <c r="L46" s="218" t="s">
        <v>153</v>
      </c>
      <c r="M46" s="221" t="s">
        <v>154</v>
      </c>
      <c r="N46" s="221" t="s">
        <v>155</v>
      </c>
      <c r="O46" s="221" t="s">
        <v>577</v>
      </c>
      <c r="P46" s="221" t="s">
        <v>2218</v>
      </c>
      <c r="Q46" s="221">
        <v>276</v>
      </c>
      <c r="R46" s="221">
        <v>160</v>
      </c>
      <c r="S46" s="221">
        <v>26</v>
      </c>
      <c r="T46" s="221" t="s">
        <v>581</v>
      </c>
      <c r="U46" s="221">
        <v>39.61</v>
      </c>
      <c r="V46" s="221">
        <v>8</v>
      </c>
      <c r="W46" s="221">
        <v>10.050000000000001</v>
      </c>
      <c r="X46" s="221"/>
      <c r="Y46" s="221">
        <v>7.0060000000000002</v>
      </c>
      <c r="Z46" s="221"/>
      <c r="AA46" s="221">
        <v>5.82</v>
      </c>
      <c r="AB46" s="221">
        <v>904.5</v>
      </c>
      <c r="AC46" s="221">
        <v>794.4</v>
      </c>
      <c r="AD46" s="221" t="s">
        <v>159</v>
      </c>
      <c r="AE46" s="221">
        <v>2.5000000000000001E-2</v>
      </c>
      <c r="AF46" s="221">
        <v>7.0000000000000001E-3</v>
      </c>
      <c r="AG46" s="218">
        <v>0.13</v>
      </c>
      <c r="AH46" s="221">
        <v>54</v>
      </c>
      <c r="AI46" s="218">
        <v>1522.3</v>
      </c>
      <c r="AJ46" s="218">
        <v>1980</v>
      </c>
      <c r="AK46" s="218">
        <v>930.6</v>
      </c>
      <c r="AL46" s="218">
        <v>228</v>
      </c>
      <c r="AM46" s="218">
        <v>317</v>
      </c>
      <c r="AN46" s="218">
        <v>530</v>
      </c>
      <c r="AO46" s="218">
        <v>2573</v>
      </c>
      <c r="AP46" s="218">
        <v>0.754</v>
      </c>
      <c r="AQ46" s="218"/>
      <c r="AR46" s="218"/>
      <c r="AS46" s="218"/>
      <c r="AT46" s="218"/>
      <c r="AU46" s="218"/>
      <c r="AV46" s="241"/>
    </row>
    <row r="47" spans="1:48" ht="22.5" x14ac:dyDescent="0.2">
      <c r="A47" s="217">
        <f t="shared" si="4"/>
        <v>276</v>
      </c>
      <c r="B47" s="217">
        <f t="shared" si="5"/>
        <v>26</v>
      </c>
      <c r="C47" s="217" t="s">
        <v>341</v>
      </c>
      <c r="D47" s="221" t="s">
        <v>766</v>
      </c>
      <c r="E47" s="221" t="s">
        <v>596</v>
      </c>
      <c r="F47" s="217"/>
      <c r="G47" s="221">
        <v>1994</v>
      </c>
      <c r="H47" s="221" t="s">
        <v>559</v>
      </c>
      <c r="I47" s="221">
        <v>12799709</v>
      </c>
      <c r="J47" s="223">
        <v>12799501</v>
      </c>
      <c r="K47" s="221" t="s">
        <v>597</v>
      </c>
      <c r="L47" s="218"/>
      <c r="M47" s="221"/>
      <c r="N47" s="221" t="s">
        <v>155</v>
      </c>
      <c r="O47" s="221" t="s">
        <v>577</v>
      </c>
      <c r="P47" s="221" t="s">
        <v>684</v>
      </c>
      <c r="Q47" s="221">
        <v>276</v>
      </c>
      <c r="R47" s="221">
        <v>160</v>
      </c>
      <c r="S47" s="221">
        <v>26</v>
      </c>
      <c r="T47" s="221" t="s">
        <v>1242</v>
      </c>
      <c r="U47" s="221">
        <v>39.61</v>
      </c>
      <c r="V47" s="221">
        <v>8</v>
      </c>
      <c r="W47" s="221">
        <v>10.050000000000001</v>
      </c>
      <c r="X47" s="223">
        <v>9.6430000000000007</v>
      </c>
      <c r="Y47" s="221">
        <v>7.0060000000000002</v>
      </c>
      <c r="Z47" s="223">
        <v>6.8730000000000002</v>
      </c>
      <c r="AA47" s="221">
        <v>5.73</v>
      </c>
      <c r="AB47" s="221">
        <v>900</v>
      </c>
      <c r="AC47" s="221"/>
      <c r="AD47" s="221" t="s">
        <v>159</v>
      </c>
      <c r="AE47" s="221">
        <v>2.5000000000000001E-2</v>
      </c>
      <c r="AF47" s="221">
        <v>7.0000000000000001E-3</v>
      </c>
      <c r="AG47" s="218">
        <v>0.13</v>
      </c>
      <c r="AH47" s="221">
        <v>54</v>
      </c>
      <c r="AI47" s="218">
        <v>1441.1</v>
      </c>
      <c r="AJ47" s="218"/>
      <c r="AK47" s="218"/>
      <c r="AL47" s="218"/>
      <c r="AM47" s="218"/>
      <c r="AN47" s="218"/>
      <c r="AO47" s="218">
        <v>2692.4</v>
      </c>
      <c r="AP47" s="218"/>
      <c r="AQ47" s="218"/>
      <c r="AR47" s="218"/>
      <c r="AS47" s="218"/>
      <c r="AT47" s="218"/>
      <c r="AU47" s="218"/>
      <c r="AV47" s="241"/>
    </row>
    <row r="48" spans="1:48" ht="22.5" x14ac:dyDescent="0.2">
      <c r="A48" s="217">
        <f t="shared" si="4"/>
        <v>276</v>
      </c>
      <c r="B48" s="217">
        <f t="shared" si="5"/>
        <v>26</v>
      </c>
      <c r="C48" s="217" t="s">
        <v>341</v>
      </c>
      <c r="D48" s="221" t="s">
        <v>766</v>
      </c>
      <c r="E48" s="221" t="s">
        <v>326</v>
      </c>
      <c r="F48" s="218"/>
      <c r="G48" s="218"/>
      <c r="H48" s="221" t="s">
        <v>559</v>
      </c>
      <c r="I48" s="221">
        <v>12923506</v>
      </c>
      <c r="J48" s="223">
        <v>12799501</v>
      </c>
      <c r="K48" s="221" t="s">
        <v>327</v>
      </c>
      <c r="L48" s="218"/>
      <c r="M48" s="223" t="s">
        <v>154</v>
      </c>
      <c r="N48" s="221" t="s">
        <v>155</v>
      </c>
      <c r="O48" s="221" t="s">
        <v>328</v>
      </c>
      <c r="P48" s="218"/>
      <c r="Q48" s="221">
        <v>276</v>
      </c>
      <c r="R48" s="218">
        <v>160</v>
      </c>
      <c r="S48" s="221">
        <v>26</v>
      </c>
      <c r="T48" s="221" t="s">
        <v>1242</v>
      </c>
      <c r="U48" s="221">
        <v>39.61</v>
      </c>
      <c r="V48" s="218"/>
      <c r="W48" s="221">
        <v>10.050000000000001</v>
      </c>
      <c r="X48" s="221"/>
      <c r="Y48" s="221">
        <v>7.0060000000000002</v>
      </c>
      <c r="Z48" s="221"/>
      <c r="AA48" s="218"/>
      <c r="AB48" s="218"/>
      <c r="AC48" s="218"/>
      <c r="AD48" s="221" t="s">
        <v>159</v>
      </c>
      <c r="AE48" s="221">
        <v>3.5000000000000003E-2</v>
      </c>
      <c r="AF48" s="221">
        <v>0.01</v>
      </c>
      <c r="AG48" s="221"/>
      <c r="AH48" s="218">
        <v>54</v>
      </c>
      <c r="AI48" s="218"/>
      <c r="AJ48" s="218"/>
      <c r="AK48" s="218"/>
      <c r="AL48" s="218"/>
      <c r="AM48" s="218"/>
      <c r="AN48" s="218"/>
      <c r="AO48" s="218"/>
      <c r="AP48" s="218"/>
      <c r="AQ48" s="218"/>
      <c r="AR48" s="218"/>
      <c r="AS48" s="218"/>
      <c r="AT48" s="218"/>
      <c r="AU48" s="218"/>
      <c r="AV48" s="241"/>
    </row>
    <row r="49" spans="1:48" ht="22.5" x14ac:dyDescent="0.2">
      <c r="A49" s="217">
        <f t="shared" si="4"/>
        <v>276</v>
      </c>
      <c r="B49" s="217">
        <f t="shared" si="5"/>
        <v>26</v>
      </c>
      <c r="C49" s="217" t="s">
        <v>341</v>
      </c>
      <c r="D49" s="221" t="s">
        <v>766</v>
      </c>
      <c r="E49" s="221" t="s">
        <v>2618</v>
      </c>
      <c r="F49" s="230" t="s">
        <v>166</v>
      </c>
      <c r="G49" s="218"/>
      <c r="H49" s="221" t="s">
        <v>152</v>
      </c>
      <c r="I49" s="221">
        <v>13025501</v>
      </c>
      <c r="J49" s="223">
        <v>12799501</v>
      </c>
      <c r="K49" s="221" t="s">
        <v>2619</v>
      </c>
      <c r="L49" s="218"/>
      <c r="M49" s="223" t="s">
        <v>154</v>
      </c>
      <c r="N49" s="221" t="s">
        <v>155</v>
      </c>
      <c r="O49" s="221" t="s">
        <v>2265</v>
      </c>
      <c r="P49" s="218"/>
      <c r="Q49" s="221">
        <v>276</v>
      </c>
      <c r="R49" s="218">
        <v>160</v>
      </c>
      <c r="S49" s="221">
        <v>26</v>
      </c>
      <c r="T49" s="221" t="s">
        <v>1242</v>
      </c>
      <c r="U49" s="221">
        <v>39.61</v>
      </c>
      <c r="V49" s="222">
        <v>8</v>
      </c>
      <c r="W49" s="221">
        <v>10.050000000000001</v>
      </c>
      <c r="X49" s="221"/>
      <c r="Y49" s="221">
        <v>6.96</v>
      </c>
      <c r="Z49" s="221"/>
      <c r="AA49" s="218"/>
      <c r="AB49" s="218"/>
      <c r="AC49" s="218"/>
      <c r="AD49" s="221" t="s">
        <v>159</v>
      </c>
      <c r="AE49" s="221">
        <v>3.5000000000000003E-2</v>
      </c>
      <c r="AF49" s="221">
        <v>0.01</v>
      </c>
      <c r="AG49" s="223">
        <v>0.08</v>
      </c>
      <c r="AH49" s="218">
        <v>54</v>
      </c>
      <c r="AI49" s="218"/>
      <c r="AJ49" s="218"/>
      <c r="AK49" s="218"/>
      <c r="AL49" s="218"/>
      <c r="AM49" s="218"/>
      <c r="AN49" s="218"/>
      <c r="AO49" s="218"/>
      <c r="AP49" s="218"/>
      <c r="AQ49" s="218"/>
      <c r="AR49" s="218"/>
      <c r="AS49" s="218"/>
      <c r="AT49" s="218"/>
      <c r="AU49" s="218"/>
      <c r="AV49" s="241"/>
    </row>
    <row r="50" spans="1:48" ht="33.75" x14ac:dyDescent="0.2">
      <c r="A50" s="217">
        <f t="shared" si="4"/>
        <v>280</v>
      </c>
      <c r="B50" s="217">
        <f t="shared" si="5"/>
        <v>24</v>
      </c>
      <c r="C50" s="217" t="s">
        <v>341</v>
      </c>
      <c r="D50" s="357" t="s">
        <v>1646</v>
      </c>
      <c r="E50" s="221" t="s">
        <v>9</v>
      </c>
      <c r="F50" s="230" t="s">
        <v>21</v>
      </c>
      <c r="G50" s="221" t="s">
        <v>10</v>
      </c>
      <c r="H50" s="221" t="s">
        <v>152</v>
      </c>
      <c r="I50" s="221">
        <v>13446506</v>
      </c>
      <c r="J50" s="221">
        <v>13446401</v>
      </c>
      <c r="K50" s="221" t="s">
        <v>11</v>
      </c>
      <c r="L50" s="218" t="s">
        <v>153</v>
      </c>
      <c r="M50" s="221" t="s">
        <v>154</v>
      </c>
      <c r="N50" s="221" t="s">
        <v>2082</v>
      </c>
      <c r="O50" s="221" t="s">
        <v>577</v>
      </c>
      <c r="P50" s="221" t="s">
        <v>578</v>
      </c>
      <c r="Q50" s="217">
        <v>280</v>
      </c>
      <c r="R50" s="221">
        <v>181</v>
      </c>
      <c r="S50" s="221">
        <v>24</v>
      </c>
      <c r="T50" s="221" t="s">
        <v>581</v>
      </c>
      <c r="U50" s="223">
        <v>70.16</v>
      </c>
      <c r="V50" s="221">
        <v>10</v>
      </c>
      <c r="W50" s="221">
        <v>9.6</v>
      </c>
      <c r="X50" s="221"/>
      <c r="Y50" s="221">
        <v>6.86</v>
      </c>
      <c r="Z50" s="221"/>
      <c r="AA50" s="221">
        <v>4.59</v>
      </c>
      <c r="AB50" s="221">
        <v>883</v>
      </c>
      <c r="AC50" s="221">
        <v>630</v>
      </c>
      <c r="AD50" s="217" t="s">
        <v>159</v>
      </c>
      <c r="AE50" s="221">
        <v>0.03</v>
      </c>
      <c r="AF50" s="221">
        <v>0.01</v>
      </c>
      <c r="AG50" s="218">
        <v>0.05</v>
      </c>
      <c r="AH50" s="221">
        <v>54</v>
      </c>
      <c r="AI50" s="218">
        <v>1854</v>
      </c>
      <c r="AJ50" s="218">
        <v>2222</v>
      </c>
      <c r="AK50" s="218">
        <v>944</v>
      </c>
      <c r="AL50" s="218">
        <v>81</v>
      </c>
      <c r="AM50" s="218">
        <v>345.2</v>
      </c>
      <c r="AN50" s="218">
        <v>660</v>
      </c>
      <c r="AO50" s="218">
        <v>2565.4</v>
      </c>
      <c r="AP50" s="218"/>
      <c r="AQ50" s="218"/>
      <c r="AR50" s="218"/>
      <c r="AS50" s="218"/>
      <c r="AT50" s="218">
        <v>430</v>
      </c>
      <c r="AU50" s="218" t="s">
        <v>12</v>
      </c>
      <c r="AV50" s="241"/>
    </row>
    <row r="51" spans="1:48" ht="22.5" x14ac:dyDescent="0.2">
      <c r="A51" s="217">
        <f t="shared" si="4"/>
        <v>280</v>
      </c>
      <c r="B51" s="217">
        <f t="shared" si="5"/>
        <v>24.1</v>
      </c>
      <c r="C51" s="217" t="s">
        <v>341</v>
      </c>
      <c r="D51" s="357" t="s">
        <v>1646</v>
      </c>
      <c r="E51" s="221" t="s">
        <v>2257</v>
      </c>
      <c r="F51" s="218"/>
      <c r="G51" s="222">
        <v>1996</v>
      </c>
      <c r="H51" s="221" t="s">
        <v>152</v>
      </c>
      <c r="I51" s="221">
        <v>12196410</v>
      </c>
      <c r="J51" s="223">
        <v>12196301</v>
      </c>
      <c r="K51" s="221" t="s">
        <v>2258</v>
      </c>
      <c r="L51" s="218"/>
      <c r="M51" s="223" t="s">
        <v>2259</v>
      </c>
      <c r="N51" s="221" t="s">
        <v>2260</v>
      </c>
      <c r="O51" s="221" t="s">
        <v>2261</v>
      </c>
      <c r="P51" s="218"/>
      <c r="Q51" s="221">
        <v>280</v>
      </c>
      <c r="R51" s="218">
        <v>181.4</v>
      </c>
      <c r="S51" s="221">
        <v>24.1</v>
      </c>
      <c r="T51" s="221" t="s">
        <v>2262</v>
      </c>
      <c r="U51" s="221">
        <v>75.5</v>
      </c>
      <c r="V51" s="222">
        <v>14.1</v>
      </c>
      <c r="W51" s="221">
        <v>6.69</v>
      </c>
      <c r="X51" s="221"/>
      <c r="Y51" s="221">
        <v>5.15</v>
      </c>
      <c r="Z51" s="221"/>
      <c r="AA51" s="218"/>
      <c r="AB51" s="218"/>
      <c r="AC51" s="218"/>
      <c r="AD51" s="221" t="s">
        <v>576</v>
      </c>
      <c r="AE51" s="221">
        <v>0.08</v>
      </c>
      <c r="AF51" s="221">
        <v>1.3000000000000001E-2</v>
      </c>
      <c r="AG51" s="221"/>
      <c r="AH51" s="218">
        <v>203.8</v>
      </c>
      <c r="AI51" s="218"/>
      <c r="AJ51" s="218"/>
      <c r="AK51" s="218"/>
      <c r="AL51" s="218"/>
      <c r="AM51" s="218"/>
      <c r="AN51" s="218"/>
      <c r="AO51" s="218"/>
      <c r="AP51" s="218"/>
      <c r="AQ51" s="218"/>
      <c r="AR51" s="218"/>
      <c r="AS51" s="218"/>
      <c r="AT51" s="218"/>
      <c r="AU51" s="218"/>
      <c r="AV51" s="224"/>
    </row>
    <row r="52" spans="1:48" ht="22.5" x14ac:dyDescent="0.2">
      <c r="A52" s="217">
        <f t="shared" si="4"/>
        <v>280</v>
      </c>
      <c r="B52" s="217">
        <f t="shared" si="5"/>
        <v>26</v>
      </c>
      <c r="C52" s="217" t="s">
        <v>341</v>
      </c>
      <c r="D52" s="221" t="s">
        <v>2050</v>
      </c>
      <c r="E52" s="221" t="s">
        <v>2051</v>
      </c>
      <c r="F52" s="218"/>
      <c r="G52" s="218"/>
      <c r="H52" s="221" t="s">
        <v>152</v>
      </c>
      <c r="I52" s="221">
        <v>12674504</v>
      </c>
      <c r="J52" s="221">
        <v>12674601</v>
      </c>
      <c r="K52" s="357" t="s">
        <v>3197</v>
      </c>
      <c r="L52" s="218"/>
      <c r="M52" s="221" t="s">
        <v>154</v>
      </c>
      <c r="N52" s="221" t="s">
        <v>155</v>
      </c>
      <c r="O52" s="221" t="s">
        <v>577</v>
      </c>
      <c r="P52" s="218"/>
      <c r="Q52" s="221">
        <v>280</v>
      </c>
      <c r="R52" s="218">
        <v>175</v>
      </c>
      <c r="S52" s="221">
        <v>26</v>
      </c>
      <c r="T52" s="221" t="s">
        <v>2052</v>
      </c>
      <c r="U52" s="221">
        <v>36</v>
      </c>
      <c r="V52" s="218"/>
      <c r="W52" s="221">
        <v>9.0030000000000001</v>
      </c>
      <c r="X52" s="221"/>
      <c r="Y52" s="221">
        <v>7.19</v>
      </c>
      <c r="Z52" s="221"/>
      <c r="AA52" s="218"/>
      <c r="AB52" s="218"/>
      <c r="AC52" s="218"/>
      <c r="AD52" s="221" t="s">
        <v>576</v>
      </c>
      <c r="AE52" s="221">
        <v>0.05</v>
      </c>
      <c r="AF52" s="221">
        <v>0.01</v>
      </c>
      <c r="AG52" s="221"/>
      <c r="AH52" s="218">
        <v>324</v>
      </c>
      <c r="AI52" s="218"/>
      <c r="AJ52" s="218"/>
      <c r="AK52" s="218"/>
      <c r="AL52" s="218"/>
      <c r="AM52" s="218"/>
      <c r="AN52" s="218"/>
      <c r="AO52" s="218"/>
      <c r="AP52" s="218"/>
      <c r="AQ52" s="218"/>
      <c r="AR52" s="218"/>
      <c r="AS52" s="218"/>
      <c r="AT52" s="218"/>
      <c r="AU52" s="218"/>
      <c r="AV52" s="241"/>
    </row>
    <row r="53" spans="1:48" ht="22.5" x14ac:dyDescent="0.2">
      <c r="A53" s="217">
        <f t="shared" si="4"/>
        <v>280</v>
      </c>
      <c r="B53" s="217">
        <f t="shared" si="5"/>
        <v>26</v>
      </c>
      <c r="C53" s="217" t="s">
        <v>341</v>
      </c>
      <c r="D53" s="221" t="s">
        <v>2050</v>
      </c>
      <c r="E53" s="221" t="s">
        <v>2053</v>
      </c>
      <c r="F53" s="217"/>
      <c r="G53" s="221">
        <v>1990</v>
      </c>
      <c r="H53" s="221" t="s">
        <v>152</v>
      </c>
      <c r="I53" s="221">
        <v>12996104</v>
      </c>
      <c r="J53" s="221">
        <v>12674601</v>
      </c>
      <c r="K53" s="221" t="s">
        <v>2054</v>
      </c>
      <c r="L53" s="218"/>
      <c r="M53" s="221" t="s">
        <v>154</v>
      </c>
      <c r="N53" s="221" t="s">
        <v>155</v>
      </c>
      <c r="O53" s="221" t="s">
        <v>563</v>
      </c>
      <c r="P53" s="221" t="s">
        <v>571</v>
      </c>
      <c r="Q53" s="221">
        <v>280</v>
      </c>
      <c r="R53" s="221">
        <v>175</v>
      </c>
      <c r="S53" s="221">
        <v>26</v>
      </c>
      <c r="T53" s="221" t="s">
        <v>2055</v>
      </c>
      <c r="U53" s="221">
        <v>36</v>
      </c>
      <c r="V53" s="221">
        <v>6.5</v>
      </c>
      <c r="W53" s="221">
        <v>9.0030000000000001</v>
      </c>
      <c r="X53" s="221"/>
      <c r="Y53" s="221">
        <v>7.16</v>
      </c>
      <c r="Z53" s="221"/>
      <c r="AA53" s="221">
        <v>6.3</v>
      </c>
      <c r="AB53" s="221">
        <v>790</v>
      </c>
      <c r="AC53" s="221">
        <v>780</v>
      </c>
      <c r="AD53" s="221" t="s">
        <v>576</v>
      </c>
      <c r="AE53" s="221">
        <v>0.05</v>
      </c>
      <c r="AF53" s="221">
        <v>0.01</v>
      </c>
      <c r="AG53" s="218">
        <v>0.05</v>
      </c>
      <c r="AH53" s="221">
        <v>324</v>
      </c>
      <c r="AI53" s="218">
        <v>1876.5119999999999</v>
      </c>
      <c r="AJ53" s="218">
        <v>2199.9229999999998</v>
      </c>
      <c r="AK53" s="218"/>
      <c r="AL53" s="218"/>
      <c r="AM53" s="218"/>
      <c r="AN53" s="218"/>
      <c r="AO53" s="218">
        <v>2702.56</v>
      </c>
      <c r="AP53" s="218"/>
      <c r="AQ53" s="218"/>
      <c r="AR53" s="218"/>
      <c r="AS53" s="218"/>
      <c r="AT53" s="218"/>
      <c r="AU53" s="218"/>
      <c r="AV53" s="241"/>
    </row>
    <row r="54" spans="1:48" ht="33.75" x14ac:dyDescent="0.2">
      <c r="A54" s="217">
        <f t="shared" si="4"/>
        <v>281</v>
      </c>
      <c r="B54" s="217">
        <f t="shared" si="5"/>
        <v>28</v>
      </c>
      <c r="C54" s="217" t="s">
        <v>341</v>
      </c>
      <c r="D54" s="357" t="s">
        <v>1646</v>
      </c>
      <c r="E54" s="221" t="s">
        <v>579</v>
      </c>
      <c r="F54" s="222" t="s">
        <v>151</v>
      </c>
      <c r="G54" s="221">
        <v>2001</v>
      </c>
      <c r="H54" s="221" t="s">
        <v>559</v>
      </c>
      <c r="I54" s="221">
        <v>13536806</v>
      </c>
      <c r="J54" s="223">
        <v>13536702</v>
      </c>
      <c r="K54" s="221" t="s">
        <v>580</v>
      </c>
      <c r="L54" s="218" t="s">
        <v>153</v>
      </c>
      <c r="M54" s="221" t="s">
        <v>562</v>
      </c>
      <c r="N54" s="221" t="s">
        <v>2085</v>
      </c>
      <c r="O54" s="221" t="s">
        <v>563</v>
      </c>
      <c r="P54" s="221" t="s">
        <v>157</v>
      </c>
      <c r="Q54" s="221">
        <v>281</v>
      </c>
      <c r="R54" s="221">
        <v>175</v>
      </c>
      <c r="S54" s="221">
        <v>28</v>
      </c>
      <c r="T54" s="221" t="s">
        <v>581</v>
      </c>
      <c r="U54" s="221">
        <v>31</v>
      </c>
      <c r="V54" s="223">
        <v>8.4</v>
      </c>
      <c r="W54" s="223">
        <v>9.2748000000000008</v>
      </c>
      <c r="X54" s="221"/>
      <c r="Y54" s="221">
        <v>7.7489999999999997</v>
      </c>
      <c r="Z54" s="221"/>
      <c r="AA54" s="221">
        <v>6.9</v>
      </c>
      <c r="AB54" s="221">
        <v>922</v>
      </c>
      <c r="AC54" s="221">
        <v>710.7</v>
      </c>
      <c r="AD54" s="221" t="s">
        <v>582</v>
      </c>
      <c r="AE54" s="221">
        <v>3.5000000000000003E-2</v>
      </c>
      <c r="AF54" s="223">
        <v>8.9999999999999993E-3</v>
      </c>
      <c r="AG54" s="218">
        <v>0.13</v>
      </c>
      <c r="AH54" s="221">
        <v>36</v>
      </c>
      <c r="AI54" s="218">
        <v>1930</v>
      </c>
      <c r="AJ54" s="218">
        <v>2496</v>
      </c>
      <c r="AK54" s="218">
        <v>992</v>
      </c>
      <c r="AL54" s="218">
        <v>177</v>
      </c>
      <c r="AM54" s="218">
        <v>328</v>
      </c>
      <c r="AN54" s="218">
        <v>671</v>
      </c>
      <c r="AO54" s="218">
        <v>3030</v>
      </c>
      <c r="AP54" s="218">
        <v>0.66</v>
      </c>
      <c r="AQ54" s="218"/>
      <c r="AR54" s="218" t="s">
        <v>157</v>
      </c>
      <c r="AS54" s="218"/>
      <c r="AT54" s="218"/>
      <c r="AU54" s="218" t="s">
        <v>19</v>
      </c>
      <c r="AV54" s="241"/>
    </row>
    <row r="55" spans="1:48" ht="22.5" x14ac:dyDescent="0.2">
      <c r="A55" s="217">
        <f t="shared" si="4"/>
        <v>282</v>
      </c>
      <c r="B55" s="217">
        <f t="shared" si="5"/>
        <v>26</v>
      </c>
      <c r="C55" s="217" t="s">
        <v>341</v>
      </c>
      <c r="D55" s="221" t="s">
        <v>766</v>
      </c>
      <c r="E55" s="221" t="s">
        <v>1122</v>
      </c>
      <c r="F55" s="230" t="s">
        <v>166</v>
      </c>
      <c r="G55" s="223">
        <v>2001</v>
      </c>
      <c r="H55" s="221" t="s">
        <v>1617</v>
      </c>
      <c r="I55" s="221">
        <v>13858102</v>
      </c>
      <c r="J55" s="221">
        <v>13857901</v>
      </c>
      <c r="K55" s="221" t="s">
        <v>1123</v>
      </c>
      <c r="L55" s="218" t="s">
        <v>1124</v>
      </c>
      <c r="M55" s="221" t="s">
        <v>154</v>
      </c>
      <c r="N55" s="221" t="s">
        <v>155</v>
      </c>
      <c r="O55" s="221" t="s">
        <v>577</v>
      </c>
      <c r="P55" s="221" t="s">
        <v>2617</v>
      </c>
      <c r="Q55" s="221">
        <v>282</v>
      </c>
      <c r="R55" s="223">
        <v>162.75</v>
      </c>
      <c r="S55" s="221">
        <v>26</v>
      </c>
      <c r="T55" s="221" t="s">
        <v>1242</v>
      </c>
      <c r="U55" s="221">
        <v>39.6</v>
      </c>
      <c r="V55" s="221">
        <v>8</v>
      </c>
      <c r="W55" s="221">
        <v>9.8160000000000007</v>
      </c>
      <c r="X55" s="222">
        <v>11.97</v>
      </c>
      <c r="Y55" s="221">
        <v>7.35</v>
      </c>
      <c r="Z55" s="222">
        <v>8.6180000000000003</v>
      </c>
      <c r="AA55" s="221">
        <v>6.26</v>
      </c>
      <c r="AB55" s="221">
        <v>933.2</v>
      </c>
      <c r="AC55" s="221">
        <v>755.9</v>
      </c>
      <c r="AD55" s="221" t="s">
        <v>159</v>
      </c>
      <c r="AE55" s="221">
        <v>2.5000000000000001E-2</v>
      </c>
      <c r="AF55" s="221">
        <v>0.01</v>
      </c>
      <c r="AG55" s="218">
        <v>0.05</v>
      </c>
      <c r="AH55" s="221">
        <v>36</v>
      </c>
      <c r="AI55" s="218">
        <v>2032.5</v>
      </c>
      <c r="AJ55" s="218">
        <v>2568</v>
      </c>
      <c r="AK55" s="218">
        <v>1298</v>
      </c>
      <c r="AL55" s="218">
        <v>176</v>
      </c>
      <c r="AM55" s="218">
        <v>323</v>
      </c>
      <c r="AN55" s="218">
        <v>660</v>
      </c>
      <c r="AO55" s="218">
        <v>3065.8</v>
      </c>
      <c r="AP55" s="218"/>
      <c r="AQ55" s="218"/>
      <c r="AR55" s="218"/>
      <c r="AS55" s="218"/>
      <c r="AT55" s="218"/>
      <c r="AU55" s="218" t="s">
        <v>754</v>
      </c>
      <c r="AV55" s="241"/>
    </row>
    <row r="56" spans="1:48" ht="33.75" x14ac:dyDescent="0.2">
      <c r="A56" s="217">
        <f t="shared" si="4"/>
        <v>282.25</v>
      </c>
      <c r="B56" s="217">
        <f t="shared" si="5"/>
        <v>23</v>
      </c>
      <c r="C56" s="217" t="s">
        <v>341</v>
      </c>
      <c r="D56" s="357" t="s">
        <v>1646</v>
      </c>
      <c r="E56" s="221" t="s">
        <v>165</v>
      </c>
      <c r="F56" s="217" t="s">
        <v>151</v>
      </c>
      <c r="G56" s="221">
        <v>2001</v>
      </c>
      <c r="H56" s="221" t="s">
        <v>559</v>
      </c>
      <c r="I56" s="221">
        <v>13593006</v>
      </c>
      <c r="J56" s="223">
        <v>13015202</v>
      </c>
      <c r="K56" s="221" t="s">
        <v>560</v>
      </c>
      <c r="L56" s="218" t="s">
        <v>561</v>
      </c>
      <c r="M56" s="221" t="s">
        <v>562</v>
      </c>
      <c r="N56" s="221" t="s">
        <v>2082</v>
      </c>
      <c r="O56" s="221" t="s">
        <v>563</v>
      </c>
      <c r="P56" s="221" t="s">
        <v>564</v>
      </c>
      <c r="Q56" s="217">
        <v>282.25</v>
      </c>
      <c r="R56" s="221">
        <v>159.5</v>
      </c>
      <c r="S56" s="221">
        <v>23</v>
      </c>
      <c r="T56" s="221" t="s">
        <v>565</v>
      </c>
      <c r="U56" s="221">
        <v>26</v>
      </c>
      <c r="V56" s="221">
        <v>8</v>
      </c>
      <c r="W56" s="221">
        <v>8.81</v>
      </c>
      <c r="X56" s="221"/>
      <c r="Y56" s="221">
        <v>6.28</v>
      </c>
      <c r="Z56" s="221"/>
      <c r="AA56" s="221">
        <v>5.43</v>
      </c>
      <c r="AB56" s="221">
        <v>945.6</v>
      </c>
      <c r="AC56" s="221">
        <v>738</v>
      </c>
      <c r="AD56" s="217" t="s">
        <v>159</v>
      </c>
      <c r="AE56" s="221">
        <v>2.5000000000000001E-2</v>
      </c>
      <c r="AF56" s="221">
        <v>0.01</v>
      </c>
      <c r="AG56" s="218">
        <v>0.13</v>
      </c>
      <c r="AH56" s="221">
        <v>54</v>
      </c>
      <c r="AI56" s="218">
        <v>1464</v>
      </c>
      <c r="AJ56" s="246">
        <v>1943</v>
      </c>
      <c r="AK56" s="246">
        <v>1034</v>
      </c>
      <c r="AL56" s="218">
        <v>217</v>
      </c>
      <c r="AM56" s="218">
        <v>292</v>
      </c>
      <c r="AN56" s="218">
        <v>508</v>
      </c>
      <c r="AO56" s="218">
        <v>2734</v>
      </c>
      <c r="AP56" s="218">
        <v>0.77</v>
      </c>
      <c r="AQ56" s="218" t="s">
        <v>157</v>
      </c>
      <c r="AR56" s="218">
        <v>495</v>
      </c>
      <c r="AS56" s="218"/>
      <c r="AT56" s="218"/>
      <c r="AU56" s="218"/>
      <c r="AV56" s="241"/>
    </row>
    <row r="57" spans="1:48" ht="22.5" x14ac:dyDescent="0.2">
      <c r="A57" s="217">
        <f t="shared" si="4"/>
        <v>282.3</v>
      </c>
      <c r="B57" s="217">
        <f t="shared" si="5"/>
        <v>23</v>
      </c>
      <c r="C57" s="217" t="s">
        <v>341</v>
      </c>
      <c r="D57" s="357" t="s">
        <v>1646</v>
      </c>
      <c r="E57" s="221" t="s">
        <v>2266</v>
      </c>
      <c r="F57" s="217"/>
      <c r="G57" s="221">
        <v>1996</v>
      </c>
      <c r="H57" s="221" t="s">
        <v>559</v>
      </c>
      <c r="I57" s="221">
        <v>13655006</v>
      </c>
      <c r="J57" s="221"/>
      <c r="K57" s="221" t="s">
        <v>2267</v>
      </c>
      <c r="L57" s="218"/>
      <c r="M57" s="221"/>
      <c r="N57" s="221" t="s">
        <v>155</v>
      </c>
      <c r="O57" s="221" t="s">
        <v>563</v>
      </c>
      <c r="P57" s="221" t="s">
        <v>564</v>
      </c>
      <c r="Q57" s="221">
        <v>282.3</v>
      </c>
      <c r="R57" s="221">
        <v>159.5</v>
      </c>
      <c r="S57" s="221">
        <v>23</v>
      </c>
      <c r="T57" s="221" t="s">
        <v>565</v>
      </c>
      <c r="U57" s="221">
        <v>26</v>
      </c>
      <c r="V57" s="221">
        <v>8</v>
      </c>
      <c r="W57" s="221">
        <v>8.81</v>
      </c>
      <c r="X57" s="221"/>
      <c r="Y57" s="221">
        <v>6.28</v>
      </c>
      <c r="Z57" s="221"/>
      <c r="AA57" s="221">
        <v>5.43</v>
      </c>
      <c r="AB57" s="221">
        <v>945.6</v>
      </c>
      <c r="AC57" s="221">
        <v>738</v>
      </c>
      <c r="AD57" s="221" t="s">
        <v>159</v>
      </c>
      <c r="AE57" s="221">
        <v>2.5000000000000001E-2</v>
      </c>
      <c r="AF57" s="221">
        <v>0.01</v>
      </c>
      <c r="AG57" s="218">
        <v>0.13</v>
      </c>
      <c r="AH57" s="221">
        <v>54</v>
      </c>
      <c r="AI57" s="218">
        <v>1446</v>
      </c>
      <c r="AJ57" s="218"/>
      <c r="AK57" s="218"/>
      <c r="AL57" s="218"/>
      <c r="AM57" s="218">
        <v>292</v>
      </c>
      <c r="AN57" s="218"/>
      <c r="AO57" s="218"/>
      <c r="AP57" s="218"/>
      <c r="AQ57" s="218"/>
      <c r="AR57" s="218"/>
      <c r="AS57" s="218"/>
      <c r="AT57" s="218"/>
      <c r="AU57" s="218"/>
      <c r="AV57" s="241"/>
    </row>
    <row r="58" spans="1:48" ht="22.5" x14ac:dyDescent="0.2">
      <c r="A58" s="217">
        <f t="shared" si="4"/>
        <v>282.3</v>
      </c>
      <c r="B58" s="217">
        <f t="shared" si="5"/>
        <v>24</v>
      </c>
      <c r="C58" s="217" t="s">
        <v>341</v>
      </c>
      <c r="D58" s="357" t="s">
        <v>1646</v>
      </c>
      <c r="E58" s="221" t="s">
        <v>752</v>
      </c>
      <c r="F58" s="217"/>
      <c r="G58" s="223">
        <v>1999</v>
      </c>
      <c r="H58" s="221" t="s">
        <v>559</v>
      </c>
      <c r="I58" s="221">
        <v>13014614</v>
      </c>
      <c r="J58" s="223">
        <v>13014501</v>
      </c>
      <c r="K58" s="221" t="s">
        <v>753</v>
      </c>
      <c r="L58" s="218"/>
      <c r="M58" s="221"/>
      <c r="N58" s="221" t="s">
        <v>155</v>
      </c>
      <c r="O58" s="221" t="s">
        <v>563</v>
      </c>
      <c r="P58" s="221" t="s">
        <v>571</v>
      </c>
      <c r="Q58" s="221">
        <v>282.3</v>
      </c>
      <c r="R58" s="221">
        <v>179.4</v>
      </c>
      <c r="S58" s="221">
        <v>24</v>
      </c>
      <c r="T58" s="221" t="s">
        <v>581</v>
      </c>
      <c r="U58" s="221">
        <v>31</v>
      </c>
      <c r="V58" s="221">
        <v>9</v>
      </c>
      <c r="W58" s="221">
        <v>9.19</v>
      </c>
      <c r="X58" s="221"/>
      <c r="Y58" s="221">
        <v>6.2</v>
      </c>
      <c r="Z58" s="221"/>
      <c r="AA58" s="221">
        <v>5.5</v>
      </c>
      <c r="AB58" s="221">
        <v>921.4</v>
      </c>
      <c r="AC58" s="221">
        <v>653.57000000000005</v>
      </c>
      <c r="AD58" s="221" t="s">
        <v>576</v>
      </c>
      <c r="AE58" s="221">
        <v>0.04</v>
      </c>
      <c r="AF58" s="221">
        <v>0.01</v>
      </c>
      <c r="AG58" s="218">
        <v>0.13</v>
      </c>
      <c r="AH58" s="221">
        <v>36</v>
      </c>
      <c r="AI58" s="218">
        <v>1996</v>
      </c>
      <c r="AJ58" s="218">
        <v>2449</v>
      </c>
      <c r="AK58" s="218">
        <v>1224</v>
      </c>
      <c r="AL58" s="218">
        <v>161</v>
      </c>
      <c r="AM58" s="218">
        <v>328</v>
      </c>
      <c r="AN58" s="218">
        <v>671</v>
      </c>
      <c r="AO58" s="218">
        <v>3030</v>
      </c>
      <c r="AP58" s="218"/>
      <c r="AQ58" s="218"/>
      <c r="AR58" s="218"/>
      <c r="AS58" s="218"/>
      <c r="AT58" s="218"/>
      <c r="AU58" s="218" t="s">
        <v>754</v>
      </c>
      <c r="AV58" s="241"/>
    </row>
    <row r="59" spans="1:48" ht="22.5" x14ac:dyDescent="0.2">
      <c r="A59" s="217">
        <f t="shared" si="4"/>
        <v>282.3</v>
      </c>
      <c r="B59" s="217">
        <f t="shared" si="5"/>
        <v>24</v>
      </c>
      <c r="C59" s="217" t="s">
        <v>341</v>
      </c>
      <c r="D59" s="357" t="s">
        <v>1646</v>
      </c>
      <c r="E59" s="221" t="s">
        <v>757</v>
      </c>
      <c r="F59" s="217" t="s">
        <v>151</v>
      </c>
      <c r="G59" s="221">
        <v>1997</v>
      </c>
      <c r="H59" s="221" t="s">
        <v>559</v>
      </c>
      <c r="I59" s="221">
        <v>13014606</v>
      </c>
      <c r="J59" s="221">
        <v>13014501</v>
      </c>
      <c r="K59" s="221">
        <v>4815797</v>
      </c>
      <c r="L59" s="218"/>
      <c r="M59" s="221" t="s">
        <v>562</v>
      </c>
      <c r="N59" s="221" t="s">
        <v>155</v>
      </c>
      <c r="O59" s="221" t="s">
        <v>563</v>
      </c>
      <c r="P59" s="221" t="s">
        <v>571</v>
      </c>
      <c r="Q59" s="221">
        <v>282.3</v>
      </c>
      <c r="R59" s="221">
        <v>179.4</v>
      </c>
      <c r="S59" s="221">
        <v>24</v>
      </c>
      <c r="T59" s="217" t="s">
        <v>581</v>
      </c>
      <c r="U59" s="221">
        <v>31</v>
      </c>
      <c r="V59" s="221">
        <v>9</v>
      </c>
      <c r="W59" s="221">
        <v>9.19</v>
      </c>
      <c r="X59" s="221"/>
      <c r="Y59" s="221">
        <v>6.2</v>
      </c>
      <c r="Z59" s="221"/>
      <c r="AA59" s="221">
        <v>5.5</v>
      </c>
      <c r="AB59" s="221">
        <v>921.4</v>
      </c>
      <c r="AC59" s="221">
        <v>651.5</v>
      </c>
      <c r="AD59" s="221" t="s">
        <v>576</v>
      </c>
      <c r="AE59" s="221">
        <v>0.04</v>
      </c>
      <c r="AF59" s="221">
        <v>0.01</v>
      </c>
      <c r="AG59" s="218">
        <v>0.13</v>
      </c>
      <c r="AH59" s="221">
        <v>36</v>
      </c>
      <c r="AI59" s="218">
        <v>1270</v>
      </c>
      <c r="AJ59" s="218">
        <v>1451</v>
      </c>
      <c r="AK59" s="218">
        <v>711</v>
      </c>
      <c r="AL59" s="218">
        <v>193</v>
      </c>
      <c r="AM59" s="218">
        <v>358.6</v>
      </c>
      <c r="AN59" s="218">
        <v>457.2</v>
      </c>
      <c r="AO59" s="218">
        <v>2872</v>
      </c>
      <c r="AP59" s="218">
        <v>0.68500000000000005</v>
      </c>
      <c r="AQ59" s="218"/>
      <c r="AR59" s="218"/>
      <c r="AS59" s="218"/>
      <c r="AT59" s="218"/>
      <c r="AU59" s="218"/>
      <c r="AV59" s="241"/>
    </row>
    <row r="60" spans="1:48" ht="33.75" x14ac:dyDescent="0.2">
      <c r="A60" s="217">
        <f t="shared" si="4"/>
        <v>288</v>
      </c>
      <c r="B60" s="217">
        <f t="shared" si="5"/>
        <v>28</v>
      </c>
      <c r="C60" s="217" t="s">
        <v>341</v>
      </c>
      <c r="D60" s="357" t="s">
        <v>1646</v>
      </c>
      <c r="E60" s="221" t="s">
        <v>5</v>
      </c>
      <c r="F60" s="230" t="s">
        <v>21</v>
      </c>
      <c r="G60" s="221">
        <v>2001</v>
      </c>
      <c r="H60" s="221" t="s">
        <v>152</v>
      </c>
      <c r="I60" s="221">
        <v>13511003</v>
      </c>
      <c r="J60" s="221">
        <v>13510901</v>
      </c>
      <c r="K60" s="221" t="s">
        <v>6</v>
      </c>
      <c r="L60" s="218" t="s">
        <v>153</v>
      </c>
      <c r="M60" s="221" t="s">
        <v>154</v>
      </c>
      <c r="N60" s="221" t="s">
        <v>2082</v>
      </c>
      <c r="O60" s="221" t="s">
        <v>577</v>
      </c>
      <c r="P60" s="221" t="s">
        <v>578</v>
      </c>
      <c r="Q60" s="217">
        <v>288</v>
      </c>
      <c r="R60" s="221">
        <v>177</v>
      </c>
      <c r="S60" s="221">
        <v>28</v>
      </c>
      <c r="T60" s="221" t="s">
        <v>581</v>
      </c>
      <c r="U60" s="221">
        <v>57</v>
      </c>
      <c r="V60" s="221">
        <v>12</v>
      </c>
      <c r="W60" s="221">
        <v>10.5</v>
      </c>
      <c r="X60" s="221"/>
      <c r="Y60" s="221">
        <v>7.68</v>
      </c>
      <c r="Z60" s="221"/>
      <c r="AA60" s="221">
        <v>5.78</v>
      </c>
      <c r="AB60" s="221">
        <v>1073</v>
      </c>
      <c r="AC60" s="221">
        <v>723</v>
      </c>
      <c r="AD60" s="217" t="s">
        <v>159</v>
      </c>
      <c r="AE60" s="221">
        <v>0.03</v>
      </c>
      <c r="AF60" s="221">
        <v>0.01</v>
      </c>
      <c r="AG60" s="218">
        <v>0.05</v>
      </c>
      <c r="AH60" s="221">
        <v>54</v>
      </c>
      <c r="AI60" s="218">
        <v>1919.5</v>
      </c>
      <c r="AJ60" s="218">
        <v>2540</v>
      </c>
      <c r="AK60" s="218">
        <v>956</v>
      </c>
      <c r="AL60" s="218">
        <v>105</v>
      </c>
      <c r="AM60" s="218">
        <v>345.2</v>
      </c>
      <c r="AN60" s="218">
        <v>660</v>
      </c>
      <c r="AO60" s="218">
        <v>2641.6</v>
      </c>
      <c r="AP60" s="218">
        <v>0.87</v>
      </c>
      <c r="AQ60" s="218"/>
      <c r="AR60" s="218">
        <v>501.67</v>
      </c>
      <c r="AS60" s="218"/>
      <c r="AT60" s="218" t="s">
        <v>7</v>
      </c>
      <c r="AU60" s="218" t="s">
        <v>8</v>
      </c>
      <c r="AV60" s="244"/>
    </row>
    <row r="61" spans="1:48" ht="33.75" x14ac:dyDescent="0.2">
      <c r="A61" s="217">
        <f t="shared" si="4"/>
        <v>293</v>
      </c>
      <c r="B61" s="217">
        <f t="shared" si="5"/>
        <v>30</v>
      </c>
      <c r="C61" s="217" t="s">
        <v>341</v>
      </c>
      <c r="D61" s="221" t="s">
        <v>13</v>
      </c>
      <c r="E61" s="221" t="s">
        <v>670</v>
      </c>
      <c r="F61" s="230" t="s">
        <v>166</v>
      </c>
      <c r="G61" s="221">
        <v>2004</v>
      </c>
      <c r="H61" s="221" t="s">
        <v>559</v>
      </c>
      <c r="I61" s="221">
        <v>15581302</v>
      </c>
      <c r="J61" s="221">
        <v>15579001</v>
      </c>
      <c r="K61" s="221" t="s">
        <v>671</v>
      </c>
      <c r="L61" s="218" t="s">
        <v>561</v>
      </c>
      <c r="M61" s="221" t="s">
        <v>154</v>
      </c>
      <c r="N61" s="221" t="s">
        <v>2086</v>
      </c>
      <c r="O61" s="221" t="s">
        <v>1752</v>
      </c>
      <c r="P61" s="221" t="s">
        <v>672</v>
      </c>
      <c r="Q61" s="221">
        <v>293</v>
      </c>
      <c r="R61" s="221">
        <v>178</v>
      </c>
      <c r="S61" s="221">
        <v>30</v>
      </c>
      <c r="T61" s="221" t="s">
        <v>673</v>
      </c>
      <c r="U61" s="221">
        <v>39.6</v>
      </c>
      <c r="V61" s="223">
        <v>12</v>
      </c>
      <c r="W61" s="221">
        <v>11.5</v>
      </c>
      <c r="X61" s="223">
        <v>11.97</v>
      </c>
      <c r="Y61" s="221">
        <v>8.7100000000000009</v>
      </c>
      <c r="Z61" s="223">
        <v>8.7769999999999992</v>
      </c>
      <c r="AA61" s="221">
        <v>7.25</v>
      </c>
      <c r="AB61" s="221">
        <v>1053.9000000000001</v>
      </c>
      <c r="AC61" s="221">
        <v>771.75</v>
      </c>
      <c r="AD61" s="221" t="s">
        <v>159</v>
      </c>
      <c r="AE61" s="221">
        <v>2.5000000000000001E-2</v>
      </c>
      <c r="AF61" s="223">
        <v>8.0000000000000002E-3</v>
      </c>
      <c r="AG61" s="218">
        <v>0.05</v>
      </c>
      <c r="AH61" s="223">
        <v>27</v>
      </c>
      <c r="AI61" s="218">
        <v>1890</v>
      </c>
      <c r="AJ61" s="218">
        <v>2680</v>
      </c>
      <c r="AK61" s="218">
        <v>1215</v>
      </c>
      <c r="AL61" s="218">
        <v>181</v>
      </c>
      <c r="AM61" s="218">
        <v>329</v>
      </c>
      <c r="AN61" s="218">
        <v>665.4</v>
      </c>
      <c r="AO61" s="218">
        <v>3066</v>
      </c>
      <c r="AP61" s="218">
        <v>0.68</v>
      </c>
      <c r="AQ61" s="218"/>
      <c r="AR61" s="218">
        <v>469.76</v>
      </c>
      <c r="AS61" s="218"/>
      <c r="AT61" s="218">
        <v>417</v>
      </c>
      <c r="AU61" s="218" t="s">
        <v>674</v>
      </c>
      <c r="AV61" s="244"/>
    </row>
    <row r="62" spans="1:48" ht="33.75" x14ac:dyDescent="0.2">
      <c r="A62" s="217">
        <f t="shared" si="4"/>
        <v>294</v>
      </c>
      <c r="B62" s="217">
        <f t="shared" si="5"/>
        <v>26</v>
      </c>
      <c r="C62" s="217" t="s">
        <v>341</v>
      </c>
      <c r="D62" s="221" t="s">
        <v>13</v>
      </c>
      <c r="E62" s="221" t="s">
        <v>1238</v>
      </c>
      <c r="F62" s="217" t="s">
        <v>151</v>
      </c>
      <c r="G62" s="221">
        <v>2003</v>
      </c>
      <c r="H62" s="221" t="s">
        <v>1239</v>
      </c>
      <c r="I62" s="221">
        <v>14556105</v>
      </c>
      <c r="J62" s="221" t="s">
        <v>1240</v>
      </c>
      <c r="K62" s="221" t="s">
        <v>1241</v>
      </c>
      <c r="L62" s="218" t="s">
        <v>1239</v>
      </c>
      <c r="M62" s="221" t="s">
        <v>154</v>
      </c>
      <c r="N62" s="221" t="s">
        <v>2082</v>
      </c>
      <c r="O62" s="221" t="s">
        <v>1752</v>
      </c>
      <c r="P62" s="221" t="s">
        <v>0</v>
      </c>
      <c r="Q62" s="221">
        <v>294</v>
      </c>
      <c r="R62" s="221">
        <v>169</v>
      </c>
      <c r="S62" s="221">
        <v>26</v>
      </c>
      <c r="T62" s="221" t="s">
        <v>1242</v>
      </c>
      <c r="U62" s="221">
        <v>39.65</v>
      </c>
      <c r="V62" s="221">
        <v>8.8000000000000007</v>
      </c>
      <c r="W62" s="221">
        <v>10.46</v>
      </c>
      <c r="X62" s="247">
        <v>9.6430000000000007</v>
      </c>
      <c r="Y62" s="221">
        <v>7.577</v>
      </c>
      <c r="Z62" s="247">
        <v>6.8719999999999999</v>
      </c>
      <c r="AA62" s="221">
        <v>5.92</v>
      </c>
      <c r="AB62" s="221">
        <v>1192</v>
      </c>
      <c r="AC62" s="221">
        <v>845</v>
      </c>
      <c r="AD62" s="221" t="s">
        <v>159</v>
      </c>
      <c r="AE62" s="221">
        <v>2.5000000000000001E-2</v>
      </c>
      <c r="AF62" s="221">
        <v>7.0000000000000001E-3</v>
      </c>
      <c r="AG62" s="218">
        <v>0.1</v>
      </c>
      <c r="AH62" s="221">
        <v>54</v>
      </c>
      <c r="AI62" s="218"/>
      <c r="AJ62" s="218"/>
      <c r="AK62" s="218"/>
      <c r="AL62" s="218"/>
      <c r="AM62" s="218">
        <v>327.7</v>
      </c>
      <c r="AN62" s="218"/>
      <c r="AO62" s="218"/>
      <c r="AP62" s="218"/>
      <c r="AQ62" s="218"/>
      <c r="AR62" s="218"/>
      <c r="AS62" s="218"/>
      <c r="AT62" s="218"/>
      <c r="AU62" s="218"/>
      <c r="AV62" s="241"/>
    </row>
    <row r="63" spans="1:48" ht="22.5" x14ac:dyDescent="0.2">
      <c r="A63" s="217">
        <f t="shared" ref="A63:A80" si="6">Q63</f>
        <v>294</v>
      </c>
      <c r="B63" s="217">
        <f t="shared" ref="B63:B80" si="7">S63</f>
        <v>26</v>
      </c>
      <c r="C63" s="217" t="s">
        <v>341</v>
      </c>
      <c r="D63" s="221" t="s">
        <v>766</v>
      </c>
      <c r="E63" s="221" t="s">
        <v>2309</v>
      </c>
      <c r="F63" s="217"/>
      <c r="G63" s="221">
        <v>1995</v>
      </c>
      <c r="H63" s="221" t="s">
        <v>152</v>
      </c>
      <c r="I63" s="221">
        <v>12866403</v>
      </c>
      <c r="J63" s="223">
        <v>12802501</v>
      </c>
      <c r="K63" s="221" t="s">
        <v>595</v>
      </c>
      <c r="L63" s="218"/>
      <c r="M63" s="221"/>
      <c r="N63" s="221" t="s">
        <v>155</v>
      </c>
      <c r="O63" s="221" t="s">
        <v>577</v>
      </c>
      <c r="P63" s="221" t="s">
        <v>684</v>
      </c>
      <c r="Q63" s="221">
        <v>294</v>
      </c>
      <c r="R63" s="221">
        <v>169</v>
      </c>
      <c r="S63" s="221">
        <v>26</v>
      </c>
      <c r="T63" s="221" t="s">
        <v>1242</v>
      </c>
      <c r="U63" s="221">
        <v>39.65</v>
      </c>
      <c r="V63" s="221">
        <v>8.6</v>
      </c>
      <c r="W63" s="221">
        <v>9.4600000000000009</v>
      </c>
      <c r="X63" s="226"/>
      <c r="Y63" s="221">
        <v>7.36</v>
      </c>
      <c r="Z63" s="226"/>
      <c r="AA63" s="221">
        <v>5.92</v>
      </c>
      <c r="AB63" s="221">
        <v>1192</v>
      </c>
      <c r="AC63" s="221">
        <v>845</v>
      </c>
      <c r="AD63" s="221" t="s">
        <v>159</v>
      </c>
      <c r="AE63" s="221">
        <v>3.5000000000000003E-2</v>
      </c>
      <c r="AF63" s="221">
        <v>9.0000000000000011E-3</v>
      </c>
      <c r="AG63" s="218">
        <v>0.2</v>
      </c>
      <c r="AH63" s="221">
        <v>54</v>
      </c>
      <c r="AI63" s="218">
        <v>1574.9</v>
      </c>
      <c r="AJ63" s="218"/>
      <c r="AK63" s="218"/>
      <c r="AL63" s="218"/>
      <c r="AM63" s="218"/>
      <c r="AN63" s="218"/>
      <c r="AO63" s="218">
        <v>2692.4</v>
      </c>
      <c r="AP63" s="218"/>
      <c r="AQ63" s="218"/>
      <c r="AR63" s="218"/>
      <c r="AS63" s="218"/>
      <c r="AT63" s="218"/>
      <c r="AU63" s="218"/>
      <c r="AV63" s="241"/>
    </row>
    <row r="64" spans="1:48" ht="22.5" x14ac:dyDescent="0.2">
      <c r="A64" s="217">
        <f t="shared" si="6"/>
        <v>294</v>
      </c>
      <c r="B64" s="217">
        <f t="shared" si="7"/>
        <v>26</v>
      </c>
      <c r="C64" s="217" t="s">
        <v>341</v>
      </c>
      <c r="D64" s="221" t="s">
        <v>766</v>
      </c>
      <c r="E64" s="221" t="s">
        <v>598</v>
      </c>
      <c r="F64" s="217"/>
      <c r="G64" s="221">
        <v>1990</v>
      </c>
      <c r="H64" s="221" t="s">
        <v>152</v>
      </c>
      <c r="I64" s="221">
        <v>12866403</v>
      </c>
      <c r="J64" s="223">
        <v>12802501</v>
      </c>
      <c r="K64" s="221" t="s">
        <v>599</v>
      </c>
      <c r="L64" s="218"/>
      <c r="M64" s="221"/>
      <c r="N64" s="221" t="s">
        <v>155</v>
      </c>
      <c r="O64" s="221" t="s">
        <v>577</v>
      </c>
      <c r="P64" s="221"/>
      <c r="Q64" s="221">
        <v>294</v>
      </c>
      <c r="R64" s="221">
        <v>169</v>
      </c>
      <c r="S64" s="221">
        <v>26</v>
      </c>
      <c r="T64" s="221" t="s">
        <v>1242</v>
      </c>
      <c r="U64" s="221">
        <v>39.65</v>
      </c>
      <c r="V64" s="221">
        <v>8.6</v>
      </c>
      <c r="W64" s="223">
        <v>10.34</v>
      </c>
      <c r="X64" s="221"/>
      <c r="Y64" s="221">
        <v>7.36</v>
      </c>
      <c r="Z64" s="221"/>
      <c r="AA64" s="221"/>
      <c r="AB64" s="221"/>
      <c r="AC64" s="221"/>
      <c r="AD64" s="221" t="s">
        <v>159</v>
      </c>
      <c r="AE64" s="221">
        <v>3.5000000000000003E-2</v>
      </c>
      <c r="AF64" s="221">
        <v>9.0000000000000011E-3</v>
      </c>
      <c r="AG64" s="222">
        <v>0.1</v>
      </c>
      <c r="AH64" s="223">
        <v>54</v>
      </c>
      <c r="AI64" s="218"/>
      <c r="AJ64" s="218"/>
      <c r="AK64" s="218"/>
      <c r="AL64" s="218"/>
      <c r="AM64" s="218"/>
      <c r="AN64" s="218"/>
      <c r="AO64" s="218"/>
      <c r="AP64" s="218"/>
      <c r="AQ64" s="218"/>
      <c r="AR64" s="218"/>
      <c r="AS64" s="218"/>
      <c r="AT64" s="218"/>
      <c r="AU64" s="218"/>
      <c r="AV64" s="241"/>
    </row>
    <row r="65" spans="1:48" ht="22.5" x14ac:dyDescent="0.2">
      <c r="A65" s="217">
        <f t="shared" si="6"/>
        <v>294</v>
      </c>
      <c r="B65" s="217">
        <f t="shared" si="7"/>
        <v>26</v>
      </c>
      <c r="C65" s="217" t="s">
        <v>341</v>
      </c>
      <c r="D65" s="221" t="s">
        <v>766</v>
      </c>
      <c r="E65" s="221" t="s">
        <v>2528</v>
      </c>
      <c r="F65" s="217"/>
      <c r="G65" s="221">
        <v>1997</v>
      </c>
      <c r="H65" s="221" t="s">
        <v>152</v>
      </c>
      <c r="I65" s="221">
        <v>12866402</v>
      </c>
      <c r="J65" s="223">
        <v>12802501</v>
      </c>
      <c r="K65" s="223" t="s">
        <v>2529</v>
      </c>
      <c r="L65" s="218"/>
      <c r="M65" s="221"/>
      <c r="N65" s="221" t="s">
        <v>155</v>
      </c>
      <c r="O65" s="221" t="s">
        <v>577</v>
      </c>
      <c r="P65" s="221" t="s">
        <v>684</v>
      </c>
      <c r="Q65" s="221">
        <v>294</v>
      </c>
      <c r="R65" s="221">
        <v>169</v>
      </c>
      <c r="S65" s="221">
        <v>26</v>
      </c>
      <c r="T65" s="221" t="s">
        <v>1242</v>
      </c>
      <c r="U65" s="221">
        <v>39.65</v>
      </c>
      <c r="V65" s="221">
        <v>8.6</v>
      </c>
      <c r="W65" s="223">
        <v>10.34</v>
      </c>
      <c r="X65" s="221"/>
      <c r="Y65" s="221">
        <v>7.36</v>
      </c>
      <c r="Z65" s="221"/>
      <c r="AA65" s="221">
        <v>5.92</v>
      </c>
      <c r="AB65" s="221">
        <v>1192</v>
      </c>
      <c r="AC65" s="221">
        <v>845</v>
      </c>
      <c r="AD65" s="221" t="s">
        <v>159</v>
      </c>
      <c r="AE65" s="221">
        <v>3.5000000000000003E-2</v>
      </c>
      <c r="AF65" s="221">
        <v>9.0000000000000011E-3</v>
      </c>
      <c r="AG65" s="218">
        <v>0.1</v>
      </c>
      <c r="AH65" s="221">
        <v>54</v>
      </c>
      <c r="AI65" s="218">
        <v>1761.8</v>
      </c>
      <c r="AJ65" s="218"/>
      <c r="AK65" s="218"/>
      <c r="AL65" s="218"/>
      <c r="AM65" s="218"/>
      <c r="AN65" s="218"/>
      <c r="AO65" s="218">
        <v>2768.6</v>
      </c>
      <c r="AP65" s="218"/>
      <c r="AQ65" s="218"/>
      <c r="AR65" s="218"/>
      <c r="AS65" s="218"/>
      <c r="AT65" s="218"/>
      <c r="AU65" s="218"/>
      <c r="AV65" s="241"/>
    </row>
    <row r="66" spans="1:48" ht="22.5" x14ac:dyDescent="0.2">
      <c r="A66" s="217">
        <f t="shared" si="6"/>
        <v>294</v>
      </c>
      <c r="B66" s="217">
        <f t="shared" si="7"/>
        <v>26</v>
      </c>
      <c r="C66" s="217" t="s">
        <v>341</v>
      </c>
      <c r="D66" s="221" t="s">
        <v>766</v>
      </c>
      <c r="E66" s="221" t="s">
        <v>2530</v>
      </c>
      <c r="F66" s="218"/>
      <c r="G66" s="218"/>
      <c r="H66" s="221" t="s">
        <v>152</v>
      </c>
      <c r="I66" s="221">
        <v>12866403</v>
      </c>
      <c r="J66" s="223">
        <v>12802501</v>
      </c>
      <c r="K66" s="221" t="s">
        <v>325</v>
      </c>
      <c r="L66" s="218"/>
      <c r="M66" s="221"/>
      <c r="N66" s="221" t="s">
        <v>155</v>
      </c>
      <c r="O66" s="221" t="s">
        <v>577</v>
      </c>
      <c r="P66" s="218"/>
      <c r="Q66" s="221">
        <v>294</v>
      </c>
      <c r="R66" s="218">
        <v>169</v>
      </c>
      <c r="S66" s="221">
        <v>26</v>
      </c>
      <c r="T66" s="221" t="s">
        <v>1242</v>
      </c>
      <c r="U66" s="221">
        <v>39.65</v>
      </c>
      <c r="V66" s="222">
        <v>8.6</v>
      </c>
      <c r="W66" s="221">
        <v>9.4600000000000009</v>
      </c>
      <c r="X66" s="221"/>
      <c r="Y66" s="221">
        <v>7.36</v>
      </c>
      <c r="Z66" s="221"/>
      <c r="AA66" s="218"/>
      <c r="AB66" s="218"/>
      <c r="AC66" s="218"/>
      <c r="AD66" s="221" t="s">
        <v>159</v>
      </c>
      <c r="AE66" s="221">
        <v>3.5000000000000003E-2</v>
      </c>
      <c r="AF66" s="221">
        <v>9.0000000000000011E-3</v>
      </c>
      <c r="AG66" s="222">
        <v>0.2</v>
      </c>
      <c r="AH66" s="218">
        <v>54</v>
      </c>
      <c r="AI66" s="218"/>
      <c r="AJ66" s="218"/>
      <c r="AK66" s="218"/>
      <c r="AL66" s="218"/>
      <c r="AM66" s="218"/>
      <c r="AN66" s="218"/>
      <c r="AO66" s="218"/>
      <c r="AP66" s="218"/>
      <c r="AQ66" s="218"/>
      <c r="AR66" s="218"/>
      <c r="AS66" s="218"/>
      <c r="AT66" s="218"/>
      <c r="AU66" s="218"/>
      <c r="AV66" s="241"/>
    </row>
    <row r="67" spans="1:48" ht="22.5" x14ac:dyDescent="0.2">
      <c r="A67" s="217">
        <f t="shared" si="6"/>
        <v>296</v>
      </c>
      <c r="B67" s="217">
        <f t="shared" si="7"/>
        <v>32.700000000000003</v>
      </c>
      <c r="C67" s="217" t="s">
        <v>341</v>
      </c>
      <c r="D67" s="217" t="s">
        <v>638</v>
      </c>
      <c r="E67" s="217" t="s">
        <v>1836</v>
      </c>
      <c r="F67" s="218"/>
      <c r="G67" s="217">
        <v>1998</v>
      </c>
      <c r="H67" s="217" t="s">
        <v>768</v>
      </c>
      <c r="I67" s="217" t="s">
        <v>1837</v>
      </c>
      <c r="J67" s="217"/>
      <c r="K67" s="217">
        <v>25659162</v>
      </c>
      <c r="L67" s="218"/>
      <c r="M67" s="221"/>
      <c r="N67" s="221" t="s">
        <v>155</v>
      </c>
      <c r="O67" s="217" t="s">
        <v>1838</v>
      </c>
      <c r="P67" s="217"/>
      <c r="Q67" s="217">
        <v>296</v>
      </c>
      <c r="R67" s="217">
        <v>188</v>
      </c>
      <c r="S67" s="217">
        <v>32.700000000000003</v>
      </c>
      <c r="T67" s="217" t="s">
        <v>1839</v>
      </c>
      <c r="U67" s="217">
        <v>50.75</v>
      </c>
      <c r="V67" s="217"/>
      <c r="W67" s="217">
        <v>12.4</v>
      </c>
      <c r="X67" s="217"/>
      <c r="Y67" s="217">
        <v>10.199999999999999</v>
      </c>
      <c r="Z67" s="217"/>
      <c r="AA67" s="217"/>
      <c r="AB67" s="217"/>
      <c r="AC67" s="217"/>
      <c r="AD67" s="217" t="s">
        <v>576</v>
      </c>
      <c r="AE67" s="217">
        <v>3.5000000000000003E-2</v>
      </c>
      <c r="AF67" s="217">
        <v>0.01</v>
      </c>
      <c r="AG67" s="218"/>
      <c r="AH67" s="217"/>
      <c r="AI67" s="218"/>
      <c r="AJ67" s="218"/>
      <c r="AK67" s="218"/>
      <c r="AL67" s="218"/>
      <c r="AM67" s="218"/>
      <c r="AN67" s="218"/>
      <c r="AO67" s="218"/>
      <c r="AP67" s="218"/>
      <c r="AQ67" s="218"/>
      <c r="AR67" s="218"/>
      <c r="AS67" s="218"/>
      <c r="AT67" s="218"/>
      <c r="AU67" s="218"/>
      <c r="AV67" s="241"/>
    </row>
    <row r="68" spans="1:48" ht="22.5" x14ac:dyDescent="0.2">
      <c r="A68" s="217">
        <f t="shared" si="6"/>
        <v>297</v>
      </c>
      <c r="B68" s="217">
        <f t="shared" si="7"/>
        <v>26</v>
      </c>
      <c r="C68" s="217" t="s">
        <v>341</v>
      </c>
      <c r="D68" s="357" t="s">
        <v>1646</v>
      </c>
      <c r="E68" s="221" t="s">
        <v>2270</v>
      </c>
      <c r="F68" s="217" t="s">
        <v>151</v>
      </c>
      <c r="G68" s="221">
        <v>1998</v>
      </c>
      <c r="H68" s="221" t="s">
        <v>152</v>
      </c>
      <c r="I68" s="217">
        <v>13401306</v>
      </c>
      <c r="J68" s="217">
        <v>13401201</v>
      </c>
      <c r="K68" s="221" t="s">
        <v>749</v>
      </c>
      <c r="L68" s="218" t="s">
        <v>568</v>
      </c>
      <c r="M68" s="221" t="s">
        <v>562</v>
      </c>
      <c r="N68" s="221" t="s">
        <v>155</v>
      </c>
      <c r="O68" s="221" t="s">
        <v>563</v>
      </c>
      <c r="P68" s="221" t="s">
        <v>564</v>
      </c>
      <c r="Q68" s="221">
        <v>297</v>
      </c>
      <c r="R68" s="221">
        <v>203</v>
      </c>
      <c r="S68" s="221">
        <v>26</v>
      </c>
      <c r="T68" s="221" t="s">
        <v>581</v>
      </c>
      <c r="U68" s="221">
        <v>47</v>
      </c>
      <c r="V68" s="221">
        <v>8</v>
      </c>
      <c r="W68" s="221">
        <v>10.57</v>
      </c>
      <c r="X68" s="221"/>
      <c r="Y68" s="221">
        <v>7.85</v>
      </c>
      <c r="Z68" s="221"/>
      <c r="AA68" s="221">
        <v>5.48</v>
      </c>
      <c r="AB68" s="221">
        <v>742.9</v>
      </c>
      <c r="AC68" s="221">
        <v>662</v>
      </c>
      <c r="AD68" s="221" t="s">
        <v>159</v>
      </c>
      <c r="AE68" s="221">
        <v>2.8000000000000001E-2</v>
      </c>
      <c r="AF68" s="221">
        <v>0.01</v>
      </c>
      <c r="AG68" s="218">
        <v>0.13</v>
      </c>
      <c r="AH68" s="221">
        <v>54</v>
      </c>
      <c r="AI68" s="218">
        <v>1810</v>
      </c>
      <c r="AJ68" s="218">
        <v>2129</v>
      </c>
      <c r="AK68" s="218">
        <v>915.5</v>
      </c>
      <c r="AL68" s="218">
        <v>238</v>
      </c>
      <c r="AM68" s="218">
        <v>325</v>
      </c>
      <c r="AN68" s="218">
        <v>577</v>
      </c>
      <c r="AO68" s="218">
        <v>2870.2</v>
      </c>
      <c r="AP68" s="218">
        <v>0.82</v>
      </c>
      <c r="AQ68" s="218" t="s">
        <v>157</v>
      </c>
      <c r="AR68" s="218" t="s">
        <v>157</v>
      </c>
      <c r="AS68" s="218"/>
      <c r="AT68" s="218"/>
      <c r="AU68" s="218"/>
      <c r="AV68" s="241"/>
    </row>
    <row r="69" spans="1:48" ht="33.75" x14ac:dyDescent="0.2">
      <c r="A69" s="217">
        <f t="shared" si="6"/>
        <v>297</v>
      </c>
      <c r="B69" s="217">
        <f t="shared" si="7"/>
        <v>26</v>
      </c>
      <c r="C69" s="217" t="s">
        <v>341</v>
      </c>
      <c r="D69" s="357" t="s">
        <v>1646</v>
      </c>
      <c r="E69" s="217" t="s">
        <v>750</v>
      </c>
      <c r="F69" s="217" t="s">
        <v>151</v>
      </c>
      <c r="G69" s="221">
        <v>1998</v>
      </c>
      <c r="H69" s="217" t="s">
        <v>152</v>
      </c>
      <c r="I69" s="217">
        <v>13280206</v>
      </c>
      <c r="J69" s="217">
        <v>13280101</v>
      </c>
      <c r="K69" s="217" t="s">
        <v>751</v>
      </c>
      <c r="L69" s="218" t="s">
        <v>568</v>
      </c>
      <c r="M69" s="217" t="s">
        <v>562</v>
      </c>
      <c r="N69" s="221" t="s">
        <v>155</v>
      </c>
      <c r="O69" s="221" t="s">
        <v>563</v>
      </c>
      <c r="P69" s="221" t="s">
        <v>564</v>
      </c>
      <c r="Q69" s="217">
        <v>297</v>
      </c>
      <c r="R69" s="217">
        <v>203</v>
      </c>
      <c r="S69" s="217">
        <v>26</v>
      </c>
      <c r="T69" s="217" t="s">
        <v>581</v>
      </c>
      <c r="U69" s="217">
        <v>47</v>
      </c>
      <c r="V69" s="217">
        <v>8</v>
      </c>
      <c r="W69" s="217">
        <v>10.33</v>
      </c>
      <c r="X69" s="217"/>
      <c r="Y69" s="217">
        <v>7.51</v>
      </c>
      <c r="Z69" s="217"/>
      <c r="AA69" s="217">
        <v>6.05</v>
      </c>
      <c r="AB69" s="217">
        <v>853.6</v>
      </c>
      <c r="AC69" s="217">
        <v>662</v>
      </c>
      <c r="AD69" s="217" t="s">
        <v>159</v>
      </c>
      <c r="AE69" s="217">
        <v>2.8000000000000001E-2</v>
      </c>
      <c r="AF69" s="217">
        <v>0.01</v>
      </c>
      <c r="AG69" s="218">
        <v>0.13</v>
      </c>
      <c r="AH69" s="217">
        <v>54</v>
      </c>
      <c r="AI69" s="218">
        <v>1810</v>
      </c>
      <c r="AJ69" s="218">
        <v>2129</v>
      </c>
      <c r="AK69" s="218">
        <v>1213.5</v>
      </c>
      <c r="AL69" s="218">
        <v>238</v>
      </c>
      <c r="AM69" s="218">
        <v>325</v>
      </c>
      <c r="AN69" s="218">
        <v>577</v>
      </c>
      <c r="AO69" s="218">
        <v>2870.2</v>
      </c>
      <c r="AP69" s="218">
        <v>0.82</v>
      </c>
      <c r="AQ69" s="218" t="s">
        <v>157</v>
      </c>
      <c r="AR69" s="218" t="s">
        <v>157</v>
      </c>
      <c r="AS69" s="218"/>
      <c r="AT69" s="218"/>
      <c r="AU69" s="218"/>
      <c r="AV69" s="241"/>
    </row>
    <row r="70" spans="1:48" ht="33.75" x14ac:dyDescent="0.2">
      <c r="A70" s="217">
        <f t="shared" si="6"/>
        <v>300</v>
      </c>
      <c r="B70" s="217">
        <f t="shared" si="7"/>
        <v>30</v>
      </c>
      <c r="C70" s="217" t="s">
        <v>341</v>
      </c>
      <c r="D70" s="217" t="s">
        <v>638</v>
      </c>
      <c r="E70" s="221" t="s">
        <v>639</v>
      </c>
      <c r="F70" s="230" t="s">
        <v>166</v>
      </c>
      <c r="G70" s="221">
        <v>2003</v>
      </c>
      <c r="H70" s="221" t="s">
        <v>640</v>
      </c>
      <c r="I70" s="221">
        <v>15150006</v>
      </c>
      <c r="J70" s="221">
        <v>15156001</v>
      </c>
      <c r="K70" s="221" t="s">
        <v>641</v>
      </c>
      <c r="L70" s="218" t="s">
        <v>640</v>
      </c>
      <c r="M70" s="221" t="s">
        <v>154</v>
      </c>
      <c r="N70" s="221" t="s">
        <v>2082</v>
      </c>
      <c r="O70" s="217" t="s">
        <v>642</v>
      </c>
      <c r="P70" s="221" t="s">
        <v>643</v>
      </c>
      <c r="Q70" s="221">
        <v>300</v>
      </c>
      <c r="R70" s="223">
        <v>172</v>
      </c>
      <c r="S70" s="221">
        <v>30</v>
      </c>
      <c r="T70" s="221" t="s">
        <v>644</v>
      </c>
      <c r="U70" s="221">
        <v>43.49</v>
      </c>
      <c r="V70" s="221">
        <v>12</v>
      </c>
      <c r="W70" s="221">
        <v>12.03</v>
      </c>
      <c r="X70" s="221"/>
      <c r="Y70" s="221">
        <v>8.7539999999999996</v>
      </c>
      <c r="Z70" s="221"/>
      <c r="AA70" s="221">
        <v>7.4</v>
      </c>
      <c r="AB70" s="221">
        <v>1067</v>
      </c>
      <c r="AC70" s="221">
        <v>950</v>
      </c>
      <c r="AD70" s="217" t="s">
        <v>159</v>
      </c>
      <c r="AE70" s="221">
        <v>2.5000000000000001E-2</v>
      </c>
      <c r="AF70" s="221">
        <v>0.01</v>
      </c>
      <c r="AG70" s="218">
        <v>0.05</v>
      </c>
      <c r="AH70" s="221">
        <v>72</v>
      </c>
      <c r="AI70" s="218">
        <v>1830.4</v>
      </c>
      <c r="AJ70" s="218">
        <v>2430</v>
      </c>
      <c r="AK70" s="218">
        <v>1240.1199999999999</v>
      </c>
      <c r="AL70" s="218">
        <v>180.25</v>
      </c>
      <c r="AM70" s="218">
        <v>343.154</v>
      </c>
      <c r="AN70" s="218">
        <v>650.24</v>
      </c>
      <c r="AO70" s="218">
        <v>2844.8</v>
      </c>
      <c r="AP70" s="218">
        <v>0.7</v>
      </c>
      <c r="AQ70" s="218"/>
      <c r="AR70" s="218"/>
      <c r="AS70" s="218"/>
      <c r="AT70" s="218"/>
      <c r="AU70" s="218"/>
      <c r="AV70" s="220"/>
    </row>
    <row r="71" spans="1:48" ht="33.75" x14ac:dyDescent="0.2">
      <c r="A71" s="217">
        <f t="shared" si="6"/>
        <v>300</v>
      </c>
      <c r="B71" s="217">
        <f t="shared" si="7"/>
        <v>30</v>
      </c>
      <c r="C71" s="217" t="s">
        <v>341</v>
      </c>
      <c r="D71" s="221" t="s">
        <v>13</v>
      </c>
      <c r="E71" s="221" t="s">
        <v>1243</v>
      </c>
      <c r="F71" s="230" t="s">
        <v>166</v>
      </c>
      <c r="G71" s="221">
        <v>2004</v>
      </c>
      <c r="H71" s="221" t="s">
        <v>1239</v>
      </c>
      <c r="I71" s="221">
        <v>13400803</v>
      </c>
      <c r="J71" s="221">
        <v>14348101</v>
      </c>
      <c r="K71" s="223" t="s">
        <v>1244</v>
      </c>
      <c r="L71" s="218" t="s">
        <v>1239</v>
      </c>
      <c r="M71" s="221" t="s">
        <v>154</v>
      </c>
      <c r="N71" s="221" t="s">
        <v>2084</v>
      </c>
      <c r="O71" s="221" t="s">
        <v>1245</v>
      </c>
      <c r="P71" s="221" t="s">
        <v>1246</v>
      </c>
      <c r="Q71" s="221">
        <v>300</v>
      </c>
      <c r="R71" s="221">
        <v>159</v>
      </c>
      <c r="S71" s="221">
        <v>30</v>
      </c>
      <c r="T71" s="221" t="s">
        <v>1247</v>
      </c>
      <c r="U71" s="221">
        <v>35</v>
      </c>
      <c r="V71" s="221">
        <v>14.8</v>
      </c>
      <c r="W71" s="221">
        <v>10.47</v>
      </c>
      <c r="X71" s="221"/>
      <c r="Y71" s="221">
        <v>7.9640000000000004</v>
      </c>
      <c r="Z71" s="221"/>
      <c r="AA71" s="221">
        <v>6.93</v>
      </c>
      <c r="AB71" s="221">
        <v>1211.3</v>
      </c>
      <c r="AC71" s="221">
        <v>900</v>
      </c>
      <c r="AD71" s="221" t="s">
        <v>576</v>
      </c>
      <c r="AE71" s="221">
        <v>2.5000000000000001E-2</v>
      </c>
      <c r="AF71" s="221">
        <v>5.0000000000000001E-3</v>
      </c>
      <c r="AG71" s="218">
        <v>0.05</v>
      </c>
      <c r="AH71" s="221">
        <v>36</v>
      </c>
      <c r="AI71" s="218">
        <v>1674.7</v>
      </c>
      <c r="AJ71" s="218">
        <v>2147</v>
      </c>
      <c r="AK71" s="218">
        <v>1014</v>
      </c>
      <c r="AL71" s="218">
        <v>238</v>
      </c>
      <c r="AM71" s="218">
        <v>322</v>
      </c>
      <c r="AN71" s="218">
        <v>658</v>
      </c>
      <c r="AO71" s="218">
        <v>2908.3</v>
      </c>
      <c r="AP71" s="218">
        <v>0.71</v>
      </c>
      <c r="AQ71" s="218"/>
      <c r="AR71" s="218"/>
      <c r="AS71" s="218"/>
      <c r="AT71" s="218"/>
      <c r="AU71" s="218"/>
      <c r="AV71" s="220"/>
    </row>
    <row r="72" spans="1:48" ht="33.75" x14ac:dyDescent="0.2">
      <c r="A72" s="217">
        <f t="shared" si="6"/>
        <v>304.8</v>
      </c>
      <c r="B72" s="217">
        <f t="shared" si="7"/>
        <v>22</v>
      </c>
      <c r="C72" s="217" t="s">
        <v>1940</v>
      </c>
      <c r="D72" s="221" t="s">
        <v>149</v>
      </c>
      <c r="E72" s="230" t="s">
        <v>160</v>
      </c>
      <c r="F72" s="217" t="s">
        <v>151</v>
      </c>
      <c r="G72" s="217">
        <v>1997</v>
      </c>
      <c r="H72" s="217" t="s">
        <v>161</v>
      </c>
      <c r="I72" s="217">
        <v>13375503</v>
      </c>
      <c r="J72" s="217">
        <v>13375401</v>
      </c>
      <c r="K72" s="217" t="s">
        <v>162</v>
      </c>
      <c r="L72" s="218" t="s">
        <v>153</v>
      </c>
      <c r="M72" s="217" t="s">
        <v>154</v>
      </c>
      <c r="N72" s="221" t="s">
        <v>2083</v>
      </c>
      <c r="O72" s="221" t="s">
        <v>156</v>
      </c>
      <c r="P72" s="221" t="s">
        <v>157</v>
      </c>
      <c r="Q72" s="217">
        <v>304.8</v>
      </c>
      <c r="R72" s="217">
        <v>167</v>
      </c>
      <c r="S72" s="217">
        <v>22</v>
      </c>
      <c r="T72" s="217" t="s">
        <v>158</v>
      </c>
      <c r="U72" s="217">
        <v>23.25</v>
      </c>
      <c r="V72" s="217" t="s">
        <v>157</v>
      </c>
      <c r="W72" s="217">
        <v>12.58</v>
      </c>
      <c r="X72" s="217"/>
      <c r="Y72" s="217">
        <v>9.5399999999999991</v>
      </c>
      <c r="Z72" s="217"/>
      <c r="AA72" s="217">
        <v>8</v>
      </c>
      <c r="AB72" s="217" t="s">
        <v>157</v>
      </c>
      <c r="AC72" s="217">
        <v>966</v>
      </c>
      <c r="AD72" s="217" t="s">
        <v>159</v>
      </c>
      <c r="AE72" s="217">
        <v>0.08</v>
      </c>
      <c r="AF72" s="217">
        <v>1.3000000000000001E-2</v>
      </c>
      <c r="AG72" s="218">
        <v>0.13</v>
      </c>
      <c r="AH72" s="217">
        <v>220</v>
      </c>
      <c r="AI72" s="218"/>
      <c r="AJ72" s="218"/>
      <c r="AK72" s="218"/>
      <c r="AL72" s="218"/>
      <c r="AM72" s="218"/>
      <c r="AN72" s="218"/>
      <c r="AO72" s="218"/>
      <c r="AP72" s="218"/>
      <c r="AQ72" s="218" t="s">
        <v>157</v>
      </c>
      <c r="AR72" s="218" t="s">
        <v>157</v>
      </c>
      <c r="AS72" s="218"/>
      <c r="AT72" s="218" t="s">
        <v>157</v>
      </c>
      <c r="AU72" s="218" t="s">
        <v>157</v>
      </c>
      <c r="AV72" s="220"/>
    </row>
    <row r="73" spans="1:48" ht="33.75" x14ac:dyDescent="0.2">
      <c r="A73" s="217">
        <f t="shared" si="6"/>
        <v>304.8</v>
      </c>
      <c r="B73" s="217">
        <f t="shared" si="7"/>
        <v>26</v>
      </c>
      <c r="C73" s="217" t="s">
        <v>341</v>
      </c>
      <c r="D73" s="223" t="s">
        <v>149</v>
      </c>
      <c r="E73" s="223" t="s">
        <v>150</v>
      </c>
      <c r="F73" s="230" t="s">
        <v>151</v>
      </c>
      <c r="G73" s="223">
        <v>1996</v>
      </c>
      <c r="H73" s="223" t="s">
        <v>506</v>
      </c>
      <c r="I73" s="223">
        <v>12863803</v>
      </c>
      <c r="J73" s="223">
        <v>12863701</v>
      </c>
      <c r="K73" s="223">
        <v>6002218</v>
      </c>
      <c r="L73" s="222" t="s">
        <v>153</v>
      </c>
      <c r="M73" s="223" t="s">
        <v>154</v>
      </c>
      <c r="N73" s="223" t="s">
        <v>2082</v>
      </c>
      <c r="O73" s="223" t="s">
        <v>156</v>
      </c>
      <c r="P73" s="223" t="s">
        <v>157</v>
      </c>
      <c r="Q73" s="223">
        <v>304.8</v>
      </c>
      <c r="R73" s="223">
        <v>158</v>
      </c>
      <c r="S73" s="223">
        <v>26</v>
      </c>
      <c r="T73" s="223" t="s">
        <v>158</v>
      </c>
      <c r="U73" s="223">
        <v>25.25</v>
      </c>
      <c r="V73" s="223">
        <v>11.6</v>
      </c>
      <c r="W73" s="223">
        <v>9.43</v>
      </c>
      <c r="X73" s="221"/>
      <c r="Y73" s="221">
        <v>7.36</v>
      </c>
      <c r="Z73" s="221"/>
      <c r="AA73" s="221">
        <v>5.4</v>
      </c>
      <c r="AB73" s="221">
        <v>749</v>
      </c>
      <c r="AC73" s="221">
        <v>794.8</v>
      </c>
      <c r="AD73" s="221" t="s">
        <v>159</v>
      </c>
      <c r="AE73" s="221">
        <v>0.08</v>
      </c>
      <c r="AF73" s="221">
        <v>1.3000000000000001E-2</v>
      </c>
      <c r="AG73" s="218">
        <v>0.13</v>
      </c>
      <c r="AH73" s="221">
        <v>220</v>
      </c>
      <c r="AI73" s="218"/>
      <c r="AJ73" s="218">
        <v>5175</v>
      </c>
      <c r="AK73" s="218">
        <v>2025</v>
      </c>
      <c r="AL73" s="218">
        <v>112</v>
      </c>
      <c r="AM73" s="218">
        <v>218</v>
      </c>
      <c r="AN73" s="218">
        <v>1143</v>
      </c>
      <c r="AO73" s="218">
        <v>3302</v>
      </c>
      <c r="AP73" s="218"/>
      <c r="AQ73" s="218" t="s">
        <v>157</v>
      </c>
      <c r="AR73" s="218" t="s">
        <v>157</v>
      </c>
      <c r="AS73" s="218"/>
      <c r="AT73" s="218" t="s">
        <v>157</v>
      </c>
      <c r="AU73" s="218" t="s">
        <v>157</v>
      </c>
      <c r="AV73" s="220"/>
    </row>
    <row r="74" spans="1:48" ht="22.5" x14ac:dyDescent="0.2">
      <c r="A74" s="217">
        <f t="shared" si="6"/>
        <v>308</v>
      </c>
      <c r="B74" s="217">
        <f t="shared" si="7"/>
        <v>28</v>
      </c>
      <c r="C74" s="217" t="s">
        <v>341</v>
      </c>
      <c r="D74" s="357" t="s">
        <v>1646</v>
      </c>
      <c r="E74" s="221" t="s">
        <v>762</v>
      </c>
      <c r="F74" s="217" t="s">
        <v>21</v>
      </c>
      <c r="G74" s="217">
        <v>2003</v>
      </c>
      <c r="H74" s="217" t="s">
        <v>559</v>
      </c>
      <c r="I74" s="217">
        <v>13748503</v>
      </c>
      <c r="J74" s="230">
        <v>13748401</v>
      </c>
      <c r="K74" s="217" t="s">
        <v>763</v>
      </c>
      <c r="L74" s="218" t="s">
        <v>153</v>
      </c>
      <c r="M74" s="221" t="s">
        <v>154</v>
      </c>
      <c r="N74" s="221" t="s">
        <v>24</v>
      </c>
      <c r="O74" s="217" t="s">
        <v>577</v>
      </c>
      <c r="P74" s="221" t="s">
        <v>684</v>
      </c>
      <c r="Q74" s="217">
        <v>308</v>
      </c>
      <c r="R74" s="217">
        <v>185.5</v>
      </c>
      <c r="S74" s="217">
        <v>28</v>
      </c>
      <c r="T74" s="217" t="s">
        <v>760</v>
      </c>
      <c r="U74" s="217">
        <v>53.1</v>
      </c>
      <c r="V74" s="230">
        <v>12.6</v>
      </c>
      <c r="W74" s="217">
        <v>12.51</v>
      </c>
      <c r="X74" s="217"/>
      <c r="Y74" s="230">
        <v>9.5619999999999994</v>
      </c>
      <c r="Z74" s="217"/>
      <c r="AA74" s="217">
        <v>7.57</v>
      </c>
      <c r="AB74" s="217">
        <v>1056</v>
      </c>
      <c r="AC74" s="217">
        <v>888</v>
      </c>
      <c r="AD74" s="217" t="s">
        <v>159</v>
      </c>
      <c r="AE74" s="217">
        <v>2.5000000000000001E-2</v>
      </c>
      <c r="AF74" s="217">
        <v>0.01</v>
      </c>
      <c r="AG74" s="218">
        <v>0.1</v>
      </c>
      <c r="AH74" s="217">
        <v>54</v>
      </c>
      <c r="AI74" s="218">
        <v>2404</v>
      </c>
      <c r="AJ74" s="218">
        <v>2904</v>
      </c>
      <c r="AK74" s="218">
        <v>1362</v>
      </c>
      <c r="AL74" s="218">
        <v>193.2</v>
      </c>
      <c r="AM74" s="218">
        <v>360.6</v>
      </c>
      <c r="AN74" s="218">
        <v>635</v>
      </c>
      <c r="AO74" s="218">
        <v>2946</v>
      </c>
      <c r="AP74" s="218">
        <v>0.65</v>
      </c>
      <c r="AQ74" s="218"/>
      <c r="AR74" s="218">
        <v>457.99</v>
      </c>
      <c r="AS74" s="218"/>
      <c r="AT74" s="218" t="s">
        <v>764</v>
      </c>
      <c r="AU74" s="218" t="s">
        <v>765</v>
      </c>
      <c r="AV74" s="220"/>
    </row>
    <row r="75" spans="1:48" ht="22.5" x14ac:dyDescent="0.2">
      <c r="A75" s="217">
        <f t="shared" si="6"/>
        <v>308</v>
      </c>
      <c r="B75" s="217">
        <f t="shared" si="7"/>
        <v>30</v>
      </c>
      <c r="C75" s="217" t="s">
        <v>341</v>
      </c>
      <c r="D75" s="221" t="s">
        <v>2219</v>
      </c>
      <c r="E75" s="217" t="s">
        <v>2628</v>
      </c>
      <c r="F75" s="217" t="s">
        <v>675</v>
      </c>
      <c r="G75" s="221">
        <v>1997</v>
      </c>
      <c r="H75" s="217" t="s">
        <v>559</v>
      </c>
      <c r="I75" s="217">
        <v>13269700</v>
      </c>
      <c r="J75" s="217">
        <v>12892101</v>
      </c>
      <c r="K75" s="393" t="s">
        <v>3198</v>
      </c>
      <c r="L75" s="218" t="s">
        <v>153</v>
      </c>
      <c r="M75" s="221" t="s">
        <v>154</v>
      </c>
      <c r="N75" s="221" t="s">
        <v>155</v>
      </c>
      <c r="O75" s="221" t="s">
        <v>577</v>
      </c>
      <c r="P75" s="221" t="s">
        <v>1038</v>
      </c>
      <c r="Q75" s="217">
        <v>308</v>
      </c>
      <c r="R75" s="217">
        <v>201</v>
      </c>
      <c r="S75" s="217">
        <v>30</v>
      </c>
      <c r="T75" s="217" t="s">
        <v>1187</v>
      </c>
      <c r="U75" s="217">
        <v>39</v>
      </c>
      <c r="V75" s="217">
        <v>14</v>
      </c>
      <c r="W75" s="217">
        <v>11.14</v>
      </c>
      <c r="X75" s="217"/>
      <c r="Y75" s="230">
        <v>7.52</v>
      </c>
      <c r="Z75" s="217"/>
      <c r="AA75" s="217">
        <v>6.03</v>
      </c>
      <c r="AB75" s="217">
        <v>959</v>
      </c>
      <c r="AC75" s="217">
        <v>792</v>
      </c>
      <c r="AD75" s="217" t="s">
        <v>159</v>
      </c>
      <c r="AE75" s="217">
        <v>2.5000000000000001E-2</v>
      </c>
      <c r="AF75" s="217">
        <v>9.0000000000000011E-3</v>
      </c>
      <c r="AG75" s="218">
        <v>0.25</v>
      </c>
      <c r="AH75" s="217">
        <v>54</v>
      </c>
      <c r="AI75" s="218">
        <v>2222</v>
      </c>
      <c r="AJ75" s="218">
        <v>3492</v>
      </c>
      <c r="AK75" s="218">
        <v>1619</v>
      </c>
      <c r="AL75" s="218"/>
      <c r="AM75" s="218">
        <v>373.4</v>
      </c>
      <c r="AN75" s="218">
        <v>736.6</v>
      </c>
      <c r="AO75" s="218">
        <v>3531</v>
      </c>
      <c r="AP75" s="218"/>
      <c r="AQ75" s="218"/>
      <c r="AR75" s="218"/>
      <c r="AS75" s="218"/>
      <c r="AT75" s="218"/>
      <c r="AU75" s="218"/>
      <c r="AV75" s="220"/>
    </row>
    <row r="76" spans="1:48" ht="22.5" x14ac:dyDescent="0.2">
      <c r="A76" s="217">
        <f t="shared" si="6"/>
        <v>308</v>
      </c>
      <c r="B76" s="217">
        <f t="shared" si="7"/>
        <v>30</v>
      </c>
      <c r="C76" s="217" t="s">
        <v>341</v>
      </c>
      <c r="D76" s="221" t="s">
        <v>2219</v>
      </c>
      <c r="E76" s="217" t="s">
        <v>1044</v>
      </c>
      <c r="F76" s="217" t="s">
        <v>675</v>
      </c>
      <c r="G76" s="221">
        <v>1997</v>
      </c>
      <c r="H76" s="217" t="s">
        <v>559</v>
      </c>
      <c r="I76" s="217">
        <v>13622901</v>
      </c>
      <c r="J76" s="217">
        <v>12892101</v>
      </c>
      <c r="K76" s="393" t="s">
        <v>3199</v>
      </c>
      <c r="L76" s="218" t="s">
        <v>153</v>
      </c>
      <c r="M76" s="221" t="s">
        <v>154</v>
      </c>
      <c r="N76" s="221" t="s">
        <v>155</v>
      </c>
      <c r="O76" s="223" t="s">
        <v>577</v>
      </c>
      <c r="P76" s="221" t="s">
        <v>157</v>
      </c>
      <c r="Q76" s="217">
        <v>308</v>
      </c>
      <c r="R76" s="217">
        <v>201</v>
      </c>
      <c r="S76" s="217">
        <v>30</v>
      </c>
      <c r="T76" s="217" t="s">
        <v>1041</v>
      </c>
      <c r="U76" s="217">
        <v>10.1</v>
      </c>
      <c r="V76" s="217">
        <v>14</v>
      </c>
      <c r="W76" s="217">
        <v>11.14</v>
      </c>
      <c r="X76" s="217"/>
      <c r="Y76" s="217">
        <v>13.92</v>
      </c>
      <c r="Z76" s="217"/>
      <c r="AA76" s="217">
        <v>6.03</v>
      </c>
      <c r="AB76" s="217">
        <v>869</v>
      </c>
      <c r="AC76" s="217">
        <v>792</v>
      </c>
      <c r="AD76" s="217" t="s">
        <v>159</v>
      </c>
      <c r="AE76" s="217">
        <v>2.5000000000000001E-2</v>
      </c>
      <c r="AF76" s="217">
        <v>8.9999999999999993E-3</v>
      </c>
      <c r="AG76" s="218">
        <v>0.25</v>
      </c>
      <c r="AH76" s="217">
        <v>54</v>
      </c>
      <c r="AI76" s="218">
        <v>2404</v>
      </c>
      <c r="AJ76" s="218">
        <v>3265</v>
      </c>
      <c r="AK76" s="218">
        <v>1486</v>
      </c>
      <c r="AL76" s="218">
        <v>161</v>
      </c>
      <c r="AM76" s="218">
        <v>373.4</v>
      </c>
      <c r="AN76" s="218">
        <v>818</v>
      </c>
      <c r="AO76" s="218">
        <v>3023</v>
      </c>
      <c r="AP76" s="218"/>
      <c r="AQ76" s="218"/>
      <c r="AR76" s="218"/>
      <c r="AS76" s="218"/>
      <c r="AT76" s="218"/>
      <c r="AU76" s="218"/>
      <c r="AV76" s="220"/>
    </row>
    <row r="77" spans="1:48" ht="22.5" x14ac:dyDescent="0.2">
      <c r="A77" s="217">
        <f t="shared" si="6"/>
        <v>308</v>
      </c>
      <c r="B77" s="217">
        <f t="shared" si="7"/>
        <v>30</v>
      </c>
      <c r="C77" s="217" t="s">
        <v>341</v>
      </c>
      <c r="D77" s="221" t="s">
        <v>2219</v>
      </c>
      <c r="E77" s="217" t="s">
        <v>1999</v>
      </c>
      <c r="F77" s="218"/>
      <c r="G77" s="221">
        <v>1997</v>
      </c>
      <c r="H77" s="221" t="s">
        <v>559</v>
      </c>
      <c r="I77" s="217">
        <v>12908002</v>
      </c>
      <c r="J77" s="230">
        <v>12892101</v>
      </c>
      <c r="K77" s="340" t="s">
        <v>3201</v>
      </c>
      <c r="L77" s="218"/>
      <c r="M77" s="223" t="s">
        <v>154</v>
      </c>
      <c r="N77" s="221" t="s">
        <v>155</v>
      </c>
      <c r="O77" s="217" t="s">
        <v>577</v>
      </c>
      <c r="P77" s="223" t="s">
        <v>2617</v>
      </c>
      <c r="Q77" s="217">
        <v>308</v>
      </c>
      <c r="R77" s="218">
        <v>201</v>
      </c>
      <c r="S77" s="217">
        <v>30</v>
      </c>
      <c r="T77" s="217" t="s">
        <v>1041</v>
      </c>
      <c r="U77" s="217">
        <v>39</v>
      </c>
      <c r="V77" s="222">
        <v>14</v>
      </c>
      <c r="W77" s="230">
        <v>11.14</v>
      </c>
      <c r="X77" s="230">
        <v>15.465999999999999</v>
      </c>
      <c r="Y77" s="230">
        <v>7.52</v>
      </c>
      <c r="Z77" s="230">
        <v>11.76</v>
      </c>
      <c r="AA77" s="218"/>
      <c r="AB77" s="218"/>
      <c r="AC77" s="218"/>
      <c r="AD77" s="217" t="s">
        <v>576</v>
      </c>
      <c r="AE77" s="230">
        <v>0.1</v>
      </c>
      <c r="AF77" s="217">
        <v>1.2E-2</v>
      </c>
      <c r="AG77" s="230">
        <v>0.25</v>
      </c>
      <c r="AH77" s="218">
        <v>54</v>
      </c>
      <c r="AI77" s="218"/>
      <c r="AJ77" s="218"/>
      <c r="AK77" s="218"/>
      <c r="AL77" s="218"/>
      <c r="AM77" s="218"/>
      <c r="AN77" s="218"/>
      <c r="AO77" s="218"/>
      <c r="AP77" s="218"/>
      <c r="AQ77" s="218"/>
      <c r="AR77" s="218"/>
      <c r="AS77" s="218"/>
      <c r="AT77" s="218"/>
      <c r="AU77" s="218"/>
      <c r="AV77" s="220"/>
    </row>
    <row r="78" spans="1:48" ht="22.5" x14ac:dyDescent="0.2">
      <c r="A78" s="217">
        <f t="shared" si="6"/>
        <v>308</v>
      </c>
      <c r="B78" s="217">
        <f t="shared" si="7"/>
        <v>30</v>
      </c>
      <c r="C78" s="217" t="s">
        <v>341</v>
      </c>
      <c r="D78" s="221" t="s">
        <v>2219</v>
      </c>
      <c r="E78" s="217" t="s">
        <v>2004</v>
      </c>
      <c r="F78" s="218"/>
      <c r="G78" s="218"/>
      <c r="H78" s="221" t="s">
        <v>559</v>
      </c>
      <c r="I78" s="217">
        <v>12892201</v>
      </c>
      <c r="J78" s="230">
        <v>12892101</v>
      </c>
      <c r="K78" s="340" t="s">
        <v>3202</v>
      </c>
      <c r="L78" s="218"/>
      <c r="M78" s="223" t="s">
        <v>154</v>
      </c>
      <c r="N78" s="221" t="s">
        <v>155</v>
      </c>
      <c r="O78" s="217" t="s">
        <v>577</v>
      </c>
      <c r="P78" s="222" t="s">
        <v>2617</v>
      </c>
      <c r="Q78" s="217">
        <v>308</v>
      </c>
      <c r="R78" s="218">
        <v>201</v>
      </c>
      <c r="S78" s="217">
        <v>30</v>
      </c>
      <c r="T78" s="217" t="s">
        <v>1187</v>
      </c>
      <c r="U78" s="217">
        <v>39</v>
      </c>
      <c r="V78" s="222">
        <v>14</v>
      </c>
      <c r="W78" s="217">
        <v>11.14</v>
      </c>
      <c r="X78" s="217"/>
      <c r="Y78" s="230">
        <v>7.52</v>
      </c>
      <c r="Z78" s="217"/>
      <c r="AA78" s="218"/>
      <c r="AB78" s="218"/>
      <c r="AC78" s="218"/>
      <c r="AD78" s="217" t="s">
        <v>576</v>
      </c>
      <c r="AE78" s="217">
        <v>0.05</v>
      </c>
      <c r="AF78" s="217">
        <v>1.2E-2</v>
      </c>
      <c r="AG78" s="230">
        <v>0.25</v>
      </c>
      <c r="AH78" s="218">
        <v>54</v>
      </c>
      <c r="AI78" s="218"/>
      <c r="AJ78" s="218"/>
      <c r="AK78" s="218"/>
      <c r="AL78" s="218"/>
      <c r="AM78" s="218"/>
      <c r="AN78" s="218"/>
      <c r="AO78" s="218"/>
      <c r="AP78" s="218"/>
      <c r="AQ78" s="218"/>
      <c r="AR78" s="218"/>
      <c r="AS78" s="218"/>
      <c r="AT78" s="218"/>
      <c r="AU78" s="218"/>
      <c r="AV78" s="244"/>
    </row>
    <row r="79" spans="1:48" ht="22.5" x14ac:dyDescent="0.2">
      <c r="A79" s="217">
        <f t="shared" si="6"/>
        <v>316</v>
      </c>
      <c r="B79" s="217">
        <f t="shared" si="7"/>
        <v>28</v>
      </c>
      <c r="C79" s="217" t="s">
        <v>341</v>
      </c>
      <c r="D79" s="221" t="s">
        <v>766</v>
      </c>
      <c r="E79" s="221" t="s">
        <v>600</v>
      </c>
      <c r="F79" s="217" t="s">
        <v>601</v>
      </c>
      <c r="G79" s="221">
        <v>1990</v>
      </c>
      <c r="H79" s="221" t="s">
        <v>1617</v>
      </c>
      <c r="I79" s="357" t="s">
        <v>2524</v>
      </c>
      <c r="J79" s="223">
        <v>13903501</v>
      </c>
      <c r="K79" s="221" t="s">
        <v>2525</v>
      </c>
      <c r="L79" s="218"/>
      <c r="M79" s="221" t="s">
        <v>2526</v>
      </c>
      <c r="N79" s="221" t="s">
        <v>155</v>
      </c>
      <c r="O79" s="221" t="s">
        <v>2527</v>
      </c>
      <c r="P79" s="221" t="s">
        <v>686</v>
      </c>
      <c r="Q79" s="221">
        <v>316</v>
      </c>
      <c r="R79" s="221">
        <v>179.8</v>
      </c>
      <c r="S79" s="221">
        <v>28</v>
      </c>
      <c r="T79" s="221" t="s">
        <v>581</v>
      </c>
      <c r="U79" s="221">
        <v>57.5</v>
      </c>
      <c r="V79" s="221">
        <v>9</v>
      </c>
      <c r="W79" s="223">
        <v>10.127000000000001</v>
      </c>
      <c r="X79" s="221"/>
      <c r="Y79" s="221">
        <v>10.3</v>
      </c>
      <c r="Z79" s="221"/>
      <c r="AA79" s="221">
        <v>8.43</v>
      </c>
      <c r="AB79" s="221">
        <v>1125.17</v>
      </c>
      <c r="AC79" s="221">
        <v>987.48</v>
      </c>
      <c r="AD79" s="221" t="s">
        <v>159</v>
      </c>
      <c r="AE79" s="221">
        <v>3.5000000000000003E-2</v>
      </c>
      <c r="AF79" s="221">
        <v>6.0000000000000001E-3</v>
      </c>
      <c r="AG79" s="218">
        <v>0.05</v>
      </c>
      <c r="AH79" s="221">
        <v>36</v>
      </c>
      <c r="AI79" s="218">
        <v>1843.9</v>
      </c>
      <c r="AJ79" s="218"/>
      <c r="AK79" s="218"/>
      <c r="AL79" s="218"/>
      <c r="AM79" s="218"/>
      <c r="AN79" s="218"/>
      <c r="AO79" s="218">
        <v>2982</v>
      </c>
      <c r="AP79" s="218"/>
      <c r="AQ79" s="218"/>
      <c r="AR79" s="218"/>
      <c r="AS79" s="218"/>
      <c r="AT79" s="218"/>
      <c r="AU79" s="218"/>
      <c r="AV79" s="220"/>
    </row>
    <row r="80" spans="1:48" ht="33.75" x14ac:dyDescent="0.2">
      <c r="A80" s="217">
        <f t="shared" si="6"/>
        <v>320</v>
      </c>
      <c r="B80" s="217">
        <f t="shared" si="7"/>
        <v>30</v>
      </c>
      <c r="C80" s="217" t="s">
        <v>341</v>
      </c>
      <c r="D80" s="221" t="s">
        <v>1179</v>
      </c>
      <c r="E80" s="221" t="s">
        <v>1180</v>
      </c>
      <c r="F80" s="217" t="s">
        <v>166</v>
      </c>
      <c r="G80" s="221">
        <v>2002</v>
      </c>
      <c r="H80" s="221" t="s">
        <v>1617</v>
      </c>
      <c r="I80" s="221">
        <v>13894903</v>
      </c>
      <c r="J80" s="357" t="s">
        <v>157</v>
      </c>
      <c r="K80" s="221" t="s">
        <v>1181</v>
      </c>
      <c r="L80" s="218" t="s">
        <v>1617</v>
      </c>
      <c r="M80" s="221" t="s">
        <v>154</v>
      </c>
      <c r="N80" s="221" t="s">
        <v>2084</v>
      </c>
      <c r="O80" s="221" t="s">
        <v>1245</v>
      </c>
      <c r="P80" s="221" t="s">
        <v>1246</v>
      </c>
      <c r="Q80" s="217">
        <v>320</v>
      </c>
      <c r="R80" s="221">
        <v>168</v>
      </c>
      <c r="S80" s="221">
        <v>30</v>
      </c>
      <c r="T80" s="221" t="s">
        <v>1182</v>
      </c>
      <c r="U80" s="221">
        <v>35</v>
      </c>
      <c r="V80" s="221">
        <v>14.8</v>
      </c>
      <c r="W80" s="221">
        <v>11.54</v>
      </c>
      <c r="X80" s="221"/>
      <c r="Y80" s="221">
        <v>8.6</v>
      </c>
      <c r="Z80" s="221"/>
      <c r="AA80" s="221">
        <v>7.83</v>
      </c>
      <c r="AB80" s="221">
        <v>1368.5</v>
      </c>
      <c r="AC80" s="221">
        <v>902</v>
      </c>
      <c r="AD80" s="217" t="s">
        <v>576</v>
      </c>
      <c r="AE80" s="221">
        <v>2.5000000000000001E-2</v>
      </c>
      <c r="AF80" s="221">
        <v>5.0000000000000001E-3</v>
      </c>
      <c r="AG80" s="218">
        <v>0.05</v>
      </c>
      <c r="AH80" s="221">
        <v>36</v>
      </c>
      <c r="AI80" s="218">
        <v>1728</v>
      </c>
      <c r="AJ80" s="218">
        <v>2147</v>
      </c>
      <c r="AK80" s="218">
        <v>1011</v>
      </c>
      <c r="AL80" s="218">
        <v>238</v>
      </c>
      <c r="AM80" s="218">
        <v>322</v>
      </c>
      <c r="AN80" s="218">
        <v>658</v>
      </c>
      <c r="AO80" s="218">
        <v>3034</v>
      </c>
      <c r="AP80" s="218">
        <v>0.75</v>
      </c>
      <c r="AQ80" s="218"/>
      <c r="AR80" s="218"/>
      <c r="AS80" s="218"/>
      <c r="AT80" s="218"/>
      <c r="AU80" s="218"/>
      <c r="AV80" s="220"/>
    </row>
    <row r="81" spans="1:48" ht="45" x14ac:dyDescent="0.2">
      <c r="A81" s="217">
        <f t="shared" ref="A81:A87" si="8">Q81</f>
        <v>325</v>
      </c>
      <c r="B81" s="217">
        <f t="shared" ref="B81:B87" si="9">S81</f>
        <v>32</v>
      </c>
      <c r="C81" s="217" t="s">
        <v>341</v>
      </c>
      <c r="D81" s="221" t="s">
        <v>638</v>
      </c>
      <c r="E81" s="221" t="s">
        <v>2066</v>
      </c>
      <c r="F81" s="217" t="s">
        <v>151</v>
      </c>
      <c r="G81" s="221">
        <v>1997</v>
      </c>
      <c r="H81" s="221" t="s">
        <v>1617</v>
      </c>
      <c r="I81" s="221" t="s">
        <v>2099</v>
      </c>
      <c r="J81" s="221" t="s">
        <v>2100</v>
      </c>
      <c r="K81" s="221" t="s">
        <v>2101</v>
      </c>
      <c r="L81" s="218" t="s">
        <v>1617</v>
      </c>
      <c r="M81" s="221" t="s">
        <v>154</v>
      </c>
      <c r="N81" s="221" t="s">
        <v>155</v>
      </c>
      <c r="O81" s="221" t="s">
        <v>577</v>
      </c>
      <c r="P81" s="221" t="s">
        <v>578</v>
      </c>
      <c r="Q81" s="221">
        <v>325</v>
      </c>
      <c r="R81" s="221">
        <v>217</v>
      </c>
      <c r="S81" s="221">
        <v>32</v>
      </c>
      <c r="T81" s="221" t="s">
        <v>2102</v>
      </c>
      <c r="U81" s="221">
        <v>37.799999999999997</v>
      </c>
      <c r="V81" s="221">
        <v>17.25</v>
      </c>
      <c r="W81" s="221">
        <v>11</v>
      </c>
      <c r="X81" s="221"/>
      <c r="Y81" s="221">
        <v>8.07</v>
      </c>
      <c r="Z81" s="221"/>
      <c r="AA81" s="221">
        <v>7.2</v>
      </c>
      <c r="AB81" s="221">
        <v>1281</v>
      </c>
      <c r="AC81" s="221">
        <v>920</v>
      </c>
      <c r="AD81" s="217" t="s">
        <v>576</v>
      </c>
      <c r="AE81" s="221">
        <v>3.5000000000000003E-2</v>
      </c>
      <c r="AF81" s="221">
        <v>9.0000000000000011E-3</v>
      </c>
      <c r="AG81" s="218">
        <v>0.08</v>
      </c>
      <c r="AH81" s="221">
        <v>36</v>
      </c>
      <c r="AI81" s="218">
        <v>1525</v>
      </c>
      <c r="AJ81" s="218">
        <v>1702</v>
      </c>
      <c r="AK81" s="218">
        <v>872.3</v>
      </c>
      <c r="AL81" s="218">
        <v>275</v>
      </c>
      <c r="AM81" s="218">
        <v>326.2</v>
      </c>
      <c r="AN81" s="218">
        <v>483</v>
      </c>
      <c r="AO81" s="218">
        <v>2654.3</v>
      </c>
      <c r="AP81" s="218">
        <v>0.63</v>
      </c>
      <c r="AQ81" s="218"/>
      <c r="AR81" s="218"/>
      <c r="AS81" s="218"/>
      <c r="AT81" s="218"/>
      <c r="AU81" s="218"/>
      <c r="AV81" s="220"/>
    </row>
    <row r="82" spans="1:48" ht="45" x14ac:dyDescent="0.2">
      <c r="A82" s="217">
        <f t="shared" si="8"/>
        <v>330</v>
      </c>
      <c r="B82" s="217">
        <f t="shared" si="9"/>
        <v>28</v>
      </c>
      <c r="C82" s="217" t="s">
        <v>341</v>
      </c>
      <c r="D82" s="221" t="s">
        <v>766</v>
      </c>
      <c r="E82" s="221" t="s">
        <v>767</v>
      </c>
      <c r="F82" s="218"/>
      <c r="G82" s="221">
        <v>1996</v>
      </c>
      <c r="H82" s="221" t="s">
        <v>768</v>
      </c>
      <c r="I82" s="221" t="s">
        <v>2305</v>
      </c>
      <c r="J82" s="223" t="s">
        <v>2306</v>
      </c>
      <c r="K82" s="221" t="s">
        <v>2307</v>
      </c>
      <c r="L82" s="218"/>
      <c r="M82" s="221"/>
      <c r="N82" s="221" t="s">
        <v>155</v>
      </c>
      <c r="O82" s="221" t="s">
        <v>577</v>
      </c>
      <c r="P82" s="221"/>
      <c r="Q82" s="221">
        <v>330</v>
      </c>
      <c r="R82" s="221">
        <v>217</v>
      </c>
      <c r="S82" s="221">
        <v>28</v>
      </c>
      <c r="T82" s="221" t="s">
        <v>2308</v>
      </c>
      <c r="U82" s="221">
        <v>36.700000000000003</v>
      </c>
      <c r="V82" s="223">
        <v>14.4</v>
      </c>
      <c r="W82" s="221">
        <v>12.65</v>
      </c>
      <c r="X82" s="221"/>
      <c r="Y82" s="223">
        <v>8.6999999999999993</v>
      </c>
      <c r="Z82" s="221"/>
      <c r="AA82" s="221"/>
      <c r="AB82" s="221"/>
      <c r="AC82" s="221"/>
      <c r="AD82" s="221" t="s">
        <v>159</v>
      </c>
      <c r="AE82" s="221">
        <v>3.5000000000000003E-2</v>
      </c>
      <c r="AF82" s="221">
        <v>0.01</v>
      </c>
      <c r="AG82" s="222">
        <v>0.1</v>
      </c>
      <c r="AH82" s="223">
        <v>54</v>
      </c>
      <c r="AI82" s="218"/>
      <c r="AJ82" s="218"/>
      <c r="AK82" s="218"/>
      <c r="AL82" s="218"/>
      <c r="AM82" s="218"/>
      <c r="AN82" s="218"/>
      <c r="AO82" s="218"/>
      <c r="AP82" s="218"/>
      <c r="AQ82" s="218"/>
      <c r="AR82" s="218"/>
      <c r="AS82" s="218"/>
      <c r="AT82" s="218"/>
      <c r="AU82" s="218"/>
      <c r="AV82" s="220"/>
    </row>
    <row r="83" spans="1:48" ht="22.5" x14ac:dyDescent="0.2">
      <c r="A83" s="217">
        <f t="shared" si="8"/>
        <v>330.5</v>
      </c>
      <c r="B83" s="217">
        <f t="shared" si="9"/>
        <v>31.9</v>
      </c>
      <c r="C83" s="217" t="s">
        <v>341</v>
      </c>
      <c r="D83" s="357" t="s">
        <v>1646</v>
      </c>
      <c r="E83" s="221" t="s">
        <v>758</v>
      </c>
      <c r="F83" s="217" t="s">
        <v>151</v>
      </c>
      <c r="G83" s="221">
        <v>1991</v>
      </c>
      <c r="H83" s="221" t="s">
        <v>759</v>
      </c>
      <c r="I83" s="221">
        <v>12561402</v>
      </c>
      <c r="J83" s="221">
        <v>12561301</v>
      </c>
      <c r="K83" s="221">
        <v>4642122</v>
      </c>
      <c r="L83" s="218"/>
      <c r="M83" s="221" t="s">
        <v>154</v>
      </c>
      <c r="N83" s="221" t="s">
        <v>155</v>
      </c>
      <c r="O83" s="221" t="s">
        <v>563</v>
      </c>
      <c r="P83" s="221" t="s">
        <v>571</v>
      </c>
      <c r="Q83" s="217">
        <v>330.5</v>
      </c>
      <c r="R83" s="221">
        <v>216</v>
      </c>
      <c r="S83" s="221">
        <v>31.9</v>
      </c>
      <c r="T83" s="221" t="s">
        <v>760</v>
      </c>
      <c r="U83" s="221">
        <v>54.14</v>
      </c>
      <c r="V83" s="221">
        <v>16</v>
      </c>
      <c r="W83" s="221">
        <v>13.99</v>
      </c>
      <c r="X83" s="221"/>
      <c r="Y83" s="223">
        <v>10.44</v>
      </c>
      <c r="Z83" s="221"/>
      <c r="AA83" s="221">
        <v>8</v>
      </c>
      <c r="AB83" s="221">
        <v>1557</v>
      </c>
      <c r="AC83" s="221">
        <v>976</v>
      </c>
      <c r="AD83" s="217" t="s">
        <v>576</v>
      </c>
      <c r="AE83" s="221">
        <v>0.04</v>
      </c>
      <c r="AF83" s="221">
        <v>1.2999999999999999E-2</v>
      </c>
      <c r="AG83" s="218">
        <v>0.13</v>
      </c>
      <c r="AH83" s="221">
        <v>108</v>
      </c>
      <c r="AI83" s="218">
        <v>1576.7</v>
      </c>
      <c r="AJ83" s="218">
        <v>1735</v>
      </c>
      <c r="AK83" s="218">
        <v>814</v>
      </c>
      <c r="AL83" s="218">
        <v>296</v>
      </c>
      <c r="AM83" s="218">
        <v>305</v>
      </c>
      <c r="AN83" s="218">
        <v>442</v>
      </c>
      <c r="AO83" s="218">
        <v>2443.5</v>
      </c>
      <c r="AP83" s="218"/>
      <c r="AQ83" s="218"/>
      <c r="AR83" s="218"/>
      <c r="AS83" s="218"/>
      <c r="AT83" s="218">
        <v>645</v>
      </c>
      <c r="AU83" s="218" t="s">
        <v>761</v>
      </c>
      <c r="AV83" s="220"/>
    </row>
    <row r="84" spans="1:48" ht="22.5" x14ac:dyDescent="0.2">
      <c r="A84" s="217">
        <f t="shared" si="8"/>
        <v>331</v>
      </c>
      <c r="B84" s="217">
        <f t="shared" si="9"/>
        <v>38</v>
      </c>
      <c r="C84" s="217" t="s">
        <v>341</v>
      </c>
      <c r="D84" s="221" t="s">
        <v>2219</v>
      </c>
      <c r="E84" s="340" t="s">
        <v>3211</v>
      </c>
      <c r="F84" s="222" t="s">
        <v>1615</v>
      </c>
      <c r="G84" s="221">
        <v>1998</v>
      </c>
      <c r="H84" s="217" t="s">
        <v>1239</v>
      </c>
      <c r="I84" s="217">
        <v>13076102</v>
      </c>
      <c r="J84" s="217">
        <v>13076001</v>
      </c>
      <c r="K84" s="217" t="s">
        <v>1944</v>
      </c>
      <c r="L84" s="218" t="s">
        <v>1617</v>
      </c>
      <c r="M84" s="221" t="s">
        <v>154</v>
      </c>
      <c r="N84" s="221" t="s">
        <v>155</v>
      </c>
      <c r="O84" s="217" t="s">
        <v>577</v>
      </c>
      <c r="P84" s="221" t="s">
        <v>684</v>
      </c>
      <c r="Q84" s="217">
        <v>331</v>
      </c>
      <c r="R84" s="217">
        <v>230</v>
      </c>
      <c r="S84" s="217">
        <v>38</v>
      </c>
      <c r="T84" s="217" t="s">
        <v>1618</v>
      </c>
      <c r="U84" s="217">
        <v>86.5</v>
      </c>
      <c r="V84" s="249">
        <v>16.600000000000001</v>
      </c>
      <c r="W84" s="217">
        <v>16.84</v>
      </c>
      <c r="X84" s="230">
        <v>17.010000000000002</v>
      </c>
      <c r="Y84" s="230">
        <v>12.44</v>
      </c>
      <c r="Z84" s="230">
        <v>12.3</v>
      </c>
      <c r="AA84" s="249">
        <v>8.44</v>
      </c>
      <c r="AB84" s="249">
        <v>1334.8</v>
      </c>
      <c r="AC84" s="249">
        <v>890</v>
      </c>
      <c r="AD84" s="249" t="s">
        <v>159</v>
      </c>
      <c r="AE84" s="249">
        <v>0.04</v>
      </c>
      <c r="AF84" s="249">
        <v>0.01</v>
      </c>
      <c r="AG84" s="250">
        <v>5.0999999999999997E-2</v>
      </c>
      <c r="AH84" s="249">
        <v>144</v>
      </c>
      <c r="AI84" s="218">
        <v>3240</v>
      </c>
      <c r="AJ84" s="218">
        <v>6525</v>
      </c>
      <c r="AK84" s="218">
        <v>2115</v>
      </c>
      <c r="AL84" s="218">
        <v>161</v>
      </c>
      <c r="AM84" s="218">
        <v>376</v>
      </c>
      <c r="AN84" s="218">
        <v>813</v>
      </c>
      <c r="AO84" s="218">
        <v>4191</v>
      </c>
      <c r="AP84" s="218">
        <v>0.61</v>
      </c>
      <c r="AQ84" s="218"/>
      <c r="AR84" s="218"/>
      <c r="AS84" s="218"/>
      <c r="AT84" s="218"/>
      <c r="AU84" s="218"/>
      <c r="AV84" s="244"/>
    </row>
    <row r="85" spans="1:48" ht="22.5" x14ac:dyDescent="0.2">
      <c r="A85" s="217">
        <f t="shared" si="8"/>
        <v>331</v>
      </c>
      <c r="B85" s="217">
        <f t="shared" si="9"/>
        <v>38</v>
      </c>
      <c r="C85" s="217" t="s">
        <v>341</v>
      </c>
      <c r="D85" s="221" t="s">
        <v>2219</v>
      </c>
      <c r="E85" s="340" t="s">
        <v>3213</v>
      </c>
      <c r="F85" s="222" t="s">
        <v>1615</v>
      </c>
      <c r="G85" s="221">
        <v>1998</v>
      </c>
      <c r="H85" s="217" t="s">
        <v>681</v>
      </c>
      <c r="I85" s="217">
        <v>13590405</v>
      </c>
      <c r="J85" s="217">
        <v>13590301</v>
      </c>
      <c r="K85" s="340" t="s">
        <v>3203</v>
      </c>
      <c r="L85" s="218" t="s">
        <v>153</v>
      </c>
      <c r="M85" s="221" t="s">
        <v>154</v>
      </c>
      <c r="N85" s="221" t="s">
        <v>155</v>
      </c>
      <c r="O85" s="217" t="s">
        <v>577</v>
      </c>
      <c r="P85" s="221" t="s">
        <v>684</v>
      </c>
      <c r="Q85" s="217">
        <v>331</v>
      </c>
      <c r="R85" s="217">
        <v>230</v>
      </c>
      <c r="S85" s="217">
        <v>38</v>
      </c>
      <c r="T85" s="217" t="s">
        <v>1618</v>
      </c>
      <c r="U85" s="217">
        <v>89.5</v>
      </c>
      <c r="V85" s="217">
        <v>16.600000000000001</v>
      </c>
      <c r="W85" s="230">
        <v>16.032</v>
      </c>
      <c r="X85" s="217"/>
      <c r="Y85" s="230">
        <v>12.672000000000001</v>
      </c>
      <c r="Z85" s="217"/>
      <c r="AA85" s="217">
        <v>8.5399999999999991</v>
      </c>
      <c r="AB85" s="217">
        <v>1348.3</v>
      </c>
      <c r="AC85" s="217">
        <v>890</v>
      </c>
      <c r="AD85" s="217" t="s">
        <v>159</v>
      </c>
      <c r="AE85" s="217">
        <v>2.5000000000000001E-2</v>
      </c>
      <c r="AF85" s="217">
        <v>0.01</v>
      </c>
      <c r="AG85" s="218">
        <v>0.13</v>
      </c>
      <c r="AH85" s="217">
        <v>144</v>
      </c>
      <c r="AI85" s="218">
        <v>3353.92</v>
      </c>
      <c r="AJ85" s="218">
        <v>5080.32</v>
      </c>
      <c r="AK85" s="218">
        <v>2358.6999999999998</v>
      </c>
      <c r="AL85" s="218">
        <v>154.5</v>
      </c>
      <c r="AM85" s="218">
        <v>375.92</v>
      </c>
      <c r="AN85" s="218">
        <v>787.4</v>
      </c>
      <c r="AO85" s="218" t="s">
        <v>637</v>
      </c>
      <c r="AP85" s="218">
        <v>0.60099999999999998</v>
      </c>
      <c r="AQ85" s="218"/>
      <c r="AR85" s="218"/>
      <c r="AS85" s="218"/>
      <c r="AT85" s="218"/>
      <c r="AU85" s="218"/>
      <c r="AV85" s="241"/>
    </row>
    <row r="86" spans="1:48" ht="33.75" x14ac:dyDescent="0.2">
      <c r="A86" s="217">
        <f t="shared" si="8"/>
        <v>336</v>
      </c>
      <c r="B86" s="217">
        <f t="shared" si="9"/>
        <v>28</v>
      </c>
      <c r="C86" s="217" t="s">
        <v>341</v>
      </c>
      <c r="D86" s="357" t="s">
        <v>1646</v>
      </c>
      <c r="E86" s="221" t="s">
        <v>2781</v>
      </c>
      <c r="F86" s="217" t="s">
        <v>21</v>
      </c>
      <c r="G86" s="221">
        <v>2005</v>
      </c>
      <c r="H86" s="221" t="s">
        <v>559</v>
      </c>
      <c r="I86" s="221">
        <v>14989103</v>
      </c>
      <c r="J86" s="221">
        <v>15186101</v>
      </c>
      <c r="K86" s="221" t="s">
        <v>22</v>
      </c>
      <c r="L86" s="218" t="s">
        <v>23</v>
      </c>
      <c r="M86" s="221" t="s">
        <v>154</v>
      </c>
      <c r="N86" s="221" t="s">
        <v>2086</v>
      </c>
      <c r="O86" s="217" t="s">
        <v>577</v>
      </c>
      <c r="P86" s="221" t="s">
        <v>1748</v>
      </c>
      <c r="Q86" s="217">
        <v>336</v>
      </c>
      <c r="R86" s="221" t="s">
        <v>1350</v>
      </c>
      <c r="S86" s="221">
        <v>28</v>
      </c>
      <c r="T86" s="221" t="s">
        <v>1749</v>
      </c>
      <c r="U86" s="221">
        <v>49.5</v>
      </c>
      <c r="V86" s="221">
        <v>8</v>
      </c>
      <c r="W86" s="221">
        <v>13.74</v>
      </c>
      <c r="X86" s="221"/>
      <c r="Y86" s="221">
        <v>10.6</v>
      </c>
      <c r="Z86" s="221"/>
      <c r="AA86" s="221">
        <v>8.6280000000000001</v>
      </c>
      <c r="AB86" s="223">
        <v>1202.08</v>
      </c>
      <c r="AC86" s="221">
        <v>858.24</v>
      </c>
      <c r="AD86" s="217" t="s">
        <v>159</v>
      </c>
      <c r="AE86" s="221">
        <v>2.5000000000000001E-2</v>
      </c>
      <c r="AF86" s="221">
        <v>0.01</v>
      </c>
      <c r="AG86" s="222">
        <v>0.1</v>
      </c>
      <c r="AH86" s="221">
        <v>54</v>
      </c>
      <c r="AI86" s="218"/>
      <c r="AJ86" s="218">
        <v>6600</v>
      </c>
      <c r="AK86" s="218">
        <v>2923</v>
      </c>
      <c r="AL86" s="218">
        <v>177</v>
      </c>
      <c r="AM86" s="218"/>
      <c r="AN86" s="218">
        <v>711</v>
      </c>
      <c r="AO86" s="218">
        <v>3025</v>
      </c>
      <c r="AP86" s="218">
        <v>0.75</v>
      </c>
      <c r="AQ86" s="218"/>
      <c r="AR86" s="218"/>
      <c r="AS86" s="218"/>
      <c r="AT86" s="218"/>
      <c r="AU86" s="218"/>
      <c r="AV86" s="241"/>
    </row>
    <row r="87" spans="1:48" ht="33.75" x14ac:dyDescent="0.2">
      <c r="A87" s="217">
        <f t="shared" si="8"/>
        <v>352</v>
      </c>
      <c r="B87" s="217">
        <f t="shared" si="9"/>
        <v>36.450000000000003</v>
      </c>
      <c r="C87" s="217" t="s">
        <v>341</v>
      </c>
      <c r="D87" s="221" t="s">
        <v>648</v>
      </c>
      <c r="E87" s="217" t="s">
        <v>649</v>
      </c>
      <c r="F87" s="230" t="s">
        <v>21</v>
      </c>
      <c r="G87" s="217">
        <v>1997</v>
      </c>
      <c r="H87" s="217" t="s">
        <v>681</v>
      </c>
      <c r="I87" s="217">
        <v>13142201</v>
      </c>
      <c r="J87" s="217">
        <v>13142101</v>
      </c>
      <c r="K87" s="217">
        <v>15024282</v>
      </c>
      <c r="L87" s="218" t="s">
        <v>153</v>
      </c>
      <c r="M87" s="221" t="s">
        <v>154</v>
      </c>
      <c r="N87" s="221" t="s">
        <v>2084</v>
      </c>
      <c r="O87" s="217" t="s">
        <v>577</v>
      </c>
      <c r="P87" s="221" t="s">
        <v>651</v>
      </c>
      <c r="Q87" s="217">
        <v>352</v>
      </c>
      <c r="R87" s="217">
        <v>215.8</v>
      </c>
      <c r="S87" s="217">
        <v>36.450000000000003</v>
      </c>
      <c r="T87" s="217" t="s">
        <v>652</v>
      </c>
      <c r="U87" s="217">
        <v>5</v>
      </c>
      <c r="V87" s="217">
        <v>11.1</v>
      </c>
      <c r="W87" s="230">
        <v>18.721800000000002</v>
      </c>
      <c r="X87" s="217"/>
      <c r="Y87" s="217">
        <v>15.22</v>
      </c>
      <c r="Z87" s="217"/>
      <c r="AA87" s="217">
        <v>11.1</v>
      </c>
      <c r="AB87" s="217">
        <v>1624</v>
      </c>
      <c r="AC87" s="217">
        <v>1136.5</v>
      </c>
      <c r="AD87" s="217" t="s">
        <v>159</v>
      </c>
      <c r="AE87" s="217">
        <v>0.08</v>
      </c>
      <c r="AF87" s="217">
        <v>0.03</v>
      </c>
      <c r="AG87" s="218" t="s">
        <v>686</v>
      </c>
      <c r="AH87" s="217">
        <v>432</v>
      </c>
      <c r="AI87" s="218"/>
      <c r="AJ87" s="218"/>
      <c r="AK87" s="218"/>
      <c r="AL87" s="218">
        <v>192</v>
      </c>
      <c r="AM87" s="218"/>
      <c r="AN87" s="218"/>
      <c r="AO87" s="218"/>
      <c r="AP87" s="218"/>
      <c r="AQ87" s="218"/>
      <c r="AR87" s="218"/>
      <c r="AS87" s="218"/>
      <c r="AT87" s="218"/>
      <c r="AU87" s="218"/>
      <c r="AV87" s="244"/>
    </row>
    <row r="88" spans="1:48" ht="56.25" x14ac:dyDescent="0.2">
      <c r="A88" s="217">
        <f t="shared" ref="A88:A93" si="10">Q88</f>
        <v>356</v>
      </c>
      <c r="B88" s="217">
        <f t="shared" ref="B88:B93" si="11">S88</f>
        <v>32</v>
      </c>
      <c r="C88" s="217" t="s">
        <v>341</v>
      </c>
      <c r="D88" s="221" t="s">
        <v>2564</v>
      </c>
      <c r="E88" s="221" t="s">
        <v>1148</v>
      </c>
      <c r="F88" s="217" t="s">
        <v>2226</v>
      </c>
      <c r="G88" s="217">
        <v>2013</v>
      </c>
      <c r="H88" s="217" t="s">
        <v>1149</v>
      </c>
      <c r="I88" s="217">
        <v>17157702</v>
      </c>
      <c r="J88" s="230">
        <v>17157601</v>
      </c>
      <c r="K88" s="217">
        <v>5285599601</v>
      </c>
      <c r="L88" s="218" t="s">
        <v>153</v>
      </c>
      <c r="M88" s="221" t="s">
        <v>154</v>
      </c>
      <c r="N88" s="221" t="s">
        <v>24</v>
      </c>
      <c r="O88" s="217" t="s">
        <v>2565</v>
      </c>
      <c r="P88" s="221" t="s">
        <v>2771</v>
      </c>
      <c r="Q88" s="217">
        <v>356</v>
      </c>
      <c r="R88" s="217">
        <v>246.6</v>
      </c>
      <c r="S88" s="217">
        <v>32</v>
      </c>
      <c r="T88" s="217" t="s">
        <v>1749</v>
      </c>
      <c r="U88" s="217">
        <v>59.5</v>
      </c>
      <c r="V88" s="230">
        <v>16</v>
      </c>
      <c r="W88" s="217">
        <v>14</v>
      </c>
      <c r="X88" s="217"/>
      <c r="Y88" s="230">
        <v>11.987</v>
      </c>
      <c r="Z88" s="217"/>
      <c r="AA88" s="217">
        <v>9.0579999999999998</v>
      </c>
      <c r="AB88" s="217">
        <v>1435</v>
      </c>
      <c r="AC88" s="217">
        <v>998</v>
      </c>
      <c r="AD88" s="217" t="s">
        <v>159</v>
      </c>
      <c r="AE88" s="217">
        <v>2.5000000000000001E-2</v>
      </c>
      <c r="AF88" s="217">
        <v>8.9999999999999993E-3</v>
      </c>
      <c r="AG88" s="218">
        <v>0.1</v>
      </c>
      <c r="AH88" s="217">
        <v>54</v>
      </c>
      <c r="AI88" s="218"/>
      <c r="AJ88" s="218">
        <v>3319</v>
      </c>
      <c r="AK88" s="218">
        <v>1930</v>
      </c>
      <c r="AL88" s="218"/>
      <c r="AM88" s="218">
        <v>403</v>
      </c>
      <c r="AN88" s="218">
        <v>787.4</v>
      </c>
      <c r="AO88" s="218">
        <v>3556</v>
      </c>
      <c r="AP88" s="218">
        <v>0.65</v>
      </c>
      <c r="AQ88" s="218"/>
      <c r="AR88" s="218">
        <v>538</v>
      </c>
      <c r="AS88" s="218"/>
      <c r="AT88" s="218"/>
      <c r="AU88" s="218"/>
      <c r="AV88" s="224">
        <f>W88/Y88</f>
        <v>1.1679319262534411</v>
      </c>
    </row>
    <row r="89" spans="1:48" ht="22.5" x14ac:dyDescent="0.2">
      <c r="A89" s="217">
        <f t="shared" si="10"/>
        <v>369</v>
      </c>
      <c r="B89" s="217">
        <f t="shared" si="11"/>
        <v>38</v>
      </c>
      <c r="C89" s="217" t="s">
        <v>341</v>
      </c>
      <c r="D89" s="221" t="s">
        <v>2219</v>
      </c>
      <c r="E89" s="217" t="s">
        <v>2138</v>
      </c>
      <c r="F89" s="217" t="s">
        <v>1615</v>
      </c>
      <c r="G89" s="221">
        <v>1998</v>
      </c>
      <c r="H89" s="217" t="s">
        <v>681</v>
      </c>
      <c r="I89" s="217">
        <v>13591005</v>
      </c>
      <c r="J89" s="230">
        <v>13590901</v>
      </c>
      <c r="K89" s="393" t="s">
        <v>3214</v>
      </c>
      <c r="L89" s="218" t="s">
        <v>153</v>
      </c>
      <c r="M89" s="223" t="s">
        <v>154</v>
      </c>
      <c r="N89" s="221" t="s">
        <v>155</v>
      </c>
      <c r="O89" s="217" t="s">
        <v>577</v>
      </c>
      <c r="P89" s="221" t="s">
        <v>684</v>
      </c>
      <c r="Q89" s="217">
        <v>369</v>
      </c>
      <c r="R89" s="217">
        <v>238</v>
      </c>
      <c r="S89" s="217">
        <v>38</v>
      </c>
      <c r="T89" s="217" t="s">
        <v>1618</v>
      </c>
      <c r="U89" s="230">
        <v>88.54</v>
      </c>
      <c r="V89" s="217">
        <v>16.600000000000001</v>
      </c>
      <c r="W89" s="230">
        <v>20.335000000000001</v>
      </c>
      <c r="X89" s="217"/>
      <c r="Y89" s="230">
        <v>16.54</v>
      </c>
      <c r="Z89" s="217"/>
      <c r="AA89" s="217">
        <v>11.21</v>
      </c>
      <c r="AB89" s="217">
        <v>1200</v>
      </c>
      <c r="AC89" s="217">
        <v>1249</v>
      </c>
      <c r="AD89" s="217" t="s">
        <v>159</v>
      </c>
      <c r="AE89" s="217">
        <v>2.5000000000000001E-2</v>
      </c>
      <c r="AF89" s="217">
        <v>0.01</v>
      </c>
      <c r="AG89" s="218">
        <v>0.13</v>
      </c>
      <c r="AH89" s="217">
        <v>288</v>
      </c>
      <c r="AI89" s="218"/>
      <c r="AJ89" s="218">
        <v>6803.9</v>
      </c>
      <c r="AK89" s="218">
        <v>2721.6</v>
      </c>
      <c r="AL89" s="218">
        <v>130.4</v>
      </c>
      <c r="AM89" s="218">
        <v>386.08</v>
      </c>
      <c r="AN89" s="218">
        <v>32</v>
      </c>
      <c r="AO89" s="218">
        <v>4475.5</v>
      </c>
      <c r="AP89" s="218">
        <v>0.47799999999999998</v>
      </c>
      <c r="AQ89" s="218"/>
      <c r="AR89" s="218"/>
      <c r="AS89" s="218"/>
      <c r="AT89" s="218"/>
      <c r="AU89" s="218" t="s">
        <v>2140</v>
      </c>
      <c r="AV89" s="244"/>
    </row>
    <row r="90" spans="1:48" ht="33.75" x14ac:dyDescent="0.2">
      <c r="A90" s="217">
        <f t="shared" si="10"/>
        <v>380</v>
      </c>
      <c r="B90" s="217">
        <f t="shared" si="11"/>
        <v>35.5</v>
      </c>
      <c r="C90" s="217" t="s">
        <v>341</v>
      </c>
      <c r="D90" s="357" t="s">
        <v>1646</v>
      </c>
      <c r="E90" s="221" t="s">
        <v>1750</v>
      </c>
      <c r="F90" s="217" t="s">
        <v>21</v>
      </c>
      <c r="G90" s="221">
        <v>2005</v>
      </c>
      <c r="H90" s="221" t="s">
        <v>559</v>
      </c>
      <c r="I90" s="221">
        <v>14806703</v>
      </c>
      <c r="J90" s="221">
        <v>14806601</v>
      </c>
      <c r="K90" s="221" t="s">
        <v>1751</v>
      </c>
      <c r="L90" s="218" t="s">
        <v>153</v>
      </c>
      <c r="M90" s="221" t="s">
        <v>154</v>
      </c>
      <c r="N90" s="221" t="s">
        <v>2085</v>
      </c>
      <c r="O90" s="217" t="s">
        <v>1752</v>
      </c>
      <c r="P90" s="221" t="s">
        <v>0</v>
      </c>
      <c r="Q90" s="217">
        <v>380</v>
      </c>
      <c r="R90" s="221">
        <v>250</v>
      </c>
      <c r="S90" s="221">
        <v>35.5</v>
      </c>
      <c r="T90" s="221" t="s">
        <v>1749</v>
      </c>
      <c r="U90" s="221">
        <v>68.5</v>
      </c>
      <c r="V90" s="221">
        <v>10</v>
      </c>
      <c r="W90" s="221">
        <v>21.966000000000001</v>
      </c>
      <c r="X90" s="221"/>
      <c r="Y90" s="221">
        <v>17.951000000000001</v>
      </c>
      <c r="Z90" s="221"/>
      <c r="AA90" s="221">
        <v>13.904999999999999</v>
      </c>
      <c r="AB90" s="221">
        <v>2221</v>
      </c>
      <c r="AC90" s="221">
        <v>1173.45</v>
      </c>
      <c r="AD90" s="217" t="s">
        <v>159</v>
      </c>
      <c r="AE90" s="221">
        <v>0.03</v>
      </c>
      <c r="AF90" s="221">
        <v>0.01</v>
      </c>
      <c r="AG90" s="218">
        <v>0.1</v>
      </c>
      <c r="AH90" s="221">
        <v>144</v>
      </c>
      <c r="AI90" s="218"/>
      <c r="AJ90" s="218"/>
      <c r="AK90" s="218"/>
      <c r="AL90" s="218"/>
      <c r="AM90" s="218"/>
      <c r="AN90" s="218"/>
      <c r="AO90" s="218"/>
      <c r="AP90" s="218"/>
      <c r="AQ90" s="218"/>
      <c r="AR90" s="218"/>
      <c r="AS90" s="218"/>
      <c r="AT90" s="218"/>
      <c r="AU90" s="218"/>
      <c r="AV90" s="244"/>
    </row>
    <row r="91" spans="1:48" ht="22.5" x14ac:dyDescent="0.2">
      <c r="A91" s="217">
        <f t="shared" si="10"/>
        <v>395</v>
      </c>
      <c r="B91" s="217">
        <f t="shared" si="11"/>
        <v>38</v>
      </c>
      <c r="C91" s="217" t="s">
        <v>341</v>
      </c>
      <c r="D91" s="221" t="s">
        <v>2219</v>
      </c>
      <c r="E91" s="217" t="s">
        <v>2135</v>
      </c>
      <c r="F91" s="217" t="s">
        <v>1615</v>
      </c>
      <c r="G91" s="221">
        <v>1998</v>
      </c>
      <c r="H91" s="217" t="s">
        <v>681</v>
      </c>
      <c r="I91" s="217">
        <v>13080102</v>
      </c>
      <c r="J91" s="230"/>
      <c r="K91" s="230" t="s">
        <v>2136</v>
      </c>
      <c r="L91" s="218" t="s">
        <v>153</v>
      </c>
      <c r="M91" s="221" t="s">
        <v>154</v>
      </c>
      <c r="N91" s="221" t="s">
        <v>155</v>
      </c>
      <c r="O91" s="221" t="s">
        <v>156</v>
      </c>
      <c r="P91" s="221" t="s">
        <v>157</v>
      </c>
      <c r="Q91" s="217">
        <v>395</v>
      </c>
      <c r="R91" s="217">
        <v>270</v>
      </c>
      <c r="S91" s="217">
        <v>38</v>
      </c>
      <c r="T91" s="217" t="s">
        <v>2137</v>
      </c>
      <c r="U91" s="230">
        <v>111.7</v>
      </c>
      <c r="V91" s="217">
        <v>16.600000000000001</v>
      </c>
      <c r="W91" s="217">
        <v>25.91</v>
      </c>
      <c r="X91" s="217"/>
      <c r="Y91" s="217">
        <v>19.79</v>
      </c>
      <c r="Z91" s="217"/>
      <c r="AA91" s="217">
        <v>12.93</v>
      </c>
      <c r="AB91" s="217">
        <v>1816</v>
      </c>
      <c r="AC91" s="217">
        <v>1305.7</v>
      </c>
      <c r="AD91" s="217" t="s">
        <v>159</v>
      </c>
      <c r="AE91" s="217">
        <v>0.04</v>
      </c>
      <c r="AF91" s="217">
        <v>0.01</v>
      </c>
      <c r="AG91" s="218">
        <v>0.13</v>
      </c>
      <c r="AH91" s="217">
        <v>504</v>
      </c>
      <c r="AI91" s="218"/>
      <c r="AJ91" s="218"/>
      <c r="AK91" s="218">
        <v>2722</v>
      </c>
      <c r="AL91" s="218">
        <v>130.4</v>
      </c>
      <c r="AM91" s="218">
        <v>386.08</v>
      </c>
      <c r="AN91" s="218">
        <v>32</v>
      </c>
      <c r="AO91" s="218">
        <v>4475.5</v>
      </c>
      <c r="AP91" s="218">
        <v>0.47799999999999998</v>
      </c>
      <c r="AQ91" s="218"/>
      <c r="AR91" s="218"/>
      <c r="AS91" s="218"/>
      <c r="AT91" s="218"/>
      <c r="AU91" s="218"/>
      <c r="AV91" s="244"/>
    </row>
    <row r="92" spans="1:48" ht="33.75" x14ac:dyDescent="0.2">
      <c r="A92" s="217">
        <f t="shared" si="10"/>
        <v>395</v>
      </c>
      <c r="B92" s="217">
        <f t="shared" si="11"/>
        <v>38</v>
      </c>
      <c r="C92" s="217" t="s">
        <v>341</v>
      </c>
      <c r="D92" s="221" t="s">
        <v>2219</v>
      </c>
      <c r="E92" s="217" t="s">
        <v>1947</v>
      </c>
      <c r="F92" s="222" t="s">
        <v>1615</v>
      </c>
      <c r="G92" s="221">
        <v>1998</v>
      </c>
      <c r="H92" s="217" t="s">
        <v>681</v>
      </c>
      <c r="I92" s="217">
        <v>13080101</v>
      </c>
      <c r="J92" s="217">
        <v>13080001</v>
      </c>
      <c r="K92" s="217" t="s">
        <v>2136</v>
      </c>
      <c r="L92" s="218" t="s">
        <v>153</v>
      </c>
      <c r="M92" s="221" t="s">
        <v>154</v>
      </c>
      <c r="N92" s="221" t="s">
        <v>155</v>
      </c>
      <c r="O92" s="223" t="s">
        <v>1613</v>
      </c>
      <c r="P92" s="221" t="s">
        <v>157</v>
      </c>
      <c r="Q92" s="217">
        <v>395</v>
      </c>
      <c r="R92" s="217">
        <v>270</v>
      </c>
      <c r="S92" s="217">
        <v>38</v>
      </c>
      <c r="T92" s="217" t="s">
        <v>2137</v>
      </c>
      <c r="U92" s="230">
        <v>111.6</v>
      </c>
      <c r="V92" s="217">
        <v>16.600000000000001</v>
      </c>
      <c r="W92" s="217">
        <v>25.91</v>
      </c>
      <c r="X92" s="217"/>
      <c r="Y92" s="217">
        <v>19.79</v>
      </c>
      <c r="Z92" s="217"/>
      <c r="AA92" s="217">
        <v>12.93</v>
      </c>
      <c r="AB92" s="217">
        <v>1816</v>
      </c>
      <c r="AC92" s="217">
        <v>1305.7</v>
      </c>
      <c r="AD92" s="217" t="s">
        <v>159</v>
      </c>
      <c r="AE92" s="217">
        <v>0.05</v>
      </c>
      <c r="AF92" s="217">
        <v>0.01</v>
      </c>
      <c r="AG92" s="218">
        <v>0.13</v>
      </c>
      <c r="AH92" s="217">
        <v>504</v>
      </c>
      <c r="AI92" s="218"/>
      <c r="AJ92" s="218">
        <v>6804</v>
      </c>
      <c r="AK92" s="218">
        <v>2721.6</v>
      </c>
      <c r="AL92" s="218">
        <v>130.4</v>
      </c>
      <c r="AM92" s="218">
        <v>381</v>
      </c>
      <c r="AN92" s="218">
        <v>889</v>
      </c>
      <c r="AO92" s="218" t="s">
        <v>1948</v>
      </c>
      <c r="AP92" s="218">
        <v>0.47799999999999998</v>
      </c>
      <c r="AQ92" s="218"/>
      <c r="AR92" s="218"/>
      <c r="AS92" s="218"/>
      <c r="AT92" s="218"/>
      <c r="AU92" s="218"/>
      <c r="AV92" s="244"/>
    </row>
    <row r="93" spans="1:48" ht="45" x14ac:dyDescent="0.2">
      <c r="A93" s="217">
        <f t="shared" si="10"/>
        <v>293</v>
      </c>
      <c r="B93" s="217">
        <f t="shared" si="11"/>
        <v>30</v>
      </c>
      <c r="C93" s="217" t="s">
        <v>341</v>
      </c>
      <c r="D93" s="221" t="s">
        <v>13</v>
      </c>
      <c r="E93" s="221" t="s">
        <v>14</v>
      </c>
      <c r="F93" s="217"/>
      <c r="G93" s="221">
        <v>2005</v>
      </c>
      <c r="H93" s="221" t="s">
        <v>559</v>
      </c>
      <c r="I93" s="221">
        <v>13947904</v>
      </c>
      <c r="J93" s="221">
        <v>13947801</v>
      </c>
      <c r="K93" s="223" t="s">
        <v>2655</v>
      </c>
      <c r="L93" s="218" t="s">
        <v>153</v>
      </c>
      <c r="M93" s="223" t="s">
        <v>2651</v>
      </c>
      <c r="N93" s="221" t="s">
        <v>2086</v>
      </c>
      <c r="O93" s="217" t="s">
        <v>2</v>
      </c>
      <c r="P93" s="221" t="s">
        <v>0</v>
      </c>
      <c r="Q93" s="221">
        <v>293</v>
      </c>
      <c r="R93" s="223">
        <v>176.5</v>
      </c>
      <c r="S93" s="221">
        <v>30</v>
      </c>
      <c r="T93" s="221" t="s">
        <v>581</v>
      </c>
      <c r="U93" s="221">
        <v>40</v>
      </c>
      <c r="V93" s="221">
        <v>13</v>
      </c>
      <c r="W93" s="221">
        <v>10.093</v>
      </c>
      <c r="X93" s="223">
        <v>10.528</v>
      </c>
      <c r="Y93" s="221">
        <v>7.7</v>
      </c>
      <c r="Z93" s="223">
        <v>7.8520000000000003</v>
      </c>
      <c r="AA93" s="221">
        <v>6.4</v>
      </c>
      <c r="AB93" s="221">
        <v>1199.8</v>
      </c>
      <c r="AC93" s="221">
        <v>805.2</v>
      </c>
      <c r="AD93" s="221" t="s">
        <v>159</v>
      </c>
      <c r="AE93" s="221">
        <v>2.5000000000000001E-2</v>
      </c>
      <c r="AF93" s="221">
        <v>8.9999999999999993E-3</v>
      </c>
      <c r="AG93" s="218">
        <v>0.05</v>
      </c>
      <c r="AH93" s="221">
        <v>36</v>
      </c>
      <c r="AI93" s="218">
        <v>1530</v>
      </c>
      <c r="AJ93" s="218">
        <v>1960</v>
      </c>
      <c r="AK93" s="218">
        <v>933</v>
      </c>
      <c r="AL93" s="218">
        <v>180</v>
      </c>
      <c r="AM93" s="218">
        <v>311</v>
      </c>
      <c r="AN93" s="218">
        <v>535</v>
      </c>
      <c r="AO93" s="218">
        <v>2720</v>
      </c>
      <c r="AP93" s="218">
        <v>0.81100000000000005</v>
      </c>
      <c r="AQ93" s="218">
        <v>45.5</v>
      </c>
      <c r="AR93" s="218">
        <v>347.59</v>
      </c>
      <c r="AS93" s="218"/>
      <c r="AT93" s="218" t="s">
        <v>15</v>
      </c>
      <c r="AU93" s="218" t="s">
        <v>16</v>
      </c>
      <c r="AV93" s="224">
        <f>W93/Y93</f>
        <v>1.3107792207792208</v>
      </c>
    </row>
    <row r="94" spans="1:48" x14ac:dyDescent="0.2">
      <c r="D94" s="233"/>
      <c r="E94" s="233"/>
      <c r="F94" s="220"/>
      <c r="G94" s="220"/>
      <c r="H94" s="220"/>
      <c r="I94" s="220"/>
      <c r="J94" s="220"/>
      <c r="K94" s="220"/>
      <c r="L94" s="220"/>
      <c r="M94" s="220"/>
      <c r="N94" s="220"/>
      <c r="O94" s="220"/>
      <c r="P94" s="251"/>
      <c r="Q94" s="251"/>
      <c r="R94" s="220"/>
      <c r="S94" s="220"/>
      <c r="T94" s="220"/>
      <c r="U94" s="220"/>
      <c r="V94" s="251"/>
      <c r="W94" s="220"/>
      <c r="X94" s="220"/>
      <c r="Y94" s="252"/>
      <c r="Z94" s="252"/>
      <c r="AA94" s="251"/>
      <c r="AB94" s="251"/>
      <c r="AC94" s="220"/>
      <c r="AD94" s="220"/>
      <c r="AE94" s="220"/>
      <c r="AF94" s="253"/>
      <c r="AG94" s="251"/>
      <c r="AH94" s="251"/>
      <c r="AI94" s="251"/>
      <c r="AJ94" s="251"/>
      <c r="AK94" s="254"/>
      <c r="AL94" s="251"/>
      <c r="AM94" s="251"/>
      <c r="AN94" s="251"/>
      <c r="AO94" s="255"/>
      <c r="AP94" s="220"/>
      <c r="AQ94" s="220"/>
      <c r="AR94" s="220"/>
      <c r="AS94" s="220"/>
      <c r="AT94" s="256"/>
      <c r="AU94" s="220"/>
      <c r="AV94" s="220"/>
    </row>
    <row r="95" spans="1:48" x14ac:dyDescent="0.2">
      <c r="D95" s="233"/>
      <c r="E95" s="233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51"/>
      <c r="Q95" s="251"/>
      <c r="R95" s="220"/>
      <c r="S95" s="220"/>
      <c r="T95" s="220"/>
      <c r="U95" s="220"/>
      <c r="V95" s="251"/>
      <c r="W95" s="220"/>
      <c r="X95" s="220"/>
      <c r="Y95" s="252"/>
      <c r="Z95" s="252"/>
      <c r="AA95" s="251"/>
      <c r="AB95" s="251"/>
      <c r="AC95" s="220"/>
      <c r="AD95" s="220"/>
      <c r="AE95" s="220"/>
      <c r="AF95" s="253"/>
      <c r="AG95" s="251"/>
      <c r="AH95" s="251"/>
      <c r="AI95" s="251"/>
      <c r="AJ95" s="251"/>
      <c r="AK95" s="254"/>
      <c r="AL95" s="251"/>
      <c r="AM95" s="251"/>
      <c r="AN95" s="251"/>
      <c r="AO95" s="255"/>
      <c r="AP95" s="220"/>
      <c r="AQ95" s="220"/>
      <c r="AR95" s="220"/>
      <c r="AS95" s="220"/>
      <c r="AT95" s="256"/>
      <c r="AU95" s="220"/>
      <c r="AV95" s="220"/>
    </row>
    <row r="96" spans="1:48" x14ac:dyDescent="0.2">
      <c r="D96" s="233"/>
      <c r="E96" s="233"/>
      <c r="F96" s="220"/>
      <c r="G96" s="220"/>
      <c r="H96" s="220"/>
      <c r="I96" s="220"/>
      <c r="J96" s="220"/>
      <c r="K96" s="220"/>
      <c r="L96" s="220"/>
      <c r="M96" s="220"/>
      <c r="N96" s="220"/>
      <c r="O96" s="220"/>
      <c r="P96" s="251"/>
      <c r="Q96" s="251"/>
      <c r="R96" s="220"/>
      <c r="S96" s="220"/>
      <c r="T96" s="220"/>
      <c r="U96" s="220"/>
      <c r="V96" s="251"/>
      <c r="W96" s="220"/>
      <c r="X96" s="220"/>
      <c r="Y96" s="252"/>
      <c r="Z96" s="252"/>
      <c r="AA96" s="251"/>
      <c r="AB96" s="251"/>
      <c r="AC96" s="220"/>
      <c r="AD96" s="220"/>
      <c r="AE96" s="220"/>
      <c r="AF96" s="253"/>
      <c r="AG96" s="251"/>
      <c r="AH96" s="251"/>
      <c r="AI96" s="251"/>
      <c r="AJ96" s="251"/>
      <c r="AK96" s="254"/>
      <c r="AL96" s="251"/>
      <c r="AM96" s="251"/>
      <c r="AN96" s="251"/>
      <c r="AO96" s="255"/>
      <c r="AP96" s="220"/>
      <c r="AQ96" s="220"/>
      <c r="AR96" s="220"/>
      <c r="AS96" s="220"/>
      <c r="AT96" s="256"/>
      <c r="AU96" s="220"/>
      <c r="AV96" s="220"/>
    </row>
    <row r="97" spans="4:48" x14ac:dyDescent="0.2">
      <c r="D97" s="233"/>
      <c r="E97" s="233"/>
      <c r="F97" s="220"/>
      <c r="G97" s="220"/>
      <c r="H97" s="220"/>
      <c r="I97" s="220"/>
      <c r="J97" s="220"/>
      <c r="K97" s="220"/>
      <c r="L97" s="220"/>
      <c r="M97" s="220"/>
      <c r="N97" s="220"/>
      <c r="O97" s="220"/>
      <c r="P97" s="251"/>
      <c r="Q97" s="251"/>
      <c r="R97" s="220"/>
      <c r="S97" s="220"/>
      <c r="T97" s="220"/>
      <c r="U97" s="220"/>
      <c r="V97" s="251"/>
      <c r="W97" s="220"/>
      <c r="X97" s="220"/>
      <c r="Y97" s="252"/>
      <c r="Z97" s="252"/>
      <c r="AA97" s="251"/>
      <c r="AB97" s="251"/>
      <c r="AC97" s="220"/>
      <c r="AD97" s="220"/>
      <c r="AE97" s="220"/>
      <c r="AF97" s="253"/>
      <c r="AG97" s="251"/>
      <c r="AH97" s="251"/>
      <c r="AI97" s="251"/>
      <c r="AJ97" s="251"/>
      <c r="AK97" s="254"/>
      <c r="AL97" s="251"/>
      <c r="AM97" s="251"/>
      <c r="AN97" s="251"/>
      <c r="AO97" s="255"/>
      <c r="AP97" s="220"/>
      <c r="AQ97" s="220"/>
      <c r="AR97" s="220"/>
      <c r="AS97" s="220"/>
      <c r="AT97" s="256"/>
      <c r="AU97" s="220"/>
      <c r="AV97" s="220"/>
    </row>
    <row r="98" spans="4:48" x14ac:dyDescent="0.2">
      <c r="V98" s="251"/>
    </row>
    <row r="99" spans="4:48" x14ac:dyDescent="0.2">
      <c r="V99" s="251"/>
    </row>
    <row r="100" spans="4:48" x14ac:dyDescent="0.2">
      <c r="V100" s="251"/>
    </row>
    <row r="101" spans="4:48" x14ac:dyDescent="0.2">
      <c r="V101" s="251"/>
    </row>
    <row r="102" spans="4:48" x14ac:dyDescent="0.2">
      <c r="V102" s="251"/>
    </row>
    <row r="103" spans="4:48" x14ac:dyDescent="0.2">
      <c r="V103" s="251"/>
    </row>
    <row r="104" spans="4:48" x14ac:dyDescent="0.2">
      <c r="V104" s="251"/>
    </row>
    <row r="105" spans="4:48" x14ac:dyDescent="0.2">
      <c r="V105" s="251"/>
    </row>
    <row r="106" spans="4:48" x14ac:dyDescent="0.2">
      <c r="V106" s="251"/>
    </row>
    <row r="107" spans="4:48" x14ac:dyDescent="0.2">
      <c r="V107" s="251"/>
    </row>
    <row r="108" spans="4:48" x14ac:dyDescent="0.2">
      <c r="V108" s="251"/>
    </row>
    <row r="109" spans="4:48" x14ac:dyDescent="0.2">
      <c r="V109" s="251"/>
    </row>
    <row r="110" spans="4:48" x14ac:dyDescent="0.2">
      <c r="V110" s="251"/>
    </row>
    <row r="111" spans="4:48" x14ac:dyDescent="0.2">
      <c r="V111" s="251"/>
    </row>
    <row r="112" spans="4:48" x14ac:dyDescent="0.2">
      <c r="V112" s="251"/>
    </row>
    <row r="113" spans="22:22" x14ac:dyDescent="0.2">
      <c r="V113" s="251"/>
    </row>
    <row r="114" spans="22:22" x14ac:dyDescent="0.2">
      <c r="V114" s="251"/>
    </row>
    <row r="115" spans="22:22" x14ac:dyDescent="0.2">
      <c r="V115" s="251"/>
    </row>
    <row r="116" spans="22:22" x14ac:dyDescent="0.2">
      <c r="V116" s="251"/>
    </row>
    <row r="117" spans="22:22" x14ac:dyDescent="0.2">
      <c r="V117" s="251"/>
    </row>
    <row r="118" spans="22:22" x14ac:dyDescent="0.2">
      <c r="V118" s="251"/>
    </row>
    <row r="119" spans="22:22" x14ac:dyDescent="0.2">
      <c r="V119" s="251"/>
    </row>
    <row r="120" spans="22:22" x14ac:dyDescent="0.2">
      <c r="V120" s="251"/>
    </row>
    <row r="121" spans="22:22" x14ac:dyDescent="0.2">
      <c r="V121" s="251"/>
    </row>
    <row r="122" spans="22:22" x14ac:dyDescent="0.2">
      <c r="V122" s="251"/>
    </row>
    <row r="123" spans="22:22" x14ac:dyDescent="0.2">
      <c r="V123" s="251"/>
    </row>
    <row r="124" spans="22:22" x14ac:dyDescent="0.2">
      <c r="V124" s="251"/>
    </row>
    <row r="125" spans="22:22" x14ac:dyDescent="0.2">
      <c r="V125" s="251"/>
    </row>
    <row r="126" spans="22:22" x14ac:dyDescent="0.2">
      <c r="V126" s="251"/>
    </row>
    <row r="127" spans="22:22" x14ac:dyDescent="0.2">
      <c r="V127" s="251"/>
    </row>
    <row r="128" spans="22:22" x14ac:dyDescent="0.2">
      <c r="V128" s="251"/>
    </row>
    <row r="129" spans="22:22" x14ac:dyDescent="0.2">
      <c r="V129" s="251"/>
    </row>
    <row r="130" spans="22:22" x14ac:dyDescent="0.2">
      <c r="V130" s="251"/>
    </row>
    <row r="131" spans="22:22" x14ac:dyDescent="0.2">
      <c r="V131" s="251"/>
    </row>
    <row r="132" spans="22:22" x14ac:dyDescent="0.2">
      <c r="V132" s="251"/>
    </row>
    <row r="133" spans="22:22" x14ac:dyDescent="0.2">
      <c r="V133" s="251"/>
    </row>
    <row r="134" spans="22:22" x14ac:dyDescent="0.2">
      <c r="V134" s="251"/>
    </row>
    <row r="135" spans="22:22" x14ac:dyDescent="0.2">
      <c r="V135" s="251"/>
    </row>
    <row r="136" spans="22:22" x14ac:dyDescent="0.2">
      <c r="V136" s="251"/>
    </row>
    <row r="137" spans="22:22" x14ac:dyDescent="0.2">
      <c r="V137" s="251"/>
    </row>
    <row r="138" spans="22:22" x14ac:dyDescent="0.2">
      <c r="V138" s="251"/>
    </row>
    <row r="139" spans="22:22" x14ac:dyDescent="0.2">
      <c r="V139" s="251"/>
    </row>
    <row r="140" spans="22:22" x14ac:dyDescent="0.2">
      <c r="V140" s="251"/>
    </row>
    <row r="141" spans="22:22" x14ac:dyDescent="0.2">
      <c r="V141" s="251"/>
    </row>
    <row r="142" spans="22:22" x14ac:dyDescent="0.2">
      <c r="V142" s="251"/>
    </row>
    <row r="143" spans="22:22" x14ac:dyDescent="0.2">
      <c r="V143" s="251"/>
    </row>
    <row r="144" spans="22:22" x14ac:dyDescent="0.2">
      <c r="V144" s="251"/>
    </row>
    <row r="145" spans="22:22" x14ac:dyDescent="0.2">
      <c r="V145" s="251"/>
    </row>
    <row r="146" spans="22:22" x14ac:dyDescent="0.2">
      <c r="V146" s="251"/>
    </row>
    <row r="147" spans="22:22" x14ac:dyDescent="0.2">
      <c r="V147" s="251"/>
    </row>
    <row r="148" spans="22:22" x14ac:dyDescent="0.2">
      <c r="V148" s="251"/>
    </row>
    <row r="149" spans="22:22" x14ac:dyDescent="0.2">
      <c r="V149" s="251"/>
    </row>
    <row r="150" spans="22:22" x14ac:dyDescent="0.2">
      <c r="V150" s="251"/>
    </row>
    <row r="151" spans="22:22" x14ac:dyDescent="0.2">
      <c r="V151" s="251"/>
    </row>
    <row r="152" spans="22:22" x14ac:dyDescent="0.2">
      <c r="V152" s="251"/>
    </row>
    <row r="153" spans="22:22" x14ac:dyDescent="0.2">
      <c r="V153" s="251"/>
    </row>
    <row r="154" spans="22:22" x14ac:dyDescent="0.2">
      <c r="V154" s="251"/>
    </row>
    <row r="155" spans="22:22" x14ac:dyDescent="0.2">
      <c r="V155" s="251"/>
    </row>
    <row r="156" spans="22:22" x14ac:dyDescent="0.2">
      <c r="V156" s="251"/>
    </row>
    <row r="157" spans="22:22" x14ac:dyDescent="0.2">
      <c r="V157" s="251"/>
    </row>
    <row r="158" spans="22:22" x14ac:dyDescent="0.2">
      <c r="V158" s="251"/>
    </row>
    <row r="159" spans="22:22" x14ac:dyDescent="0.2">
      <c r="V159" s="251"/>
    </row>
    <row r="160" spans="22:22" x14ac:dyDescent="0.2">
      <c r="V160" s="251"/>
    </row>
    <row r="161" spans="22:22" x14ac:dyDescent="0.2">
      <c r="V161" s="251"/>
    </row>
    <row r="162" spans="22:22" x14ac:dyDescent="0.2">
      <c r="V162" s="251"/>
    </row>
    <row r="163" spans="22:22" x14ac:dyDescent="0.2">
      <c r="V163" s="251"/>
    </row>
    <row r="164" spans="22:22" x14ac:dyDescent="0.2">
      <c r="V164" s="251"/>
    </row>
    <row r="165" spans="22:22" x14ac:dyDescent="0.2">
      <c r="V165" s="251"/>
    </row>
    <row r="166" spans="22:22" x14ac:dyDescent="0.2">
      <c r="V166" s="251"/>
    </row>
    <row r="167" spans="22:22" x14ac:dyDescent="0.2">
      <c r="V167" s="251"/>
    </row>
    <row r="168" spans="22:22" x14ac:dyDescent="0.2">
      <c r="V168" s="251"/>
    </row>
    <row r="169" spans="22:22" x14ac:dyDescent="0.2">
      <c r="V169" s="251"/>
    </row>
    <row r="170" spans="22:22" x14ac:dyDescent="0.2">
      <c r="V170" s="251"/>
    </row>
    <row r="171" spans="22:22" x14ac:dyDescent="0.2">
      <c r="V171" s="251"/>
    </row>
    <row r="172" spans="22:22" x14ac:dyDescent="0.2">
      <c r="V172" s="251"/>
    </row>
    <row r="173" spans="22:22" x14ac:dyDescent="0.2">
      <c r="V173" s="251"/>
    </row>
    <row r="174" spans="22:22" x14ac:dyDescent="0.2">
      <c r="V174" s="251"/>
    </row>
    <row r="175" spans="22:22" x14ac:dyDescent="0.2">
      <c r="V175" s="251"/>
    </row>
    <row r="176" spans="22:22" x14ac:dyDescent="0.2">
      <c r="V176" s="251"/>
    </row>
    <row r="177" spans="22:22" x14ac:dyDescent="0.2">
      <c r="V177" s="251"/>
    </row>
    <row r="178" spans="22:22" x14ac:dyDescent="0.2">
      <c r="V178" s="251"/>
    </row>
    <row r="179" spans="22:22" x14ac:dyDescent="0.2">
      <c r="V179" s="251"/>
    </row>
    <row r="180" spans="22:22" x14ac:dyDescent="0.2">
      <c r="V180" s="251"/>
    </row>
    <row r="181" spans="22:22" x14ac:dyDescent="0.2">
      <c r="V181" s="251"/>
    </row>
    <row r="182" spans="22:22" x14ac:dyDescent="0.2">
      <c r="V182" s="251"/>
    </row>
    <row r="183" spans="22:22" x14ac:dyDescent="0.2">
      <c r="V183" s="251"/>
    </row>
    <row r="184" spans="22:22" x14ac:dyDescent="0.2">
      <c r="V184" s="251"/>
    </row>
    <row r="185" spans="22:22" x14ac:dyDescent="0.2">
      <c r="V185" s="251"/>
    </row>
    <row r="186" spans="22:22" x14ac:dyDescent="0.2">
      <c r="V186" s="251"/>
    </row>
    <row r="187" spans="22:22" x14ac:dyDescent="0.2">
      <c r="V187" s="251"/>
    </row>
    <row r="188" spans="22:22" x14ac:dyDescent="0.2">
      <c r="V188" s="251"/>
    </row>
    <row r="189" spans="22:22" x14ac:dyDescent="0.2">
      <c r="V189" s="251"/>
    </row>
    <row r="190" spans="22:22" x14ac:dyDescent="0.2">
      <c r="V190" s="251"/>
    </row>
    <row r="191" spans="22:22" x14ac:dyDescent="0.2">
      <c r="V191" s="251"/>
    </row>
    <row r="192" spans="22:22" x14ac:dyDescent="0.2">
      <c r="V192" s="251"/>
    </row>
    <row r="193" spans="22:22" x14ac:dyDescent="0.2">
      <c r="V193" s="251"/>
    </row>
    <row r="194" spans="22:22" x14ac:dyDescent="0.2">
      <c r="V194" s="251"/>
    </row>
    <row r="195" spans="22:22" x14ac:dyDescent="0.2">
      <c r="V195" s="251"/>
    </row>
    <row r="196" spans="22:22" x14ac:dyDescent="0.2">
      <c r="V196" s="251"/>
    </row>
    <row r="197" spans="22:22" x14ac:dyDescent="0.2">
      <c r="V197" s="251"/>
    </row>
    <row r="198" spans="22:22" x14ac:dyDescent="0.2">
      <c r="V198" s="251"/>
    </row>
    <row r="199" spans="22:22" x14ac:dyDescent="0.2">
      <c r="V199" s="251"/>
    </row>
    <row r="200" spans="22:22" x14ac:dyDescent="0.2">
      <c r="V200" s="251"/>
    </row>
    <row r="201" spans="22:22" x14ac:dyDescent="0.2">
      <c r="V201" s="251"/>
    </row>
    <row r="202" spans="22:22" x14ac:dyDescent="0.2">
      <c r="V202" s="251"/>
    </row>
    <row r="203" spans="22:22" x14ac:dyDescent="0.2">
      <c r="V203" s="251"/>
    </row>
    <row r="204" spans="22:22" x14ac:dyDescent="0.2">
      <c r="V204" s="251"/>
    </row>
    <row r="205" spans="22:22" x14ac:dyDescent="0.2">
      <c r="V205" s="251"/>
    </row>
    <row r="206" spans="22:22" x14ac:dyDescent="0.2">
      <c r="V206" s="251"/>
    </row>
    <row r="207" spans="22:22" x14ac:dyDescent="0.2">
      <c r="V207" s="251"/>
    </row>
    <row r="208" spans="22:22" x14ac:dyDescent="0.2">
      <c r="V208" s="251"/>
    </row>
    <row r="209" spans="22:22" x14ac:dyDescent="0.2">
      <c r="V209" s="251"/>
    </row>
    <row r="210" spans="22:22" x14ac:dyDescent="0.2">
      <c r="V210" s="251"/>
    </row>
    <row r="211" spans="22:22" x14ac:dyDescent="0.2">
      <c r="V211" s="251"/>
    </row>
    <row r="212" spans="22:22" x14ac:dyDescent="0.2">
      <c r="V212" s="251"/>
    </row>
    <row r="213" spans="22:22" x14ac:dyDescent="0.2">
      <c r="V213" s="251"/>
    </row>
    <row r="214" spans="22:22" x14ac:dyDescent="0.2">
      <c r="V214" s="251"/>
    </row>
    <row r="215" spans="22:22" x14ac:dyDescent="0.2">
      <c r="V215" s="251"/>
    </row>
    <row r="216" spans="22:22" x14ac:dyDescent="0.2">
      <c r="V216" s="251"/>
    </row>
    <row r="217" spans="22:22" x14ac:dyDescent="0.2">
      <c r="V217" s="251"/>
    </row>
    <row r="218" spans="22:22" x14ac:dyDescent="0.2">
      <c r="V218" s="251"/>
    </row>
    <row r="219" spans="22:22" x14ac:dyDescent="0.2">
      <c r="V219" s="251"/>
    </row>
    <row r="220" spans="22:22" x14ac:dyDescent="0.2">
      <c r="V220" s="251"/>
    </row>
    <row r="221" spans="22:22" x14ac:dyDescent="0.2">
      <c r="V221" s="251"/>
    </row>
    <row r="222" spans="22:22" x14ac:dyDescent="0.2">
      <c r="V222" s="251"/>
    </row>
    <row r="223" spans="22:22" x14ac:dyDescent="0.2">
      <c r="V223" s="251"/>
    </row>
    <row r="224" spans="22:22" x14ac:dyDescent="0.2">
      <c r="V224" s="251"/>
    </row>
    <row r="225" spans="22:22" x14ac:dyDescent="0.2">
      <c r="V225" s="251"/>
    </row>
    <row r="226" spans="22:22" x14ac:dyDescent="0.2">
      <c r="V226" s="251"/>
    </row>
    <row r="227" spans="22:22" x14ac:dyDescent="0.2">
      <c r="V227" s="251"/>
    </row>
    <row r="228" spans="22:22" x14ac:dyDescent="0.2">
      <c r="V228" s="251"/>
    </row>
    <row r="229" spans="22:22" x14ac:dyDescent="0.2">
      <c r="V229" s="251"/>
    </row>
    <row r="230" spans="22:22" x14ac:dyDescent="0.2">
      <c r="V230" s="251"/>
    </row>
    <row r="231" spans="22:22" x14ac:dyDescent="0.2">
      <c r="V231" s="251"/>
    </row>
    <row r="232" spans="22:22" x14ac:dyDescent="0.2">
      <c r="V232" s="251"/>
    </row>
    <row r="233" spans="22:22" x14ac:dyDescent="0.2">
      <c r="V233" s="251"/>
    </row>
    <row r="234" spans="22:22" x14ac:dyDescent="0.2">
      <c r="V234" s="251"/>
    </row>
    <row r="235" spans="22:22" x14ac:dyDescent="0.2">
      <c r="V235" s="251"/>
    </row>
    <row r="236" spans="22:22" x14ac:dyDescent="0.2">
      <c r="V236" s="251"/>
    </row>
    <row r="237" spans="22:22" x14ac:dyDescent="0.2">
      <c r="V237" s="251"/>
    </row>
    <row r="238" spans="22:22" x14ac:dyDescent="0.2">
      <c r="V238" s="251"/>
    </row>
    <row r="239" spans="22:22" x14ac:dyDescent="0.2">
      <c r="V239" s="251"/>
    </row>
    <row r="240" spans="22:22" x14ac:dyDescent="0.2">
      <c r="V240" s="251"/>
    </row>
    <row r="241" spans="22:22" x14ac:dyDescent="0.2">
      <c r="V241" s="251"/>
    </row>
    <row r="242" spans="22:22" x14ac:dyDescent="0.2">
      <c r="V242" s="251"/>
    </row>
    <row r="243" spans="22:22" x14ac:dyDescent="0.2">
      <c r="V243" s="251"/>
    </row>
    <row r="244" spans="22:22" x14ac:dyDescent="0.2">
      <c r="V244" s="251"/>
    </row>
    <row r="245" spans="22:22" x14ac:dyDescent="0.2">
      <c r="V245" s="251"/>
    </row>
    <row r="246" spans="22:22" x14ac:dyDescent="0.2">
      <c r="V246" s="251"/>
    </row>
    <row r="247" spans="22:22" x14ac:dyDescent="0.2">
      <c r="V247" s="251"/>
    </row>
    <row r="248" spans="22:22" x14ac:dyDescent="0.2">
      <c r="V248" s="251"/>
    </row>
    <row r="249" spans="22:22" x14ac:dyDescent="0.2">
      <c r="V249" s="251"/>
    </row>
    <row r="250" spans="22:22" x14ac:dyDescent="0.2">
      <c r="V250" s="251"/>
    </row>
    <row r="251" spans="22:22" x14ac:dyDescent="0.2">
      <c r="V251" s="251"/>
    </row>
    <row r="252" spans="22:22" x14ac:dyDescent="0.2">
      <c r="V252" s="251"/>
    </row>
    <row r="253" spans="22:22" x14ac:dyDescent="0.2">
      <c r="V253" s="251"/>
    </row>
    <row r="254" spans="22:22" x14ac:dyDescent="0.2">
      <c r="V254" s="251"/>
    </row>
    <row r="255" spans="22:22" x14ac:dyDescent="0.2">
      <c r="V255" s="251"/>
    </row>
    <row r="256" spans="22:22" x14ac:dyDescent="0.2">
      <c r="V256" s="251"/>
    </row>
    <row r="257" spans="22:22" x14ac:dyDescent="0.2">
      <c r="V257" s="251"/>
    </row>
    <row r="258" spans="22:22" x14ac:dyDescent="0.2">
      <c r="V258" s="251"/>
    </row>
    <row r="259" spans="22:22" x14ac:dyDescent="0.2">
      <c r="V259" s="251"/>
    </row>
    <row r="260" spans="22:22" x14ac:dyDescent="0.2">
      <c r="V260" s="251"/>
    </row>
    <row r="261" spans="22:22" x14ac:dyDescent="0.2">
      <c r="V261" s="251"/>
    </row>
    <row r="262" spans="22:22" x14ac:dyDescent="0.2">
      <c r="V262" s="251"/>
    </row>
    <row r="263" spans="22:22" x14ac:dyDescent="0.2">
      <c r="V263" s="251"/>
    </row>
    <row r="264" spans="22:22" x14ac:dyDescent="0.2">
      <c r="V264" s="251"/>
    </row>
    <row r="265" spans="22:22" x14ac:dyDescent="0.2">
      <c r="V265" s="251"/>
    </row>
    <row r="266" spans="22:22" x14ac:dyDescent="0.2">
      <c r="V266" s="251"/>
    </row>
    <row r="267" spans="22:22" x14ac:dyDescent="0.2">
      <c r="V267" s="251"/>
    </row>
    <row r="268" spans="22:22" x14ac:dyDescent="0.2">
      <c r="V268" s="251"/>
    </row>
    <row r="269" spans="22:22" x14ac:dyDescent="0.2">
      <c r="V269" s="251"/>
    </row>
    <row r="270" spans="22:22" x14ac:dyDescent="0.2">
      <c r="V270" s="251"/>
    </row>
    <row r="271" spans="22:22" x14ac:dyDescent="0.2">
      <c r="V271" s="251"/>
    </row>
    <row r="272" spans="22:22" x14ac:dyDescent="0.2">
      <c r="V272" s="251"/>
    </row>
    <row r="273" spans="22:22" x14ac:dyDescent="0.2">
      <c r="V273" s="251"/>
    </row>
    <row r="274" spans="22:22" x14ac:dyDescent="0.2">
      <c r="V274" s="251"/>
    </row>
    <row r="275" spans="22:22" x14ac:dyDescent="0.2">
      <c r="V275" s="251"/>
    </row>
    <row r="276" spans="22:22" x14ac:dyDescent="0.2">
      <c r="V276" s="251"/>
    </row>
    <row r="277" spans="22:22" x14ac:dyDescent="0.2">
      <c r="V277" s="251"/>
    </row>
    <row r="278" spans="22:22" x14ac:dyDescent="0.2">
      <c r="V278" s="251"/>
    </row>
    <row r="279" spans="22:22" x14ac:dyDescent="0.2">
      <c r="V279" s="251"/>
    </row>
    <row r="280" spans="22:22" x14ac:dyDescent="0.2">
      <c r="V280" s="251"/>
    </row>
    <row r="281" spans="22:22" x14ac:dyDescent="0.2">
      <c r="V281" s="251"/>
    </row>
    <row r="282" spans="22:22" x14ac:dyDescent="0.2">
      <c r="V282" s="251"/>
    </row>
    <row r="283" spans="22:22" x14ac:dyDescent="0.2">
      <c r="V283" s="251"/>
    </row>
    <row r="284" spans="22:22" x14ac:dyDescent="0.2">
      <c r="V284" s="251"/>
    </row>
    <row r="285" spans="22:22" x14ac:dyDescent="0.2">
      <c r="V285" s="251"/>
    </row>
    <row r="286" spans="22:22" x14ac:dyDescent="0.2">
      <c r="V286" s="251"/>
    </row>
    <row r="287" spans="22:22" x14ac:dyDescent="0.2">
      <c r="V287" s="251"/>
    </row>
    <row r="288" spans="22:22" x14ac:dyDescent="0.2">
      <c r="V288" s="251"/>
    </row>
    <row r="289" spans="22:22" x14ac:dyDescent="0.2">
      <c r="V289" s="251"/>
    </row>
    <row r="290" spans="22:22" x14ac:dyDescent="0.2">
      <c r="V290" s="251"/>
    </row>
    <row r="291" spans="22:22" x14ac:dyDescent="0.2">
      <c r="V291" s="251"/>
    </row>
    <row r="292" spans="22:22" x14ac:dyDescent="0.2">
      <c r="V292" s="251"/>
    </row>
    <row r="293" spans="22:22" x14ac:dyDescent="0.2">
      <c r="V293" s="251"/>
    </row>
    <row r="294" spans="22:22" x14ac:dyDescent="0.2">
      <c r="V294" s="251"/>
    </row>
    <row r="295" spans="22:22" x14ac:dyDescent="0.2">
      <c r="V295" s="251"/>
    </row>
    <row r="296" spans="22:22" x14ac:dyDescent="0.2">
      <c r="V296" s="251"/>
    </row>
    <row r="297" spans="22:22" x14ac:dyDescent="0.2">
      <c r="V297" s="251"/>
    </row>
    <row r="298" spans="22:22" x14ac:dyDescent="0.2">
      <c r="V298" s="251"/>
    </row>
    <row r="299" spans="22:22" x14ac:dyDescent="0.2">
      <c r="V299" s="251"/>
    </row>
    <row r="300" spans="22:22" x14ac:dyDescent="0.2">
      <c r="V300" s="251"/>
    </row>
    <row r="301" spans="22:22" x14ac:dyDescent="0.2">
      <c r="V301" s="251"/>
    </row>
    <row r="302" spans="22:22" x14ac:dyDescent="0.2">
      <c r="V302" s="251"/>
    </row>
    <row r="303" spans="22:22" x14ac:dyDescent="0.2">
      <c r="V303" s="251"/>
    </row>
    <row r="304" spans="22:22" x14ac:dyDescent="0.2">
      <c r="V304" s="251"/>
    </row>
    <row r="305" spans="22:22" x14ac:dyDescent="0.2">
      <c r="V305" s="251"/>
    </row>
    <row r="306" spans="22:22" x14ac:dyDescent="0.2">
      <c r="V306" s="251"/>
    </row>
    <row r="307" spans="22:22" x14ac:dyDescent="0.2">
      <c r="V307" s="251"/>
    </row>
    <row r="308" spans="22:22" x14ac:dyDescent="0.2">
      <c r="V308" s="251"/>
    </row>
    <row r="309" spans="22:22" x14ac:dyDescent="0.2">
      <c r="V309" s="251"/>
    </row>
    <row r="310" spans="22:22" x14ac:dyDescent="0.2">
      <c r="V310" s="251"/>
    </row>
    <row r="311" spans="22:22" x14ac:dyDescent="0.2">
      <c r="V311" s="251"/>
    </row>
    <row r="312" spans="22:22" x14ac:dyDescent="0.2">
      <c r="V312" s="251"/>
    </row>
    <row r="313" spans="22:22" x14ac:dyDescent="0.2">
      <c r="V313" s="251"/>
    </row>
    <row r="314" spans="22:22" x14ac:dyDescent="0.2">
      <c r="V314" s="251"/>
    </row>
    <row r="315" spans="22:22" x14ac:dyDescent="0.2">
      <c r="V315" s="251"/>
    </row>
    <row r="316" spans="22:22" x14ac:dyDescent="0.2">
      <c r="V316" s="251"/>
    </row>
    <row r="317" spans="22:22" x14ac:dyDescent="0.2">
      <c r="V317" s="251"/>
    </row>
    <row r="318" spans="22:22" x14ac:dyDescent="0.2">
      <c r="V318" s="251"/>
    </row>
    <row r="319" spans="22:22" x14ac:dyDescent="0.2">
      <c r="V319" s="251"/>
    </row>
    <row r="320" spans="22:22" x14ac:dyDescent="0.2">
      <c r="V320" s="251"/>
    </row>
    <row r="321" spans="22:22" x14ac:dyDescent="0.2">
      <c r="V321" s="251"/>
    </row>
    <row r="322" spans="22:22" x14ac:dyDescent="0.2">
      <c r="V322" s="251"/>
    </row>
    <row r="323" spans="22:22" x14ac:dyDescent="0.2">
      <c r="V323" s="251"/>
    </row>
    <row r="324" spans="22:22" x14ac:dyDescent="0.2">
      <c r="V324" s="251"/>
    </row>
    <row r="325" spans="22:22" x14ac:dyDescent="0.2">
      <c r="V325" s="251"/>
    </row>
    <row r="326" spans="22:22" x14ac:dyDescent="0.2">
      <c r="V326" s="251"/>
    </row>
    <row r="327" spans="22:22" x14ac:dyDescent="0.2">
      <c r="V327" s="251"/>
    </row>
    <row r="328" spans="22:22" x14ac:dyDescent="0.2">
      <c r="V328" s="251"/>
    </row>
    <row r="329" spans="22:22" x14ac:dyDescent="0.2">
      <c r="V329" s="251"/>
    </row>
    <row r="330" spans="22:22" x14ac:dyDescent="0.2">
      <c r="V330" s="251"/>
    </row>
    <row r="331" spans="22:22" x14ac:dyDescent="0.2">
      <c r="V331" s="251"/>
    </row>
    <row r="332" spans="22:22" x14ac:dyDescent="0.2">
      <c r="V332" s="251"/>
    </row>
    <row r="333" spans="22:22" x14ac:dyDescent="0.2">
      <c r="V333" s="251"/>
    </row>
    <row r="334" spans="22:22" x14ac:dyDescent="0.2">
      <c r="V334" s="251"/>
    </row>
    <row r="335" spans="22:22" x14ac:dyDescent="0.2">
      <c r="V335" s="251"/>
    </row>
    <row r="336" spans="22:22" x14ac:dyDescent="0.2">
      <c r="V336" s="251"/>
    </row>
    <row r="337" spans="22:22" x14ac:dyDescent="0.2">
      <c r="V337" s="251"/>
    </row>
    <row r="338" spans="22:22" x14ac:dyDescent="0.2">
      <c r="V338" s="251"/>
    </row>
    <row r="339" spans="22:22" x14ac:dyDescent="0.2">
      <c r="V339" s="251"/>
    </row>
    <row r="340" spans="22:22" x14ac:dyDescent="0.2">
      <c r="V340" s="251"/>
    </row>
    <row r="341" spans="22:22" x14ac:dyDescent="0.2">
      <c r="V341" s="251"/>
    </row>
    <row r="342" spans="22:22" x14ac:dyDescent="0.2">
      <c r="V342" s="251"/>
    </row>
    <row r="343" spans="22:22" x14ac:dyDescent="0.2">
      <c r="V343" s="251"/>
    </row>
    <row r="344" spans="22:22" x14ac:dyDescent="0.2">
      <c r="V344" s="251"/>
    </row>
    <row r="345" spans="22:22" x14ac:dyDescent="0.2">
      <c r="V345" s="251"/>
    </row>
    <row r="346" spans="22:22" x14ac:dyDescent="0.2">
      <c r="V346" s="251"/>
    </row>
    <row r="347" spans="22:22" x14ac:dyDescent="0.2">
      <c r="V347" s="251"/>
    </row>
    <row r="348" spans="22:22" x14ac:dyDescent="0.2">
      <c r="V348" s="251"/>
    </row>
    <row r="349" spans="22:22" x14ac:dyDescent="0.2">
      <c r="V349" s="251"/>
    </row>
    <row r="350" spans="22:22" x14ac:dyDescent="0.2">
      <c r="V350" s="251"/>
    </row>
    <row r="351" spans="22:22" x14ac:dyDescent="0.2">
      <c r="V351" s="251"/>
    </row>
    <row r="352" spans="22:22" x14ac:dyDescent="0.2">
      <c r="V352" s="251"/>
    </row>
    <row r="353" spans="22:22" x14ac:dyDescent="0.2">
      <c r="V353" s="251"/>
    </row>
    <row r="354" spans="22:22" x14ac:dyDescent="0.2">
      <c r="V354" s="251"/>
    </row>
    <row r="355" spans="22:22" x14ac:dyDescent="0.2">
      <c r="V355" s="251"/>
    </row>
    <row r="356" spans="22:22" x14ac:dyDescent="0.2">
      <c r="V356" s="251"/>
    </row>
    <row r="357" spans="22:22" x14ac:dyDescent="0.2">
      <c r="V357" s="251"/>
    </row>
    <row r="358" spans="22:22" x14ac:dyDescent="0.2">
      <c r="V358" s="251"/>
    </row>
    <row r="359" spans="22:22" x14ac:dyDescent="0.2">
      <c r="V359" s="251"/>
    </row>
    <row r="360" spans="22:22" x14ac:dyDescent="0.2">
      <c r="V360" s="251"/>
    </row>
    <row r="361" spans="22:22" x14ac:dyDescent="0.2">
      <c r="V361" s="251"/>
    </row>
    <row r="362" spans="22:22" x14ac:dyDescent="0.2">
      <c r="V362" s="251"/>
    </row>
    <row r="363" spans="22:22" x14ac:dyDescent="0.2">
      <c r="V363" s="251"/>
    </row>
    <row r="364" spans="22:22" x14ac:dyDescent="0.2">
      <c r="V364" s="251"/>
    </row>
    <row r="365" spans="22:22" x14ac:dyDescent="0.2">
      <c r="V365" s="251"/>
    </row>
    <row r="366" spans="22:22" x14ac:dyDescent="0.2">
      <c r="V366" s="251"/>
    </row>
    <row r="367" spans="22:22" x14ac:dyDescent="0.2">
      <c r="V367" s="251"/>
    </row>
    <row r="368" spans="22:22" x14ac:dyDescent="0.2">
      <c r="V368" s="251"/>
    </row>
    <row r="369" spans="22:22" x14ac:dyDescent="0.2">
      <c r="V369" s="251"/>
    </row>
    <row r="370" spans="22:22" x14ac:dyDescent="0.2">
      <c r="V370" s="251"/>
    </row>
    <row r="371" spans="22:22" x14ac:dyDescent="0.2">
      <c r="V371" s="251"/>
    </row>
    <row r="372" spans="22:22" x14ac:dyDescent="0.2">
      <c r="V372" s="251"/>
    </row>
    <row r="373" spans="22:22" x14ac:dyDescent="0.2">
      <c r="V373" s="251"/>
    </row>
    <row r="374" spans="22:22" x14ac:dyDescent="0.2">
      <c r="V374" s="251"/>
    </row>
    <row r="375" spans="22:22" x14ac:dyDescent="0.2">
      <c r="V375" s="251"/>
    </row>
    <row r="376" spans="22:22" x14ac:dyDescent="0.2">
      <c r="V376" s="251"/>
    </row>
    <row r="377" spans="22:22" x14ac:dyDescent="0.2">
      <c r="V377" s="251"/>
    </row>
    <row r="378" spans="22:22" x14ac:dyDescent="0.2">
      <c r="V378" s="251"/>
    </row>
    <row r="379" spans="22:22" x14ac:dyDescent="0.2">
      <c r="V379" s="251"/>
    </row>
    <row r="380" spans="22:22" x14ac:dyDescent="0.2">
      <c r="V380" s="251"/>
    </row>
    <row r="381" spans="22:22" x14ac:dyDescent="0.2">
      <c r="V381" s="251"/>
    </row>
    <row r="382" spans="22:22" x14ac:dyDescent="0.2">
      <c r="V382" s="251"/>
    </row>
    <row r="383" spans="22:22" x14ac:dyDescent="0.2">
      <c r="V383" s="251"/>
    </row>
    <row r="384" spans="22:22" x14ac:dyDescent="0.2">
      <c r="V384" s="251"/>
    </row>
    <row r="385" spans="22:22" x14ac:dyDescent="0.2">
      <c r="V385" s="251"/>
    </row>
    <row r="386" spans="22:22" x14ac:dyDescent="0.2">
      <c r="V386" s="251"/>
    </row>
    <row r="387" spans="22:22" x14ac:dyDescent="0.2">
      <c r="V387" s="251"/>
    </row>
    <row r="388" spans="22:22" x14ac:dyDescent="0.2">
      <c r="V388" s="251"/>
    </row>
    <row r="389" spans="22:22" x14ac:dyDescent="0.2">
      <c r="V389" s="251"/>
    </row>
    <row r="390" spans="22:22" x14ac:dyDescent="0.2">
      <c r="V390" s="251"/>
    </row>
    <row r="391" spans="22:22" x14ac:dyDescent="0.2">
      <c r="V391" s="251"/>
    </row>
    <row r="392" spans="22:22" x14ac:dyDescent="0.2">
      <c r="V392" s="251"/>
    </row>
    <row r="393" spans="22:22" x14ac:dyDescent="0.2">
      <c r="V393" s="251"/>
    </row>
    <row r="394" spans="22:22" x14ac:dyDescent="0.2">
      <c r="V394" s="251"/>
    </row>
    <row r="395" spans="22:22" x14ac:dyDescent="0.2">
      <c r="V395" s="251"/>
    </row>
    <row r="396" spans="22:22" x14ac:dyDescent="0.2">
      <c r="V396" s="251"/>
    </row>
    <row r="397" spans="22:22" x14ac:dyDescent="0.2">
      <c r="V397" s="251"/>
    </row>
    <row r="398" spans="22:22" x14ac:dyDescent="0.2">
      <c r="V398" s="251"/>
    </row>
    <row r="399" spans="22:22" x14ac:dyDescent="0.2">
      <c r="V399" s="251"/>
    </row>
    <row r="400" spans="22:22" x14ac:dyDescent="0.2">
      <c r="V400" s="251"/>
    </row>
    <row r="401" spans="22:22" x14ac:dyDescent="0.2">
      <c r="V401" s="251"/>
    </row>
    <row r="402" spans="22:22" x14ac:dyDescent="0.2">
      <c r="V402" s="251"/>
    </row>
    <row r="403" spans="22:22" x14ac:dyDescent="0.2">
      <c r="V403" s="251"/>
    </row>
    <row r="404" spans="22:22" x14ac:dyDescent="0.2">
      <c r="V404" s="251"/>
    </row>
    <row r="405" spans="22:22" x14ac:dyDescent="0.2">
      <c r="V405" s="251"/>
    </row>
    <row r="406" spans="22:22" x14ac:dyDescent="0.2">
      <c r="V406" s="251"/>
    </row>
    <row r="407" spans="22:22" x14ac:dyDescent="0.2">
      <c r="V407" s="251"/>
    </row>
    <row r="408" spans="22:22" x14ac:dyDescent="0.2">
      <c r="V408" s="251"/>
    </row>
    <row r="409" spans="22:22" x14ac:dyDescent="0.2">
      <c r="V409" s="251"/>
    </row>
    <row r="410" spans="22:22" x14ac:dyDescent="0.2">
      <c r="V410" s="251"/>
    </row>
    <row r="411" spans="22:22" x14ac:dyDescent="0.2">
      <c r="V411" s="251"/>
    </row>
    <row r="412" spans="22:22" x14ac:dyDescent="0.2">
      <c r="V412" s="251"/>
    </row>
    <row r="413" spans="22:22" x14ac:dyDescent="0.2">
      <c r="V413" s="251"/>
    </row>
    <row r="414" spans="22:22" x14ac:dyDescent="0.2">
      <c r="V414" s="251"/>
    </row>
    <row r="415" spans="22:22" x14ac:dyDescent="0.2">
      <c r="V415" s="251"/>
    </row>
    <row r="416" spans="22:22" x14ac:dyDescent="0.2">
      <c r="V416" s="251"/>
    </row>
    <row r="417" spans="22:22" x14ac:dyDescent="0.2">
      <c r="V417" s="251"/>
    </row>
    <row r="418" spans="22:22" x14ac:dyDescent="0.2">
      <c r="V418" s="251"/>
    </row>
    <row r="419" spans="22:22" x14ac:dyDescent="0.2">
      <c r="V419" s="251"/>
    </row>
    <row r="420" spans="22:22" x14ac:dyDescent="0.2">
      <c r="V420" s="251"/>
    </row>
    <row r="421" spans="22:22" x14ac:dyDescent="0.2">
      <c r="V421" s="251"/>
    </row>
    <row r="422" spans="22:22" x14ac:dyDescent="0.2">
      <c r="V422" s="251"/>
    </row>
    <row r="423" spans="22:22" x14ac:dyDescent="0.2">
      <c r="V423" s="251"/>
    </row>
    <row r="424" spans="22:22" x14ac:dyDescent="0.2">
      <c r="V424" s="251"/>
    </row>
    <row r="425" spans="22:22" x14ac:dyDescent="0.2">
      <c r="V425" s="251"/>
    </row>
    <row r="426" spans="22:22" x14ac:dyDescent="0.2">
      <c r="V426" s="251"/>
    </row>
    <row r="427" spans="22:22" x14ac:dyDescent="0.2">
      <c r="V427" s="251"/>
    </row>
    <row r="428" spans="22:22" x14ac:dyDescent="0.2">
      <c r="V428" s="251"/>
    </row>
    <row r="429" spans="22:22" x14ac:dyDescent="0.2">
      <c r="V429" s="251"/>
    </row>
    <row r="430" spans="22:22" x14ac:dyDescent="0.2">
      <c r="V430" s="251"/>
    </row>
    <row r="431" spans="22:22" x14ac:dyDescent="0.2">
      <c r="V431" s="251"/>
    </row>
    <row r="432" spans="22:22" x14ac:dyDescent="0.2">
      <c r="V432" s="251"/>
    </row>
    <row r="433" spans="22:22" x14ac:dyDescent="0.2">
      <c r="V433" s="251"/>
    </row>
    <row r="434" spans="22:22" x14ac:dyDescent="0.2">
      <c r="V434" s="251"/>
    </row>
    <row r="435" spans="22:22" x14ac:dyDescent="0.2">
      <c r="V435" s="251"/>
    </row>
    <row r="436" spans="22:22" x14ac:dyDescent="0.2">
      <c r="V436" s="251"/>
    </row>
    <row r="437" spans="22:22" x14ac:dyDescent="0.2">
      <c r="V437" s="251"/>
    </row>
    <row r="438" spans="22:22" x14ac:dyDescent="0.2">
      <c r="V438" s="251"/>
    </row>
    <row r="439" spans="22:22" x14ac:dyDescent="0.2">
      <c r="V439" s="251"/>
    </row>
    <row r="440" spans="22:22" x14ac:dyDescent="0.2">
      <c r="V440" s="251"/>
    </row>
    <row r="441" spans="22:22" x14ac:dyDescent="0.2">
      <c r="V441" s="251"/>
    </row>
    <row r="442" spans="22:22" x14ac:dyDescent="0.2">
      <c r="V442" s="251"/>
    </row>
    <row r="443" spans="22:22" x14ac:dyDescent="0.2">
      <c r="V443" s="251"/>
    </row>
    <row r="444" spans="22:22" x14ac:dyDescent="0.2">
      <c r="V444" s="251"/>
    </row>
    <row r="445" spans="22:22" x14ac:dyDescent="0.2">
      <c r="V445" s="251"/>
    </row>
    <row r="446" spans="22:22" x14ac:dyDescent="0.2">
      <c r="V446" s="251"/>
    </row>
    <row r="447" spans="22:22" x14ac:dyDescent="0.2">
      <c r="V447" s="251"/>
    </row>
    <row r="448" spans="22:22" x14ac:dyDescent="0.2">
      <c r="V448" s="251"/>
    </row>
    <row r="449" spans="22:22" x14ac:dyDescent="0.2">
      <c r="V449" s="251"/>
    </row>
    <row r="450" spans="22:22" x14ac:dyDescent="0.2">
      <c r="V450" s="251"/>
    </row>
    <row r="451" spans="22:22" x14ac:dyDescent="0.2">
      <c r="V451" s="251"/>
    </row>
    <row r="452" spans="22:22" x14ac:dyDescent="0.2">
      <c r="V452" s="251"/>
    </row>
    <row r="453" spans="22:22" x14ac:dyDescent="0.2">
      <c r="V453" s="251"/>
    </row>
    <row r="454" spans="22:22" x14ac:dyDescent="0.2">
      <c r="V454" s="251"/>
    </row>
    <row r="455" spans="22:22" x14ac:dyDescent="0.2">
      <c r="V455" s="251"/>
    </row>
    <row r="456" spans="22:22" x14ac:dyDescent="0.2">
      <c r="V456" s="251"/>
    </row>
    <row r="457" spans="22:22" x14ac:dyDescent="0.2">
      <c r="V457" s="251"/>
    </row>
    <row r="458" spans="22:22" x14ac:dyDescent="0.2">
      <c r="V458" s="251"/>
    </row>
    <row r="459" spans="22:22" x14ac:dyDescent="0.2">
      <c r="V459" s="251"/>
    </row>
    <row r="460" spans="22:22" x14ac:dyDescent="0.2">
      <c r="V460" s="251"/>
    </row>
    <row r="461" spans="22:22" x14ac:dyDescent="0.2">
      <c r="V461" s="251"/>
    </row>
    <row r="462" spans="22:22" x14ac:dyDescent="0.2">
      <c r="V462" s="251"/>
    </row>
    <row r="463" spans="22:22" x14ac:dyDescent="0.2">
      <c r="V463" s="251"/>
    </row>
    <row r="464" spans="22:22" x14ac:dyDescent="0.2">
      <c r="V464" s="251"/>
    </row>
    <row r="465" spans="22:22" x14ac:dyDescent="0.2">
      <c r="V465" s="251"/>
    </row>
    <row r="466" spans="22:22" x14ac:dyDescent="0.2">
      <c r="V466" s="251"/>
    </row>
    <row r="467" spans="22:22" x14ac:dyDescent="0.2">
      <c r="V467" s="251"/>
    </row>
    <row r="468" spans="22:22" x14ac:dyDescent="0.2">
      <c r="V468" s="251"/>
    </row>
    <row r="469" spans="22:22" x14ac:dyDescent="0.2">
      <c r="V469" s="251"/>
    </row>
    <row r="470" spans="22:22" x14ac:dyDescent="0.2">
      <c r="V470" s="251"/>
    </row>
    <row r="471" spans="22:22" x14ac:dyDescent="0.2">
      <c r="V471" s="251"/>
    </row>
    <row r="472" spans="22:22" x14ac:dyDescent="0.2">
      <c r="V472" s="251"/>
    </row>
    <row r="473" spans="22:22" x14ac:dyDescent="0.2">
      <c r="V473" s="251"/>
    </row>
    <row r="474" spans="22:22" x14ac:dyDescent="0.2">
      <c r="V474" s="251"/>
    </row>
    <row r="475" spans="22:22" x14ac:dyDescent="0.2">
      <c r="V475" s="251"/>
    </row>
    <row r="476" spans="22:22" x14ac:dyDescent="0.2">
      <c r="V476" s="251"/>
    </row>
    <row r="477" spans="22:22" x14ac:dyDescent="0.2">
      <c r="V477" s="251"/>
    </row>
    <row r="478" spans="22:22" x14ac:dyDescent="0.2">
      <c r="V478" s="251"/>
    </row>
    <row r="479" spans="22:22" x14ac:dyDescent="0.2">
      <c r="V479" s="251"/>
    </row>
    <row r="480" spans="22:22" x14ac:dyDescent="0.2">
      <c r="V480" s="251"/>
    </row>
    <row r="481" spans="22:22" x14ac:dyDescent="0.2">
      <c r="V481" s="251"/>
    </row>
    <row r="482" spans="22:22" x14ac:dyDescent="0.2">
      <c r="V482" s="251"/>
    </row>
    <row r="483" spans="22:22" x14ac:dyDescent="0.2">
      <c r="V483" s="251"/>
    </row>
    <row r="484" spans="22:22" x14ac:dyDescent="0.2">
      <c r="V484" s="251"/>
    </row>
    <row r="485" spans="22:22" x14ac:dyDescent="0.2">
      <c r="V485" s="251"/>
    </row>
    <row r="486" spans="22:22" x14ac:dyDescent="0.2">
      <c r="V486" s="251"/>
    </row>
    <row r="487" spans="22:22" x14ac:dyDescent="0.2">
      <c r="V487" s="251"/>
    </row>
    <row r="488" spans="22:22" x14ac:dyDescent="0.2">
      <c r="V488" s="251"/>
    </row>
    <row r="489" spans="22:22" x14ac:dyDescent="0.2">
      <c r="V489" s="251"/>
    </row>
    <row r="490" spans="22:22" x14ac:dyDescent="0.2">
      <c r="V490" s="251"/>
    </row>
    <row r="491" spans="22:22" x14ac:dyDescent="0.2">
      <c r="V491" s="251"/>
    </row>
    <row r="492" spans="22:22" x14ac:dyDescent="0.2">
      <c r="V492" s="251"/>
    </row>
    <row r="493" spans="22:22" x14ac:dyDescent="0.2">
      <c r="V493" s="251"/>
    </row>
    <row r="494" spans="22:22" x14ac:dyDescent="0.2">
      <c r="V494" s="251"/>
    </row>
    <row r="495" spans="22:22" x14ac:dyDescent="0.2">
      <c r="V495" s="251"/>
    </row>
    <row r="496" spans="22:22" x14ac:dyDescent="0.2">
      <c r="V496" s="251"/>
    </row>
    <row r="497" spans="22:22" x14ac:dyDescent="0.2">
      <c r="V497" s="251"/>
    </row>
    <row r="498" spans="22:22" x14ac:dyDescent="0.2">
      <c r="V498" s="251"/>
    </row>
    <row r="499" spans="22:22" x14ac:dyDescent="0.2">
      <c r="V499" s="251"/>
    </row>
    <row r="500" spans="22:22" x14ac:dyDescent="0.2">
      <c r="V500" s="251"/>
    </row>
    <row r="501" spans="22:22" x14ac:dyDescent="0.2">
      <c r="V501" s="251"/>
    </row>
    <row r="502" spans="22:22" x14ac:dyDescent="0.2">
      <c r="V502" s="251"/>
    </row>
    <row r="503" spans="22:22" x14ac:dyDescent="0.2">
      <c r="V503" s="251"/>
    </row>
    <row r="504" spans="22:22" x14ac:dyDescent="0.2">
      <c r="V504" s="251"/>
    </row>
    <row r="505" spans="22:22" x14ac:dyDescent="0.2">
      <c r="V505" s="251"/>
    </row>
    <row r="506" spans="22:22" x14ac:dyDescent="0.2">
      <c r="V506" s="251"/>
    </row>
    <row r="507" spans="22:22" x14ac:dyDescent="0.2">
      <c r="V507" s="251"/>
    </row>
    <row r="508" spans="22:22" x14ac:dyDescent="0.2">
      <c r="V508" s="251"/>
    </row>
    <row r="509" spans="22:22" x14ac:dyDescent="0.2">
      <c r="V509" s="251"/>
    </row>
    <row r="510" spans="22:22" x14ac:dyDescent="0.2">
      <c r="V510" s="251"/>
    </row>
    <row r="511" spans="22:22" x14ac:dyDescent="0.2">
      <c r="V511" s="251"/>
    </row>
    <row r="512" spans="22:22" x14ac:dyDescent="0.2">
      <c r="V512" s="251"/>
    </row>
    <row r="513" spans="22:22" x14ac:dyDescent="0.2">
      <c r="V513" s="251"/>
    </row>
    <row r="514" spans="22:22" x14ac:dyDescent="0.2">
      <c r="V514" s="251"/>
    </row>
    <row r="515" spans="22:22" x14ac:dyDescent="0.2">
      <c r="V515" s="251"/>
    </row>
    <row r="516" spans="22:22" x14ac:dyDescent="0.2">
      <c r="V516" s="251"/>
    </row>
    <row r="517" spans="22:22" x14ac:dyDescent="0.2">
      <c r="V517" s="251"/>
    </row>
    <row r="518" spans="22:22" x14ac:dyDescent="0.2">
      <c r="V518" s="251"/>
    </row>
    <row r="519" spans="22:22" x14ac:dyDescent="0.2">
      <c r="V519" s="251"/>
    </row>
    <row r="520" spans="22:22" x14ac:dyDescent="0.2">
      <c r="V520" s="251"/>
    </row>
    <row r="521" spans="22:22" x14ac:dyDescent="0.2">
      <c r="V521" s="251"/>
    </row>
    <row r="522" spans="22:22" x14ac:dyDescent="0.2">
      <c r="V522" s="251"/>
    </row>
    <row r="523" spans="22:22" x14ac:dyDescent="0.2">
      <c r="V523" s="251"/>
    </row>
    <row r="524" spans="22:22" x14ac:dyDescent="0.2">
      <c r="V524" s="251"/>
    </row>
    <row r="525" spans="22:22" x14ac:dyDescent="0.2">
      <c r="V525" s="251"/>
    </row>
    <row r="526" spans="22:22" x14ac:dyDescent="0.2">
      <c r="V526" s="251"/>
    </row>
    <row r="527" spans="22:22" x14ac:dyDescent="0.2">
      <c r="V527" s="251"/>
    </row>
    <row r="528" spans="22:22" x14ac:dyDescent="0.2">
      <c r="V528" s="251"/>
    </row>
    <row r="529" spans="22:22" x14ac:dyDescent="0.2">
      <c r="V529" s="251"/>
    </row>
    <row r="530" spans="22:22" x14ac:dyDescent="0.2">
      <c r="V530" s="251"/>
    </row>
    <row r="531" spans="22:22" x14ac:dyDescent="0.2">
      <c r="V531" s="251"/>
    </row>
    <row r="532" spans="22:22" x14ac:dyDescent="0.2">
      <c r="V532" s="251"/>
    </row>
    <row r="533" spans="22:22" x14ac:dyDescent="0.2">
      <c r="V533" s="251"/>
    </row>
    <row r="534" spans="22:22" x14ac:dyDescent="0.2">
      <c r="V534" s="251"/>
    </row>
    <row r="535" spans="22:22" x14ac:dyDescent="0.2">
      <c r="V535" s="251"/>
    </row>
    <row r="536" spans="22:22" x14ac:dyDescent="0.2">
      <c r="V536" s="251"/>
    </row>
    <row r="537" spans="22:22" x14ac:dyDescent="0.2">
      <c r="V537" s="251"/>
    </row>
    <row r="538" spans="22:22" x14ac:dyDescent="0.2">
      <c r="V538" s="251"/>
    </row>
    <row r="539" spans="22:22" x14ac:dyDescent="0.2">
      <c r="V539" s="251"/>
    </row>
    <row r="540" spans="22:22" x14ac:dyDescent="0.2">
      <c r="V540" s="251"/>
    </row>
    <row r="541" spans="22:22" x14ac:dyDescent="0.2">
      <c r="V541" s="251"/>
    </row>
    <row r="542" spans="22:22" x14ac:dyDescent="0.2">
      <c r="V542" s="251"/>
    </row>
    <row r="543" spans="22:22" x14ac:dyDescent="0.2">
      <c r="V543" s="251"/>
    </row>
    <row r="544" spans="22:22" x14ac:dyDescent="0.2">
      <c r="V544" s="251"/>
    </row>
    <row r="545" spans="22:22" x14ac:dyDescent="0.2">
      <c r="V545" s="251"/>
    </row>
    <row r="546" spans="22:22" x14ac:dyDescent="0.2">
      <c r="V546" s="251"/>
    </row>
    <row r="547" spans="22:22" x14ac:dyDescent="0.2">
      <c r="V547" s="251"/>
    </row>
    <row r="548" spans="22:22" x14ac:dyDescent="0.2">
      <c r="V548" s="251"/>
    </row>
    <row r="549" spans="22:22" x14ac:dyDescent="0.2">
      <c r="V549" s="251"/>
    </row>
    <row r="550" spans="22:22" x14ac:dyDescent="0.2">
      <c r="V550" s="251"/>
    </row>
    <row r="551" spans="22:22" x14ac:dyDescent="0.2">
      <c r="V551" s="251"/>
    </row>
    <row r="552" spans="22:22" x14ac:dyDescent="0.2">
      <c r="V552" s="251"/>
    </row>
    <row r="553" spans="22:22" x14ac:dyDescent="0.2">
      <c r="V553" s="251"/>
    </row>
    <row r="554" spans="22:22" x14ac:dyDescent="0.2">
      <c r="V554" s="251"/>
    </row>
    <row r="555" spans="22:22" x14ac:dyDescent="0.2">
      <c r="V555" s="251"/>
    </row>
    <row r="556" spans="22:22" x14ac:dyDescent="0.2">
      <c r="V556" s="251"/>
    </row>
    <row r="557" spans="22:22" x14ac:dyDescent="0.2">
      <c r="V557" s="251"/>
    </row>
    <row r="558" spans="22:22" x14ac:dyDescent="0.2">
      <c r="V558" s="251"/>
    </row>
    <row r="559" spans="22:22" x14ac:dyDescent="0.2">
      <c r="V559" s="251"/>
    </row>
    <row r="560" spans="22:22" x14ac:dyDescent="0.2">
      <c r="V560" s="251"/>
    </row>
    <row r="561" spans="22:22" x14ac:dyDescent="0.2">
      <c r="V561" s="251"/>
    </row>
    <row r="562" spans="22:22" x14ac:dyDescent="0.2">
      <c r="V562" s="251"/>
    </row>
    <row r="563" spans="22:22" x14ac:dyDescent="0.2">
      <c r="V563" s="251"/>
    </row>
    <row r="564" spans="22:22" x14ac:dyDescent="0.2">
      <c r="V564" s="251"/>
    </row>
    <row r="565" spans="22:22" x14ac:dyDescent="0.2">
      <c r="V565" s="251"/>
    </row>
    <row r="566" spans="22:22" x14ac:dyDescent="0.2">
      <c r="V566" s="251"/>
    </row>
    <row r="567" spans="22:22" x14ac:dyDescent="0.2">
      <c r="V567" s="251"/>
    </row>
    <row r="568" spans="22:22" x14ac:dyDescent="0.2">
      <c r="V568" s="251"/>
    </row>
    <row r="569" spans="22:22" x14ac:dyDescent="0.2">
      <c r="V569" s="251"/>
    </row>
    <row r="570" spans="22:22" x14ac:dyDescent="0.2">
      <c r="V570" s="251"/>
    </row>
    <row r="571" spans="22:22" x14ac:dyDescent="0.2">
      <c r="V571" s="251"/>
    </row>
    <row r="572" spans="22:22" x14ac:dyDescent="0.2">
      <c r="V572" s="251"/>
    </row>
    <row r="573" spans="22:22" x14ac:dyDescent="0.2">
      <c r="V573" s="251"/>
    </row>
    <row r="574" spans="22:22" x14ac:dyDescent="0.2">
      <c r="V574" s="251"/>
    </row>
    <row r="575" spans="22:22" x14ac:dyDescent="0.2">
      <c r="V575" s="251"/>
    </row>
    <row r="576" spans="22:22" x14ac:dyDescent="0.2">
      <c r="V576" s="251"/>
    </row>
    <row r="577" spans="22:22" x14ac:dyDescent="0.2">
      <c r="V577" s="251"/>
    </row>
    <row r="578" spans="22:22" x14ac:dyDescent="0.2">
      <c r="V578" s="251"/>
    </row>
    <row r="579" spans="22:22" x14ac:dyDescent="0.2">
      <c r="V579" s="251"/>
    </row>
    <row r="580" spans="22:22" x14ac:dyDescent="0.2">
      <c r="V580" s="251"/>
    </row>
    <row r="581" spans="22:22" x14ac:dyDescent="0.2">
      <c r="V581" s="251"/>
    </row>
    <row r="582" spans="22:22" x14ac:dyDescent="0.2">
      <c r="V582" s="251"/>
    </row>
    <row r="583" spans="22:22" x14ac:dyDescent="0.2">
      <c r="V583" s="251"/>
    </row>
    <row r="584" spans="22:22" x14ac:dyDescent="0.2">
      <c r="V584" s="251"/>
    </row>
    <row r="585" spans="22:22" x14ac:dyDescent="0.2">
      <c r="V585" s="251"/>
    </row>
    <row r="586" spans="22:22" x14ac:dyDescent="0.2">
      <c r="V586" s="251"/>
    </row>
    <row r="587" spans="22:22" x14ac:dyDescent="0.2">
      <c r="V587" s="251"/>
    </row>
    <row r="588" spans="22:22" x14ac:dyDescent="0.2">
      <c r="V588" s="251"/>
    </row>
    <row r="589" spans="22:22" x14ac:dyDescent="0.2">
      <c r="V589" s="251"/>
    </row>
    <row r="590" spans="22:22" x14ac:dyDescent="0.2">
      <c r="V590" s="251"/>
    </row>
    <row r="591" spans="22:22" x14ac:dyDescent="0.2">
      <c r="V591" s="251"/>
    </row>
    <row r="592" spans="22:22" x14ac:dyDescent="0.2">
      <c r="V592" s="251"/>
    </row>
    <row r="593" spans="22:22" x14ac:dyDescent="0.2">
      <c r="V593" s="251"/>
    </row>
    <row r="594" spans="22:22" x14ac:dyDescent="0.2">
      <c r="V594" s="251"/>
    </row>
    <row r="595" spans="22:22" x14ac:dyDescent="0.2">
      <c r="V595" s="251"/>
    </row>
    <row r="596" spans="22:22" x14ac:dyDescent="0.2">
      <c r="V596" s="251"/>
    </row>
    <row r="597" spans="22:22" x14ac:dyDescent="0.2">
      <c r="V597" s="251"/>
    </row>
    <row r="598" spans="22:22" x14ac:dyDescent="0.2">
      <c r="V598" s="251"/>
    </row>
    <row r="599" spans="22:22" x14ac:dyDescent="0.2">
      <c r="V599" s="251"/>
    </row>
    <row r="600" spans="22:22" x14ac:dyDescent="0.2">
      <c r="V600" s="251"/>
    </row>
    <row r="601" spans="22:22" x14ac:dyDescent="0.2">
      <c r="V601" s="251"/>
    </row>
    <row r="602" spans="22:22" x14ac:dyDescent="0.2">
      <c r="V602" s="251"/>
    </row>
    <row r="603" spans="22:22" x14ac:dyDescent="0.2">
      <c r="V603" s="251"/>
    </row>
    <row r="604" spans="22:22" x14ac:dyDescent="0.2">
      <c r="V604" s="251"/>
    </row>
    <row r="605" spans="22:22" x14ac:dyDescent="0.2">
      <c r="V605" s="251"/>
    </row>
    <row r="606" spans="22:22" x14ac:dyDescent="0.2">
      <c r="V606" s="251"/>
    </row>
    <row r="607" spans="22:22" x14ac:dyDescent="0.2">
      <c r="V607" s="251"/>
    </row>
    <row r="608" spans="22:22" x14ac:dyDescent="0.2">
      <c r="V608" s="251"/>
    </row>
    <row r="609" spans="22:22" x14ac:dyDescent="0.2">
      <c r="V609" s="251"/>
    </row>
    <row r="610" spans="22:22" x14ac:dyDescent="0.2">
      <c r="V610" s="251"/>
    </row>
    <row r="611" spans="22:22" x14ac:dyDescent="0.2">
      <c r="V611" s="251"/>
    </row>
    <row r="612" spans="22:22" x14ac:dyDescent="0.2">
      <c r="V612" s="251"/>
    </row>
    <row r="613" spans="22:22" x14ac:dyDescent="0.2">
      <c r="V613" s="251"/>
    </row>
    <row r="614" spans="22:22" x14ac:dyDescent="0.2">
      <c r="V614" s="251"/>
    </row>
    <row r="615" spans="22:22" x14ac:dyDescent="0.2">
      <c r="V615" s="251"/>
    </row>
    <row r="616" spans="22:22" x14ac:dyDescent="0.2">
      <c r="V616" s="251"/>
    </row>
    <row r="617" spans="22:22" x14ac:dyDescent="0.2">
      <c r="V617" s="251"/>
    </row>
    <row r="618" spans="22:22" x14ac:dyDescent="0.2">
      <c r="V618" s="251"/>
    </row>
    <row r="619" spans="22:22" x14ac:dyDescent="0.2">
      <c r="V619" s="251"/>
    </row>
    <row r="620" spans="22:22" x14ac:dyDescent="0.2">
      <c r="V620" s="251"/>
    </row>
    <row r="621" spans="22:22" x14ac:dyDescent="0.2">
      <c r="V621" s="251"/>
    </row>
    <row r="622" spans="22:22" x14ac:dyDescent="0.2">
      <c r="V622" s="251"/>
    </row>
    <row r="623" spans="22:22" x14ac:dyDescent="0.2">
      <c r="V623" s="251"/>
    </row>
    <row r="624" spans="22:22" x14ac:dyDescent="0.2">
      <c r="V624" s="251"/>
    </row>
    <row r="625" spans="22:22" x14ac:dyDescent="0.2">
      <c r="V625" s="251"/>
    </row>
    <row r="626" spans="22:22" x14ac:dyDescent="0.2">
      <c r="V626" s="251"/>
    </row>
    <row r="627" spans="22:22" x14ac:dyDescent="0.2">
      <c r="V627" s="251"/>
    </row>
    <row r="628" spans="22:22" x14ac:dyDescent="0.2">
      <c r="V628" s="251"/>
    </row>
    <row r="629" spans="22:22" x14ac:dyDescent="0.2">
      <c r="V629" s="251"/>
    </row>
    <row r="630" spans="22:22" x14ac:dyDescent="0.2">
      <c r="V630" s="251"/>
    </row>
    <row r="631" spans="22:22" x14ac:dyDescent="0.2">
      <c r="V631" s="251"/>
    </row>
    <row r="632" spans="22:22" x14ac:dyDescent="0.2">
      <c r="V632" s="251"/>
    </row>
    <row r="633" spans="22:22" x14ac:dyDescent="0.2">
      <c r="V633" s="251"/>
    </row>
    <row r="634" spans="22:22" x14ac:dyDescent="0.2">
      <c r="V634" s="251"/>
    </row>
    <row r="635" spans="22:22" x14ac:dyDescent="0.2">
      <c r="V635" s="251"/>
    </row>
    <row r="636" spans="22:22" x14ac:dyDescent="0.2">
      <c r="V636" s="251"/>
    </row>
    <row r="637" spans="22:22" x14ac:dyDescent="0.2">
      <c r="V637" s="251"/>
    </row>
    <row r="638" spans="22:22" x14ac:dyDescent="0.2">
      <c r="V638" s="251"/>
    </row>
    <row r="639" spans="22:22" x14ac:dyDescent="0.2">
      <c r="V639" s="251"/>
    </row>
    <row r="640" spans="22:22" x14ac:dyDescent="0.2">
      <c r="V640" s="251"/>
    </row>
    <row r="641" spans="22:22" x14ac:dyDescent="0.2">
      <c r="V641" s="251"/>
    </row>
    <row r="642" spans="22:22" x14ac:dyDescent="0.2">
      <c r="V642" s="251"/>
    </row>
    <row r="643" spans="22:22" x14ac:dyDescent="0.2">
      <c r="V643" s="251"/>
    </row>
    <row r="644" spans="22:22" x14ac:dyDescent="0.2">
      <c r="V644" s="251"/>
    </row>
    <row r="645" spans="22:22" x14ac:dyDescent="0.2">
      <c r="V645" s="251"/>
    </row>
    <row r="646" spans="22:22" x14ac:dyDescent="0.2">
      <c r="V646" s="251"/>
    </row>
    <row r="647" spans="22:22" x14ac:dyDescent="0.2">
      <c r="V647" s="251"/>
    </row>
    <row r="648" spans="22:22" x14ac:dyDescent="0.2">
      <c r="V648" s="251"/>
    </row>
    <row r="649" spans="22:22" x14ac:dyDescent="0.2">
      <c r="V649" s="251"/>
    </row>
    <row r="650" spans="22:22" x14ac:dyDescent="0.2">
      <c r="V650" s="251"/>
    </row>
    <row r="651" spans="22:22" x14ac:dyDescent="0.2">
      <c r="V651" s="251"/>
    </row>
    <row r="652" spans="22:22" x14ac:dyDescent="0.2">
      <c r="V652" s="251"/>
    </row>
    <row r="653" spans="22:22" x14ac:dyDescent="0.2">
      <c r="V653" s="251"/>
    </row>
    <row r="654" spans="22:22" x14ac:dyDescent="0.2">
      <c r="V654" s="251"/>
    </row>
    <row r="655" spans="22:22" x14ac:dyDescent="0.2">
      <c r="V655" s="251"/>
    </row>
    <row r="656" spans="22:22" x14ac:dyDescent="0.2">
      <c r="V656" s="251"/>
    </row>
    <row r="657" spans="22:22" x14ac:dyDescent="0.2">
      <c r="V657" s="251"/>
    </row>
    <row r="658" spans="22:22" x14ac:dyDescent="0.2">
      <c r="V658" s="251"/>
    </row>
    <row r="659" spans="22:22" x14ac:dyDescent="0.2">
      <c r="V659" s="251"/>
    </row>
    <row r="660" spans="22:22" x14ac:dyDescent="0.2">
      <c r="V660" s="251"/>
    </row>
    <row r="661" spans="22:22" x14ac:dyDescent="0.2">
      <c r="V661" s="251"/>
    </row>
    <row r="662" spans="22:22" x14ac:dyDescent="0.2">
      <c r="V662" s="251"/>
    </row>
    <row r="663" spans="22:22" x14ac:dyDescent="0.2">
      <c r="V663" s="251"/>
    </row>
    <row r="664" spans="22:22" x14ac:dyDescent="0.2">
      <c r="V664" s="251"/>
    </row>
    <row r="665" spans="22:22" x14ac:dyDescent="0.2">
      <c r="V665" s="251"/>
    </row>
    <row r="666" spans="22:22" x14ac:dyDescent="0.2">
      <c r="V666" s="251"/>
    </row>
    <row r="667" spans="22:22" x14ac:dyDescent="0.2">
      <c r="V667" s="251"/>
    </row>
    <row r="668" spans="22:22" x14ac:dyDescent="0.2">
      <c r="V668" s="251"/>
    </row>
    <row r="669" spans="22:22" x14ac:dyDescent="0.2">
      <c r="V669" s="251"/>
    </row>
    <row r="670" spans="22:22" x14ac:dyDescent="0.2">
      <c r="V670" s="251"/>
    </row>
    <row r="671" spans="22:22" x14ac:dyDescent="0.2">
      <c r="V671" s="251"/>
    </row>
    <row r="672" spans="22:22" x14ac:dyDescent="0.2">
      <c r="V672" s="251"/>
    </row>
    <row r="673" spans="22:22" x14ac:dyDescent="0.2">
      <c r="V673" s="251"/>
    </row>
    <row r="674" spans="22:22" x14ac:dyDescent="0.2">
      <c r="V674" s="251"/>
    </row>
    <row r="675" spans="22:22" x14ac:dyDescent="0.2">
      <c r="V675" s="251"/>
    </row>
    <row r="676" spans="22:22" x14ac:dyDescent="0.2">
      <c r="V676" s="251"/>
    </row>
    <row r="677" spans="22:22" x14ac:dyDescent="0.2">
      <c r="V677" s="251"/>
    </row>
    <row r="678" spans="22:22" x14ac:dyDescent="0.2">
      <c r="V678" s="251"/>
    </row>
    <row r="679" spans="22:22" x14ac:dyDescent="0.2">
      <c r="V679" s="251"/>
    </row>
    <row r="680" spans="22:22" x14ac:dyDescent="0.2">
      <c r="V680" s="251"/>
    </row>
    <row r="681" spans="22:22" x14ac:dyDescent="0.2">
      <c r="V681" s="251"/>
    </row>
    <row r="682" spans="22:22" x14ac:dyDescent="0.2">
      <c r="V682" s="251"/>
    </row>
    <row r="683" spans="22:22" x14ac:dyDescent="0.2">
      <c r="V683" s="251"/>
    </row>
    <row r="684" spans="22:22" x14ac:dyDescent="0.2">
      <c r="V684" s="251"/>
    </row>
    <row r="685" spans="22:22" x14ac:dyDescent="0.2">
      <c r="V685" s="251"/>
    </row>
    <row r="686" spans="22:22" x14ac:dyDescent="0.2">
      <c r="V686" s="251"/>
    </row>
    <row r="687" spans="22:22" x14ac:dyDescent="0.2">
      <c r="V687" s="251"/>
    </row>
    <row r="688" spans="22:22" x14ac:dyDescent="0.2">
      <c r="V688" s="251"/>
    </row>
    <row r="689" spans="22:22" x14ac:dyDescent="0.2">
      <c r="V689" s="251"/>
    </row>
    <row r="690" spans="22:22" x14ac:dyDescent="0.2">
      <c r="V690" s="251"/>
    </row>
    <row r="691" spans="22:22" x14ac:dyDescent="0.2">
      <c r="V691" s="251"/>
    </row>
    <row r="692" spans="22:22" x14ac:dyDescent="0.2">
      <c r="V692" s="251"/>
    </row>
    <row r="693" spans="22:22" x14ac:dyDescent="0.2">
      <c r="V693" s="251"/>
    </row>
    <row r="694" spans="22:22" x14ac:dyDescent="0.2">
      <c r="V694" s="251"/>
    </row>
    <row r="695" spans="22:22" x14ac:dyDescent="0.2">
      <c r="V695" s="251"/>
    </row>
    <row r="696" spans="22:22" x14ac:dyDescent="0.2">
      <c r="V696" s="251"/>
    </row>
    <row r="697" spans="22:22" x14ac:dyDescent="0.2">
      <c r="V697" s="251"/>
    </row>
    <row r="698" spans="22:22" x14ac:dyDescent="0.2">
      <c r="V698" s="251"/>
    </row>
    <row r="699" spans="22:22" x14ac:dyDescent="0.2">
      <c r="V699" s="251"/>
    </row>
    <row r="700" spans="22:22" x14ac:dyDescent="0.2">
      <c r="V700" s="251"/>
    </row>
    <row r="701" spans="22:22" x14ac:dyDescent="0.2">
      <c r="V701" s="251"/>
    </row>
    <row r="702" spans="22:22" x14ac:dyDescent="0.2">
      <c r="V702" s="251"/>
    </row>
    <row r="703" spans="22:22" x14ac:dyDescent="0.2">
      <c r="V703" s="251"/>
    </row>
    <row r="704" spans="22:22" x14ac:dyDescent="0.2">
      <c r="V704" s="251"/>
    </row>
    <row r="705" spans="22:22" x14ac:dyDescent="0.2">
      <c r="V705" s="251"/>
    </row>
    <row r="706" spans="22:22" x14ac:dyDescent="0.2">
      <c r="V706" s="251"/>
    </row>
    <row r="707" spans="22:22" x14ac:dyDescent="0.2">
      <c r="V707" s="251"/>
    </row>
    <row r="708" spans="22:22" x14ac:dyDescent="0.2">
      <c r="V708" s="251"/>
    </row>
    <row r="709" spans="22:22" x14ac:dyDescent="0.2">
      <c r="V709" s="251"/>
    </row>
    <row r="710" spans="22:22" x14ac:dyDescent="0.2">
      <c r="V710" s="251"/>
    </row>
    <row r="711" spans="22:22" x14ac:dyDescent="0.2">
      <c r="V711" s="251"/>
    </row>
    <row r="712" spans="22:22" x14ac:dyDescent="0.2">
      <c r="V712" s="251"/>
    </row>
    <row r="713" spans="22:22" x14ac:dyDescent="0.2">
      <c r="V713" s="251"/>
    </row>
    <row r="714" spans="22:22" x14ac:dyDescent="0.2">
      <c r="V714" s="251"/>
    </row>
    <row r="715" spans="22:22" x14ac:dyDescent="0.2">
      <c r="V715" s="251"/>
    </row>
    <row r="716" spans="22:22" x14ac:dyDescent="0.2">
      <c r="V716" s="251"/>
    </row>
    <row r="717" spans="22:22" x14ac:dyDescent="0.2">
      <c r="V717" s="251"/>
    </row>
    <row r="718" spans="22:22" x14ac:dyDescent="0.2">
      <c r="V718" s="251"/>
    </row>
    <row r="719" spans="22:22" x14ac:dyDescent="0.2">
      <c r="V719" s="251"/>
    </row>
    <row r="720" spans="22:22" x14ac:dyDescent="0.2">
      <c r="V720" s="251"/>
    </row>
    <row r="721" spans="22:22" x14ac:dyDescent="0.2">
      <c r="V721" s="251"/>
    </row>
    <row r="722" spans="22:22" x14ac:dyDescent="0.2">
      <c r="V722" s="251"/>
    </row>
    <row r="723" spans="22:22" x14ac:dyDescent="0.2">
      <c r="V723" s="251"/>
    </row>
    <row r="724" spans="22:22" x14ac:dyDescent="0.2">
      <c r="V724" s="251"/>
    </row>
    <row r="725" spans="22:22" x14ac:dyDescent="0.2">
      <c r="V725" s="251"/>
    </row>
    <row r="726" spans="22:22" x14ac:dyDescent="0.2">
      <c r="V726" s="251"/>
    </row>
    <row r="727" spans="22:22" x14ac:dyDescent="0.2">
      <c r="V727" s="251"/>
    </row>
    <row r="728" spans="22:22" x14ac:dyDescent="0.2">
      <c r="V728" s="251"/>
    </row>
    <row r="729" spans="22:22" x14ac:dyDescent="0.2">
      <c r="V729" s="251"/>
    </row>
    <row r="730" spans="22:22" x14ac:dyDescent="0.2">
      <c r="V730" s="251"/>
    </row>
    <row r="731" spans="22:22" x14ac:dyDescent="0.2">
      <c r="V731" s="251"/>
    </row>
    <row r="732" spans="22:22" x14ac:dyDescent="0.2">
      <c r="V732" s="251"/>
    </row>
    <row r="733" spans="22:22" x14ac:dyDescent="0.2">
      <c r="V733" s="251"/>
    </row>
    <row r="734" spans="22:22" x14ac:dyDescent="0.2">
      <c r="V734" s="251"/>
    </row>
    <row r="735" spans="22:22" x14ac:dyDescent="0.2">
      <c r="V735" s="251"/>
    </row>
    <row r="736" spans="22:22" x14ac:dyDescent="0.2">
      <c r="V736" s="251"/>
    </row>
    <row r="737" spans="22:22" x14ac:dyDescent="0.2">
      <c r="V737" s="251"/>
    </row>
    <row r="738" spans="22:22" x14ac:dyDescent="0.2">
      <c r="V738" s="251"/>
    </row>
    <row r="739" spans="22:22" x14ac:dyDescent="0.2">
      <c r="V739" s="251"/>
    </row>
    <row r="740" spans="22:22" x14ac:dyDescent="0.2">
      <c r="V740" s="251"/>
    </row>
    <row r="741" spans="22:22" x14ac:dyDescent="0.2">
      <c r="V741" s="251"/>
    </row>
    <row r="742" spans="22:22" x14ac:dyDescent="0.2">
      <c r="V742" s="251"/>
    </row>
    <row r="743" spans="22:22" x14ac:dyDescent="0.2">
      <c r="V743" s="251"/>
    </row>
    <row r="744" spans="22:22" x14ac:dyDescent="0.2">
      <c r="V744" s="251"/>
    </row>
    <row r="745" spans="22:22" x14ac:dyDescent="0.2">
      <c r="V745" s="251"/>
    </row>
    <row r="746" spans="22:22" x14ac:dyDescent="0.2">
      <c r="V746" s="251"/>
    </row>
    <row r="747" spans="22:22" x14ac:dyDescent="0.2">
      <c r="V747" s="251"/>
    </row>
    <row r="748" spans="22:22" x14ac:dyDescent="0.2">
      <c r="V748" s="251"/>
    </row>
    <row r="749" spans="22:22" x14ac:dyDescent="0.2">
      <c r="V749" s="251"/>
    </row>
    <row r="750" spans="22:22" x14ac:dyDescent="0.2">
      <c r="V750" s="251"/>
    </row>
    <row r="751" spans="22:22" x14ac:dyDescent="0.2">
      <c r="V751" s="251"/>
    </row>
    <row r="752" spans="22:22" x14ac:dyDescent="0.2">
      <c r="V752" s="251"/>
    </row>
    <row r="753" spans="22:22" x14ac:dyDescent="0.2">
      <c r="V753" s="251"/>
    </row>
    <row r="754" spans="22:22" x14ac:dyDescent="0.2">
      <c r="V754" s="251"/>
    </row>
    <row r="755" spans="22:22" x14ac:dyDescent="0.2">
      <c r="V755" s="251"/>
    </row>
    <row r="756" spans="22:22" x14ac:dyDescent="0.2">
      <c r="V756" s="251"/>
    </row>
    <row r="757" spans="22:22" x14ac:dyDescent="0.2">
      <c r="V757" s="251"/>
    </row>
    <row r="758" spans="22:22" x14ac:dyDescent="0.2">
      <c r="V758" s="251"/>
    </row>
    <row r="759" spans="22:22" x14ac:dyDescent="0.2">
      <c r="V759" s="251"/>
    </row>
    <row r="760" spans="22:22" x14ac:dyDescent="0.2">
      <c r="V760" s="251"/>
    </row>
    <row r="761" spans="22:22" x14ac:dyDescent="0.2">
      <c r="V761" s="251"/>
    </row>
    <row r="762" spans="22:22" x14ac:dyDescent="0.2">
      <c r="V762" s="251"/>
    </row>
    <row r="763" spans="22:22" x14ac:dyDescent="0.2">
      <c r="V763" s="251"/>
    </row>
    <row r="764" spans="22:22" x14ac:dyDescent="0.2">
      <c r="V764" s="251"/>
    </row>
    <row r="765" spans="22:22" x14ac:dyDescent="0.2">
      <c r="V765" s="251"/>
    </row>
    <row r="766" spans="22:22" x14ac:dyDescent="0.2">
      <c r="V766" s="251"/>
    </row>
    <row r="767" spans="22:22" x14ac:dyDescent="0.2">
      <c r="V767" s="251"/>
    </row>
    <row r="768" spans="22:22" x14ac:dyDescent="0.2">
      <c r="V768" s="251"/>
    </row>
    <row r="769" spans="22:22" x14ac:dyDescent="0.2">
      <c r="V769" s="251"/>
    </row>
    <row r="770" spans="22:22" x14ac:dyDescent="0.2">
      <c r="V770" s="251"/>
    </row>
    <row r="771" spans="22:22" x14ac:dyDescent="0.2">
      <c r="V771" s="251"/>
    </row>
    <row r="772" spans="22:22" x14ac:dyDescent="0.2">
      <c r="V772" s="251"/>
    </row>
    <row r="773" spans="22:22" x14ac:dyDescent="0.2">
      <c r="V773" s="251"/>
    </row>
    <row r="774" spans="22:22" x14ac:dyDescent="0.2">
      <c r="V774" s="251"/>
    </row>
    <row r="775" spans="22:22" x14ac:dyDescent="0.2">
      <c r="V775" s="251"/>
    </row>
    <row r="776" spans="22:22" x14ac:dyDescent="0.2">
      <c r="V776" s="251"/>
    </row>
    <row r="777" spans="22:22" x14ac:dyDescent="0.2">
      <c r="V777" s="251"/>
    </row>
    <row r="778" spans="22:22" x14ac:dyDescent="0.2">
      <c r="V778" s="251"/>
    </row>
    <row r="779" spans="22:22" x14ac:dyDescent="0.2">
      <c r="V779" s="251"/>
    </row>
    <row r="780" spans="22:22" x14ac:dyDescent="0.2">
      <c r="V780" s="251"/>
    </row>
    <row r="781" spans="22:22" x14ac:dyDescent="0.2">
      <c r="V781" s="251"/>
    </row>
    <row r="782" spans="22:22" x14ac:dyDescent="0.2">
      <c r="V782" s="251"/>
    </row>
    <row r="783" spans="22:22" x14ac:dyDescent="0.2">
      <c r="V783" s="251"/>
    </row>
    <row r="784" spans="22:22" x14ac:dyDescent="0.2">
      <c r="V784" s="251"/>
    </row>
    <row r="785" spans="22:22" x14ac:dyDescent="0.2">
      <c r="V785" s="251"/>
    </row>
    <row r="786" spans="22:22" x14ac:dyDescent="0.2">
      <c r="V786" s="251"/>
    </row>
    <row r="787" spans="22:22" x14ac:dyDescent="0.2">
      <c r="V787" s="251"/>
    </row>
    <row r="788" spans="22:22" x14ac:dyDescent="0.2">
      <c r="V788" s="251"/>
    </row>
    <row r="789" spans="22:22" x14ac:dyDescent="0.2">
      <c r="V789" s="251"/>
    </row>
    <row r="790" spans="22:22" x14ac:dyDescent="0.2">
      <c r="V790" s="251"/>
    </row>
    <row r="791" spans="22:22" x14ac:dyDescent="0.2">
      <c r="V791" s="251"/>
    </row>
    <row r="792" spans="22:22" x14ac:dyDescent="0.2">
      <c r="V792" s="251"/>
    </row>
    <row r="793" spans="22:22" x14ac:dyDescent="0.2">
      <c r="V793" s="251"/>
    </row>
    <row r="794" spans="22:22" x14ac:dyDescent="0.2">
      <c r="V794" s="251"/>
    </row>
    <row r="795" spans="22:22" x14ac:dyDescent="0.2">
      <c r="V795" s="251"/>
    </row>
    <row r="796" spans="22:22" x14ac:dyDescent="0.2">
      <c r="V796" s="251"/>
    </row>
    <row r="797" spans="22:22" x14ac:dyDescent="0.2">
      <c r="V797" s="251"/>
    </row>
    <row r="798" spans="22:22" x14ac:dyDescent="0.2">
      <c r="V798" s="251"/>
    </row>
    <row r="799" spans="22:22" x14ac:dyDescent="0.2">
      <c r="V799" s="251"/>
    </row>
    <row r="800" spans="22:22" x14ac:dyDescent="0.2">
      <c r="V800" s="251"/>
    </row>
    <row r="801" spans="22:22" x14ac:dyDescent="0.2">
      <c r="V801" s="251"/>
    </row>
    <row r="802" spans="22:22" x14ac:dyDescent="0.2">
      <c r="V802" s="251"/>
    </row>
    <row r="803" spans="22:22" x14ac:dyDescent="0.2">
      <c r="V803" s="251"/>
    </row>
    <row r="804" spans="22:22" x14ac:dyDescent="0.2">
      <c r="V804" s="251"/>
    </row>
    <row r="805" spans="22:22" x14ac:dyDescent="0.2">
      <c r="V805" s="251"/>
    </row>
    <row r="806" spans="22:22" x14ac:dyDescent="0.2">
      <c r="V806" s="251"/>
    </row>
    <row r="807" spans="22:22" x14ac:dyDescent="0.2">
      <c r="V807" s="251"/>
    </row>
    <row r="808" spans="22:22" x14ac:dyDescent="0.2">
      <c r="V808" s="251"/>
    </row>
    <row r="809" spans="22:22" x14ac:dyDescent="0.2">
      <c r="V809" s="251"/>
    </row>
    <row r="810" spans="22:22" x14ac:dyDescent="0.2">
      <c r="V810" s="251"/>
    </row>
    <row r="811" spans="22:22" x14ac:dyDescent="0.2">
      <c r="V811" s="251"/>
    </row>
    <row r="812" spans="22:22" x14ac:dyDescent="0.2">
      <c r="V812" s="251"/>
    </row>
    <row r="813" spans="22:22" x14ac:dyDescent="0.2">
      <c r="V813" s="251"/>
    </row>
    <row r="814" spans="22:22" x14ac:dyDescent="0.2">
      <c r="V814" s="251"/>
    </row>
    <row r="815" spans="22:22" x14ac:dyDescent="0.2">
      <c r="V815" s="251"/>
    </row>
    <row r="816" spans="22:22" x14ac:dyDescent="0.2">
      <c r="V816" s="251"/>
    </row>
    <row r="817" spans="22:22" x14ac:dyDescent="0.2">
      <c r="V817" s="251"/>
    </row>
    <row r="818" spans="22:22" x14ac:dyDescent="0.2">
      <c r="V818" s="251"/>
    </row>
    <row r="819" spans="22:22" x14ac:dyDescent="0.2">
      <c r="V819" s="251"/>
    </row>
    <row r="820" spans="22:22" x14ac:dyDescent="0.2">
      <c r="V820" s="251"/>
    </row>
    <row r="821" spans="22:22" x14ac:dyDescent="0.2">
      <c r="V821" s="251"/>
    </row>
    <row r="822" spans="22:22" x14ac:dyDescent="0.2">
      <c r="V822" s="251"/>
    </row>
    <row r="823" spans="22:22" x14ac:dyDescent="0.2">
      <c r="V823" s="251"/>
    </row>
    <row r="824" spans="22:22" x14ac:dyDescent="0.2">
      <c r="V824" s="251"/>
    </row>
    <row r="825" spans="22:22" x14ac:dyDescent="0.2">
      <c r="V825" s="251"/>
    </row>
    <row r="826" spans="22:22" x14ac:dyDescent="0.2">
      <c r="V826" s="251"/>
    </row>
    <row r="827" spans="22:22" x14ac:dyDescent="0.2">
      <c r="V827" s="251"/>
    </row>
    <row r="828" spans="22:22" x14ac:dyDescent="0.2">
      <c r="V828" s="251"/>
    </row>
    <row r="829" spans="22:22" x14ac:dyDescent="0.2">
      <c r="V829" s="251"/>
    </row>
    <row r="830" spans="22:22" x14ac:dyDescent="0.2">
      <c r="V830" s="251"/>
    </row>
    <row r="831" spans="22:22" x14ac:dyDescent="0.2">
      <c r="V831" s="251"/>
    </row>
    <row r="832" spans="22:22" x14ac:dyDescent="0.2">
      <c r="V832" s="251"/>
    </row>
    <row r="833" spans="22:22" x14ac:dyDescent="0.2">
      <c r="V833" s="251"/>
    </row>
    <row r="834" spans="22:22" x14ac:dyDescent="0.2">
      <c r="V834" s="251"/>
    </row>
    <row r="835" spans="22:22" x14ac:dyDescent="0.2">
      <c r="V835" s="251"/>
    </row>
    <row r="836" spans="22:22" x14ac:dyDescent="0.2">
      <c r="V836" s="251"/>
    </row>
    <row r="837" spans="22:22" x14ac:dyDescent="0.2">
      <c r="V837" s="251"/>
    </row>
    <row r="838" spans="22:22" x14ac:dyDescent="0.2">
      <c r="V838" s="251"/>
    </row>
    <row r="839" spans="22:22" x14ac:dyDescent="0.2">
      <c r="V839" s="251"/>
    </row>
    <row r="840" spans="22:22" x14ac:dyDescent="0.2">
      <c r="V840" s="251"/>
    </row>
    <row r="841" spans="22:22" x14ac:dyDescent="0.2">
      <c r="V841" s="251"/>
    </row>
    <row r="842" spans="22:22" x14ac:dyDescent="0.2">
      <c r="V842" s="251"/>
    </row>
    <row r="843" spans="22:22" x14ac:dyDescent="0.2">
      <c r="V843" s="251"/>
    </row>
    <row r="844" spans="22:22" x14ac:dyDescent="0.2">
      <c r="V844" s="251"/>
    </row>
    <row r="845" spans="22:22" x14ac:dyDescent="0.2">
      <c r="V845" s="251"/>
    </row>
    <row r="846" spans="22:22" x14ac:dyDescent="0.2">
      <c r="V846" s="251"/>
    </row>
    <row r="847" spans="22:22" x14ac:dyDescent="0.2">
      <c r="V847" s="251"/>
    </row>
    <row r="848" spans="22:22" x14ac:dyDescent="0.2">
      <c r="V848" s="251"/>
    </row>
    <row r="849" spans="22:22" x14ac:dyDescent="0.2">
      <c r="V849" s="251"/>
    </row>
    <row r="850" spans="22:22" x14ac:dyDescent="0.2">
      <c r="V850" s="251"/>
    </row>
    <row r="851" spans="22:22" x14ac:dyDescent="0.2">
      <c r="V851" s="251"/>
    </row>
    <row r="852" spans="22:22" x14ac:dyDescent="0.2">
      <c r="V852" s="251"/>
    </row>
    <row r="853" spans="22:22" x14ac:dyDescent="0.2">
      <c r="V853" s="251"/>
    </row>
    <row r="854" spans="22:22" x14ac:dyDescent="0.2">
      <c r="V854" s="251"/>
    </row>
    <row r="855" spans="22:22" x14ac:dyDescent="0.2">
      <c r="V855" s="251"/>
    </row>
    <row r="856" spans="22:22" x14ac:dyDescent="0.2">
      <c r="V856" s="251"/>
    </row>
    <row r="857" spans="22:22" x14ac:dyDescent="0.2">
      <c r="V857" s="251"/>
    </row>
    <row r="858" spans="22:22" x14ac:dyDescent="0.2">
      <c r="V858" s="251"/>
    </row>
    <row r="859" spans="22:22" x14ac:dyDescent="0.2">
      <c r="V859" s="251"/>
    </row>
    <row r="860" spans="22:22" x14ac:dyDescent="0.2">
      <c r="V860" s="251"/>
    </row>
    <row r="861" spans="22:22" x14ac:dyDescent="0.2">
      <c r="V861" s="251"/>
    </row>
    <row r="862" spans="22:22" x14ac:dyDescent="0.2">
      <c r="V862" s="251"/>
    </row>
    <row r="863" spans="22:22" x14ac:dyDescent="0.2">
      <c r="V863" s="251"/>
    </row>
    <row r="864" spans="22:22" x14ac:dyDescent="0.2">
      <c r="V864" s="251"/>
    </row>
    <row r="865" spans="22:22" x14ac:dyDescent="0.2">
      <c r="V865" s="251"/>
    </row>
    <row r="866" spans="22:22" x14ac:dyDescent="0.2">
      <c r="V866" s="251"/>
    </row>
    <row r="867" spans="22:22" x14ac:dyDescent="0.2">
      <c r="V867" s="251"/>
    </row>
    <row r="868" spans="22:22" x14ac:dyDescent="0.2">
      <c r="V868" s="251"/>
    </row>
    <row r="869" spans="22:22" x14ac:dyDescent="0.2">
      <c r="V869" s="251"/>
    </row>
    <row r="870" spans="22:22" x14ac:dyDescent="0.2">
      <c r="V870" s="251"/>
    </row>
    <row r="871" spans="22:22" x14ac:dyDescent="0.2">
      <c r="V871" s="251"/>
    </row>
    <row r="872" spans="22:22" x14ac:dyDescent="0.2">
      <c r="V872" s="251"/>
    </row>
    <row r="873" spans="22:22" x14ac:dyDescent="0.2">
      <c r="V873" s="251"/>
    </row>
    <row r="874" spans="22:22" x14ac:dyDescent="0.2">
      <c r="V874" s="251"/>
    </row>
    <row r="875" spans="22:22" x14ac:dyDescent="0.2">
      <c r="V875" s="251"/>
    </row>
    <row r="876" spans="22:22" x14ac:dyDescent="0.2">
      <c r="V876" s="251"/>
    </row>
    <row r="877" spans="22:22" x14ac:dyDescent="0.2">
      <c r="V877" s="251"/>
    </row>
    <row r="878" spans="22:22" x14ac:dyDescent="0.2">
      <c r="V878" s="251"/>
    </row>
    <row r="879" spans="22:22" x14ac:dyDescent="0.2">
      <c r="V879" s="251"/>
    </row>
    <row r="880" spans="22:22" x14ac:dyDescent="0.2">
      <c r="V880" s="251"/>
    </row>
    <row r="881" spans="22:22" x14ac:dyDescent="0.2">
      <c r="V881" s="251"/>
    </row>
    <row r="882" spans="22:22" x14ac:dyDescent="0.2">
      <c r="V882" s="251"/>
    </row>
    <row r="883" spans="22:22" x14ac:dyDescent="0.2">
      <c r="V883" s="251"/>
    </row>
    <row r="884" spans="22:22" x14ac:dyDescent="0.2">
      <c r="V884" s="251"/>
    </row>
    <row r="885" spans="22:22" x14ac:dyDescent="0.2">
      <c r="V885" s="251"/>
    </row>
    <row r="886" spans="22:22" x14ac:dyDescent="0.2">
      <c r="V886" s="251"/>
    </row>
    <row r="887" spans="22:22" x14ac:dyDescent="0.2">
      <c r="V887" s="251"/>
    </row>
    <row r="888" spans="22:22" x14ac:dyDescent="0.2">
      <c r="V888" s="251"/>
    </row>
    <row r="889" spans="22:22" x14ac:dyDescent="0.2">
      <c r="V889" s="251"/>
    </row>
    <row r="890" spans="22:22" x14ac:dyDescent="0.2">
      <c r="V890" s="251"/>
    </row>
    <row r="891" spans="22:22" x14ac:dyDescent="0.2">
      <c r="V891" s="251"/>
    </row>
    <row r="892" spans="22:22" x14ac:dyDescent="0.2">
      <c r="V892" s="251"/>
    </row>
    <row r="893" spans="22:22" x14ac:dyDescent="0.2">
      <c r="V893" s="251"/>
    </row>
    <row r="894" spans="22:22" x14ac:dyDescent="0.2">
      <c r="V894" s="251"/>
    </row>
    <row r="895" spans="22:22" x14ac:dyDescent="0.2">
      <c r="V895" s="251"/>
    </row>
    <row r="896" spans="22:22" x14ac:dyDescent="0.2">
      <c r="V896" s="251"/>
    </row>
    <row r="897" spans="22:22" x14ac:dyDescent="0.2">
      <c r="V897" s="251"/>
    </row>
    <row r="898" spans="22:22" x14ac:dyDescent="0.2">
      <c r="V898" s="251"/>
    </row>
    <row r="899" spans="22:22" x14ac:dyDescent="0.2">
      <c r="V899" s="251"/>
    </row>
    <row r="900" spans="22:22" x14ac:dyDescent="0.2">
      <c r="V900" s="251"/>
    </row>
    <row r="901" spans="22:22" x14ac:dyDescent="0.2">
      <c r="V901" s="251"/>
    </row>
    <row r="902" spans="22:22" x14ac:dyDescent="0.2">
      <c r="V902" s="251"/>
    </row>
    <row r="903" spans="22:22" x14ac:dyDescent="0.2">
      <c r="V903" s="251"/>
    </row>
    <row r="904" spans="22:22" x14ac:dyDescent="0.2">
      <c r="V904" s="251"/>
    </row>
    <row r="905" spans="22:22" x14ac:dyDescent="0.2">
      <c r="V905" s="251"/>
    </row>
    <row r="906" spans="22:22" x14ac:dyDescent="0.2">
      <c r="V906" s="251"/>
    </row>
    <row r="907" spans="22:22" x14ac:dyDescent="0.2">
      <c r="V907" s="251"/>
    </row>
    <row r="908" spans="22:22" x14ac:dyDescent="0.2">
      <c r="V908" s="251"/>
    </row>
    <row r="909" spans="22:22" x14ac:dyDescent="0.2">
      <c r="V909" s="251"/>
    </row>
    <row r="910" spans="22:22" x14ac:dyDescent="0.2">
      <c r="V910" s="251"/>
    </row>
    <row r="911" spans="22:22" x14ac:dyDescent="0.2">
      <c r="V911" s="251"/>
    </row>
    <row r="912" spans="22:22" x14ac:dyDescent="0.2">
      <c r="V912" s="251"/>
    </row>
    <row r="913" spans="22:22" x14ac:dyDescent="0.2">
      <c r="V913" s="251"/>
    </row>
    <row r="914" spans="22:22" x14ac:dyDescent="0.2">
      <c r="V914" s="251"/>
    </row>
    <row r="915" spans="22:22" x14ac:dyDescent="0.2">
      <c r="V915" s="251"/>
    </row>
    <row r="916" spans="22:22" x14ac:dyDescent="0.2">
      <c r="V916" s="251"/>
    </row>
    <row r="917" spans="22:22" x14ac:dyDescent="0.2">
      <c r="V917" s="251"/>
    </row>
    <row r="918" spans="22:22" x14ac:dyDescent="0.2">
      <c r="V918" s="251"/>
    </row>
    <row r="919" spans="22:22" x14ac:dyDescent="0.2">
      <c r="V919" s="251"/>
    </row>
    <row r="920" spans="22:22" x14ac:dyDescent="0.2">
      <c r="V920" s="251"/>
    </row>
    <row r="921" spans="22:22" x14ac:dyDescent="0.2">
      <c r="V921" s="251"/>
    </row>
    <row r="922" spans="22:22" x14ac:dyDescent="0.2">
      <c r="V922" s="251"/>
    </row>
    <row r="923" spans="22:22" x14ac:dyDescent="0.2">
      <c r="V923" s="251"/>
    </row>
    <row r="924" spans="22:22" x14ac:dyDescent="0.2">
      <c r="V924" s="251"/>
    </row>
    <row r="925" spans="22:22" x14ac:dyDescent="0.2">
      <c r="V925" s="251"/>
    </row>
    <row r="926" spans="22:22" x14ac:dyDescent="0.2">
      <c r="V926" s="251"/>
    </row>
    <row r="927" spans="22:22" x14ac:dyDescent="0.2">
      <c r="V927" s="251"/>
    </row>
    <row r="928" spans="22:22" x14ac:dyDescent="0.2">
      <c r="V928" s="251"/>
    </row>
    <row r="929" spans="22:22" x14ac:dyDescent="0.2">
      <c r="V929" s="251"/>
    </row>
    <row r="930" spans="22:22" x14ac:dyDescent="0.2">
      <c r="V930" s="251"/>
    </row>
    <row r="931" spans="22:22" x14ac:dyDescent="0.2">
      <c r="V931" s="251"/>
    </row>
    <row r="932" spans="22:22" x14ac:dyDescent="0.2">
      <c r="V932" s="251"/>
    </row>
    <row r="933" spans="22:22" x14ac:dyDescent="0.2">
      <c r="V933" s="251"/>
    </row>
    <row r="934" spans="22:22" x14ac:dyDescent="0.2">
      <c r="V934" s="251"/>
    </row>
    <row r="935" spans="22:22" x14ac:dyDescent="0.2">
      <c r="V935" s="251"/>
    </row>
    <row r="936" spans="22:22" x14ac:dyDescent="0.2">
      <c r="V936" s="251"/>
    </row>
    <row r="937" spans="22:22" x14ac:dyDescent="0.2">
      <c r="V937" s="251"/>
    </row>
    <row r="938" spans="22:22" x14ac:dyDescent="0.2">
      <c r="V938" s="251"/>
    </row>
    <row r="939" spans="22:22" x14ac:dyDescent="0.2">
      <c r="V939" s="251"/>
    </row>
    <row r="940" spans="22:22" x14ac:dyDescent="0.2">
      <c r="V940" s="251"/>
    </row>
    <row r="941" spans="22:22" x14ac:dyDescent="0.2">
      <c r="V941" s="251"/>
    </row>
    <row r="942" spans="22:22" x14ac:dyDescent="0.2">
      <c r="V942" s="251"/>
    </row>
    <row r="943" spans="22:22" x14ac:dyDescent="0.2">
      <c r="V943" s="251"/>
    </row>
    <row r="944" spans="22:22" x14ac:dyDescent="0.2">
      <c r="V944" s="251"/>
    </row>
    <row r="945" spans="22:22" x14ac:dyDescent="0.2">
      <c r="V945" s="251"/>
    </row>
    <row r="946" spans="22:22" x14ac:dyDescent="0.2">
      <c r="V946" s="251"/>
    </row>
    <row r="947" spans="22:22" x14ac:dyDescent="0.2">
      <c r="V947" s="251"/>
    </row>
    <row r="948" spans="22:22" x14ac:dyDescent="0.2">
      <c r="V948" s="251"/>
    </row>
    <row r="949" spans="22:22" x14ac:dyDescent="0.2">
      <c r="V949" s="251"/>
    </row>
    <row r="950" spans="22:22" x14ac:dyDescent="0.2">
      <c r="V950" s="251"/>
    </row>
    <row r="951" spans="22:22" x14ac:dyDescent="0.2">
      <c r="V951" s="251"/>
    </row>
    <row r="952" spans="22:22" x14ac:dyDescent="0.2">
      <c r="V952" s="251"/>
    </row>
    <row r="953" spans="22:22" x14ac:dyDescent="0.2">
      <c r="V953" s="251"/>
    </row>
    <row r="954" spans="22:22" x14ac:dyDescent="0.2">
      <c r="V954" s="251"/>
    </row>
    <row r="955" spans="22:22" x14ac:dyDescent="0.2">
      <c r="V955" s="251"/>
    </row>
    <row r="956" spans="22:22" x14ac:dyDescent="0.2">
      <c r="V956" s="251"/>
    </row>
    <row r="957" spans="22:22" x14ac:dyDescent="0.2">
      <c r="V957" s="251"/>
    </row>
    <row r="958" spans="22:22" x14ac:dyDescent="0.2">
      <c r="V958" s="251"/>
    </row>
    <row r="959" spans="22:22" x14ac:dyDescent="0.2">
      <c r="V959" s="251"/>
    </row>
    <row r="960" spans="22:22" x14ac:dyDescent="0.2">
      <c r="V960" s="251"/>
    </row>
    <row r="961" spans="22:22" x14ac:dyDescent="0.2">
      <c r="V961" s="251"/>
    </row>
    <row r="962" spans="22:22" x14ac:dyDescent="0.2">
      <c r="V962" s="251"/>
    </row>
    <row r="963" spans="22:22" x14ac:dyDescent="0.2">
      <c r="V963" s="251"/>
    </row>
    <row r="964" spans="22:22" x14ac:dyDescent="0.2">
      <c r="V964" s="251"/>
    </row>
    <row r="965" spans="22:22" x14ac:dyDescent="0.2">
      <c r="V965" s="251"/>
    </row>
    <row r="966" spans="22:22" x14ac:dyDescent="0.2">
      <c r="V966" s="251"/>
    </row>
    <row r="967" spans="22:22" x14ac:dyDescent="0.2">
      <c r="V967" s="251"/>
    </row>
    <row r="968" spans="22:22" x14ac:dyDescent="0.2">
      <c r="V968" s="251"/>
    </row>
    <row r="969" spans="22:22" x14ac:dyDescent="0.2">
      <c r="V969" s="251"/>
    </row>
    <row r="970" spans="22:22" x14ac:dyDescent="0.2">
      <c r="V970" s="251"/>
    </row>
    <row r="971" spans="22:22" x14ac:dyDescent="0.2">
      <c r="V971" s="251"/>
    </row>
    <row r="972" spans="22:22" x14ac:dyDescent="0.2">
      <c r="V972" s="251"/>
    </row>
    <row r="973" spans="22:22" x14ac:dyDescent="0.2">
      <c r="V973" s="251"/>
    </row>
    <row r="974" spans="22:22" x14ac:dyDescent="0.2">
      <c r="V974" s="251"/>
    </row>
    <row r="975" spans="22:22" x14ac:dyDescent="0.2">
      <c r="V975" s="251"/>
    </row>
    <row r="976" spans="22:22" x14ac:dyDescent="0.2">
      <c r="V976" s="251"/>
    </row>
    <row r="977" spans="22:22" x14ac:dyDescent="0.2">
      <c r="V977" s="251"/>
    </row>
    <row r="978" spans="22:22" x14ac:dyDescent="0.2">
      <c r="V978" s="251"/>
    </row>
    <row r="979" spans="22:22" x14ac:dyDescent="0.2">
      <c r="V979" s="251"/>
    </row>
    <row r="980" spans="22:22" x14ac:dyDescent="0.2">
      <c r="V980" s="251"/>
    </row>
    <row r="981" spans="22:22" x14ac:dyDescent="0.2">
      <c r="V981" s="251"/>
    </row>
    <row r="982" spans="22:22" x14ac:dyDescent="0.2">
      <c r="V982" s="251"/>
    </row>
    <row r="983" spans="22:22" x14ac:dyDescent="0.2">
      <c r="V983" s="251"/>
    </row>
    <row r="984" spans="22:22" x14ac:dyDescent="0.2">
      <c r="V984" s="251"/>
    </row>
    <row r="985" spans="22:22" x14ac:dyDescent="0.2">
      <c r="V985" s="251"/>
    </row>
    <row r="986" spans="22:22" x14ac:dyDescent="0.2">
      <c r="V986" s="251"/>
    </row>
    <row r="987" spans="22:22" x14ac:dyDescent="0.2">
      <c r="V987" s="251"/>
    </row>
    <row r="988" spans="22:22" x14ac:dyDescent="0.2">
      <c r="V988" s="251"/>
    </row>
    <row r="989" spans="22:22" x14ac:dyDescent="0.2">
      <c r="V989" s="251"/>
    </row>
    <row r="990" spans="22:22" x14ac:dyDescent="0.2">
      <c r="V990" s="251"/>
    </row>
    <row r="991" spans="22:22" x14ac:dyDescent="0.2">
      <c r="V991" s="251"/>
    </row>
    <row r="992" spans="22:22" x14ac:dyDescent="0.2">
      <c r="V992" s="251"/>
    </row>
    <row r="993" spans="22:22" x14ac:dyDescent="0.2">
      <c r="V993" s="251"/>
    </row>
    <row r="994" spans="22:22" x14ac:dyDescent="0.2">
      <c r="V994" s="251"/>
    </row>
    <row r="995" spans="22:22" x14ac:dyDescent="0.2">
      <c r="V995" s="251"/>
    </row>
    <row r="996" spans="22:22" x14ac:dyDescent="0.2">
      <c r="V996" s="251"/>
    </row>
    <row r="997" spans="22:22" x14ac:dyDescent="0.2">
      <c r="V997" s="251"/>
    </row>
    <row r="998" spans="22:22" x14ac:dyDescent="0.2">
      <c r="V998" s="251"/>
    </row>
    <row r="999" spans="22:22" x14ac:dyDescent="0.2">
      <c r="V999" s="251"/>
    </row>
    <row r="1000" spans="22:22" x14ac:dyDescent="0.2">
      <c r="V1000" s="251"/>
    </row>
    <row r="1001" spans="22:22" x14ac:dyDescent="0.2">
      <c r="V1001" s="251"/>
    </row>
    <row r="1002" spans="22:22" x14ac:dyDescent="0.2">
      <c r="V1002" s="251"/>
    </row>
    <row r="1003" spans="22:22" x14ac:dyDescent="0.2">
      <c r="V1003" s="251"/>
    </row>
    <row r="1004" spans="22:22" x14ac:dyDescent="0.2">
      <c r="V1004" s="251"/>
    </row>
    <row r="1005" spans="22:22" x14ac:dyDescent="0.2">
      <c r="V1005" s="251"/>
    </row>
    <row r="1006" spans="22:22" x14ac:dyDescent="0.2">
      <c r="V1006" s="251"/>
    </row>
    <row r="1007" spans="22:22" x14ac:dyDescent="0.2">
      <c r="V1007" s="251"/>
    </row>
    <row r="1008" spans="22:22" x14ac:dyDescent="0.2">
      <c r="V1008" s="251"/>
    </row>
    <row r="1009" spans="22:22" x14ac:dyDescent="0.2">
      <c r="V1009" s="251"/>
    </row>
    <row r="1010" spans="22:22" x14ac:dyDescent="0.2">
      <c r="V1010" s="251"/>
    </row>
    <row r="1011" spans="22:22" x14ac:dyDescent="0.2">
      <c r="V1011" s="251"/>
    </row>
    <row r="1012" spans="22:22" x14ac:dyDescent="0.2">
      <c r="V1012" s="251"/>
    </row>
    <row r="1013" spans="22:22" x14ac:dyDescent="0.2">
      <c r="V1013" s="251"/>
    </row>
    <row r="1014" spans="22:22" x14ac:dyDescent="0.2">
      <c r="V1014" s="251"/>
    </row>
    <row r="1015" spans="22:22" x14ac:dyDescent="0.2">
      <c r="V1015" s="251"/>
    </row>
    <row r="1016" spans="22:22" x14ac:dyDescent="0.2">
      <c r="V1016" s="251"/>
    </row>
    <row r="1017" spans="22:22" x14ac:dyDescent="0.2">
      <c r="V1017" s="251"/>
    </row>
    <row r="1018" spans="22:22" x14ac:dyDescent="0.2">
      <c r="V1018" s="251"/>
    </row>
    <row r="1019" spans="22:22" x14ac:dyDescent="0.2">
      <c r="V1019" s="251"/>
    </row>
    <row r="1020" spans="22:22" x14ac:dyDescent="0.2">
      <c r="V1020" s="251"/>
    </row>
    <row r="1021" spans="22:22" x14ac:dyDescent="0.2">
      <c r="V1021" s="251"/>
    </row>
  </sheetData>
  <autoFilter ref="A2:AW23" xr:uid="{00000000-0009-0000-0000-000001000000}">
    <filterColumn colId="5">
      <filters>
        <filter val="Delgado"/>
      </filters>
    </filterColumn>
    <sortState xmlns:xlrd2="http://schemas.microsoft.com/office/spreadsheetml/2017/richdata2" ref="A3:AX35">
      <sortCondition ref="A2:A34"/>
    </sortState>
  </autoFilter>
  <customSheetViews>
    <customSheetView guid="{21F37784-ACDF-4AA9-A8FA-2D6F1A2FCD6C}" scale="80" showAutoFilter="1">
      <pane xSplit="5" ySplit="2" topLeftCell="F3" activePane="bottomRight" state="frozen"/>
      <selection pane="bottomRight" activeCell="I17" sqref="I17"/>
      <pageMargins left="0.75" right="0.75" top="1" bottom="1" header="0.5" footer="0.5"/>
      <pageSetup orientation="portrait" r:id="rId1"/>
      <headerFooter alignWithMargins="0"/>
      <autoFilter ref="B1:AX1" xr:uid="{00000000-0000-0000-0000-000000000000}"/>
    </customSheetView>
    <customSheetView guid="{BD983C39-643B-49A4-A851-3C307533663B}" scale="80" showAutoFilter="1">
      <pane xSplit="5" ySplit="2" topLeftCell="F3" activePane="bottomRight" state="frozen"/>
      <selection pane="bottomRight" activeCell="I17" sqref="I17"/>
      <pageMargins left="0.75" right="0.75" top="1" bottom="1" header="0.5" footer="0.5"/>
      <pageSetup orientation="portrait" r:id="rId2"/>
      <headerFooter alignWithMargins="0"/>
      <autoFilter ref="B1:AX1" xr:uid="{00000000-0000-0000-0000-000000000000}"/>
    </customSheetView>
  </customSheetViews>
  <mergeCells count="8">
    <mergeCell ref="AQ1:AR1"/>
    <mergeCell ref="AT1:AU1"/>
    <mergeCell ref="D1:H1"/>
    <mergeCell ref="I1:K1"/>
    <mergeCell ref="L1:Y1"/>
    <mergeCell ref="AA1:AC1"/>
    <mergeCell ref="AD1:AH1"/>
    <mergeCell ref="AI1:AP1"/>
  </mergeCells>
  <phoneticPr fontId="13" type="noConversion"/>
  <pageMargins left="0.75" right="0.75" top="1" bottom="1" header="0.5" footer="0.5"/>
  <pageSetup orientation="portrait" r:id="rId3"/>
  <headerFooter alignWithMargins="0"/>
  <ignoredErrors>
    <ignoredError sqref="AV3:AV16 AV31:AV86 AV18:AV23 AV87:AV93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BA75"/>
  <sheetViews>
    <sheetView zoomScaleNormal="100" workbookViewId="0">
      <pane xSplit="5" ySplit="2" topLeftCell="F12" activePane="bottomRight" state="frozen"/>
      <selection pane="topRight" activeCell="F1" sqref="F1"/>
      <selection pane="bottomLeft" activeCell="A3" sqref="A3"/>
      <selection pane="bottomRight" activeCell="D1" sqref="D1:H1"/>
    </sheetView>
  </sheetViews>
  <sheetFormatPr defaultColWidth="9.140625" defaultRowHeight="12.75" x14ac:dyDescent="0.2"/>
  <cols>
    <col min="1" max="1" width="9.140625" style="235"/>
    <col min="2" max="2" width="9.85546875" style="235" customWidth="1"/>
    <col min="3" max="3" width="9.140625" style="235"/>
    <col min="4" max="4" width="9.42578125" style="235" customWidth="1"/>
    <col min="5" max="5" width="27.42578125" style="235" customWidth="1"/>
    <col min="6" max="7" width="13.42578125" style="235" customWidth="1"/>
    <col min="8" max="8" width="13.140625" style="235" customWidth="1"/>
    <col min="9" max="9" width="11" style="235" customWidth="1"/>
    <col min="10" max="10" width="9.140625" style="235"/>
    <col min="11" max="11" width="13.85546875" style="235" customWidth="1"/>
    <col min="12" max="12" width="11.85546875" style="235" customWidth="1"/>
    <col min="13" max="13" width="20" style="235" customWidth="1"/>
    <col min="14" max="14" width="14.42578125" style="235" customWidth="1"/>
    <col min="15" max="16" width="12.85546875" style="235" customWidth="1"/>
    <col min="17" max="24" width="9.140625" style="235"/>
    <col min="25" max="25" width="10.42578125" style="235" customWidth="1"/>
    <col min="26" max="26" width="9.140625" style="235"/>
    <col min="27" max="27" width="10.140625" style="235" customWidth="1"/>
    <col min="28" max="28" width="9.140625" style="235"/>
    <col min="29" max="29" width="11.42578125" style="235" customWidth="1"/>
    <col min="30" max="32" width="9.140625" style="235"/>
    <col min="33" max="33" width="11.42578125" style="235" customWidth="1"/>
    <col min="34" max="16384" width="9.140625" style="235"/>
  </cols>
  <sheetData>
    <row r="1" spans="1:53" ht="22.5" x14ac:dyDescent="0.2">
      <c r="D1" s="1062" t="s">
        <v>1392</v>
      </c>
      <c r="E1" s="1062"/>
      <c r="F1" s="1062"/>
      <c r="G1" s="1062"/>
      <c r="H1" s="1062"/>
      <c r="I1" s="1062"/>
      <c r="J1" s="1062"/>
      <c r="K1" s="1062"/>
      <c r="L1" s="420" t="s">
        <v>1190</v>
      </c>
      <c r="M1" s="340"/>
      <c r="N1" s="1062" t="s">
        <v>1191</v>
      </c>
      <c r="O1" s="1062"/>
      <c r="P1" s="1062"/>
      <c r="Q1" s="1062"/>
      <c r="R1" s="1062"/>
      <c r="S1" s="1062"/>
      <c r="T1" s="1062"/>
      <c r="U1" s="1062"/>
      <c r="V1" s="1062"/>
      <c r="W1" s="1062"/>
      <c r="X1" s="1062"/>
      <c r="Y1" s="1062"/>
      <c r="Z1" s="1062"/>
      <c r="AA1" s="340"/>
      <c r="AB1" s="1062" t="s">
        <v>1395</v>
      </c>
      <c r="AC1" s="1062"/>
      <c r="AD1" s="1062"/>
      <c r="AE1" s="1062" t="s">
        <v>1396</v>
      </c>
      <c r="AF1" s="1062"/>
      <c r="AG1" s="1062"/>
      <c r="AH1" s="1062"/>
      <c r="AI1" s="1062"/>
      <c r="AJ1" s="1062"/>
      <c r="AK1" s="1062"/>
      <c r="AL1" s="1062"/>
      <c r="AM1" s="1060" t="s">
        <v>1397</v>
      </c>
      <c r="AN1" s="1060"/>
      <c r="AO1" s="1060"/>
      <c r="AP1" s="1060"/>
      <c r="AQ1" s="1060"/>
      <c r="AR1" s="1060"/>
      <c r="AS1" s="1060"/>
      <c r="AT1" s="1060"/>
      <c r="AU1" s="1060" t="s">
        <v>1398</v>
      </c>
      <c r="AV1" s="1061"/>
      <c r="AW1" s="420" t="s">
        <v>1399</v>
      </c>
      <c r="AX1" s="1060" t="s">
        <v>1400</v>
      </c>
      <c r="AY1" s="1061"/>
    </row>
    <row r="2" spans="1:53" ht="101.25" x14ac:dyDescent="0.2">
      <c r="A2" s="357" t="s">
        <v>555</v>
      </c>
      <c r="B2" s="357" t="s">
        <v>342</v>
      </c>
      <c r="C2" s="357" t="s">
        <v>340</v>
      </c>
      <c r="D2" s="357" t="s">
        <v>1401</v>
      </c>
      <c r="E2" s="357" t="s">
        <v>1810</v>
      </c>
      <c r="F2" s="340" t="s">
        <v>130</v>
      </c>
      <c r="G2" s="357" t="s">
        <v>131</v>
      </c>
      <c r="H2" s="357" t="s">
        <v>132</v>
      </c>
      <c r="I2" s="357" t="s">
        <v>134</v>
      </c>
      <c r="J2" s="357" t="s">
        <v>1192</v>
      </c>
      <c r="K2" s="357" t="s">
        <v>3266</v>
      </c>
      <c r="L2" s="420" t="s">
        <v>550</v>
      </c>
      <c r="M2" s="357" t="s">
        <v>551</v>
      </c>
      <c r="N2" s="357" t="s">
        <v>552</v>
      </c>
      <c r="O2" s="357" t="s">
        <v>553</v>
      </c>
      <c r="P2" s="357" t="s">
        <v>554</v>
      </c>
      <c r="Q2" s="357" t="s">
        <v>555</v>
      </c>
      <c r="R2" s="357" t="s">
        <v>556</v>
      </c>
      <c r="S2" s="357" t="s">
        <v>557</v>
      </c>
      <c r="T2" s="357" t="s">
        <v>558</v>
      </c>
      <c r="U2" s="357" t="s">
        <v>1193</v>
      </c>
      <c r="V2" s="357" t="s">
        <v>2476</v>
      </c>
      <c r="W2" s="357" t="s">
        <v>210</v>
      </c>
      <c r="X2" s="357" t="s">
        <v>2658</v>
      </c>
      <c r="Y2" s="357" t="s">
        <v>2659</v>
      </c>
      <c r="Z2" s="357" t="s">
        <v>2660</v>
      </c>
      <c r="AA2" s="357" t="s">
        <v>2909</v>
      </c>
      <c r="AB2" s="357" t="s">
        <v>222</v>
      </c>
      <c r="AC2" s="357" t="s">
        <v>223</v>
      </c>
      <c r="AD2" s="357" t="s">
        <v>224</v>
      </c>
      <c r="AE2" s="357" t="s">
        <v>1194</v>
      </c>
      <c r="AF2" s="357" t="s">
        <v>1195</v>
      </c>
      <c r="AG2" s="357" t="s">
        <v>71</v>
      </c>
      <c r="AH2" s="357" t="s">
        <v>1196</v>
      </c>
      <c r="AI2" s="420" t="s">
        <v>1199</v>
      </c>
      <c r="AJ2" s="357" t="s">
        <v>2970</v>
      </c>
      <c r="AK2" s="420" t="s">
        <v>72</v>
      </c>
      <c r="AL2" s="357" t="s">
        <v>73</v>
      </c>
      <c r="AM2" s="420" t="s">
        <v>74</v>
      </c>
      <c r="AN2" s="420" t="s">
        <v>75</v>
      </c>
      <c r="AO2" s="420" t="s">
        <v>76</v>
      </c>
      <c r="AP2" s="420" t="s">
        <v>141</v>
      </c>
      <c r="AQ2" s="420" t="s">
        <v>142</v>
      </c>
      <c r="AR2" s="420" t="s">
        <v>2971</v>
      </c>
      <c r="AS2" s="420" t="s">
        <v>144</v>
      </c>
      <c r="AT2" s="420" t="s">
        <v>2972</v>
      </c>
      <c r="AU2" s="420" t="s">
        <v>2973</v>
      </c>
      <c r="AV2" s="420" t="s">
        <v>147</v>
      </c>
      <c r="AW2" s="420" t="s">
        <v>147</v>
      </c>
      <c r="AX2" s="420" t="s">
        <v>147</v>
      </c>
      <c r="AY2" s="420" t="s">
        <v>148</v>
      </c>
      <c r="AZ2" s="421" t="s">
        <v>1609</v>
      </c>
    </row>
    <row r="3" spans="1:53" ht="78.75" hidden="1" x14ac:dyDescent="0.2">
      <c r="A3" s="422">
        <v>268</v>
      </c>
      <c r="B3" s="340">
        <f>S3</f>
        <v>12</v>
      </c>
      <c r="C3" s="340" t="s">
        <v>1940</v>
      </c>
      <c r="D3" s="341" t="s">
        <v>2122</v>
      </c>
      <c r="E3" s="423" t="s">
        <v>2630</v>
      </c>
      <c r="F3" s="340" t="s">
        <v>2848</v>
      </c>
      <c r="G3" s="341" t="s">
        <v>2274</v>
      </c>
      <c r="H3" s="341" t="s">
        <v>2126</v>
      </c>
      <c r="I3" s="423">
        <v>16845900</v>
      </c>
      <c r="J3" s="423">
        <v>16845801</v>
      </c>
      <c r="K3" s="343">
        <v>13502864</v>
      </c>
      <c r="L3" s="420" t="s">
        <v>153</v>
      </c>
      <c r="M3" s="423" t="s">
        <v>2123</v>
      </c>
      <c r="N3" s="341" t="s">
        <v>2083</v>
      </c>
      <c r="O3" s="393" t="s">
        <v>2950</v>
      </c>
      <c r="P3" s="424" t="s">
        <v>2951</v>
      </c>
      <c r="Q3" s="422">
        <v>268</v>
      </c>
      <c r="R3" s="423">
        <v>180</v>
      </c>
      <c r="S3" s="423">
        <v>12</v>
      </c>
      <c r="T3" s="423" t="s">
        <v>2129</v>
      </c>
      <c r="U3" s="393">
        <v>147.19999999999999</v>
      </c>
      <c r="V3" s="423">
        <v>37</v>
      </c>
      <c r="W3" s="422" t="s">
        <v>157</v>
      </c>
      <c r="X3" s="423">
        <v>7.27</v>
      </c>
      <c r="Y3" s="393"/>
      <c r="Z3" s="425">
        <v>4.6399999999999997</v>
      </c>
      <c r="AA3" s="393"/>
      <c r="AB3" s="341"/>
      <c r="AC3" s="341"/>
      <c r="AD3" s="341"/>
      <c r="AE3" s="340" t="s">
        <v>159</v>
      </c>
      <c r="AF3" s="340">
        <v>0.02</v>
      </c>
      <c r="AG3" s="340">
        <v>6.0000000000000001E-3</v>
      </c>
      <c r="AH3" s="341" t="s">
        <v>1127</v>
      </c>
      <c r="AI3" s="341" t="s">
        <v>1127</v>
      </c>
      <c r="AJ3" s="341" t="s">
        <v>1127</v>
      </c>
      <c r="AK3" s="420">
        <v>0.05</v>
      </c>
      <c r="AL3" s="342">
        <v>30</v>
      </c>
      <c r="AM3" s="342"/>
      <c r="AN3" s="342"/>
      <c r="AO3" s="342"/>
      <c r="AP3" s="342"/>
      <c r="AQ3" s="342"/>
      <c r="AR3" s="342"/>
      <c r="AS3" s="342"/>
      <c r="AT3" s="342"/>
      <c r="AU3" s="342"/>
      <c r="AV3" s="342"/>
      <c r="AW3" s="342"/>
      <c r="AX3" s="342"/>
      <c r="AY3" s="342"/>
      <c r="AZ3" s="257">
        <f>X3/Z3</f>
        <v>1.5668103448275863</v>
      </c>
    </row>
    <row r="4" spans="1:53" ht="56.25" hidden="1" x14ac:dyDescent="0.2">
      <c r="A4" s="422">
        <v>292</v>
      </c>
      <c r="B4" s="340">
        <f>S4</f>
        <v>12</v>
      </c>
      <c r="C4" s="340" t="s">
        <v>1940</v>
      </c>
      <c r="D4" s="341" t="s">
        <v>2122</v>
      </c>
      <c r="E4" s="423" t="s">
        <v>2978</v>
      </c>
      <c r="F4" s="340" t="s">
        <v>2848</v>
      </c>
      <c r="G4" s="341">
        <v>2010</v>
      </c>
      <c r="H4" s="341" t="s">
        <v>2126</v>
      </c>
      <c r="I4" s="423">
        <v>16846100</v>
      </c>
      <c r="J4" s="423">
        <v>16846001</v>
      </c>
      <c r="K4" s="343">
        <v>13502865</v>
      </c>
      <c r="L4" s="420" t="s">
        <v>153</v>
      </c>
      <c r="M4" s="423" t="s">
        <v>2123</v>
      </c>
      <c r="N4" s="341" t="s">
        <v>2083</v>
      </c>
      <c r="O4" s="393" t="s">
        <v>1811</v>
      </c>
      <c r="P4" s="357" t="s">
        <v>2771</v>
      </c>
      <c r="Q4" s="393">
        <v>305</v>
      </c>
      <c r="R4" s="393">
        <v>206.5</v>
      </c>
      <c r="S4" s="393">
        <v>12</v>
      </c>
      <c r="T4" s="393" t="s">
        <v>677</v>
      </c>
      <c r="U4" s="393" t="s">
        <v>157</v>
      </c>
      <c r="V4" s="393">
        <v>26.1</v>
      </c>
      <c r="W4" s="393" t="s">
        <v>157</v>
      </c>
      <c r="X4" s="393">
        <v>7.3879999999999999</v>
      </c>
      <c r="Y4" s="393"/>
      <c r="Z4" s="393">
        <v>5.3710000000000004</v>
      </c>
      <c r="AA4" s="393"/>
      <c r="AB4" s="341"/>
      <c r="AC4" s="341"/>
      <c r="AD4" s="341"/>
      <c r="AE4" s="393" t="s">
        <v>576</v>
      </c>
      <c r="AF4" s="341">
        <v>0.02</v>
      </c>
      <c r="AG4" s="341">
        <v>8.9999999999999993E-3</v>
      </c>
      <c r="AH4" s="341" t="s">
        <v>157</v>
      </c>
      <c r="AI4" s="341" t="s">
        <v>686</v>
      </c>
      <c r="AJ4" s="342" t="s">
        <v>686</v>
      </c>
      <c r="AK4" s="342">
        <v>0.05</v>
      </c>
      <c r="AL4" s="342">
        <v>36</v>
      </c>
      <c r="AM4" s="342"/>
      <c r="AN4" s="342">
        <v>2681</v>
      </c>
      <c r="AO4" s="342"/>
      <c r="AP4" s="342">
        <v>190</v>
      </c>
      <c r="AQ4" s="342">
        <v>334</v>
      </c>
      <c r="AR4" s="342">
        <v>708.66</v>
      </c>
      <c r="AS4" s="342">
        <v>3076</v>
      </c>
      <c r="AT4" s="426">
        <v>0.26</v>
      </c>
      <c r="AU4" s="342"/>
      <c r="AV4" s="342"/>
      <c r="AW4" s="342"/>
      <c r="AX4" s="342"/>
      <c r="AY4" s="342"/>
      <c r="AZ4" s="257">
        <f t="shared" ref="AZ4:AZ24" si="0">X4/Z4</f>
        <v>1.3755352820703779</v>
      </c>
    </row>
    <row r="5" spans="1:53" ht="45" hidden="1" x14ac:dyDescent="0.2">
      <c r="A5" s="340">
        <v>292</v>
      </c>
      <c r="B5" s="340">
        <f>S5</f>
        <v>12</v>
      </c>
      <c r="C5" s="340" t="s">
        <v>1940</v>
      </c>
      <c r="D5" s="341" t="s">
        <v>2122</v>
      </c>
      <c r="E5" s="423" t="s">
        <v>1695</v>
      </c>
      <c r="F5" s="340" t="s">
        <v>2848</v>
      </c>
      <c r="G5" s="341" t="s">
        <v>2272</v>
      </c>
      <c r="H5" s="341" t="s">
        <v>2126</v>
      </c>
      <c r="I5" s="357">
        <v>16848900</v>
      </c>
      <c r="J5" s="420">
        <v>16848801</v>
      </c>
      <c r="K5" s="343">
        <v>13501313</v>
      </c>
      <c r="L5" s="420" t="s">
        <v>153</v>
      </c>
      <c r="M5" s="357" t="s">
        <v>2127</v>
      </c>
      <c r="N5" s="341" t="s">
        <v>1410</v>
      </c>
      <c r="O5" s="393" t="s">
        <v>1811</v>
      </c>
      <c r="P5" s="357" t="s">
        <v>643</v>
      </c>
      <c r="Q5" s="422">
        <v>292</v>
      </c>
      <c r="R5" s="423">
        <v>208</v>
      </c>
      <c r="S5" s="423">
        <v>12</v>
      </c>
      <c r="T5" s="423" t="s">
        <v>2130</v>
      </c>
      <c r="U5" s="393">
        <v>157.19999999999999</v>
      </c>
      <c r="V5" s="423">
        <v>37</v>
      </c>
      <c r="W5" s="422" t="s">
        <v>157</v>
      </c>
      <c r="X5" s="423">
        <v>8.42</v>
      </c>
      <c r="Y5" s="393"/>
      <c r="Z5" s="425">
        <v>5.31</v>
      </c>
      <c r="AA5" s="393"/>
      <c r="AB5" s="341"/>
      <c r="AC5" s="341"/>
      <c r="AD5" s="341"/>
      <c r="AE5" s="340" t="s">
        <v>159</v>
      </c>
      <c r="AF5" s="340">
        <v>0.02</v>
      </c>
      <c r="AG5" s="340">
        <v>6.0000000000000001E-3</v>
      </c>
      <c r="AH5" s="341" t="s">
        <v>1127</v>
      </c>
      <c r="AI5" s="341" t="s">
        <v>1127</v>
      </c>
      <c r="AJ5" s="341" t="s">
        <v>1127</v>
      </c>
      <c r="AK5" s="420">
        <v>0.05</v>
      </c>
      <c r="AL5" s="342">
        <v>30</v>
      </c>
      <c r="AM5" s="342"/>
      <c r="AN5" s="342"/>
      <c r="AO5" s="342"/>
      <c r="AP5" s="342"/>
      <c r="AQ5" s="342"/>
      <c r="AR5" s="342"/>
      <c r="AS5" s="342"/>
      <c r="AT5" s="342"/>
      <c r="AU5" s="342"/>
      <c r="AV5" s="342"/>
      <c r="AW5" s="342"/>
      <c r="AX5" s="342"/>
      <c r="AY5" s="342"/>
      <c r="AZ5" s="257">
        <f t="shared" si="0"/>
        <v>1.5856873822975519</v>
      </c>
    </row>
    <row r="6" spans="1:53" ht="33.75" hidden="1" x14ac:dyDescent="0.2">
      <c r="A6" s="340">
        <v>300</v>
      </c>
      <c r="B6" s="340">
        <v>19</v>
      </c>
      <c r="C6" s="340" t="s">
        <v>341</v>
      </c>
      <c r="D6" s="357" t="s">
        <v>2072</v>
      </c>
      <c r="E6" s="357" t="s">
        <v>1456</v>
      </c>
      <c r="F6" s="340" t="s">
        <v>2518</v>
      </c>
      <c r="G6" s="357">
        <v>2005</v>
      </c>
      <c r="H6" s="340" t="s">
        <v>215</v>
      </c>
      <c r="I6" s="340">
        <v>14239803</v>
      </c>
      <c r="J6" s="420">
        <v>14239701</v>
      </c>
      <c r="K6" s="393" t="s">
        <v>1457</v>
      </c>
      <c r="L6" s="340" t="s">
        <v>215</v>
      </c>
      <c r="M6" s="341" t="s">
        <v>1458</v>
      </c>
      <c r="N6" s="357" t="s">
        <v>2084</v>
      </c>
      <c r="O6" s="341" t="s">
        <v>2073</v>
      </c>
      <c r="P6" s="357" t="s">
        <v>643</v>
      </c>
      <c r="Q6" s="340">
        <v>292</v>
      </c>
      <c r="R6" s="357">
        <v>208</v>
      </c>
      <c r="S6" s="357">
        <v>12</v>
      </c>
      <c r="T6" s="423" t="s">
        <v>2131</v>
      </c>
      <c r="U6" s="393">
        <v>172</v>
      </c>
      <c r="V6" s="423">
        <v>40</v>
      </c>
      <c r="W6" s="357" t="s">
        <v>157</v>
      </c>
      <c r="X6" s="357">
        <v>8.2899999999999991</v>
      </c>
      <c r="Y6" s="393"/>
      <c r="Z6" s="357">
        <v>5.47</v>
      </c>
      <c r="AA6" s="393"/>
      <c r="AB6" s="341"/>
      <c r="AC6" s="341"/>
      <c r="AD6" s="341"/>
      <c r="AE6" s="340" t="s">
        <v>159</v>
      </c>
      <c r="AF6" s="340">
        <v>0.02</v>
      </c>
      <c r="AG6" s="340">
        <v>6.0000000000000001E-3</v>
      </c>
      <c r="AH6" s="341" t="s">
        <v>1127</v>
      </c>
      <c r="AI6" s="341" t="s">
        <v>1127</v>
      </c>
      <c r="AJ6" s="341" t="s">
        <v>1127</v>
      </c>
      <c r="AK6" s="420">
        <v>0.05</v>
      </c>
      <c r="AL6" s="342">
        <v>30</v>
      </c>
      <c r="AM6" s="342"/>
      <c r="AN6" s="342"/>
      <c r="AO6" s="342"/>
      <c r="AP6" s="342"/>
      <c r="AQ6" s="342"/>
      <c r="AR6" s="342"/>
      <c r="AS6" s="342"/>
      <c r="AT6" s="342"/>
      <c r="AU6" s="342"/>
      <c r="AV6" s="342"/>
      <c r="AW6" s="342"/>
      <c r="AX6" s="342"/>
      <c r="AY6" s="342"/>
      <c r="AZ6" s="257">
        <f t="shared" si="0"/>
        <v>1.5155393053016453</v>
      </c>
    </row>
    <row r="7" spans="1:53" ht="56.25" hidden="1" x14ac:dyDescent="0.2">
      <c r="A7" s="393">
        <v>305</v>
      </c>
      <c r="B7" s="340">
        <f>S7</f>
        <v>12</v>
      </c>
      <c r="C7" s="340" t="s">
        <v>1940</v>
      </c>
      <c r="D7" s="341" t="s">
        <v>358</v>
      </c>
      <c r="E7" s="341" t="s">
        <v>1012</v>
      </c>
      <c r="F7" s="393" t="s">
        <v>669</v>
      </c>
      <c r="G7" s="393">
        <v>2008</v>
      </c>
      <c r="H7" s="393" t="s">
        <v>559</v>
      </c>
      <c r="I7" s="393">
        <v>15863102</v>
      </c>
      <c r="J7" s="342">
        <v>15862901</v>
      </c>
      <c r="K7" s="393" t="s">
        <v>1928</v>
      </c>
      <c r="L7" s="342" t="s">
        <v>1354</v>
      </c>
      <c r="M7" s="341" t="s">
        <v>219</v>
      </c>
      <c r="N7" s="341" t="s">
        <v>2083</v>
      </c>
      <c r="O7" s="357" t="s">
        <v>448</v>
      </c>
      <c r="P7" s="357" t="s">
        <v>2771</v>
      </c>
      <c r="Q7" s="393">
        <v>316</v>
      </c>
      <c r="R7" s="393">
        <v>228</v>
      </c>
      <c r="S7" s="393">
        <v>12</v>
      </c>
      <c r="T7" s="393" t="s">
        <v>581</v>
      </c>
      <c r="U7" s="393">
        <v>206.1</v>
      </c>
      <c r="V7" s="393">
        <v>61.4</v>
      </c>
      <c r="W7" s="393" t="s">
        <v>157</v>
      </c>
      <c r="X7" s="393">
        <v>10.32</v>
      </c>
      <c r="Y7" s="393"/>
      <c r="Z7" s="393">
        <v>7.1440000000000001</v>
      </c>
      <c r="AA7" s="393"/>
      <c r="AB7" s="341"/>
      <c r="AC7" s="341"/>
      <c r="AD7" s="341"/>
      <c r="AE7" s="393" t="s">
        <v>576</v>
      </c>
      <c r="AF7" s="341">
        <v>0.02</v>
      </c>
      <c r="AG7" s="341">
        <v>8.9999999999999993E-3</v>
      </c>
      <c r="AH7" s="341" t="s">
        <v>1931</v>
      </c>
      <c r="AI7" s="341" t="s">
        <v>1932</v>
      </c>
      <c r="AJ7" s="342">
        <v>0.08</v>
      </c>
      <c r="AK7" s="342">
        <v>0.05</v>
      </c>
      <c r="AL7" s="342">
        <v>36</v>
      </c>
      <c r="AM7" s="342"/>
      <c r="AN7" s="342"/>
      <c r="AO7" s="342"/>
      <c r="AP7" s="342"/>
      <c r="AQ7" s="342"/>
      <c r="AR7" s="342"/>
      <c r="AS7" s="342"/>
      <c r="AT7" s="342"/>
      <c r="AU7" s="342"/>
      <c r="AV7" s="342"/>
      <c r="AW7" s="342"/>
      <c r="AX7" s="342"/>
      <c r="AY7" s="342"/>
      <c r="AZ7" s="257">
        <f t="shared" si="0"/>
        <v>1.444568868980963</v>
      </c>
    </row>
    <row r="8" spans="1:53" ht="56.25" hidden="1" x14ac:dyDescent="0.2">
      <c r="A8" s="357">
        <v>315</v>
      </c>
      <c r="B8" s="340">
        <v>23</v>
      </c>
      <c r="C8" s="340" t="s">
        <v>341</v>
      </c>
      <c r="D8" s="341" t="s">
        <v>2122</v>
      </c>
      <c r="E8" s="423" t="s">
        <v>1696</v>
      </c>
      <c r="F8" s="340" t="s">
        <v>2848</v>
      </c>
      <c r="G8" s="341" t="s">
        <v>2275</v>
      </c>
      <c r="H8" s="341" t="s">
        <v>2126</v>
      </c>
      <c r="I8" s="357">
        <v>16849100</v>
      </c>
      <c r="J8" s="341">
        <v>16849001</v>
      </c>
      <c r="K8" s="343">
        <v>13501314</v>
      </c>
      <c r="L8" s="420" t="s">
        <v>153</v>
      </c>
      <c r="M8" s="357" t="s">
        <v>2128</v>
      </c>
      <c r="N8" s="357" t="s">
        <v>2616</v>
      </c>
      <c r="O8" s="393" t="s">
        <v>1811</v>
      </c>
      <c r="P8" s="357" t="s">
        <v>2771</v>
      </c>
      <c r="Q8" s="393">
        <v>316</v>
      </c>
      <c r="R8" s="393">
        <v>228</v>
      </c>
      <c r="S8" s="393">
        <v>12</v>
      </c>
      <c r="T8" s="393" t="s">
        <v>677</v>
      </c>
      <c r="U8" s="393">
        <v>206.1</v>
      </c>
      <c r="V8" s="393">
        <v>61.4</v>
      </c>
      <c r="W8" s="393" t="s">
        <v>157</v>
      </c>
      <c r="X8" s="393">
        <v>10.32</v>
      </c>
      <c r="Y8" s="393"/>
      <c r="Z8" s="393">
        <v>7.16</v>
      </c>
      <c r="AA8" s="393"/>
      <c r="AB8" s="341"/>
      <c r="AC8" s="341"/>
      <c r="AD8" s="341"/>
      <c r="AE8" s="393" t="s">
        <v>576</v>
      </c>
      <c r="AF8" s="341">
        <v>0.02</v>
      </c>
      <c r="AG8" s="341">
        <v>8.9999999999999993E-3</v>
      </c>
      <c r="AH8" s="341" t="s">
        <v>1931</v>
      </c>
      <c r="AI8" s="341" t="s">
        <v>1932</v>
      </c>
      <c r="AJ8" s="342">
        <v>0.08</v>
      </c>
      <c r="AK8" s="342">
        <v>0.05</v>
      </c>
      <c r="AL8" s="342">
        <v>36</v>
      </c>
      <c r="AM8" s="342"/>
      <c r="AN8" s="342"/>
      <c r="AO8" s="342"/>
      <c r="AP8" s="342"/>
      <c r="AQ8" s="342"/>
      <c r="AR8" s="342"/>
      <c r="AS8" s="342"/>
      <c r="AT8" s="342"/>
      <c r="AU8" s="342"/>
      <c r="AV8" s="342"/>
      <c r="AW8" s="342"/>
      <c r="AX8" s="342"/>
      <c r="AY8" s="342"/>
      <c r="AZ8" s="257">
        <f t="shared" si="0"/>
        <v>1.441340782122905</v>
      </c>
      <c r="BA8" s="259">
        <f>AVERAGE(AZ3:AZ8)</f>
        <v>1.4882469942668382</v>
      </c>
    </row>
    <row r="9" spans="1:53" ht="56.25" hidden="1" x14ac:dyDescent="0.2">
      <c r="A9" s="340">
        <v>315</v>
      </c>
      <c r="B9" s="340">
        <v>23</v>
      </c>
      <c r="C9" s="340" t="s">
        <v>341</v>
      </c>
      <c r="D9" s="341" t="s">
        <v>2122</v>
      </c>
      <c r="E9" s="423" t="s">
        <v>1694</v>
      </c>
      <c r="F9" s="340" t="s">
        <v>2848</v>
      </c>
      <c r="G9" s="341">
        <v>2012</v>
      </c>
      <c r="H9" s="341" t="s">
        <v>2126</v>
      </c>
      <c r="I9" s="423">
        <v>16850400</v>
      </c>
      <c r="J9" s="423">
        <v>16850301</v>
      </c>
      <c r="K9" s="343">
        <v>13501315</v>
      </c>
      <c r="L9" s="420" t="s">
        <v>153</v>
      </c>
      <c r="M9" s="357" t="s">
        <v>2124</v>
      </c>
      <c r="N9" s="341" t="s">
        <v>2615</v>
      </c>
      <c r="O9" s="393" t="s">
        <v>1811</v>
      </c>
      <c r="P9" s="357" t="s">
        <v>0</v>
      </c>
      <c r="Q9" s="340">
        <v>300</v>
      </c>
      <c r="R9" s="340">
        <v>202</v>
      </c>
      <c r="S9" s="340">
        <v>19</v>
      </c>
      <c r="T9" s="340" t="s">
        <v>581</v>
      </c>
      <c r="U9" s="340" t="s">
        <v>157</v>
      </c>
      <c r="V9" s="340">
        <v>26.9</v>
      </c>
      <c r="W9" s="340">
        <v>7</v>
      </c>
      <c r="X9" s="340">
        <v>8.1639999999999997</v>
      </c>
      <c r="Y9" s="340"/>
      <c r="Z9" s="340">
        <v>5.8390000000000004</v>
      </c>
      <c r="AA9" s="340"/>
      <c r="AB9" s="341">
        <v>4.3</v>
      </c>
      <c r="AC9" s="341">
        <v>687</v>
      </c>
      <c r="AD9" s="341">
        <v>689</v>
      </c>
      <c r="AE9" s="340" t="s">
        <v>159</v>
      </c>
      <c r="AF9" s="340">
        <v>2.5000000000000001E-2</v>
      </c>
      <c r="AG9" s="427">
        <v>8.9999999999999993E-3</v>
      </c>
      <c r="AH9" s="340" t="s">
        <v>686</v>
      </c>
      <c r="AI9" s="340" t="s">
        <v>686</v>
      </c>
      <c r="AJ9" s="340" t="s">
        <v>686</v>
      </c>
      <c r="AK9" s="420">
        <v>0.01</v>
      </c>
      <c r="AL9" s="340">
        <v>36</v>
      </c>
      <c r="AM9" s="420" t="s">
        <v>2074</v>
      </c>
      <c r="AN9" s="420" t="s">
        <v>1017</v>
      </c>
      <c r="AO9" s="420" t="s">
        <v>1018</v>
      </c>
      <c r="AP9" s="420" t="s">
        <v>1019</v>
      </c>
      <c r="AQ9" s="420" t="s">
        <v>1020</v>
      </c>
      <c r="AR9" s="420">
        <v>353</v>
      </c>
      <c r="AS9" s="420">
        <v>2720</v>
      </c>
      <c r="AT9" s="420" t="s">
        <v>1021</v>
      </c>
      <c r="AU9" s="420">
        <v>53.8</v>
      </c>
      <c r="AV9" s="420">
        <v>171.31</v>
      </c>
      <c r="AW9" s="420"/>
      <c r="AX9" s="420" t="s">
        <v>1022</v>
      </c>
      <c r="AY9" s="420" t="s">
        <v>1023</v>
      </c>
      <c r="AZ9" s="257">
        <f t="shared" si="0"/>
        <v>1.3981846206542214</v>
      </c>
    </row>
    <row r="10" spans="1:53" ht="33.75" hidden="1" x14ac:dyDescent="0.2">
      <c r="A10" s="393">
        <v>316</v>
      </c>
      <c r="B10" s="340">
        <v>12</v>
      </c>
      <c r="C10" s="340" t="s">
        <v>1940</v>
      </c>
      <c r="D10" s="341" t="s">
        <v>359</v>
      </c>
      <c r="E10" s="341" t="s">
        <v>882</v>
      </c>
      <c r="F10" s="393" t="s">
        <v>669</v>
      </c>
      <c r="G10" s="393">
        <v>2007</v>
      </c>
      <c r="H10" s="393" t="s">
        <v>559</v>
      </c>
      <c r="I10" s="393">
        <v>15419902</v>
      </c>
      <c r="J10" s="342">
        <v>15419801</v>
      </c>
      <c r="K10" s="393" t="s">
        <v>1933</v>
      </c>
      <c r="L10" s="342" t="s">
        <v>1354</v>
      </c>
      <c r="M10" s="341" t="s">
        <v>219</v>
      </c>
      <c r="N10" s="341" t="s">
        <v>2083</v>
      </c>
      <c r="O10" s="357" t="s">
        <v>448</v>
      </c>
      <c r="P10" s="357"/>
      <c r="Q10" s="340">
        <v>342</v>
      </c>
      <c r="R10" s="340">
        <v>257.10000000000002</v>
      </c>
      <c r="S10" s="340">
        <v>22</v>
      </c>
      <c r="T10" s="340" t="s">
        <v>581</v>
      </c>
      <c r="U10" s="340">
        <v>230</v>
      </c>
      <c r="V10" s="340"/>
      <c r="W10" s="340">
        <v>6</v>
      </c>
      <c r="X10" s="340">
        <v>12.724</v>
      </c>
      <c r="Y10" s="340"/>
      <c r="Z10" s="340">
        <v>9.4060000000000006</v>
      </c>
      <c r="AA10" s="340"/>
      <c r="AB10" s="341"/>
      <c r="AC10" s="341"/>
      <c r="AD10" s="341"/>
      <c r="AE10" s="340"/>
      <c r="AF10" s="340"/>
      <c r="AG10" s="427"/>
      <c r="AH10" s="340"/>
      <c r="AI10" s="340"/>
      <c r="AJ10" s="340"/>
      <c r="AK10" s="420"/>
      <c r="AL10" s="340"/>
      <c r="AM10" s="420"/>
      <c r="AN10" s="420"/>
      <c r="AO10" s="420"/>
      <c r="AP10" s="420"/>
      <c r="AQ10" s="420"/>
      <c r="AR10" s="420"/>
      <c r="AS10" s="420"/>
      <c r="AT10" s="420"/>
      <c r="AU10" s="420"/>
      <c r="AV10" s="420"/>
      <c r="AW10" s="420"/>
      <c r="AX10" s="420"/>
      <c r="AY10" s="420"/>
      <c r="AZ10" s="257">
        <f t="shared" si="0"/>
        <v>1.3527535615564532</v>
      </c>
    </row>
    <row r="11" spans="1:53" ht="33.75" hidden="1" x14ac:dyDescent="0.2">
      <c r="A11" s="393">
        <v>316</v>
      </c>
      <c r="B11" s="340">
        <v>12</v>
      </c>
      <c r="C11" s="340" t="s">
        <v>1940</v>
      </c>
      <c r="D11" s="341" t="s">
        <v>359</v>
      </c>
      <c r="E11" s="341" t="s">
        <v>360</v>
      </c>
      <c r="F11" s="393" t="s">
        <v>669</v>
      </c>
      <c r="G11" s="393">
        <v>2007</v>
      </c>
      <c r="H11" s="393" t="s">
        <v>559</v>
      </c>
      <c r="I11" s="393">
        <v>15789002</v>
      </c>
      <c r="J11" s="342">
        <v>15419801</v>
      </c>
      <c r="K11" s="393" t="s">
        <v>1930</v>
      </c>
      <c r="L11" s="342" t="s">
        <v>1354</v>
      </c>
      <c r="M11" s="341" t="s">
        <v>219</v>
      </c>
      <c r="N11" s="341" t="s">
        <v>2083</v>
      </c>
      <c r="O11" s="357" t="s">
        <v>448</v>
      </c>
      <c r="P11" s="357" t="s">
        <v>643</v>
      </c>
      <c r="Q11" s="357">
        <v>315</v>
      </c>
      <c r="R11" s="357">
        <v>208</v>
      </c>
      <c r="S11" s="357">
        <v>23</v>
      </c>
      <c r="T11" s="423" t="s">
        <v>2131</v>
      </c>
      <c r="U11" s="393">
        <v>172</v>
      </c>
      <c r="V11" s="423">
        <v>40</v>
      </c>
      <c r="W11" s="341">
        <v>8</v>
      </c>
      <c r="X11" s="341">
        <v>10.96</v>
      </c>
      <c r="Y11" s="393"/>
      <c r="Z11" s="357">
        <v>8</v>
      </c>
      <c r="AA11" s="393"/>
      <c r="AB11" s="341"/>
      <c r="AC11" s="341"/>
      <c r="AD11" s="341"/>
      <c r="AE11" s="340" t="s">
        <v>159</v>
      </c>
      <c r="AF11" s="340">
        <v>0.02</v>
      </c>
      <c r="AG11" s="340">
        <v>6.0000000000000001E-3</v>
      </c>
      <c r="AH11" s="341" t="s">
        <v>1127</v>
      </c>
      <c r="AI11" s="341" t="s">
        <v>1127</v>
      </c>
      <c r="AJ11" s="341" t="s">
        <v>1127</v>
      </c>
      <c r="AK11" s="420">
        <v>0.05</v>
      </c>
      <c r="AL11" s="342">
        <v>30</v>
      </c>
      <c r="AM11" s="342"/>
      <c r="AN11" s="342"/>
      <c r="AO11" s="342"/>
      <c r="AP11" s="342"/>
      <c r="AQ11" s="342"/>
      <c r="AR11" s="342"/>
      <c r="AS11" s="342"/>
      <c r="AT11" s="342"/>
      <c r="AU11" s="342"/>
      <c r="AV11" s="342"/>
      <c r="AW11" s="342"/>
      <c r="AX11" s="342"/>
      <c r="AY11" s="342"/>
      <c r="AZ11" s="257">
        <f t="shared" si="0"/>
        <v>1.37</v>
      </c>
    </row>
    <row r="12" spans="1:53" ht="33.75" x14ac:dyDescent="0.2">
      <c r="A12" s="725">
        <v>336</v>
      </c>
      <c r="B12" s="718">
        <v>22</v>
      </c>
      <c r="C12" s="718" t="s">
        <v>341</v>
      </c>
      <c r="D12" s="723" t="s">
        <v>679</v>
      </c>
      <c r="E12" s="723" t="s">
        <v>3070</v>
      </c>
      <c r="F12" s="725" t="s">
        <v>2908</v>
      </c>
      <c r="G12" s="723">
        <v>2015</v>
      </c>
      <c r="H12" s="725" t="s">
        <v>681</v>
      </c>
      <c r="I12" s="720" t="s">
        <v>4229</v>
      </c>
      <c r="J12" s="720">
        <v>18534302</v>
      </c>
      <c r="K12" s="720" t="s">
        <v>4230</v>
      </c>
      <c r="L12" s="719" t="s">
        <v>153</v>
      </c>
      <c r="M12" s="723" t="s">
        <v>68</v>
      </c>
      <c r="N12" s="721" t="s">
        <v>2085</v>
      </c>
      <c r="O12" s="725" t="s">
        <v>66</v>
      </c>
      <c r="P12" s="726" t="s">
        <v>4231</v>
      </c>
      <c r="Q12" s="718">
        <v>336</v>
      </c>
      <c r="R12" s="721">
        <v>245</v>
      </c>
      <c r="S12" s="721">
        <v>22</v>
      </c>
      <c r="T12" s="724" t="s">
        <v>1934</v>
      </c>
      <c r="U12" s="725">
        <v>206.1</v>
      </c>
      <c r="V12" s="724">
        <v>35.1</v>
      </c>
      <c r="W12" s="721">
        <v>7</v>
      </c>
      <c r="X12" s="721">
        <v>11.167</v>
      </c>
      <c r="Y12" s="725"/>
      <c r="Z12" s="721">
        <v>8.6</v>
      </c>
      <c r="AA12" s="725"/>
      <c r="AB12" s="723">
        <v>5.7</v>
      </c>
      <c r="AC12" s="723">
        <v>2303.8000000000002</v>
      </c>
      <c r="AD12" s="723">
        <v>949.7</v>
      </c>
      <c r="AE12" s="718" t="s">
        <v>159</v>
      </c>
      <c r="AF12" s="718">
        <v>2.5000000000000001E-2</v>
      </c>
      <c r="AG12" s="718">
        <v>8.9999999999999993E-3</v>
      </c>
      <c r="AH12" s="723" t="s">
        <v>1127</v>
      </c>
      <c r="AI12" s="723" t="s">
        <v>1127</v>
      </c>
      <c r="AJ12" s="723" t="s">
        <v>1127</v>
      </c>
      <c r="AK12" s="719">
        <v>0.1</v>
      </c>
      <c r="AL12" s="722">
        <v>20</v>
      </c>
      <c r="AM12" s="722"/>
      <c r="AN12" s="722"/>
      <c r="AO12" s="722"/>
      <c r="AP12" s="722"/>
      <c r="AQ12" s="722"/>
      <c r="AR12" s="722"/>
      <c r="AS12" s="722"/>
      <c r="AT12" s="722"/>
      <c r="AU12" s="722"/>
      <c r="AV12" s="722"/>
      <c r="AW12" s="722"/>
      <c r="AX12" s="722"/>
      <c r="AY12" s="722"/>
      <c r="AZ12" s="727">
        <v>1.2984883720930234</v>
      </c>
      <c r="BA12" s="717"/>
    </row>
    <row r="13" spans="1:53" ht="56.25" hidden="1" x14ac:dyDescent="0.2">
      <c r="A13" s="340">
        <v>339</v>
      </c>
      <c r="B13" s="340">
        <v>23</v>
      </c>
      <c r="C13" s="340" t="s">
        <v>341</v>
      </c>
      <c r="D13" s="341" t="s">
        <v>2122</v>
      </c>
      <c r="E13" s="423" t="s">
        <v>1694</v>
      </c>
      <c r="F13" s="340" t="s">
        <v>2848</v>
      </c>
      <c r="G13" s="341">
        <v>2012</v>
      </c>
      <c r="H13" s="341" t="s">
        <v>2126</v>
      </c>
      <c r="I13" s="357">
        <v>16850600</v>
      </c>
      <c r="J13" s="420">
        <v>16850501</v>
      </c>
      <c r="K13" s="343">
        <v>13501316</v>
      </c>
      <c r="L13" s="420" t="s">
        <v>153</v>
      </c>
      <c r="M13" s="357" t="s">
        <v>2124</v>
      </c>
      <c r="N13" s="424" t="s">
        <v>2615</v>
      </c>
      <c r="O13" s="393" t="s">
        <v>1811</v>
      </c>
      <c r="P13" s="357" t="s">
        <v>2771</v>
      </c>
      <c r="Q13" s="393">
        <v>358</v>
      </c>
      <c r="R13" s="393">
        <v>248.5</v>
      </c>
      <c r="S13" s="393">
        <v>34</v>
      </c>
      <c r="T13" s="393">
        <v>165.1</v>
      </c>
      <c r="U13" s="393">
        <v>206.1</v>
      </c>
      <c r="V13" s="393">
        <v>116.86</v>
      </c>
      <c r="W13" s="393">
        <v>10</v>
      </c>
      <c r="X13" s="393">
        <v>21.425999999999998</v>
      </c>
      <c r="Y13" s="393"/>
      <c r="Z13" s="393">
        <v>16.742000000000001</v>
      </c>
      <c r="AA13" s="393"/>
      <c r="AB13" s="341">
        <v>10.372999999999999</v>
      </c>
      <c r="AC13" s="341">
        <v>1444</v>
      </c>
      <c r="AD13" s="341">
        <v>1038</v>
      </c>
      <c r="AE13" s="393" t="s">
        <v>159</v>
      </c>
      <c r="AF13" s="341">
        <v>2.5000000000000001E-2</v>
      </c>
      <c r="AG13" s="341">
        <v>0.01</v>
      </c>
      <c r="AH13" s="357" t="s">
        <v>159</v>
      </c>
      <c r="AI13" s="341" t="s">
        <v>2976</v>
      </c>
      <c r="AJ13" s="342">
        <v>0.08</v>
      </c>
      <c r="AK13" s="342" t="s">
        <v>2166</v>
      </c>
      <c r="AL13" s="342">
        <v>100</v>
      </c>
      <c r="AM13" s="342"/>
      <c r="AN13" s="428"/>
      <c r="AO13" s="342"/>
      <c r="AP13" s="342"/>
      <c r="AQ13" s="342"/>
      <c r="AR13" s="342"/>
      <c r="AS13" s="342"/>
      <c r="AT13" s="342"/>
      <c r="AU13" s="342"/>
      <c r="AV13" s="342"/>
      <c r="AW13" s="342"/>
      <c r="AX13" s="342"/>
      <c r="AY13" s="342"/>
      <c r="AZ13" s="257">
        <f t="shared" si="0"/>
        <v>1.2797754151236409</v>
      </c>
    </row>
    <row r="14" spans="1:53" ht="33.75" hidden="1" x14ac:dyDescent="0.2">
      <c r="A14" s="340">
        <v>342</v>
      </c>
      <c r="B14" s="340">
        <v>22</v>
      </c>
      <c r="C14" s="340" t="s">
        <v>341</v>
      </c>
      <c r="D14" s="357" t="s">
        <v>2072</v>
      </c>
      <c r="E14" s="357" t="s">
        <v>1067</v>
      </c>
      <c r="F14" s="340" t="s">
        <v>2518</v>
      </c>
      <c r="G14" s="357">
        <v>2013</v>
      </c>
      <c r="H14" s="393" t="s">
        <v>559</v>
      </c>
      <c r="I14" s="340">
        <v>17936102</v>
      </c>
      <c r="J14" s="420">
        <v>17936001</v>
      </c>
      <c r="K14" s="393" t="s">
        <v>1068</v>
      </c>
      <c r="L14" s="340"/>
      <c r="M14" s="341" t="s">
        <v>1069</v>
      </c>
      <c r="N14" s="357"/>
      <c r="O14" s="341"/>
      <c r="P14" s="357"/>
      <c r="Q14" s="393">
        <v>345</v>
      </c>
      <c r="R14" s="393">
        <v>251</v>
      </c>
      <c r="S14" s="393">
        <v>36</v>
      </c>
      <c r="T14" s="393" t="s">
        <v>685</v>
      </c>
      <c r="U14" s="393">
        <v>227.1</v>
      </c>
      <c r="V14" s="393">
        <v>82.5</v>
      </c>
      <c r="W14" s="393">
        <v>16</v>
      </c>
      <c r="X14" s="393">
        <v>17.152000000000001</v>
      </c>
      <c r="Y14" s="393"/>
      <c r="Z14" s="393">
        <v>13.553000000000001</v>
      </c>
      <c r="AA14" s="393"/>
      <c r="AB14" s="341"/>
      <c r="AC14" s="341"/>
      <c r="AD14" s="341"/>
      <c r="AE14" s="393" t="s">
        <v>159</v>
      </c>
      <c r="AF14" s="341">
        <v>0.04</v>
      </c>
      <c r="AG14" s="341">
        <v>8.9999999999999993E-3</v>
      </c>
      <c r="AH14" s="341" t="s">
        <v>2350</v>
      </c>
      <c r="AI14" s="341" t="s">
        <v>2976</v>
      </c>
      <c r="AJ14" s="342">
        <v>0.08</v>
      </c>
      <c r="AK14" s="342" t="s">
        <v>1756</v>
      </c>
      <c r="AL14" s="342">
        <v>144</v>
      </c>
      <c r="AM14" s="342"/>
      <c r="AN14" s="428"/>
      <c r="AO14" s="342"/>
      <c r="AP14" s="342"/>
      <c r="AQ14" s="342"/>
      <c r="AR14" s="342"/>
      <c r="AS14" s="342"/>
      <c r="AT14" s="342"/>
      <c r="AU14" s="342"/>
      <c r="AV14" s="342"/>
      <c r="AW14" s="342"/>
      <c r="AX14" s="342"/>
      <c r="AY14" s="342"/>
      <c r="AZ14" s="257">
        <f t="shared" si="0"/>
        <v>1.2655500627167418</v>
      </c>
    </row>
    <row r="15" spans="1:53" ht="45" x14ac:dyDescent="0.2">
      <c r="A15" s="734">
        <v>342</v>
      </c>
      <c r="B15" s="729">
        <v>22</v>
      </c>
      <c r="C15" s="729" t="s">
        <v>341</v>
      </c>
      <c r="D15" s="733" t="s">
        <v>679</v>
      </c>
      <c r="E15" s="733" t="s">
        <v>42</v>
      </c>
      <c r="F15" s="734" t="s">
        <v>2908</v>
      </c>
      <c r="G15" s="734">
        <v>2012</v>
      </c>
      <c r="H15" s="734" t="s">
        <v>559</v>
      </c>
      <c r="I15" s="734">
        <v>18535902</v>
      </c>
      <c r="J15" s="732">
        <v>18535901</v>
      </c>
      <c r="K15" s="734" t="s">
        <v>4232</v>
      </c>
      <c r="L15" s="730" t="s">
        <v>153</v>
      </c>
      <c r="M15" s="733" t="s">
        <v>68</v>
      </c>
      <c r="N15" s="731" t="s">
        <v>2085</v>
      </c>
      <c r="O15" s="734" t="s">
        <v>1186</v>
      </c>
      <c r="P15" s="733"/>
      <c r="Q15" s="734">
        <v>342</v>
      </c>
      <c r="R15" s="734">
        <v>257.10000000000002</v>
      </c>
      <c r="S15" s="734">
        <v>22</v>
      </c>
      <c r="T15" s="734" t="s">
        <v>1934</v>
      </c>
      <c r="U15" s="734">
        <v>230</v>
      </c>
      <c r="V15" s="734">
        <v>42</v>
      </c>
      <c r="W15" s="734">
        <v>6</v>
      </c>
      <c r="X15" s="736">
        <v>12.512</v>
      </c>
      <c r="Y15" s="734"/>
      <c r="Z15" s="737">
        <v>9.1999999999999993</v>
      </c>
      <c r="AA15" s="734"/>
      <c r="AB15" s="733">
        <v>4.9000000000000004</v>
      </c>
      <c r="AC15" s="733">
        <v>2539</v>
      </c>
      <c r="AD15" s="733">
        <v>745.8</v>
      </c>
      <c r="AE15" s="734" t="s">
        <v>159</v>
      </c>
      <c r="AF15" s="733">
        <v>2.5000000000000001E-2</v>
      </c>
      <c r="AG15" s="733">
        <v>8.9999999999999993E-3</v>
      </c>
      <c r="AH15" s="733" t="s">
        <v>1931</v>
      </c>
      <c r="AI15" s="733" t="s">
        <v>4233</v>
      </c>
      <c r="AJ15" s="732">
        <v>0.08</v>
      </c>
      <c r="AK15" s="730">
        <v>0.1</v>
      </c>
      <c r="AL15" s="732">
        <v>20</v>
      </c>
      <c r="AM15" s="732"/>
      <c r="AN15" s="732"/>
      <c r="AO15" s="732"/>
      <c r="AP15" s="732"/>
      <c r="AQ15" s="732"/>
      <c r="AR15" s="732"/>
      <c r="AS15" s="732"/>
      <c r="AT15" s="732"/>
      <c r="AU15" s="732"/>
      <c r="AV15" s="732"/>
      <c r="AW15" s="732"/>
      <c r="AX15" s="732"/>
      <c r="AY15" s="732"/>
      <c r="AZ15" s="735">
        <v>1.36</v>
      </c>
      <c r="BA15" s="728"/>
    </row>
    <row r="16" spans="1:53" ht="33.75" hidden="1" x14ac:dyDescent="0.2">
      <c r="A16" s="340">
        <v>345</v>
      </c>
      <c r="B16" s="340">
        <f>S16</f>
        <v>36</v>
      </c>
      <c r="C16" s="340" t="s">
        <v>341</v>
      </c>
      <c r="D16" s="341" t="s">
        <v>679</v>
      </c>
      <c r="E16" s="342" t="s">
        <v>104</v>
      </c>
      <c r="F16" s="342" t="s">
        <v>4059</v>
      </c>
      <c r="G16" s="341">
        <v>2008</v>
      </c>
      <c r="H16" s="341" t="s">
        <v>681</v>
      </c>
      <c r="I16" s="342">
        <v>16426702</v>
      </c>
      <c r="J16" s="342">
        <v>16426601</v>
      </c>
      <c r="K16" s="342" t="s">
        <v>3169</v>
      </c>
      <c r="L16" s="420" t="s">
        <v>153</v>
      </c>
      <c r="M16" s="341" t="s">
        <v>105</v>
      </c>
      <c r="N16" s="341" t="s">
        <v>2082</v>
      </c>
      <c r="O16" s="430" t="s">
        <v>577</v>
      </c>
      <c r="P16" s="424" t="s">
        <v>684</v>
      </c>
      <c r="Q16" s="393">
        <v>363</v>
      </c>
      <c r="R16" s="393">
        <v>251</v>
      </c>
      <c r="S16" s="393">
        <v>36</v>
      </c>
      <c r="T16" s="393" t="s">
        <v>2962</v>
      </c>
      <c r="U16" s="393">
        <v>230.1</v>
      </c>
      <c r="V16" s="393">
        <v>118.2</v>
      </c>
      <c r="W16" s="393">
        <v>12</v>
      </c>
      <c r="X16" s="429">
        <v>22.45</v>
      </c>
      <c r="Y16" s="393"/>
      <c r="Z16" s="429">
        <v>17.190000000000001</v>
      </c>
      <c r="AA16" s="393"/>
      <c r="AB16" s="341"/>
      <c r="AC16" s="341"/>
      <c r="AD16" s="341"/>
      <c r="AE16" s="393" t="s">
        <v>159</v>
      </c>
      <c r="AF16" s="341">
        <v>2.5000000000000001E-2</v>
      </c>
      <c r="AG16" s="341">
        <v>8.9999999999999993E-3</v>
      </c>
      <c r="AH16" s="341" t="s">
        <v>157</v>
      </c>
      <c r="AI16" s="341" t="s">
        <v>2969</v>
      </c>
      <c r="AJ16" s="342">
        <v>0.09</v>
      </c>
      <c r="AK16" s="342">
        <v>0.05</v>
      </c>
      <c r="AL16" s="342">
        <v>144</v>
      </c>
      <c r="AM16" s="342"/>
      <c r="AN16" s="342"/>
      <c r="AO16" s="342"/>
      <c r="AP16" s="342"/>
      <c r="AQ16" s="342"/>
      <c r="AR16" s="342"/>
      <c r="AS16" s="342"/>
      <c r="AT16" s="342"/>
      <c r="AU16" s="342"/>
      <c r="AV16" s="342"/>
      <c r="AW16" s="342"/>
      <c r="AX16" s="342"/>
      <c r="AY16" s="342"/>
      <c r="AZ16" s="257">
        <f t="shared" si="0"/>
        <v>1.3059918557300756</v>
      </c>
    </row>
    <row r="17" spans="1:53" ht="33.75" hidden="1" x14ac:dyDescent="0.2">
      <c r="A17" s="393">
        <v>345</v>
      </c>
      <c r="B17" s="340">
        <f>S17</f>
        <v>36</v>
      </c>
      <c r="C17" s="340" t="s">
        <v>341</v>
      </c>
      <c r="D17" s="341" t="s">
        <v>679</v>
      </c>
      <c r="E17" s="341" t="s">
        <v>362</v>
      </c>
      <c r="F17" s="393" t="s">
        <v>4059</v>
      </c>
      <c r="G17" s="393">
        <v>2008</v>
      </c>
      <c r="H17" s="393" t="s">
        <v>681</v>
      </c>
      <c r="I17" s="343">
        <v>15852002</v>
      </c>
      <c r="J17" s="343">
        <v>15851901</v>
      </c>
      <c r="K17" s="343" t="s">
        <v>3170</v>
      </c>
      <c r="L17" s="420" t="s">
        <v>153</v>
      </c>
      <c r="M17" s="341" t="s">
        <v>2773</v>
      </c>
      <c r="N17" s="341" t="s">
        <v>2082</v>
      </c>
      <c r="O17" s="393" t="s">
        <v>156</v>
      </c>
      <c r="P17" s="341" t="s">
        <v>545</v>
      </c>
      <c r="Q17" s="393">
        <v>363</v>
      </c>
      <c r="R17" s="393">
        <v>251</v>
      </c>
      <c r="S17" s="393">
        <v>36</v>
      </c>
      <c r="T17" s="393" t="s">
        <v>2967</v>
      </c>
      <c r="U17" s="393">
        <v>230.1</v>
      </c>
      <c r="V17" s="393">
        <v>118.2</v>
      </c>
      <c r="W17" s="393">
        <v>12</v>
      </c>
      <c r="X17" s="429">
        <v>22.45</v>
      </c>
      <c r="Y17" s="393"/>
      <c r="Z17" s="429">
        <v>17.239999999999998</v>
      </c>
      <c r="AA17" s="393"/>
      <c r="AB17" s="341"/>
      <c r="AC17" s="341"/>
      <c r="AD17" s="341"/>
      <c r="AE17" s="393" t="s">
        <v>159</v>
      </c>
      <c r="AF17" s="341">
        <v>2.5000000000000001E-2</v>
      </c>
      <c r="AG17" s="341">
        <v>8.9999999999999993E-3</v>
      </c>
      <c r="AH17" s="341" t="s">
        <v>157</v>
      </c>
      <c r="AI17" s="341"/>
      <c r="AJ17" s="342">
        <v>0.09</v>
      </c>
      <c r="AK17" s="342">
        <v>0.05</v>
      </c>
      <c r="AL17" s="342">
        <v>288</v>
      </c>
      <c r="AM17" s="342"/>
      <c r="AN17" s="342"/>
      <c r="AO17" s="342"/>
      <c r="AP17" s="342"/>
      <c r="AQ17" s="342"/>
      <c r="AR17" s="342"/>
      <c r="AS17" s="342"/>
      <c r="AT17" s="342"/>
      <c r="AU17" s="342"/>
      <c r="AV17" s="342"/>
      <c r="AW17" s="342"/>
      <c r="AX17" s="342"/>
      <c r="AY17" s="342"/>
      <c r="AZ17" s="257">
        <f>X17/Z17</f>
        <v>1.3022041763341068</v>
      </c>
    </row>
    <row r="18" spans="1:53" ht="33.75" hidden="1" x14ac:dyDescent="0.2">
      <c r="A18" s="393">
        <v>345</v>
      </c>
      <c r="B18" s="340">
        <f>S18</f>
        <v>42</v>
      </c>
      <c r="C18" s="340" t="s">
        <v>341</v>
      </c>
      <c r="D18" s="341" t="s">
        <v>679</v>
      </c>
      <c r="E18" s="341" t="s">
        <v>361</v>
      </c>
      <c r="F18" s="393" t="s">
        <v>4059</v>
      </c>
      <c r="G18" s="393">
        <v>2008</v>
      </c>
      <c r="H18" s="393" t="s">
        <v>681</v>
      </c>
      <c r="I18" s="343">
        <v>15847402</v>
      </c>
      <c r="J18" s="343">
        <v>15847301</v>
      </c>
      <c r="K18" s="343" t="s">
        <v>3171</v>
      </c>
      <c r="L18" s="420" t="s">
        <v>153</v>
      </c>
      <c r="M18" s="341" t="s">
        <v>2773</v>
      </c>
      <c r="N18" s="341" t="s">
        <v>2082</v>
      </c>
      <c r="O18" s="393" t="s">
        <v>156</v>
      </c>
      <c r="P18" s="357" t="s">
        <v>643</v>
      </c>
      <c r="Q18" s="340">
        <v>339</v>
      </c>
      <c r="R18" s="357">
        <v>253</v>
      </c>
      <c r="S18" s="357">
        <v>42</v>
      </c>
      <c r="T18" s="423" t="s">
        <v>2131</v>
      </c>
      <c r="U18" s="393">
        <v>201</v>
      </c>
      <c r="V18" s="423">
        <v>40</v>
      </c>
      <c r="W18" s="357">
        <v>9</v>
      </c>
      <c r="X18" s="357">
        <v>12.378</v>
      </c>
      <c r="Y18" s="393"/>
      <c r="Z18" s="357">
        <v>8.5419999999999998</v>
      </c>
      <c r="AA18" s="393"/>
      <c r="AB18" s="341"/>
      <c r="AC18" s="341"/>
      <c r="AD18" s="341"/>
      <c r="AE18" s="340" t="s">
        <v>159</v>
      </c>
      <c r="AF18" s="340">
        <v>0.02</v>
      </c>
      <c r="AG18" s="340">
        <v>6.0000000000000001E-3</v>
      </c>
      <c r="AH18" s="341" t="s">
        <v>1127</v>
      </c>
      <c r="AI18" s="341" t="s">
        <v>1127</v>
      </c>
      <c r="AJ18" s="341" t="s">
        <v>1127</v>
      </c>
      <c r="AK18" s="420">
        <v>0.05</v>
      </c>
      <c r="AL18" s="342">
        <v>30</v>
      </c>
      <c r="AM18" s="342"/>
      <c r="AN18" s="342"/>
      <c r="AO18" s="342"/>
      <c r="AP18" s="342"/>
      <c r="AQ18" s="342"/>
      <c r="AR18" s="342"/>
      <c r="AS18" s="342"/>
      <c r="AT18" s="342"/>
      <c r="AU18" s="342"/>
      <c r="AV18" s="342"/>
      <c r="AW18" s="342"/>
      <c r="AX18" s="342"/>
      <c r="AY18" s="342"/>
      <c r="AZ18" s="257">
        <f t="shared" si="0"/>
        <v>1.4490751580426131</v>
      </c>
    </row>
    <row r="19" spans="1:53" ht="33.75" x14ac:dyDescent="0.2">
      <c r="A19" s="745">
        <v>348</v>
      </c>
      <c r="B19" s="739">
        <v>25</v>
      </c>
      <c r="C19" s="739" t="s">
        <v>341</v>
      </c>
      <c r="D19" s="744" t="s">
        <v>679</v>
      </c>
      <c r="E19" s="744" t="s">
        <v>4234</v>
      </c>
      <c r="F19" s="745" t="s">
        <v>2908</v>
      </c>
      <c r="G19" s="744">
        <v>2012</v>
      </c>
      <c r="H19" s="745" t="s">
        <v>681</v>
      </c>
      <c r="I19" s="741" t="s">
        <v>4235</v>
      </c>
      <c r="J19" s="741">
        <v>18134501</v>
      </c>
      <c r="K19" s="741" t="s">
        <v>4236</v>
      </c>
      <c r="L19" s="740" t="s">
        <v>153</v>
      </c>
      <c r="M19" s="744" t="s">
        <v>68</v>
      </c>
      <c r="N19" s="742" t="s">
        <v>2085</v>
      </c>
      <c r="O19" s="745" t="s">
        <v>66</v>
      </c>
      <c r="P19" s="746" t="s">
        <v>4231</v>
      </c>
      <c r="Q19" s="745">
        <v>348</v>
      </c>
      <c r="R19" s="745">
        <v>261</v>
      </c>
      <c r="S19" s="745">
        <v>25</v>
      </c>
      <c r="T19" s="745" t="s">
        <v>1934</v>
      </c>
      <c r="U19" s="745">
        <v>206.1</v>
      </c>
      <c r="V19" s="745">
        <v>71.599999999999994</v>
      </c>
      <c r="W19" s="745">
        <v>7</v>
      </c>
      <c r="X19" s="745">
        <v>14.86</v>
      </c>
      <c r="Y19" s="745"/>
      <c r="Z19" s="745">
        <v>11.5</v>
      </c>
      <c r="AA19" s="745"/>
      <c r="AB19" s="744">
        <v>7.17</v>
      </c>
      <c r="AC19" s="744"/>
      <c r="AD19" s="744">
        <v>403.9</v>
      </c>
      <c r="AE19" s="745" t="s">
        <v>159</v>
      </c>
      <c r="AF19" s="744">
        <v>2.5000000000000001E-2</v>
      </c>
      <c r="AG19" s="744">
        <v>8.9999999999999993E-3</v>
      </c>
      <c r="AH19" s="744" t="s">
        <v>1931</v>
      </c>
      <c r="AI19" s="744" t="s">
        <v>4233</v>
      </c>
      <c r="AJ19" s="743">
        <v>0.08</v>
      </c>
      <c r="AK19" s="743">
        <v>0.1</v>
      </c>
      <c r="AL19" s="743">
        <v>54</v>
      </c>
      <c r="AM19" s="743"/>
      <c r="AN19" s="743"/>
      <c r="AO19" s="743"/>
      <c r="AP19" s="743"/>
      <c r="AQ19" s="743"/>
      <c r="AR19" s="743"/>
      <c r="AS19" s="743"/>
      <c r="AT19" s="743"/>
      <c r="AU19" s="743"/>
      <c r="AV19" s="743"/>
      <c r="AW19" s="743"/>
      <c r="AX19" s="743"/>
      <c r="AY19" s="743"/>
      <c r="AZ19" s="747">
        <v>1.2921739130434782</v>
      </c>
      <c r="BA19" s="738"/>
    </row>
    <row r="20" spans="1:53" ht="21.6" hidden="1" customHeight="1" x14ac:dyDescent="0.2">
      <c r="A20" s="393"/>
      <c r="B20" s="340"/>
      <c r="C20" s="340"/>
      <c r="D20" s="341"/>
      <c r="E20" s="341"/>
      <c r="F20" s="393"/>
      <c r="G20" s="341"/>
      <c r="H20" s="393"/>
      <c r="I20" s="343"/>
      <c r="J20" s="343"/>
      <c r="K20" s="343"/>
      <c r="L20" s="420"/>
      <c r="M20" s="341"/>
      <c r="N20" s="357"/>
      <c r="O20" s="393"/>
      <c r="P20" s="424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93"/>
      <c r="AB20" s="341"/>
      <c r="AC20" s="341"/>
      <c r="AD20" s="341"/>
      <c r="AE20" s="393"/>
      <c r="AF20" s="341"/>
      <c r="AG20" s="341"/>
      <c r="AH20" s="341"/>
      <c r="AI20" s="341"/>
      <c r="AJ20" s="342"/>
      <c r="AK20" s="342"/>
      <c r="AL20" s="342"/>
      <c r="AM20" s="342"/>
      <c r="AN20" s="342"/>
      <c r="AO20" s="342"/>
      <c r="AP20" s="342"/>
      <c r="AQ20" s="342"/>
      <c r="AR20" s="342"/>
      <c r="AS20" s="342"/>
      <c r="AT20" s="342"/>
      <c r="AU20" s="342"/>
      <c r="AV20" s="342"/>
      <c r="AW20" s="342"/>
      <c r="AX20" s="342"/>
      <c r="AY20" s="342"/>
      <c r="AZ20" s="257"/>
    </row>
    <row r="21" spans="1:53" ht="56.25" hidden="1" x14ac:dyDescent="0.2">
      <c r="A21" s="340">
        <v>352</v>
      </c>
      <c r="B21" s="340">
        <f>S21</f>
        <v>22</v>
      </c>
      <c r="C21" s="340" t="s">
        <v>341</v>
      </c>
      <c r="D21" s="341" t="s">
        <v>359</v>
      </c>
      <c r="E21" s="357" t="s">
        <v>1352</v>
      </c>
      <c r="F21" s="393" t="s">
        <v>2226</v>
      </c>
      <c r="G21" s="357">
        <v>2002</v>
      </c>
      <c r="H21" s="357" t="s">
        <v>559</v>
      </c>
      <c r="I21" s="357">
        <v>13707110</v>
      </c>
      <c r="J21" s="357">
        <v>13707000</v>
      </c>
      <c r="K21" s="357" t="s">
        <v>2068</v>
      </c>
      <c r="L21" s="420" t="s">
        <v>153</v>
      </c>
      <c r="M21" s="341" t="s">
        <v>1011</v>
      </c>
      <c r="N21" s="357" t="s">
        <v>2085</v>
      </c>
      <c r="O21" s="357" t="s">
        <v>448</v>
      </c>
      <c r="P21" s="357" t="s">
        <v>2771</v>
      </c>
      <c r="Q21" s="340">
        <v>352</v>
      </c>
      <c r="R21" s="357">
        <v>261.25</v>
      </c>
      <c r="S21" s="357">
        <v>22</v>
      </c>
      <c r="T21" s="357" t="s">
        <v>1749</v>
      </c>
      <c r="U21" s="357">
        <v>206.1</v>
      </c>
      <c r="V21" s="357">
        <v>63</v>
      </c>
      <c r="W21" s="357">
        <v>7</v>
      </c>
      <c r="X21" s="357">
        <v>14.01</v>
      </c>
      <c r="Y21" s="357"/>
      <c r="Z21" s="357">
        <v>10.53</v>
      </c>
      <c r="AA21" s="357"/>
      <c r="AB21" s="340">
        <v>6.03</v>
      </c>
      <c r="AC21" s="340">
        <v>1052.3800000000001</v>
      </c>
      <c r="AD21" s="340">
        <v>783.56</v>
      </c>
      <c r="AE21" s="340" t="s">
        <v>159</v>
      </c>
      <c r="AF21" s="357">
        <v>2.5000000000000001E-2</v>
      </c>
      <c r="AG21" s="357">
        <v>0.01</v>
      </c>
      <c r="AH21" s="340" t="s">
        <v>159</v>
      </c>
      <c r="AI21" s="357" t="s">
        <v>2069</v>
      </c>
      <c r="AJ21" s="357">
        <v>0.09</v>
      </c>
      <c r="AK21" s="420">
        <v>0.13</v>
      </c>
      <c r="AL21" s="357">
        <v>108</v>
      </c>
      <c r="AM21" s="420">
        <v>2313</v>
      </c>
      <c r="AN21" s="420">
        <v>3016</v>
      </c>
      <c r="AO21" s="420">
        <v>1487</v>
      </c>
      <c r="AP21" s="420">
        <v>160</v>
      </c>
      <c r="AQ21" s="420">
        <v>405.4</v>
      </c>
      <c r="AR21" s="420">
        <v>777.24</v>
      </c>
      <c r="AS21" s="420">
        <v>3429</v>
      </c>
      <c r="AT21" s="420">
        <v>0.34</v>
      </c>
      <c r="AU21" s="420">
        <v>179.3</v>
      </c>
      <c r="AV21" s="420">
        <v>255.99</v>
      </c>
      <c r="AW21" s="420"/>
      <c r="AX21" s="420" t="s">
        <v>2070</v>
      </c>
      <c r="AY21" s="420" t="s">
        <v>2071</v>
      </c>
      <c r="AZ21" s="257">
        <f t="shared" si="0"/>
        <v>1.3304843304843306</v>
      </c>
    </row>
    <row r="22" spans="1:53" ht="56.25" hidden="1" x14ac:dyDescent="0.2">
      <c r="A22" s="393">
        <v>358</v>
      </c>
      <c r="B22" s="340">
        <v>34</v>
      </c>
      <c r="C22" s="340" t="s">
        <v>341</v>
      </c>
      <c r="D22" s="341" t="s">
        <v>359</v>
      </c>
      <c r="E22" s="341" t="s">
        <v>2165</v>
      </c>
      <c r="F22" s="393" t="s">
        <v>2226</v>
      </c>
      <c r="G22" s="393">
        <v>2009</v>
      </c>
      <c r="H22" s="393" t="s">
        <v>1015</v>
      </c>
      <c r="I22" s="343">
        <v>16304007</v>
      </c>
      <c r="J22" s="343">
        <v>16303801</v>
      </c>
      <c r="K22" s="343" t="s">
        <v>1812</v>
      </c>
      <c r="L22" s="342" t="s">
        <v>153</v>
      </c>
      <c r="M22" s="341" t="s">
        <v>1011</v>
      </c>
      <c r="N22" s="341" t="s">
        <v>2082</v>
      </c>
      <c r="O22" s="357" t="s">
        <v>448</v>
      </c>
      <c r="P22" s="357" t="s">
        <v>2771</v>
      </c>
      <c r="Q22" s="393">
        <v>390</v>
      </c>
      <c r="R22" s="393">
        <v>270</v>
      </c>
      <c r="S22" s="393">
        <v>39</v>
      </c>
      <c r="T22" s="393">
        <v>163.26</v>
      </c>
      <c r="U22" s="393">
        <v>242.1</v>
      </c>
      <c r="V22" s="393">
        <v>124.2</v>
      </c>
      <c r="W22" s="393">
        <v>15</v>
      </c>
      <c r="X22" s="393">
        <v>24.84</v>
      </c>
      <c r="Y22" s="393"/>
      <c r="Z22" s="429">
        <v>19.430389999999999</v>
      </c>
      <c r="AA22" s="393"/>
      <c r="AB22" s="341">
        <v>12.5</v>
      </c>
      <c r="AC22" s="341"/>
      <c r="AD22" s="341"/>
      <c r="AE22" s="393" t="s">
        <v>576</v>
      </c>
      <c r="AF22" s="341">
        <v>2.5000000000000001E-2</v>
      </c>
      <c r="AG22" s="341">
        <v>0.01</v>
      </c>
      <c r="AH22" s="341" t="s">
        <v>2350</v>
      </c>
      <c r="AI22" s="341" t="s">
        <v>2976</v>
      </c>
      <c r="AJ22" s="342">
        <v>0.09</v>
      </c>
      <c r="AK22" s="342">
        <v>0.1</v>
      </c>
      <c r="AL22" s="342">
        <v>216</v>
      </c>
      <c r="AM22" s="342"/>
      <c r="AN22" s="342">
        <v>8845</v>
      </c>
      <c r="AO22" s="342"/>
      <c r="AP22" s="342">
        <v>120.8</v>
      </c>
      <c r="AQ22" s="342"/>
      <c r="AR22" s="342"/>
      <c r="AS22" s="342"/>
      <c r="AT22" s="342"/>
      <c r="AU22" s="342"/>
      <c r="AV22" s="342"/>
      <c r="AW22" s="342"/>
      <c r="AX22" s="342"/>
      <c r="AY22" s="342"/>
      <c r="AZ22" s="257">
        <f t="shared" si="0"/>
        <v>1.2784097488521846</v>
      </c>
    </row>
    <row r="23" spans="1:53" ht="33.75" hidden="1" x14ac:dyDescent="0.2">
      <c r="A23" s="393">
        <v>358</v>
      </c>
      <c r="B23" s="340">
        <v>34</v>
      </c>
      <c r="C23" s="340" t="s">
        <v>341</v>
      </c>
      <c r="D23" s="341" t="s">
        <v>359</v>
      </c>
      <c r="E23" s="341" t="s">
        <v>3063</v>
      </c>
      <c r="F23" s="393" t="s">
        <v>2226</v>
      </c>
      <c r="G23" s="393">
        <v>2009</v>
      </c>
      <c r="H23" s="393" t="s">
        <v>1015</v>
      </c>
      <c r="I23" s="343">
        <v>18702703</v>
      </c>
      <c r="J23" s="343">
        <v>16303801</v>
      </c>
      <c r="K23" s="343" t="s">
        <v>3064</v>
      </c>
      <c r="L23" s="342" t="s">
        <v>153</v>
      </c>
      <c r="M23" s="341" t="s">
        <v>1011</v>
      </c>
      <c r="N23" s="341" t="s">
        <v>2082</v>
      </c>
      <c r="O23" s="357" t="s">
        <v>448</v>
      </c>
      <c r="P23" s="341" t="s">
        <v>545</v>
      </c>
      <c r="Q23" s="357">
        <v>390</v>
      </c>
      <c r="R23" s="420">
        <v>270</v>
      </c>
      <c r="S23" s="357">
        <v>39</v>
      </c>
      <c r="T23" s="357" t="s">
        <v>2137</v>
      </c>
      <c r="U23" s="420">
        <v>242</v>
      </c>
      <c r="V23" s="357">
        <v>112.2</v>
      </c>
      <c r="W23" s="420">
        <v>15</v>
      </c>
      <c r="X23" s="341">
        <v>25.48</v>
      </c>
      <c r="Y23" s="341">
        <v>25.48</v>
      </c>
      <c r="Z23" s="357">
        <v>19.09</v>
      </c>
      <c r="AA23" s="341">
        <v>19.57</v>
      </c>
      <c r="AB23" s="342">
        <v>14.2</v>
      </c>
      <c r="AC23" s="342">
        <v>1732.3</v>
      </c>
      <c r="AD23" s="420">
        <v>1068.3</v>
      </c>
      <c r="AE23" s="357" t="s">
        <v>159</v>
      </c>
      <c r="AF23" s="357">
        <v>2.5000000000000001E-2</v>
      </c>
      <c r="AG23" s="341">
        <v>8.9999999999999993E-3</v>
      </c>
      <c r="AH23" s="341" t="s">
        <v>2350</v>
      </c>
      <c r="AI23" s="357" t="s">
        <v>2976</v>
      </c>
      <c r="AJ23" s="420">
        <v>0.09</v>
      </c>
      <c r="AK23" s="420">
        <v>0.1</v>
      </c>
      <c r="AL23" s="420">
        <v>288</v>
      </c>
      <c r="AM23" s="420"/>
      <c r="AN23" s="420">
        <v>8618</v>
      </c>
      <c r="AO23" s="420">
        <v>3175</v>
      </c>
      <c r="AP23" s="420">
        <v>140</v>
      </c>
      <c r="AQ23" s="420">
        <v>376</v>
      </c>
      <c r="AR23" s="420">
        <v>787</v>
      </c>
      <c r="AS23" s="420">
        <v>5080</v>
      </c>
      <c r="AT23" s="420">
        <v>0.38</v>
      </c>
      <c r="AU23" s="420"/>
      <c r="AV23" s="420" t="s">
        <v>1917</v>
      </c>
      <c r="AW23" s="420"/>
      <c r="AX23" s="420" t="s">
        <v>1918</v>
      </c>
      <c r="AY23" s="420" t="s">
        <v>2245</v>
      </c>
      <c r="AZ23" s="257">
        <f t="shared" si="0"/>
        <v>1.3347302252488213</v>
      </c>
    </row>
    <row r="24" spans="1:53" ht="33.75" hidden="1" x14ac:dyDescent="0.2">
      <c r="A24" s="393">
        <v>363</v>
      </c>
      <c r="B24" s="340">
        <f>S24</f>
        <v>38</v>
      </c>
      <c r="C24" s="340" t="s">
        <v>341</v>
      </c>
      <c r="D24" s="341" t="s">
        <v>2219</v>
      </c>
      <c r="E24" s="341" t="s">
        <v>2964</v>
      </c>
      <c r="F24" s="393" t="s">
        <v>4059</v>
      </c>
      <c r="G24" s="393" t="s">
        <v>2957</v>
      </c>
      <c r="H24" s="393" t="s">
        <v>681</v>
      </c>
      <c r="I24" s="343">
        <v>17962600</v>
      </c>
      <c r="J24" s="343">
        <v>17951101</v>
      </c>
      <c r="K24" s="343" t="s">
        <v>2965</v>
      </c>
      <c r="L24" s="342" t="s">
        <v>153</v>
      </c>
      <c r="M24" s="341" t="s">
        <v>2773</v>
      </c>
      <c r="N24" s="341" t="s">
        <v>2082</v>
      </c>
      <c r="O24" s="430" t="s">
        <v>577</v>
      </c>
      <c r="P24" s="341" t="s">
        <v>545</v>
      </c>
      <c r="Q24" s="393">
        <v>395</v>
      </c>
      <c r="R24" s="393">
        <v>270</v>
      </c>
      <c r="S24" s="393">
        <v>38</v>
      </c>
      <c r="T24" s="393" t="s">
        <v>2137</v>
      </c>
      <c r="U24" s="393">
        <v>242.1</v>
      </c>
      <c r="V24" s="393">
        <v>111.6</v>
      </c>
      <c r="W24" s="393">
        <v>16.600000000000001</v>
      </c>
      <c r="X24" s="393">
        <v>25.91</v>
      </c>
      <c r="Y24" s="393"/>
      <c r="Z24" s="393">
        <v>19.79</v>
      </c>
      <c r="AA24" s="393"/>
      <c r="AB24" s="341"/>
      <c r="AC24" s="341"/>
      <c r="AD24" s="341"/>
      <c r="AE24" s="393" t="s">
        <v>159</v>
      </c>
      <c r="AF24" s="341">
        <v>0.04</v>
      </c>
      <c r="AG24" s="341">
        <v>0.01</v>
      </c>
      <c r="AH24" s="341" t="s">
        <v>2350</v>
      </c>
      <c r="AI24" s="341" t="s">
        <v>2976</v>
      </c>
      <c r="AJ24" s="342">
        <v>0.09</v>
      </c>
      <c r="AK24" s="342">
        <v>0.13</v>
      </c>
      <c r="AL24" s="342">
        <v>504</v>
      </c>
      <c r="AM24" s="342"/>
      <c r="AN24" s="342"/>
      <c r="AO24" s="342"/>
      <c r="AP24" s="342"/>
      <c r="AQ24" s="342"/>
      <c r="AR24" s="342"/>
      <c r="AS24" s="342"/>
      <c r="AT24" s="342"/>
      <c r="AU24" s="342"/>
      <c r="AV24" s="342"/>
      <c r="AW24" s="342"/>
      <c r="AX24" s="342"/>
      <c r="AY24" s="342"/>
      <c r="AZ24" s="257">
        <f t="shared" si="0"/>
        <v>1.3092470944921679</v>
      </c>
    </row>
    <row r="25" spans="1:53" ht="33.75" hidden="1" x14ac:dyDescent="0.2">
      <c r="A25" s="393">
        <v>363</v>
      </c>
      <c r="B25" s="340">
        <v>38</v>
      </c>
      <c r="C25" s="340" t="s">
        <v>341</v>
      </c>
      <c r="D25" s="341" t="s">
        <v>2219</v>
      </c>
      <c r="E25" s="341" t="s">
        <v>2966</v>
      </c>
      <c r="F25" s="393" t="s">
        <v>4059</v>
      </c>
      <c r="G25" s="393" t="s">
        <v>2957</v>
      </c>
      <c r="H25" s="393" t="s">
        <v>681</v>
      </c>
      <c r="I25" s="343">
        <v>17951300</v>
      </c>
      <c r="J25" s="343">
        <v>17951101</v>
      </c>
      <c r="K25" s="343" t="s">
        <v>2968</v>
      </c>
      <c r="L25" s="342" t="s">
        <v>153</v>
      </c>
      <c r="M25" s="341" t="s">
        <v>2773</v>
      </c>
      <c r="N25" s="341" t="s">
        <v>2082</v>
      </c>
      <c r="O25" s="393" t="s">
        <v>156</v>
      </c>
      <c r="P25" s="341"/>
      <c r="Q25" s="393">
        <v>348</v>
      </c>
      <c r="R25" s="393">
        <v>261</v>
      </c>
      <c r="S25" s="393">
        <v>25</v>
      </c>
      <c r="T25" s="393" t="s">
        <v>1934</v>
      </c>
      <c r="U25" s="393">
        <v>206.1</v>
      </c>
      <c r="V25" s="393">
        <v>71.599999999999994</v>
      </c>
      <c r="W25" s="393">
        <v>7</v>
      </c>
      <c r="X25" s="393">
        <v>14.86</v>
      </c>
      <c r="Y25" s="393"/>
      <c r="Z25" s="393">
        <v>11.47</v>
      </c>
      <c r="AA25" s="393"/>
      <c r="AB25" s="341">
        <v>7.16</v>
      </c>
      <c r="AC25" s="341"/>
      <c r="AD25" s="341">
        <v>403.9</v>
      </c>
      <c r="AE25" s="393" t="s">
        <v>159</v>
      </c>
      <c r="AF25" s="341">
        <v>2.5000000000000001E-2</v>
      </c>
      <c r="AG25" s="341">
        <v>8.9999999999999993E-3</v>
      </c>
      <c r="AH25" s="341" t="s">
        <v>1562</v>
      </c>
      <c r="AI25" s="341" t="s">
        <v>2014</v>
      </c>
      <c r="AJ25" s="342">
        <v>0.08</v>
      </c>
      <c r="AK25" s="342">
        <v>0.1</v>
      </c>
      <c r="AL25" s="342">
        <v>54</v>
      </c>
      <c r="AM25" s="342"/>
      <c r="AN25" s="342"/>
      <c r="AO25" s="342"/>
      <c r="AP25" s="342"/>
      <c r="AQ25" s="342"/>
      <c r="AR25" s="342"/>
      <c r="AS25" s="342"/>
      <c r="AT25" s="342"/>
      <c r="AU25" s="342"/>
      <c r="AV25" s="342"/>
      <c r="AW25" s="342"/>
      <c r="AX25" s="342"/>
      <c r="AY25" s="342"/>
      <c r="AZ25" s="257"/>
    </row>
    <row r="26" spans="1:53" ht="33.75" hidden="1" x14ac:dyDescent="0.2">
      <c r="A26" s="393">
        <v>390</v>
      </c>
      <c r="B26" s="340">
        <v>39</v>
      </c>
      <c r="C26" s="340" t="s">
        <v>341</v>
      </c>
      <c r="D26" s="341" t="s">
        <v>359</v>
      </c>
      <c r="E26" s="341" t="s">
        <v>216</v>
      </c>
      <c r="F26" s="393" t="s">
        <v>2226</v>
      </c>
      <c r="G26" s="393">
        <v>2008</v>
      </c>
      <c r="H26" s="393" t="s">
        <v>1015</v>
      </c>
      <c r="I26" s="343">
        <v>18536903</v>
      </c>
      <c r="J26" s="343">
        <v>15893201</v>
      </c>
      <c r="K26" s="343" t="s">
        <v>3065</v>
      </c>
      <c r="L26" s="342" t="s">
        <v>153</v>
      </c>
      <c r="M26" s="341" t="s">
        <v>1011</v>
      </c>
      <c r="N26" s="341" t="s">
        <v>2082</v>
      </c>
      <c r="O26" s="357" t="s">
        <v>448</v>
      </c>
      <c r="P26" s="341"/>
      <c r="Q26" s="393">
        <v>348</v>
      </c>
      <c r="R26" s="393">
        <v>261</v>
      </c>
      <c r="S26" s="393">
        <v>25</v>
      </c>
      <c r="T26" s="393" t="s">
        <v>931</v>
      </c>
      <c r="U26" s="393">
        <v>206.1</v>
      </c>
      <c r="V26" s="393">
        <v>71.599999999999994</v>
      </c>
      <c r="W26" s="393">
        <v>7</v>
      </c>
      <c r="X26" s="393">
        <v>14.86</v>
      </c>
      <c r="Y26" s="393"/>
      <c r="Z26" s="393">
        <v>11.47</v>
      </c>
      <c r="AA26" s="393"/>
      <c r="AB26" s="341">
        <v>7.16</v>
      </c>
      <c r="AC26" s="341"/>
      <c r="AD26" s="341">
        <v>403.9</v>
      </c>
      <c r="AE26" s="393" t="s">
        <v>159</v>
      </c>
      <c r="AF26" s="341">
        <v>2.5000000000000001E-2</v>
      </c>
      <c r="AG26" s="341">
        <v>8.9999999999999993E-3</v>
      </c>
      <c r="AH26" s="341" t="s">
        <v>1562</v>
      </c>
      <c r="AI26" s="341" t="s">
        <v>2014</v>
      </c>
      <c r="AJ26" s="342">
        <v>0.08</v>
      </c>
      <c r="AK26" s="342">
        <v>0.1</v>
      </c>
      <c r="AL26" s="342">
        <v>54</v>
      </c>
      <c r="AM26" s="342"/>
      <c r="AN26" s="342"/>
      <c r="AO26" s="342"/>
      <c r="AP26" s="342"/>
      <c r="AQ26" s="342"/>
      <c r="AR26" s="342"/>
      <c r="AS26" s="342"/>
      <c r="AT26" s="342"/>
      <c r="AU26" s="342"/>
      <c r="AV26" s="342"/>
      <c r="AW26" s="342"/>
      <c r="AX26" s="342"/>
      <c r="AY26" s="342"/>
      <c r="AZ26" s="257"/>
    </row>
    <row r="27" spans="1:53" ht="44.85" hidden="1" customHeight="1" x14ac:dyDescent="0.2">
      <c r="A27" s="357">
        <v>390</v>
      </c>
      <c r="B27" s="340">
        <v>39</v>
      </c>
      <c r="C27" s="340" t="s">
        <v>341</v>
      </c>
      <c r="D27" s="357" t="s">
        <v>3264</v>
      </c>
      <c r="E27" s="357" t="s">
        <v>2770</v>
      </c>
      <c r="F27" s="580" t="s">
        <v>4059</v>
      </c>
      <c r="G27" s="420">
        <v>2005</v>
      </c>
      <c r="H27" s="357" t="s">
        <v>681</v>
      </c>
      <c r="I27" s="341">
        <v>14139503</v>
      </c>
      <c r="J27" s="341">
        <v>14139401</v>
      </c>
      <c r="K27" s="357" t="s">
        <v>3265</v>
      </c>
      <c r="L27" s="342" t="s">
        <v>153</v>
      </c>
      <c r="M27" s="341" t="s">
        <v>2773</v>
      </c>
      <c r="N27" s="357" t="s">
        <v>2082</v>
      </c>
      <c r="O27" s="341" t="s">
        <v>1613</v>
      </c>
      <c r="P27" s="341"/>
      <c r="Q27" s="393">
        <v>336</v>
      </c>
      <c r="R27" s="393">
        <v>245</v>
      </c>
      <c r="S27" s="393">
        <v>22</v>
      </c>
      <c r="T27" s="393" t="s">
        <v>3069</v>
      </c>
      <c r="U27" s="393">
        <v>206.1</v>
      </c>
      <c r="V27" s="393">
        <v>35.1</v>
      </c>
      <c r="W27" s="393">
        <v>7</v>
      </c>
      <c r="X27" s="393"/>
      <c r="Y27" s="393"/>
      <c r="Z27" s="393"/>
      <c r="AA27" s="393"/>
      <c r="AB27" s="341">
        <v>5.7</v>
      </c>
      <c r="AC27" s="341"/>
      <c r="AD27" s="341">
        <v>409.9</v>
      </c>
      <c r="AE27" s="393" t="s">
        <v>159</v>
      </c>
      <c r="AF27" s="341">
        <v>2.5000000000000001E-2</v>
      </c>
      <c r="AG27" s="341"/>
      <c r="AH27" s="341"/>
      <c r="AI27" s="341"/>
      <c r="AJ27" s="342"/>
      <c r="AK27" s="342"/>
      <c r="AL27" s="342"/>
      <c r="AM27" s="342"/>
      <c r="AN27" s="342"/>
      <c r="AO27" s="342"/>
      <c r="AP27" s="342"/>
      <c r="AQ27" s="342"/>
      <c r="AR27" s="342"/>
      <c r="AS27" s="342"/>
      <c r="AT27" s="342"/>
      <c r="AU27" s="342"/>
      <c r="AV27" s="342"/>
      <c r="AW27" s="342"/>
      <c r="AX27" s="342"/>
      <c r="AY27" s="342"/>
      <c r="AZ27"/>
    </row>
    <row r="28" spans="1:53" ht="33.75" hidden="1" x14ac:dyDescent="0.2">
      <c r="A28" s="340">
        <v>390</v>
      </c>
      <c r="B28" s="340">
        <f>S28</f>
        <v>39</v>
      </c>
      <c r="C28" s="340" t="s">
        <v>341</v>
      </c>
      <c r="D28" s="357" t="s">
        <v>648</v>
      </c>
      <c r="E28" s="357" t="s">
        <v>508</v>
      </c>
      <c r="F28" s="393" t="s">
        <v>2848</v>
      </c>
      <c r="G28" s="340">
        <v>2004</v>
      </c>
      <c r="H28" s="340" t="s">
        <v>681</v>
      </c>
      <c r="I28" s="340">
        <v>14594102</v>
      </c>
      <c r="J28" s="420">
        <v>14594001</v>
      </c>
      <c r="K28" s="340">
        <v>15083702</v>
      </c>
      <c r="L28" s="420" t="s">
        <v>1909</v>
      </c>
      <c r="M28" s="340" t="s">
        <v>154</v>
      </c>
      <c r="N28" s="357" t="s">
        <v>2082</v>
      </c>
      <c r="O28" s="340" t="s">
        <v>577</v>
      </c>
      <c r="P28" s="424" t="s">
        <v>651</v>
      </c>
      <c r="Q28" s="340">
        <v>390</v>
      </c>
      <c r="R28" s="340">
        <v>270</v>
      </c>
      <c r="S28" s="340">
        <v>39</v>
      </c>
      <c r="T28" s="340" t="s">
        <v>1910</v>
      </c>
      <c r="U28" s="340">
        <v>242</v>
      </c>
      <c r="V28" s="340">
        <v>97.7</v>
      </c>
      <c r="W28" s="340">
        <v>13</v>
      </c>
      <c r="X28" s="340">
        <v>26.785</v>
      </c>
      <c r="Y28" s="340"/>
      <c r="Z28" s="340">
        <v>20.376999999999999</v>
      </c>
      <c r="AA28" s="340"/>
      <c r="AB28" s="357">
        <v>13.5</v>
      </c>
      <c r="AC28" s="357">
        <v>1672.9</v>
      </c>
      <c r="AD28" s="357">
        <v>1135</v>
      </c>
      <c r="AE28" s="340" t="s">
        <v>159</v>
      </c>
      <c r="AF28" s="357">
        <v>2.5000000000000001E-2</v>
      </c>
      <c r="AG28" s="357">
        <v>0.01</v>
      </c>
      <c r="AH28" s="357" t="s">
        <v>159</v>
      </c>
      <c r="AI28" s="357" t="s">
        <v>1911</v>
      </c>
      <c r="AJ28" s="420">
        <v>0.09</v>
      </c>
      <c r="AK28" s="420">
        <v>0.05</v>
      </c>
      <c r="AL28" s="420">
        <v>100</v>
      </c>
      <c r="AM28" s="420" t="s">
        <v>157</v>
      </c>
      <c r="AN28" s="420">
        <v>8845</v>
      </c>
      <c r="AO28" s="420">
        <v>3175</v>
      </c>
      <c r="AP28" s="420">
        <v>140</v>
      </c>
      <c r="AQ28" s="420"/>
      <c r="AR28" s="420">
        <v>1219.2</v>
      </c>
      <c r="AS28" s="420">
        <v>5283.2</v>
      </c>
      <c r="AT28" s="420">
        <v>0.5</v>
      </c>
      <c r="AU28" s="420"/>
      <c r="AV28" s="420">
        <v>709</v>
      </c>
      <c r="AW28" s="420"/>
      <c r="AX28" s="420"/>
      <c r="AY28" s="420"/>
      <c r="AZ28" s="257">
        <f>X28/Z28</f>
        <v>1.3144721990479462</v>
      </c>
      <c r="BA28" s="259">
        <f>AVERAGE(AZ9:AZ28)</f>
        <v>1.3275962958387377</v>
      </c>
    </row>
    <row r="29" spans="1:53" ht="41.25" hidden="1" customHeight="1" x14ac:dyDescent="0.2">
      <c r="A29" s="340">
        <v>390</v>
      </c>
      <c r="B29" s="340">
        <v>39</v>
      </c>
      <c r="C29" s="340" t="s">
        <v>341</v>
      </c>
      <c r="D29" s="341" t="s">
        <v>3035</v>
      </c>
      <c r="E29" s="342" t="s">
        <v>3036</v>
      </c>
      <c r="F29" s="342" t="s">
        <v>1714</v>
      </c>
      <c r="G29" s="341">
        <v>2008</v>
      </c>
      <c r="H29" s="341" t="s">
        <v>681</v>
      </c>
      <c r="I29" s="342">
        <v>14139508</v>
      </c>
      <c r="J29" s="342">
        <v>14134903</v>
      </c>
      <c r="K29" s="342" t="s">
        <v>157</v>
      </c>
      <c r="L29" s="342" t="s">
        <v>153</v>
      </c>
      <c r="M29" s="341" t="s">
        <v>2651</v>
      </c>
      <c r="N29" s="357" t="s">
        <v>2082</v>
      </c>
      <c r="O29" s="341" t="s">
        <v>577</v>
      </c>
      <c r="P29" s="424" t="s">
        <v>578</v>
      </c>
      <c r="Q29" s="393">
        <v>390</v>
      </c>
      <c r="R29" s="341">
        <v>270</v>
      </c>
      <c r="S29" s="341">
        <v>39</v>
      </c>
      <c r="T29" s="341" t="s">
        <v>3038</v>
      </c>
      <c r="U29" s="341">
        <v>242.1</v>
      </c>
      <c r="V29" s="341">
        <v>112.1</v>
      </c>
      <c r="W29" s="341">
        <v>15</v>
      </c>
      <c r="X29" s="341">
        <v>24.74</v>
      </c>
      <c r="Y29" s="431"/>
      <c r="Z29" s="341">
        <v>19.399999999999999</v>
      </c>
      <c r="AA29" s="420"/>
      <c r="AB29" s="420">
        <v>12.4</v>
      </c>
      <c r="AC29" s="420">
        <v>1717</v>
      </c>
      <c r="AD29" s="420">
        <v>987.8</v>
      </c>
      <c r="AE29" s="341" t="s">
        <v>159</v>
      </c>
      <c r="AF29" s="341">
        <v>2.5000000000000001E-2</v>
      </c>
      <c r="AG29" s="342">
        <v>8.9999999999999993E-3</v>
      </c>
      <c r="AH29" s="357" t="s">
        <v>159</v>
      </c>
      <c r="AI29" s="357" t="s">
        <v>1911</v>
      </c>
      <c r="AJ29" s="420">
        <v>0.09</v>
      </c>
      <c r="AK29" s="420">
        <v>0.1</v>
      </c>
      <c r="AL29" s="420">
        <v>288</v>
      </c>
      <c r="AM29" s="342"/>
      <c r="AN29" s="342"/>
      <c r="AO29" s="342"/>
      <c r="AP29" s="342"/>
      <c r="AQ29" s="342"/>
      <c r="AR29" s="342"/>
      <c r="AS29" s="342"/>
      <c r="AT29" s="342"/>
      <c r="AU29" s="342"/>
      <c r="AV29" s="432"/>
      <c r="AW29" s="420"/>
      <c r="AX29" s="420"/>
      <c r="AY29" s="420"/>
      <c r="AZ29" s="257">
        <f>X29/Z29</f>
        <v>1.2752577319587628</v>
      </c>
      <c r="BA29" s="259"/>
    </row>
    <row r="30" spans="1:53" ht="56.25" hidden="1" x14ac:dyDescent="0.2">
      <c r="A30" s="393">
        <v>395</v>
      </c>
      <c r="B30" s="340">
        <f>S30</f>
        <v>38</v>
      </c>
      <c r="C30" s="340" t="s">
        <v>341</v>
      </c>
      <c r="D30" s="341" t="s">
        <v>679</v>
      </c>
      <c r="E30" s="341" t="s">
        <v>1462</v>
      </c>
      <c r="F30" s="393" t="s">
        <v>4059</v>
      </c>
      <c r="G30" s="393">
        <v>2005</v>
      </c>
      <c r="H30" s="393" t="s">
        <v>681</v>
      </c>
      <c r="I30" s="343">
        <v>13080102</v>
      </c>
      <c r="J30" s="343">
        <v>13080001</v>
      </c>
      <c r="K30" s="343" t="s">
        <v>2136</v>
      </c>
      <c r="L30" s="420" t="s">
        <v>153</v>
      </c>
      <c r="M30" s="341" t="s">
        <v>1593</v>
      </c>
      <c r="N30" s="341" t="s">
        <v>2082</v>
      </c>
      <c r="O30" s="393" t="s">
        <v>156</v>
      </c>
      <c r="P30" s="357" t="s">
        <v>2771</v>
      </c>
      <c r="Q30" s="393">
        <v>395</v>
      </c>
      <c r="R30" s="393">
        <v>248.5</v>
      </c>
      <c r="S30" s="393">
        <v>38</v>
      </c>
      <c r="T30" s="393">
        <v>165.1</v>
      </c>
      <c r="U30" s="393">
        <v>206.1</v>
      </c>
      <c r="V30" s="393">
        <v>116.86</v>
      </c>
      <c r="W30" s="393">
        <v>10</v>
      </c>
      <c r="X30" s="393">
        <v>21.425999999999998</v>
      </c>
      <c r="Y30" s="393"/>
      <c r="Z30" s="393">
        <v>16.742000000000001</v>
      </c>
      <c r="AA30" s="393"/>
      <c r="AB30" s="341">
        <v>10.372999999999999</v>
      </c>
      <c r="AC30" s="341">
        <v>1444</v>
      </c>
      <c r="AD30" s="341">
        <v>1038</v>
      </c>
      <c r="AE30" s="393" t="s">
        <v>159</v>
      </c>
      <c r="AF30" s="341">
        <v>2.5000000000000001E-2</v>
      </c>
      <c r="AG30" s="341">
        <v>0.01</v>
      </c>
      <c r="AH30" s="357" t="s">
        <v>159</v>
      </c>
      <c r="AI30" s="341" t="s">
        <v>2976</v>
      </c>
      <c r="AJ30" s="342">
        <v>0.08</v>
      </c>
      <c r="AK30" s="342" t="s">
        <v>2166</v>
      </c>
      <c r="AL30" s="342">
        <v>100</v>
      </c>
      <c r="AM30" s="342"/>
      <c r="AN30" s="428"/>
      <c r="AO30" s="342"/>
      <c r="AP30" s="342"/>
      <c r="AQ30" s="342"/>
      <c r="AR30" s="342"/>
      <c r="AS30" s="342"/>
      <c r="AT30" s="342"/>
      <c r="AU30" s="342"/>
      <c r="AV30" s="342"/>
      <c r="AW30" s="342"/>
      <c r="AX30" s="342"/>
      <c r="AY30" s="342"/>
      <c r="AZ30" s="257"/>
      <c r="BA30" s="259"/>
    </row>
    <row r="31" spans="1:53" ht="39" hidden="1" customHeight="1" x14ac:dyDescent="0.2">
      <c r="A31" s="217">
        <v>400</v>
      </c>
      <c r="B31" s="217">
        <v>39</v>
      </c>
      <c r="C31" s="340" t="s">
        <v>341</v>
      </c>
      <c r="D31" s="223" t="s">
        <v>679</v>
      </c>
      <c r="E31" s="342" t="s">
        <v>3944</v>
      </c>
      <c r="F31" s="342" t="s">
        <v>4059</v>
      </c>
      <c r="G31" s="223">
        <v>2017</v>
      </c>
      <c r="H31" s="223" t="s">
        <v>681</v>
      </c>
      <c r="I31" s="222">
        <v>18988901</v>
      </c>
      <c r="J31" s="222">
        <v>18891001</v>
      </c>
      <c r="K31" s="342" t="s">
        <v>3949</v>
      </c>
      <c r="L31" s="342" t="s">
        <v>153</v>
      </c>
      <c r="M31" s="341" t="s">
        <v>68</v>
      </c>
      <c r="N31" s="221" t="s">
        <v>2082</v>
      </c>
      <c r="O31" s="341" t="s">
        <v>3945</v>
      </c>
      <c r="P31" s="424" t="s">
        <v>3946</v>
      </c>
      <c r="Q31" s="230">
        <v>400</v>
      </c>
      <c r="R31" s="223">
        <v>270</v>
      </c>
      <c r="S31" s="223">
        <v>39</v>
      </c>
      <c r="T31" s="341" t="s">
        <v>2137</v>
      </c>
      <c r="U31" s="223">
        <v>242.1</v>
      </c>
      <c r="V31" s="223">
        <v>124.2</v>
      </c>
      <c r="W31" s="223">
        <v>15</v>
      </c>
      <c r="X31" s="223">
        <v>29.6</v>
      </c>
      <c r="Y31" s="541"/>
      <c r="Z31" s="223">
        <v>23</v>
      </c>
      <c r="AA31" s="218"/>
      <c r="AB31" s="218">
        <v>16.8</v>
      </c>
      <c r="AC31" s="218">
        <v>2000</v>
      </c>
      <c r="AD31" s="542"/>
      <c r="AE31" s="393" t="s">
        <v>159</v>
      </c>
      <c r="AF31" s="223">
        <v>2.5000000000000001E-2</v>
      </c>
      <c r="AG31" s="223">
        <v>8.9999999999999993E-3</v>
      </c>
      <c r="AH31" s="342" t="s">
        <v>2350</v>
      </c>
      <c r="AI31" s="341" t="s">
        <v>2976</v>
      </c>
      <c r="AJ31" s="222">
        <v>0.09</v>
      </c>
      <c r="AK31" s="222">
        <v>0.05</v>
      </c>
      <c r="AL31" s="222">
        <v>130</v>
      </c>
      <c r="AM31" s="222"/>
      <c r="AN31" s="222"/>
      <c r="AO31" s="222"/>
      <c r="AP31" s="222"/>
      <c r="AQ31" s="222"/>
      <c r="AR31" s="222"/>
      <c r="AS31" s="222"/>
      <c r="AT31" s="222"/>
      <c r="AU31" s="222"/>
      <c r="AV31" s="543"/>
      <c r="AW31" s="219"/>
      <c r="AX31" s="542"/>
      <c r="AY31" s="542"/>
    </row>
    <row r="32" spans="1:53" x14ac:dyDescent="0.2">
      <c r="A32" s="433"/>
      <c r="B32" s="433"/>
      <c r="C32" s="433"/>
      <c r="D32" s="434"/>
      <c r="E32" s="434"/>
      <c r="F32" s="435"/>
      <c r="G32" s="433"/>
      <c r="H32" s="433"/>
      <c r="I32" s="433"/>
      <c r="J32" s="436"/>
      <c r="K32" s="433"/>
      <c r="L32" s="436"/>
      <c r="M32" s="433"/>
      <c r="N32" s="434"/>
      <c r="O32" s="433"/>
      <c r="P32" s="437"/>
      <c r="Q32" s="433"/>
      <c r="R32" s="433"/>
      <c r="S32" s="433"/>
      <c r="T32" s="433"/>
      <c r="U32" s="433"/>
      <c r="V32" s="433"/>
      <c r="W32" s="433"/>
      <c r="X32" s="433"/>
      <c r="Y32" s="433"/>
      <c r="Z32" s="433"/>
      <c r="AA32" s="433"/>
      <c r="AB32" s="434"/>
      <c r="AC32" s="434"/>
      <c r="AD32" s="434"/>
      <c r="AE32" s="433"/>
      <c r="AF32" s="434"/>
      <c r="AG32" s="434"/>
      <c r="AH32" s="434"/>
      <c r="AI32" s="434"/>
      <c r="AJ32" s="436"/>
      <c r="AK32" s="436"/>
      <c r="AL32" s="436"/>
      <c r="AM32" s="436"/>
      <c r="AN32" s="436"/>
      <c r="AO32" s="436"/>
      <c r="AP32" s="436"/>
      <c r="AQ32" s="436"/>
      <c r="AR32" s="436"/>
      <c r="AS32" s="436"/>
      <c r="AT32" s="436"/>
      <c r="AU32" s="436"/>
      <c r="AV32" s="436"/>
      <c r="AW32" s="436"/>
      <c r="AX32" s="436"/>
      <c r="AY32" s="436"/>
    </row>
    <row r="33" spans="1:52" x14ac:dyDescent="0.2">
      <c r="D33" s="436"/>
      <c r="E33" s="436"/>
      <c r="F33" s="436"/>
      <c r="G33" s="436"/>
      <c r="H33" s="436"/>
      <c r="I33" s="436"/>
      <c r="J33" s="436"/>
      <c r="K33" s="436"/>
      <c r="L33" s="436"/>
      <c r="M33" s="436"/>
      <c r="N33" s="436"/>
      <c r="O33" s="436"/>
      <c r="P33" s="436"/>
      <c r="Q33" s="436"/>
      <c r="R33" s="436"/>
      <c r="S33" s="436"/>
      <c r="T33" s="436"/>
      <c r="U33" s="436"/>
      <c r="V33" s="436"/>
      <c r="W33" s="436"/>
      <c r="X33" s="436"/>
      <c r="Y33" s="436"/>
      <c r="Z33" s="436"/>
      <c r="AA33" s="436"/>
      <c r="AB33" s="436"/>
      <c r="AC33" s="436"/>
      <c r="AD33" s="436"/>
      <c r="AE33" s="434"/>
      <c r="AF33" s="436"/>
      <c r="AG33" s="436"/>
      <c r="AH33" s="436"/>
      <c r="AI33" s="436"/>
      <c r="AJ33" s="436"/>
      <c r="AK33" s="436"/>
      <c r="AL33" s="436"/>
      <c r="AM33" s="436"/>
      <c r="AN33" s="436"/>
      <c r="AO33" s="436"/>
      <c r="AP33" s="436"/>
      <c r="AQ33" s="436"/>
      <c r="AR33" s="436"/>
      <c r="AS33" s="436"/>
      <c r="AT33" s="436"/>
      <c r="AU33" s="436"/>
      <c r="AV33" s="436"/>
      <c r="AW33" s="436"/>
      <c r="AX33" s="436"/>
      <c r="AY33" s="436"/>
    </row>
    <row r="34" spans="1:52" x14ac:dyDescent="0.2">
      <c r="A34" s="242" t="s">
        <v>1935</v>
      </c>
      <c r="E34" s="258"/>
      <c r="F34" s="258"/>
      <c r="G34" s="258"/>
      <c r="H34" s="258"/>
      <c r="I34" s="434"/>
      <c r="J34" s="434"/>
      <c r="K34" s="433"/>
      <c r="L34" s="433"/>
      <c r="M34" s="434"/>
      <c r="N34" s="433"/>
      <c r="O34" s="434"/>
      <c r="P34" s="433"/>
      <c r="Q34" s="434"/>
      <c r="R34" s="434"/>
      <c r="S34" s="434"/>
      <c r="T34" s="434"/>
      <c r="U34" s="434"/>
      <c r="V34" s="434"/>
      <c r="W34" s="434"/>
      <c r="X34" s="434"/>
      <c r="Y34" s="434"/>
      <c r="Z34" s="433"/>
      <c r="AA34" s="433"/>
      <c r="AB34" s="433"/>
      <c r="AC34" s="433"/>
      <c r="AD34" s="433"/>
      <c r="AE34" s="434"/>
      <c r="AF34" s="438"/>
      <c r="AG34" s="434"/>
      <c r="AH34" s="434"/>
      <c r="AI34" s="434"/>
      <c r="AJ34" s="436"/>
      <c r="AK34" s="434"/>
      <c r="AL34" s="436"/>
      <c r="AM34" s="436"/>
      <c r="AN34" s="436"/>
      <c r="AO34" s="436"/>
      <c r="AP34" s="436"/>
      <c r="AQ34" s="436"/>
      <c r="AR34" s="436"/>
      <c r="AS34" s="436"/>
      <c r="AT34" s="436"/>
      <c r="AU34" s="436"/>
      <c r="AV34" s="436"/>
      <c r="AW34" s="436"/>
      <c r="AX34" s="436"/>
      <c r="AY34" s="436"/>
      <c r="AZ34" s="257">
        <f>X39/Z39</f>
        <v>1.2850467289719627</v>
      </c>
    </row>
    <row r="35" spans="1:52" ht="33.75" x14ac:dyDescent="0.2">
      <c r="A35" s="430">
        <v>326</v>
      </c>
      <c r="B35" s="340">
        <f t="shared" ref="B35:B75" si="1">S35</f>
        <v>30</v>
      </c>
      <c r="C35" s="340" t="s">
        <v>341</v>
      </c>
      <c r="D35" s="357" t="s">
        <v>679</v>
      </c>
      <c r="E35" s="340" t="s">
        <v>1463</v>
      </c>
      <c r="F35" s="420" t="s">
        <v>1714</v>
      </c>
      <c r="G35" s="357">
        <v>1999</v>
      </c>
      <c r="H35" s="340" t="s">
        <v>215</v>
      </c>
      <c r="I35" s="340">
        <v>13077405</v>
      </c>
      <c r="J35" s="420">
        <v>13077301</v>
      </c>
      <c r="K35" s="340" t="s">
        <v>1919</v>
      </c>
      <c r="L35" s="340" t="s">
        <v>215</v>
      </c>
      <c r="M35" s="341" t="s">
        <v>2773</v>
      </c>
      <c r="N35" s="424" t="s">
        <v>2082</v>
      </c>
      <c r="O35" s="430" t="s">
        <v>577</v>
      </c>
      <c r="P35" s="424" t="s">
        <v>684</v>
      </c>
      <c r="Q35" s="430">
        <v>326</v>
      </c>
      <c r="R35" s="430">
        <v>230</v>
      </c>
      <c r="S35" s="430">
        <v>30</v>
      </c>
      <c r="T35" s="430" t="s">
        <v>1618</v>
      </c>
      <c r="U35" s="430">
        <v>206</v>
      </c>
      <c r="V35" s="430">
        <v>90.5</v>
      </c>
      <c r="W35" s="430">
        <v>12.6</v>
      </c>
      <c r="X35" s="430">
        <v>15.59</v>
      </c>
      <c r="Y35" s="430">
        <v>15.32</v>
      </c>
      <c r="Z35" s="430">
        <v>11.03</v>
      </c>
      <c r="AA35" s="430">
        <v>11.02</v>
      </c>
      <c r="AB35" s="424">
        <v>6.44</v>
      </c>
      <c r="AC35" s="424">
        <v>1120.2</v>
      </c>
      <c r="AD35" s="424">
        <v>838.4</v>
      </c>
      <c r="AE35" s="430" t="s">
        <v>159</v>
      </c>
      <c r="AF35" s="430">
        <v>0.04</v>
      </c>
      <c r="AG35" s="430">
        <v>0.01</v>
      </c>
      <c r="AH35" s="341" t="s">
        <v>2350</v>
      </c>
      <c r="AI35" s="357" t="s">
        <v>2976</v>
      </c>
      <c r="AJ35" s="430">
        <v>8.8999999999999996E-2</v>
      </c>
      <c r="AK35" s="439">
        <v>0.13</v>
      </c>
      <c r="AL35" s="430">
        <v>144</v>
      </c>
      <c r="AM35" s="420">
        <v>2722</v>
      </c>
      <c r="AN35" s="420">
        <v>3960</v>
      </c>
      <c r="AO35" s="420">
        <v>1665</v>
      </c>
      <c r="AP35" s="420">
        <v>145</v>
      </c>
      <c r="AQ35" s="420">
        <v>376</v>
      </c>
      <c r="AR35" s="420">
        <v>813</v>
      </c>
      <c r="AS35" s="420">
        <v>3480</v>
      </c>
      <c r="AT35" s="420">
        <v>0.61</v>
      </c>
      <c r="AU35" s="420"/>
      <c r="AV35" s="420"/>
      <c r="AW35" s="420"/>
      <c r="AX35" s="420"/>
      <c r="AY35" s="420"/>
      <c r="AZ35" s="257">
        <f>X35/Z35</f>
        <v>1.413417951042611</v>
      </c>
    </row>
    <row r="36" spans="1:52" ht="33.75" x14ac:dyDescent="0.2">
      <c r="A36" s="430">
        <v>331</v>
      </c>
      <c r="B36" s="340">
        <f t="shared" si="1"/>
        <v>38</v>
      </c>
      <c r="C36" s="340" t="s">
        <v>341</v>
      </c>
      <c r="D36" s="357" t="s">
        <v>679</v>
      </c>
      <c r="E36" s="340" t="s">
        <v>1464</v>
      </c>
      <c r="F36" s="393" t="s">
        <v>1714</v>
      </c>
      <c r="G36" s="357">
        <v>1998</v>
      </c>
      <c r="H36" s="340" t="s">
        <v>215</v>
      </c>
      <c r="I36" s="340">
        <v>13076102</v>
      </c>
      <c r="J36" s="420">
        <v>13076001</v>
      </c>
      <c r="K36" s="340" t="s">
        <v>1944</v>
      </c>
      <c r="L36" s="340" t="s">
        <v>215</v>
      </c>
      <c r="M36" s="341" t="s">
        <v>2773</v>
      </c>
      <c r="N36" s="424" t="s">
        <v>2082</v>
      </c>
      <c r="O36" s="430" t="s">
        <v>1613</v>
      </c>
      <c r="P36" s="341" t="s">
        <v>545</v>
      </c>
      <c r="Q36" s="430">
        <v>331</v>
      </c>
      <c r="R36" s="430">
        <v>230</v>
      </c>
      <c r="S36" s="430">
        <v>38</v>
      </c>
      <c r="T36" s="430" t="s">
        <v>1618</v>
      </c>
      <c r="U36" s="430">
        <v>206</v>
      </c>
      <c r="V36" s="430">
        <v>86.5</v>
      </c>
      <c r="W36" s="430">
        <v>16.600000000000001</v>
      </c>
      <c r="X36" s="430">
        <v>16.84</v>
      </c>
      <c r="Y36" s="430"/>
      <c r="Z36" s="430">
        <v>12.44</v>
      </c>
      <c r="AA36" s="430"/>
      <c r="AB36" s="430">
        <v>8.44</v>
      </c>
      <c r="AC36" s="430">
        <v>1334.9</v>
      </c>
      <c r="AD36" s="430">
        <v>890</v>
      </c>
      <c r="AE36" s="430" t="s">
        <v>159</v>
      </c>
      <c r="AF36" s="430">
        <v>0.04</v>
      </c>
      <c r="AG36" s="430">
        <v>0.01</v>
      </c>
      <c r="AH36" s="341" t="s">
        <v>157</v>
      </c>
      <c r="AI36" s="341" t="s">
        <v>157</v>
      </c>
      <c r="AJ36" s="341" t="s">
        <v>157</v>
      </c>
      <c r="AK36" s="439">
        <v>0.08</v>
      </c>
      <c r="AL36" s="430">
        <v>144</v>
      </c>
      <c r="AM36" s="420">
        <v>3240</v>
      </c>
      <c r="AN36" s="420">
        <v>6525</v>
      </c>
      <c r="AO36" s="420">
        <v>2115</v>
      </c>
      <c r="AP36" s="420">
        <v>161</v>
      </c>
      <c r="AQ36" s="420">
        <v>376</v>
      </c>
      <c r="AR36" s="420">
        <v>813</v>
      </c>
      <c r="AS36" s="420">
        <v>4191</v>
      </c>
      <c r="AT36" s="420">
        <v>0.61</v>
      </c>
      <c r="AU36" s="420"/>
      <c r="AV36" s="420" t="s">
        <v>1921</v>
      </c>
      <c r="AW36" s="420"/>
      <c r="AX36" s="420"/>
      <c r="AY36" s="420"/>
      <c r="AZ36" s="257">
        <f>X36/Z36</f>
        <v>1.3536977491961415</v>
      </c>
    </row>
    <row r="37" spans="1:52" ht="33.75" x14ac:dyDescent="0.2">
      <c r="A37" s="340">
        <v>270</v>
      </c>
      <c r="B37" s="340">
        <f t="shared" si="1"/>
        <v>9</v>
      </c>
      <c r="C37" s="340" t="s">
        <v>1940</v>
      </c>
      <c r="D37" s="341" t="s">
        <v>358</v>
      </c>
      <c r="E37" s="357" t="s">
        <v>2697</v>
      </c>
      <c r="F37" s="393" t="s">
        <v>669</v>
      </c>
      <c r="G37" s="357">
        <v>2004</v>
      </c>
      <c r="H37" s="357" t="s">
        <v>559</v>
      </c>
      <c r="I37" s="357" t="s">
        <v>1007</v>
      </c>
      <c r="J37" s="420">
        <v>14916801</v>
      </c>
      <c r="K37" s="357" t="s">
        <v>1008</v>
      </c>
      <c r="L37" s="420" t="s">
        <v>153</v>
      </c>
      <c r="M37" s="341" t="s">
        <v>219</v>
      </c>
      <c r="N37" s="357" t="s">
        <v>2083</v>
      </c>
      <c r="O37" s="357" t="s">
        <v>1405</v>
      </c>
      <c r="P37" s="357" t="s">
        <v>1006</v>
      </c>
      <c r="Q37" s="340">
        <v>270</v>
      </c>
      <c r="R37" s="357">
        <v>192.5</v>
      </c>
      <c r="S37" s="357">
        <v>9</v>
      </c>
      <c r="T37" s="357" t="s">
        <v>565</v>
      </c>
      <c r="U37" s="357">
        <v>172</v>
      </c>
      <c r="V37" s="357">
        <v>41.4</v>
      </c>
      <c r="W37" s="357" t="s">
        <v>686</v>
      </c>
      <c r="X37" s="357">
        <v>6.3</v>
      </c>
      <c r="Y37" s="357"/>
      <c r="Z37" s="357">
        <v>4.4400000000000004</v>
      </c>
      <c r="AA37" s="357"/>
      <c r="AB37" s="357">
        <v>1.9239999999999999</v>
      </c>
      <c r="AC37" s="357" t="s">
        <v>1814</v>
      </c>
      <c r="AD37" s="357">
        <v>572.1</v>
      </c>
      <c r="AE37" s="340" t="s">
        <v>576</v>
      </c>
      <c r="AF37" s="357">
        <v>7.5999999999999998E-2</v>
      </c>
      <c r="AG37" s="357">
        <v>0.01</v>
      </c>
      <c r="AH37" s="357" t="s">
        <v>2350</v>
      </c>
      <c r="AI37" s="420" t="s">
        <v>2351</v>
      </c>
      <c r="AJ37" s="357" t="s">
        <v>2352</v>
      </c>
      <c r="AK37" s="420">
        <v>0.13</v>
      </c>
      <c r="AL37" s="357">
        <v>72</v>
      </c>
      <c r="AM37" s="420"/>
      <c r="AN37" s="420"/>
      <c r="AO37" s="420"/>
      <c r="AP37" s="420"/>
      <c r="AQ37" s="420"/>
      <c r="AR37" s="420"/>
      <c r="AS37" s="420"/>
      <c r="AT37" s="420"/>
      <c r="AU37" s="420"/>
      <c r="AV37" s="420"/>
      <c r="AW37" s="420"/>
      <c r="AX37" s="420"/>
      <c r="AY37" s="420"/>
      <c r="AZ37" s="257">
        <f>X37/Z37</f>
        <v>1.4189189189189189</v>
      </c>
    </row>
    <row r="38" spans="1:52" ht="56.25" x14ac:dyDescent="0.2">
      <c r="A38" s="340">
        <v>270</v>
      </c>
      <c r="B38" s="340">
        <f t="shared" si="1"/>
        <v>12</v>
      </c>
      <c r="C38" s="340" t="s">
        <v>1940</v>
      </c>
      <c r="D38" s="341" t="s">
        <v>358</v>
      </c>
      <c r="E38" s="357" t="s">
        <v>1009</v>
      </c>
      <c r="F38" s="393" t="s">
        <v>669</v>
      </c>
      <c r="G38" s="357">
        <v>2004</v>
      </c>
      <c r="H38" s="357" t="s">
        <v>559</v>
      </c>
      <c r="I38" s="357">
        <v>14917109</v>
      </c>
      <c r="J38" s="420">
        <v>14917001</v>
      </c>
      <c r="K38" s="357" t="s">
        <v>1010</v>
      </c>
      <c r="L38" s="420" t="s">
        <v>153</v>
      </c>
      <c r="M38" s="341" t="s">
        <v>219</v>
      </c>
      <c r="N38" s="357" t="s">
        <v>2083</v>
      </c>
      <c r="O38" s="357" t="s">
        <v>448</v>
      </c>
      <c r="P38" s="357" t="s">
        <v>2067</v>
      </c>
      <c r="Q38" s="340">
        <v>270</v>
      </c>
      <c r="R38" s="357">
        <v>192.5</v>
      </c>
      <c r="S38" s="357">
        <v>12</v>
      </c>
      <c r="T38" s="357" t="s">
        <v>565</v>
      </c>
      <c r="U38" s="357">
        <v>172</v>
      </c>
      <c r="V38" s="357">
        <v>42.9</v>
      </c>
      <c r="W38" s="357" t="s">
        <v>686</v>
      </c>
      <c r="X38" s="357">
        <v>7.0190000000000001</v>
      </c>
      <c r="Y38" s="357"/>
      <c r="Z38" s="357">
        <v>4.4189999999999996</v>
      </c>
      <c r="AA38" s="357"/>
      <c r="AB38" s="357">
        <v>2.6</v>
      </c>
      <c r="AC38" s="357" t="s">
        <v>1814</v>
      </c>
      <c r="AD38" s="357">
        <v>572.1</v>
      </c>
      <c r="AE38" s="340" t="s">
        <v>576</v>
      </c>
      <c r="AF38" s="341">
        <v>7.5999999999999998E-2</v>
      </c>
      <c r="AG38" s="357">
        <v>0.01</v>
      </c>
      <c r="AH38" s="357" t="s">
        <v>2350</v>
      </c>
      <c r="AI38" s="420" t="s">
        <v>2351</v>
      </c>
      <c r="AJ38" s="357" t="s">
        <v>2352</v>
      </c>
      <c r="AK38" s="342">
        <v>0.13</v>
      </c>
      <c r="AL38" s="341">
        <v>72</v>
      </c>
      <c r="AM38" s="420"/>
      <c r="AN38" s="420"/>
      <c r="AO38" s="420"/>
      <c r="AP38" s="420"/>
      <c r="AQ38" s="420"/>
      <c r="AR38" s="420"/>
      <c r="AS38" s="420"/>
      <c r="AT38" s="420"/>
      <c r="AU38" s="420"/>
      <c r="AV38" s="420"/>
      <c r="AW38" s="420"/>
      <c r="AX38" s="420"/>
      <c r="AY38" s="420"/>
      <c r="AZ38" s="257">
        <f>X38/Z38</f>
        <v>1.58836840914234</v>
      </c>
    </row>
    <row r="39" spans="1:52" ht="33.75" x14ac:dyDescent="0.2">
      <c r="A39" s="357">
        <v>340</v>
      </c>
      <c r="B39" s="340">
        <f t="shared" si="1"/>
        <v>34</v>
      </c>
      <c r="C39" s="340" t="s">
        <v>341</v>
      </c>
      <c r="D39" s="357" t="s">
        <v>679</v>
      </c>
      <c r="E39" s="357" t="s">
        <v>507</v>
      </c>
      <c r="F39" s="420" t="s">
        <v>1714</v>
      </c>
      <c r="G39" s="420">
        <v>2005</v>
      </c>
      <c r="H39" s="357" t="s">
        <v>681</v>
      </c>
      <c r="I39" s="357">
        <v>14426003</v>
      </c>
      <c r="J39" s="357">
        <v>14425901</v>
      </c>
      <c r="K39" s="357" t="s">
        <v>2974</v>
      </c>
      <c r="L39" s="420" t="s">
        <v>1354</v>
      </c>
      <c r="M39" s="341" t="s">
        <v>2773</v>
      </c>
      <c r="N39" s="357" t="s">
        <v>2082</v>
      </c>
      <c r="O39" s="357" t="s">
        <v>156</v>
      </c>
      <c r="P39" s="341" t="s">
        <v>545</v>
      </c>
      <c r="Q39" s="357">
        <v>340</v>
      </c>
      <c r="R39" s="420">
        <v>228</v>
      </c>
      <c r="S39" s="357">
        <v>34</v>
      </c>
      <c r="T39" s="357" t="s">
        <v>2975</v>
      </c>
      <c r="U39" s="420">
        <v>206.1</v>
      </c>
      <c r="V39" s="357">
        <v>125.2</v>
      </c>
      <c r="W39" s="420">
        <v>12</v>
      </c>
      <c r="X39" s="357">
        <v>17.875</v>
      </c>
      <c r="Y39" s="357"/>
      <c r="Z39" s="357">
        <v>13.91</v>
      </c>
      <c r="AA39" s="357"/>
      <c r="AB39" s="420">
        <v>8.6999999999999993</v>
      </c>
      <c r="AC39" s="420">
        <v>1214.2</v>
      </c>
      <c r="AD39" s="420">
        <v>895.4</v>
      </c>
      <c r="AE39" s="357" t="s">
        <v>159</v>
      </c>
      <c r="AF39" s="357">
        <v>2.5000000000000001E-2</v>
      </c>
      <c r="AG39" s="357">
        <v>8.9999999999999993E-3</v>
      </c>
      <c r="AH39" s="357" t="s">
        <v>159</v>
      </c>
      <c r="AI39" s="357" t="s">
        <v>2976</v>
      </c>
      <c r="AJ39" s="420">
        <v>0.09</v>
      </c>
      <c r="AK39" s="420">
        <v>0.1</v>
      </c>
      <c r="AL39" s="420">
        <v>288</v>
      </c>
      <c r="AM39" s="420"/>
      <c r="AN39" s="420">
        <v>5896</v>
      </c>
      <c r="AO39" s="420">
        <v>2721</v>
      </c>
      <c r="AP39" s="420">
        <v>161</v>
      </c>
      <c r="AQ39" s="420">
        <v>378</v>
      </c>
      <c r="AR39" s="420">
        <v>787</v>
      </c>
      <c r="AS39" s="420">
        <v>5080</v>
      </c>
      <c r="AT39" s="420">
        <v>0.38</v>
      </c>
      <c r="AU39" s="420"/>
      <c r="AV39" s="420"/>
      <c r="AW39" s="420"/>
      <c r="AX39" s="420"/>
      <c r="AY39" s="420"/>
      <c r="AZ39" s="257">
        <f>X40/Z40</f>
        <v>1.2850467289719627</v>
      </c>
    </row>
    <row r="40" spans="1:52" ht="33.75" x14ac:dyDescent="0.2">
      <c r="A40" s="357">
        <v>340</v>
      </c>
      <c r="B40" s="340">
        <f t="shared" si="1"/>
        <v>34</v>
      </c>
      <c r="C40" s="340" t="s">
        <v>341</v>
      </c>
      <c r="D40" s="357" t="s">
        <v>679</v>
      </c>
      <c r="E40" s="357" t="s">
        <v>507</v>
      </c>
      <c r="F40" s="420" t="s">
        <v>1714</v>
      </c>
      <c r="G40" s="420">
        <v>2005</v>
      </c>
      <c r="H40" s="357" t="s">
        <v>681</v>
      </c>
      <c r="I40" s="357">
        <v>14426002</v>
      </c>
      <c r="J40" s="357">
        <v>14425901</v>
      </c>
      <c r="K40" s="357" t="s">
        <v>1053</v>
      </c>
      <c r="L40" s="420" t="s">
        <v>153</v>
      </c>
      <c r="M40" s="341" t="s">
        <v>2773</v>
      </c>
      <c r="N40" s="357" t="s">
        <v>2082</v>
      </c>
      <c r="O40" s="341" t="s">
        <v>1613</v>
      </c>
      <c r="P40" s="341" t="s">
        <v>545</v>
      </c>
      <c r="Q40" s="357">
        <v>340</v>
      </c>
      <c r="R40" s="420">
        <v>228</v>
      </c>
      <c r="S40" s="357">
        <v>34</v>
      </c>
      <c r="T40" s="357" t="s">
        <v>2975</v>
      </c>
      <c r="U40" s="420">
        <v>206.1</v>
      </c>
      <c r="V40" s="341">
        <v>117.2</v>
      </c>
      <c r="W40" s="420">
        <v>12</v>
      </c>
      <c r="X40" s="341">
        <v>17.875</v>
      </c>
      <c r="Y40" s="341">
        <v>18.190000000000001</v>
      </c>
      <c r="Z40" s="357">
        <v>13.91</v>
      </c>
      <c r="AA40" s="341">
        <v>13.84</v>
      </c>
      <c r="AB40" s="420">
        <v>8.6999999999999993</v>
      </c>
      <c r="AC40" s="420">
        <v>1214.2</v>
      </c>
      <c r="AD40" s="420">
        <v>895.4</v>
      </c>
      <c r="AE40" s="357" t="s">
        <v>159</v>
      </c>
      <c r="AF40" s="357">
        <v>2.5000000000000001E-2</v>
      </c>
      <c r="AG40" s="341">
        <v>8.9999999999999993E-3</v>
      </c>
      <c r="AH40" s="341" t="s">
        <v>2350</v>
      </c>
      <c r="AI40" s="357" t="s">
        <v>2976</v>
      </c>
      <c r="AJ40" s="420">
        <v>0.09</v>
      </c>
      <c r="AK40" s="420">
        <v>0.1</v>
      </c>
      <c r="AL40" s="420">
        <v>288</v>
      </c>
      <c r="AM40" s="420"/>
      <c r="AN40" s="420">
        <v>5896</v>
      </c>
      <c r="AO40" s="420">
        <v>2721</v>
      </c>
      <c r="AP40" s="420">
        <v>161</v>
      </c>
      <c r="AQ40" s="420">
        <v>378</v>
      </c>
      <c r="AR40" s="420">
        <v>787</v>
      </c>
      <c r="AS40" s="420">
        <v>5080</v>
      </c>
      <c r="AT40" s="420">
        <v>0.38</v>
      </c>
      <c r="AU40" s="420"/>
      <c r="AV40" s="420">
        <v>511.12</v>
      </c>
      <c r="AW40" s="420"/>
      <c r="AX40" s="420">
        <v>491</v>
      </c>
      <c r="AY40" s="420" t="s">
        <v>2239</v>
      </c>
      <c r="AZ40" s="257">
        <f>X41/Z41</f>
        <v>1.3949358059914407</v>
      </c>
    </row>
    <row r="41" spans="1:52" ht="45" x14ac:dyDescent="0.2">
      <c r="A41" s="357">
        <v>340</v>
      </c>
      <c r="B41" s="340">
        <f t="shared" si="1"/>
        <v>34</v>
      </c>
      <c r="C41" s="340" t="s">
        <v>341</v>
      </c>
      <c r="D41" s="357" t="s">
        <v>679</v>
      </c>
      <c r="E41" s="357" t="s">
        <v>1823</v>
      </c>
      <c r="F41" s="420" t="s">
        <v>1714</v>
      </c>
      <c r="G41" s="420">
        <v>2005</v>
      </c>
      <c r="H41" s="357" t="s">
        <v>681</v>
      </c>
      <c r="I41" s="357">
        <v>14421203</v>
      </c>
      <c r="J41" s="357">
        <v>14421101</v>
      </c>
      <c r="K41" s="357" t="s">
        <v>1052</v>
      </c>
      <c r="L41" s="420" t="s">
        <v>1354</v>
      </c>
      <c r="M41" s="341" t="s">
        <v>2773</v>
      </c>
      <c r="N41" s="357" t="s">
        <v>2082</v>
      </c>
      <c r="O41" s="357" t="s">
        <v>577</v>
      </c>
      <c r="P41" s="340" t="s">
        <v>684</v>
      </c>
      <c r="Q41" s="357">
        <v>340</v>
      </c>
      <c r="R41" s="342">
        <v>228</v>
      </c>
      <c r="S41" s="357">
        <v>34</v>
      </c>
      <c r="T41" s="357" t="s">
        <v>1618</v>
      </c>
      <c r="U41" s="420">
        <v>206.1</v>
      </c>
      <c r="V41" s="357">
        <v>118.2</v>
      </c>
      <c r="W41" s="420">
        <v>12</v>
      </c>
      <c r="X41" s="341">
        <v>19.556999999999999</v>
      </c>
      <c r="Y41" s="341">
        <v>19.760000000000002</v>
      </c>
      <c r="Z41" s="357">
        <v>14.02</v>
      </c>
      <c r="AA41" s="341">
        <v>13.99</v>
      </c>
      <c r="AB41" s="420">
        <v>8.6999999999999993</v>
      </c>
      <c r="AC41" s="420">
        <v>1213.8</v>
      </c>
      <c r="AD41" s="420">
        <v>895.4</v>
      </c>
      <c r="AE41" s="357" t="s">
        <v>159</v>
      </c>
      <c r="AF41" s="357">
        <v>2.5000000000000001E-2</v>
      </c>
      <c r="AG41" s="357">
        <v>0.01</v>
      </c>
      <c r="AH41" s="357" t="s">
        <v>159</v>
      </c>
      <c r="AI41" s="357" t="s">
        <v>2976</v>
      </c>
      <c r="AJ41" s="420">
        <v>0.09</v>
      </c>
      <c r="AK41" s="420">
        <v>0.05</v>
      </c>
      <c r="AL41" s="342">
        <v>144</v>
      </c>
      <c r="AM41" s="420"/>
      <c r="AN41" s="420">
        <v>5034</v>
      </c>
      <c r="AO41" s="420">
        <v>2721</v>
      </c>
      <c r="AP41" s="420">
        <v>161</v>
      </c>
      <c r="AQ41" s="420">
        <v>378</v>
      </c>
      <c r="AR41" s="420">
        <v>787</v>
      </c>
      <c r="AS41" s="420">
        <v>5105</v>
      </c>
      <c r="AT41" s="420">
        <v>0.38</v>
      </c>
      <c r="AU41" s="420"/>
      <c r="AV41" s="420" t="s">
        <v>1914</v>
      </c>
      <c r="AW41" s="420"/>
      <c r="AX41" s="420" t="s">
        <v>1915</v>
      </c>
      <c r="AY41" s="420" t="s">
        <v>1916</v>
      </c>
    </row>
    <row r="42" spans="1:52" ht="22.5" x14ac:dyDescent="0.2">
      <c r="A42" s="357">
        <v>281</v>
      </c>
      <c r="B42" s="340">
        <f t="shared" si="1"/>
        <v>11</v>
      </c>
      <c r="C42" s="340" t="s">
        <v>1940</v>
      </c>
      <c r="D42" s="340" t="s">
        <v>638</v>
      </c>
      <c r="E42" s="357" t="s">
        <v>924</v>
      </c>
      <c r="F42" s="340"/>
      <c r="G42" s="357">
        <v>1992</v>
      </c>
      <c r="H42" s="357" t="s">
        <v>768</v>
      </c>
      <c r="I42" s="357" t="s">
        <v>925</v>
      </c>
      <c r="J42" s="420">
        <v>18017505</v>
      </c>
      <c r="K42" s="357">
        <v>18021768</v>
      </c>
      <c r="L42" s="420"/>
      <c r="M42" s="357"/>
      <c r="N42" s="357" t="s">
        <v>163</v>
      </c>
      <c r="O42" s="357" t="s">
        <v>1838</v>
      </c>
      <c r="P42" s="357" t="s">
        <v>643</v>
      </c>
      <c r="Q42" s="357">
        <v>281</v>
      </c>
      <c r="R42" s="357">
        <v>170.3</v>
      </c>
      <c r="S42" s="357">
        <v>11</v>
      </c>
      <c r="T42" s="357" t="s">
        <v>926</v>
      </c>
      <c r="U42" s="357" t="s">
        <v>1029</v>
      </c>
      <c r="V42" s="357">
        <v>31.4</v>
      </c>
      <c r="W42" s="357" t="s">
        <v>686</v>
      </c>
      <c r="X42" s="357">
        <v>7.72</v>
      </c>
      <c r="Y42" s="357"/>
      <c r="Z42" s="357">
        <v>4.4800000000000004</v>
      </c>
      <c r="AA42" s="357"/>
      <c r="AB42" s="357"/>
      <c r="AC42" s="357"/>
      <c r="AD42" s="357"/>
      <c r="AE42" s="357" t="s">
        <v>576</v>
      </c>
      <c r="AF42" s="357">
        <v>0.06</v>
      </c>
      <c r="AG42" s="357">
        <v>1.3000000000000001E-2</v>
      </c>
      <c r="AH42" s="340" t="s">
        <v>686</v>
      </c>
      <c r="AI42" s="340" t="s">
        <v>686</v>
      </c>
      <c r="AJ42" s="340" t="s">
        <v>686</v>
      </c>
      <c r="AK42" s="420">
        <v>0.13</v>
      </c>
      <c r="AL42" s="357">
        <v>144</v>
      </c>
      <c r="AM42" s="420"/>
      <c r="AN42" s="420"/>
      <c r="AO42" s="420"/>
      <c r="AP42" s="420"/>
      <c r="AQ42" s="420"/>
      <c r="AR42" s="420"/>
      <c r="AS42" s="420"/>
      <c r="AT42" s="420"/>
      <c r="AU42" s="420"/>
      <c r="AV42" s="420"/>
      <c r="AW42" s="420"/>
      <c r="AX42" s="420"/>
      <c r="AY42" s="420"/>
    </row>
    <row r="43" spans="1:52" ht="22.5" x14ac:dyDescent="0.2">
      <c r="A43" s="357">
        <v>281</v>
      </c>
      <c r="B43" s="340">
        <f t="shared" si="1"/>
        <v>11</v>
      </c>
      <c r="C43" s="340" t="s">
        <v>1940</v>
      </c>
      <c r="D43" s="340" t="s">
        <v>638</v>
      </c>
      <c r="E43" s="357" t="s">
        <v>927</v>
      </c>
      <c r="F43" s="340"/>
      <c r="G43" s="357">
        <v>1995</v>
      </c>
      <c r="H43" s="357" t="s">
        <v>768</v>
      </c>
      <c r="I43" s="357" t="s">
        <v>928</v>
      </c>
      <c r="J43" s="420">
        <v>18017504</v>
      </c>
      <c r="K43" s="357">
        <v>18019853</v>
      </c>
      <c r="L43" s="420"/>
      <c r="M43" s="357"/>
      <c r="N43" s="357" t="s">
        <v>163</v>
      </c>
      <c r="O43" s="357" t="s">
        <v>1838</v>
      </c>
      <c r="P43" s="357" t="s">
        <v>643</v>
      </c>
      <c r="Q43" s="357">
        <v>281</v>
      </c>
      <c r="R43" s="357">
        <v>170.3</v>
      </c>
      <c r="S43" s="357">
        <v>11</v>
      </c>
      <c r="T43" s="357" t="s">
        <v>926</v>
      </c>
      <c r="U43" s="357" t="s">
        <v>1029</v>
      </c>
      <c r="V43" s="357">
        <v>31.4</v>
      </c>
      <c r="W43" s="357" t="s">
        <v>686</v>
      </c>
      <c r="X43" s="357">
        <v>7.72</v>
      </c>
      <c r="Y43" s="357"/>
      <c r="Z43" s="357">
        <v>4.4800000000000004</v>
      </c>
      <c r="AA43" s="357"/>
      <c r="AB43" s="357"/>
      <c r="AC43" s="357"/>
      <c r="AD43" s="357"/>
      <c r="AE43" s="357" t="s">
        <v>576</v>
      </c>
      <c r="AF43" s="357">
        <v>0.06</v>
      </c>
      <c r="AG43" s="357">
        <v>1.3000000000000001E-2</v>
      </c>
      <c r="AH43" s="340" t="s">
        <v>686</v>
      </c>
      <c r="AI43" s="340" t="s">
        <v>686</v>
      </c>
      <c r="AJ43" s="340" t="s">
        <v>686</v>
      </c>
      <c r="AK43" s="420">
        <v>0.13</v>
      </c>
      <c r="AL43" s="357">
        <v>144</v>
      </c>
      <c r="AM43" s="420"/>
      <c r="AN43" s="420"/>
      <c r="AO43" s="420"/>
      <c r="AP43" s="420"/>
      <c r="AQ43" s="420"/>
      <c r="AR43" s="420"/>
      <c r="AS43" s="420"/>
      <c r="AT43" s="420"/>
      <c r="AU43" s="420"/>
      <c r="AV43" s="420"/>
      <c r="AW43" s="420"/>
      <c r="AX43" s="420"/>
      <c r="AY43" s="420"/>
    </row>
    <row r="44" spans="1:52" ht="22.5" x14ac:dyDescent="0.2">
      <c r="A44" s="357">
        <v>267</v>
      </c>
      <c r="B44" s="340">
        <f t="shared" si="1"/>
        <v>14</v>
      </c>
      <c r="C44" s="340" t="s">
        <v>1940</v>
      </c>
      <c r="D44" s="357" t="s">
        <v>766</v>
      </c>
      <c r="E44" s="357" t="s">
        <v>2216</v>
      </c>
      <c r="F44" s="340" t="s">
        <v>151</v>
      </c>
      <c r="G44" s="357">
        <v>1994</v>
      </c>
      <c r="H44" s="357" t="s">
        <v>1617</v>
      </c>
      <c r="I44" s="357" t="s">
        <v>3167</v>
      </c>
      <c r="J44" s="357" t="s">
        <v>1939</v>
      </c>
      <c r="K44" s="357" t="s">
        <v>1938</v>
      </c>
      <c r="L44" s="420" t="s">
        <v>1617</v>
      </c>
      <c r="M44" s="357" t="s">
        <v>154</v>
      </c>
      <c r="N44" s="340" t="s">
        <v>163</v>
      </c>
      <c r="O44" s="357">
        <v>13028001</v>
      </c>
      <c r="P44" s="357" t="s">
        <v>2617</v>
      </c>
      <c r="Q44" s="357">
        <v>267</v>
      </c>
      <c r="R44" s="357">
        <v>181</v>
      </c>
      <c r="S44" s="357">
        <v>14</v>
      </c>
      <c r="T44" s="357" t="s">
        <v>581</v>
      </c>
      <c r="U44" s="357" t="s">
        <v>157</v>
      </c>
      <c r="V44" s="357">
        <v>44.15</v>
      </c>
      <c r="W44" s="357" t="s">
        <v>157</v>
      </c>
      <c r="X44" s="357">
        <v>7.1</v>
      </c>
      <c r="Y44" s="357"/>
      <c r="Z44" s="357">
        <v>4.7450000000000001</v>
      </c>
      <c r="AA44" s="357"/>
      <c r="AB44" s="357">
        <v>3.07</v>
      </c>
      <c r="AC44" s="357" t="s">
        <v>1940</v>
      </c>
      <c r="AD44" s="357">
        <v>266</v>
      </c>
      <c r="AE44" s="357" t="s">
        <v>576</v>
      </c>
      <c r="AF44" s="357">
        <v>0.05</v>
      </c>
      <c r="AG44" s="357">
        <v>8.0000000000000002E-3</v>
      </c>
      <c r="AH44" s="357" t="s">
        <v>157</v>
      </c>
      <c r="AI44" s="340" t="s">
        <v>686</v>
      </c>
      <c r="AJ44" s="340" t="s">
        <v>686</v>
      </c>
      <c r="AK44" s="420">
        <v>0.1</v>
      </c>
      <c r="AL44" s="357">
        <v>54</v>
      </c>
      <c r="AM44" s="420">
        <v>1522.3</v>
      </c>
      <c r="AN44" s="420">
        <v>1980</v>
      </c>
      <c r="AO44" s="420">
        <v>930.6</v>
      </c>
      <c r="AP44" s="420">
        <v>228</v>
      </c>
      <c r="AQ44" s="420">
        <v>317</v>
      </c>
      <c r="AR44" s="420">
        <v>530</v>
      </c>
      <c r="AS44" s="420">
        <v>2573</v>
      </c>
      <c r="AT44" s="420">
        <v>0.754</v>
      </c>
      <c r="AU44" s="420"/>
      <c r="AV44" s="420"/>
      <c r="AW44" s="420"/>
      <c r="AX44" s="420"/>
      <c r="AY44" s="420"/>
    </row>
    <row r="45" spans="1:52" ht="33.75" x14ac:dyDescent="0.2">
      <c r="A45" s="340">
        <v>270</v>
      </c>
      <c r="B45" s="340">
        <f t="shared" si="1"/>
        <v>9</v>
      </c>
      <c r="C45" s="340" t="s">
        <v>1940</v>
      </c>
      <c r="D45" s="357" t="s">
        <v>164</v>
      </c>
      <c r="E45" s="357" t="s">
        <v>2977</v>
      </c>
      <c r="F45" s="393" t="s">
        <v>166</v>
      </c>
      <c r="G45" s="357">
        <v>2004</v>
      </c>
      <c r="H45" s="357" t="s">
        <v>152</v>
      </c>
      <c r="I45" s="357">
        <v>14916905</v>
      </c>
      <c r="J45" s="420">
        <v>14916801</v>
      </c>
      <c r="K45" s="357" t="s">
        <v>2349</v>
      </c>
      <c r="L45" s="420" t="s">
        <v>153</v>
      </c>
      <c r="M45" s="357" t="s">
        <v>562</v>
      </c>
      <c r="N45" s="357" t="s">
        <v>2083</v>
      </c>
      <c r="O45" s="357" t="s">
        <v>577</v>
      </c>
      <c r="P45" s="357" t="s">
        <v>684</v>
      </c>
      <c r="Q45" s="340">
        <v>270</v>
      </c>
      <c r="R45" s="357">
        <v>192.5</v>
      </c>
      <c r="S45" s="357">
        <v>9</v>
      </c>
      <c r="T45" s="357" t="s">
        <v>565</v>
      </c>
      <c r="U45" s="357">
        <v>172</v>
      </c>
      <c r="V45" s="357">
        <v>41.4</v>
      </c>
      <c r="W45" s="357" t="s">
        <v>686</v>
      </c>
      <c r="X45" s="357">
        <v>6.3</v>
      </c>
      <c r="Y45" s="357"/>
      <c r="Z45" s="357">
        <v>4.4400000000000004</v>
      </c>
      <c r="AA45" s="357"/>
      <c r="AB45" s="357">
        <v>1.9239999999999999</v>
      </c>
      <c r="AC45" s="357" t="s">
        <v>157</v>
      </c>
      <c r="AD45" s="357">
        <v>392</v>
      </c>
      <c r="AE45" s="340" t="s">
        <v>576</v>
      </c>
      <c r="AF45" s="357">
        <v>7.5999999999999998E-2</v>
      </c>
      <c r="AG45" s="341">
        <v>1.2999999999999999E-2</v>
      </c>
      <c r="AH45" s="357" t="s">
        <v>2350</v>
      </c>
      <c r="AI45" s="420" t="s">
        <v>2351</v>
      </c>
      <c r="AJ45" s="357" t="s">
        <v>2352</v>
      </c>
      <c r="AK45" s="420">
        <v>0.13</v>
      </c>
      <c r="AL45" s="357">
        <v>72</v>
      </c>
      <c r="AM45" s="420"/>
      <c r="AN45" s="420"/>
      <c r="AO45" s="420"/>
      <c r="AP45" s="420"/>
      <c r="AQ45" s="420"/>
      <c r="AR45" s="420"/>
      <c r="AS45" s="420"/>
      <c r="AT45" s="420"/>
      <c r="AU45" s="420"/>
      <c r="AV45" s="420"/>
      <c r="AW45" s="420"/>
      <c r="AX45" s="420"/>
      <c r="AY45" s="420"/>
    </row>
    <row r="46" spans="1:52" ht="33.75" x14ac:dyDescent="0.2">
      <c r="A46" s="357">
        <v>270</v>
      </c>
      <c r="B46" s="340">
        <f t="shared" si="1"/>
        <v>9</v>
      </c>
      <c r="C46" s="340" t="s">
        <v>1940</v>
      </c>
      <c r="D46" s="357" t="s">
        <v>164</v>
      </c>
      <c r="E46" s="357" t="s">
        <v>2413</v>
      </c>
      <c r="F46" s="340" t="s">
        <v>166</v>
      </c>
      <c r="G46" s="357">
        <v>1996</v>
      </c>
      <c r="H46" s="357" t="s">
        <v>152</v>
      </c>
      <c r="I46" s="357">
        <v>12798000</v>
      </c>
      <c r="J46" s="357">
        <v>12797901</v>
      </c>
      <c r="K46" s="357">
        <v>4616433</v>
      </c>
      <c r="L46" s="420"/>
      <c r="M46" s="357" t="s">
        <v>562</v>
      </c>
      <c r="N46" s="357" t="s">
        <v>163</v>
      </c>
      <c r="O46" s="357" t="s">
        <v>2414</v>
      </c>
      <c r="P46" s="357" t="s">
        <v>684</v>
      </c>
      <c r="Q46" s="357">
        <v>270</v>
      </c>
      <c r="R46" s="357">
        <v>192.5</v>
      </c>
      <c r="S46" s="357">
        <v>9</v>
      </c>
      <c r="T46" s="357" t="s">
        <v>2415</v>
      </c>
      <c r="U46" s="357">
        <v>172</v>
      </c>
      <c r="V46" s="357">
        <v>41.8</v>
      </c>
      <c r="W46" s="357" t="s">
        <v>686</v>
      </c>
      <c r="X46" s="357">
        <v>6.5</v>
      </c>
      <c r="Y46" s="357"/>
      <c r="Z46" s="357">
        <v>3.85</v>
      </c>
      <c r="AA46" s="357"/>
      <c r="AB46" s="340">
        <v>2</v>
      </c>
      <c r="AC46" s="440" t="s">
        <v>2265</v>
      </c>
      <c r="AD46" s="340">
        <v>392</v>
      </c>
      <c r="AE46" s="357" t="s">
        <v>576</v>
      </c>
      <c r="AF46" s="357">
        <v>7.5999999999999998E-2</v>
      </c>
      <c r="AG46" s="357">
        <v>1.3000000000000001E-2</v>
      </c>
      <c r="AH46" s="357" t="s">
        <v>2350</v>
      </c>
      <c r="AI46" s="420" t="s">
        <v>2416</v>
      </c>
      <c r="AJ46" s="357">
        <v>8.8999999999999996E-2</v>
      </c>
      <c r="AK46" s="357">
        <v>0.13</v>
      </c>
      <c r="AL46" s="357">
        <v>72</v>
      </c>
      <c r="AM46" s="420"/>
      <c r="AN46" s="420"/>
      <c r="AO46" s="420"/>
      <c r="AP46" s="420"/>
      <c r="AQ46" s="420"/>
      <c r="AR46" s="420"/>
      <c r="AS46" s="420"/>
      <c r="AT46" s="420"/>
      <c r="AU46" s="420"/>
      <c r="AV46" s="420"/>
      <c r="AW46" s="420"/>
      <c r="AX46" s="420"/>
      <c r="AY46" s="420"/>
    </row>
    <row r="47" spans="1:52" ht="33.75" x14ac:dyDescent="0.2">
      <c r="A47" s="340">
        <v>270</v>
      </c>
      <c r="B47" s="340">
        <f t="shared" si="1"/>
        <v>9</v>
      </c>
      <c r="C47" s="340" t="s">
        <v>1940</v>
      </c>
      <c r="D47" s="357" t="s">
        <v>164</v>
      </c>
      <c r="E47" s="357" t="s">
        <v>165</v>
      </c>
      <c r="F47" s="340" t="s">
        <v>166</v>
      </c>
      <c r="G47" s="357">
        <v>2001</v>
      </c>
      <c r="H47" s="357" t="s">
        <v>152</v>
      </c>
      <c r="I47" s="357">
        <v>12798008</v>
      </c>
      <c r="J47" s="357">
        <v>127979</v>
      </c>
      <c r="K47" s="357" t="s">
        <v>2417</v>
      </c>
      <c r="L47" s="420" t="s">
        <v>1124</v>
      </c>
      <c r="M47" s="357" t="s">
        <v>562</v>
      </c>
      <c r="N47" s="357" t="s">
        <v>163</v>
      </c>
      <c r="O47" s="357" t="s">
        <v>2414</v>
      </c>
      <c r="P47" s="357" t="s">
        <v>684</v>
      </c>
      <c r="Q47" s="340">
        <v>270</v>
      </c>
      <c r="R47" s="357">
        <v>192.5</v>
      </c>
      <c r="S47" s="357">
        <v>9</v>
      </c>
      <c r="T47" s="357" t="s">
        <v>565</v>
      </c>
      <c r="U47" s="357">
        <v>172</v>
      </c>
      <c r="V47" s="357">
        <v>41.8</v>
      </c>
      <c r="W47" s="340" t="s">
        <v>686</v>
      </c>
      <c r="X47" s="357">
        <v>6.5</v>
      </c>
      <c r="Y47" s="357"/>
      <c r="Z47" s="357">
        <v>3.85</v>
      </c>
      <c r="AA47" s="357"/>
      <c r="AB47" s="357">
        <v>2</v>
      </c>
      <c r="AC47" s="357" t="s">
        <v>157</v>
      </c>
      <c r="AD47" s="357">
        <v>392</v>
      </c>
      <c r="AE47" s="340" t="s">
        <v>576</v>
      </c>
      <c r="AF47" s="357">
        <v>7.5999999999999998E-2</v>
      </c>
      <c r="AG47" s="357">
        <v>1.3000000000000001E-2</v>
      </c>
      <c r="AH47" s="357" t="s">
        <v>2350</v>
      </c>
      <c r="AI47" s="420" t="s">
        <v>2416</v>
      </c>
      <c r="AJ47" s="357">
        <v>8.8999999999999996E-2</v>
      </c>
      <c r="AK47" s="357">
        <v>0.13</v>
      </c>
      <c r="AL47" s="357">
        <v>72</v>
      </c>
      <c r="AM47" s="420">
        <v>1464</v>
      </c>
      <c r="AN47" s="420">
        <v>1943</v>
      </c>
      <c r="AO47" s="420">
        <v>1033</v>
      </c>
      <c r="AP47" s="420">
        <v>217</v>
      </c>
      <c r="AQ47" s="420">
        <v>292</v>
      </c>
      <c r="AR47" s="420">
        <v>508</v>
      </c>
      <c r="AS47" s="420">
        <v>2734</v>
      </c>
      <c r="AT47" s="420">
        <v>0.23</v>
      </c>
      <c r="AU47" s="420"/>
      <c r="AV47" s="420"/>
      <c r="AW47" s="420"/>
      <c r="AX47" s="420"/>
      <c r="AY47" s="420"/>
    </row>
    <row r="48" spans="1:52" ht="33.75" x14ac:dyDescent="0.2">
      <c r="A48" s="340">
        <v>270</v>
      </c>
      <c r="B48" s="340">
        <f t="shared" si="1"/>
        <v>11.88</v>
      </c>
      <c r="C48" s="340" t="s">
        <v>1940</v>
      </c>
      <c r="D48" s="357" t="s">
        <v>164</v>
      </c>
      <c r="E48" s="340" t="s">
        <v>750</v>
      </c>
      <c r="F48" s="340" t="s">
        <v>151</v>
      </c>
      <c r="G48" s="357">
        <v>1998</v>
      </c>
      <c r="H48" s="340" t="s">
        <v>559</v>
      </c>
      <c r="I48" s="340">
        <v>13097606</v>
      </c>
      <c r="J48" s="420">
        <v>13097501</v>
      </c>
      <c r="K48" s="340" t="s">
        <v>2418</v>
      </c>
      <c r="L48" s="420" t="s">
        <v>568</v>
      </c>
      <c r="M48" s="340" t="s">
        <v>562</v>
      </c>
      <c r="N48" s="357" t="s">
        <v>163</v>
      </c>
      <c r="O48" s="357" t="s">
        <v>2414</v>
      </c>
      <c r="P48" s="357" t="s">
        <v>684</v>
      </c>
      <c r="Q48" s="340">
        <v>270</v>
      </c>
      <c r="R48" s="340">
        <v>192.5</v>
      </c>
      <c r="S48" s="340">
        <v>11.88</v>
      </c>
      <c r="T48" s="340" t="s">
        <v>581</v>
      </c>
      <c r="U48" s="340">
        <v>172</v>
      </c>
      <c r="V48" s="340">
        <v>41</v>
      </c>
      <c r="W48" s="340" t="s">
        <v>686</v>
      </c>
      <c r="X48" s="340">
        <v>8.1</v>
      </c>
      <c r="Y48" s="340"/>
      <c r="Z48" s="340">
        <v>5.0999999999999996</v>
      </c>
      <c r="AA48" s="340"/>
      <c r="AB48" s="357">
        <v>2.67</v>
      </c>
      <c r="AC48" s="357" t="s">
        <v>157</v>
      </c>
      <c r="AD48" s="357">
        <v>470</v>
      </c>
      <c r="AE48" s="340" t="s">
        <v>159</v>
      </c>
      <c r="AF48" s="340">
        <v>3.5000000000000003E-2</v>
      </c>
      <c r="AG48" s="340">
        <v>0.01</v>
      </c>
      <c r="AH48" s="340" t="s">
        <v>576</v>
      </c>
      <c r="AI48" s="420" t="s">
        <v>2416</v>
      </c>
      <c r="AJ48" s="340">
        <v>8.8999999999999996E-2</v>
      </c>
      <c r="AK48" s="357">
        <v>0.13</v>
      </c>
      <c r="AL48" s="340">
        <v>54</v>
      </c>
      <c r="AM48" s="420">
        <v>1613.4</v>
      </c>
      <c r="AN48" s="420">
        <v>2129</v>
      </c>
      <c r="AO48" s="420">
        <v>1213.5</v>
      </c>
      <c r="AP48" s="420">
        <v>238</v>
      </c>
      <c r="AQ48" s="420">
        <v>321.3</v>
      </c>
      <c r="AR48" s="420">
        <v>577</v>
      </c>
      <c r="AS48" s="420">
        <v>2870.2</v>
      </c>
      <c r="AT48" s="420">
        <v>0.18</v>
      </c>
      <c r="AU48" s="420"/>
      <c r="AV48" s="420"/>
      <c r="AW48" s="420"/>
      <c r="AX48" s="420"/>
      <c r="AY48" s="420"/>
    </row>
    <row r="49" spans="1:52" ht="22.5" x14ac:dyDescent="0.2">
      <c r="A49" s="340">
        <v>278.8</v>
      </c>
      <c r="B49" s="340">
        <f t="shared" si="1"/>
        <v>10</v>
      </c>
      <c r="C49" s="340" t="s">
        <v>1940</v>
      </c>
      <c r="D49" s="340" t="s">
        <v>2056</v>
      </c>
      <c r="E49" s="340" t="s">
        <v>2063</v>
      </c>
      <c r="F49" s="340" t="s">
        <v>151</v>
      </c>
      <c r="G49" s="340">
        <v>1998</v>
      </c>
      <c r="H49" s="357" t="s">
        <v>559</v>
      </c>
      <c r="I49" s="340" t="s">
        <v>938</v>
      </c>
      <c r="J49" s="340">
        <v>13143401</v>
      </c>
      <c r="K49" s="340" t="s">
        <v>939</v>
      </c>
      <c r="L49" s="420"/>
      <c r="M49" s="357" t="s">
        <v>154</v>
      </c>
      <c r="N49" s="340" t="s">
        <v>940</v>
      </c>
      <c r="O49" s="340" t="s">
        <v>577</v>
      </c>
      <c r="P49" s="357" t="s">
        <v>578</v>
      </c>
      <c r="Q49" s="340">
        <v>278.8</v>
      </c>
      <c r="R49" s="340">
        <v>192.8</v>
      </c>
      <c r="S49" s="340">
        <v>10</v>
      </c>
      <c r="T49" s="340" t="s">
        <v>581</v>
      </c>
      <c r="U49" s="340" t="s">
        <v>1029</v>
      </c>
      <c r="V49" s="340">
        <v>34</v>
      </c>
      <c r="W49" s="340" t="s">
        <v>686</v>
      </c>
      <c r="X49" s="340">
        <v>8.82</v>
      </c>
      <c r="Y49" s="340"/>
      <c r="Z49" s="340">
        <v>5.0199999999999996</v>
      </c>
      <c r="AA49" s="340"/>
      <c r="AB49" s="357">
        <v>2.9</v>
      </c>
      <c r="AC49" s="357" t="s">
        <v>157</v>
      </c>
      <c r="AD49" s="357">
        <v>646</v>
      </c>
      <c r="AE49" s="340" t="s">
        <v>159</v>
      </c>
      <c r="AF49" s="340">
        <v>0.04</v>
      </c>
      <c r="AG49" s="340">
        <v>0.01</v>
      </c>
      <c r="AH49" s="340" t="s">
        <v>686</v>
      </c>
      <c r="AI49" s="340" t="s">
        <v>686</v>
      </c>
      <c r="AJ49" s="340" t="s">
        <v>686</v>
      </c>
      <c r="AK49" s="420">
        <v>0.15</v>
      </c>
      <c r="AL49" s="340">
        <v>150</v>
      </c>
      <c r="AM49" s="420">
        <v>1310</v>
      </c>
      <c r="AN49" s="420">
        <v>1390</v>
      </c>
      <c r="AO49" s="420">
        <v>875</v>
      </c>
      <c r="AP49" s="420">
        <v>209</v>
      </c>
      <c r="AQ49" s="420">
        <v>313.5</v>
      </c>
      <c r="AR49" s="420">
        <v>532</v>
      </c>
      <c r="AS49" s="420">
        <v>2670</v>
      </c>
      <c r="AT49" s="420">
        <v>0.26</v>
      </c>
      <c r="AU49" s="420"/>
      <c r="AV49" s="420"/>
      <c r="AW49" s="420"/>
      <c r="AX49" s="420"/>
      <c r="AY49" s="420"/>
    </row>
    <row r="50" spans="1:52" ht="22.5" x14ac:dyDescent="0.2">
      <c r="A50" s="357">
        <v>284</v>
      </c>
      <c r="B50" s="340">
        <f t="shared" si="1"/>
        <v>12</v>
      </c>
      <c r="C50" s="340" t="s">
        <v>1940</v>
      </c>
      <c r="D50" s="357" t="s">
        <v>766</v>
      </c>
      <c r="E50" s="357" t="s">
        <v>1122</v>
      </c>
      <c r="F50" s="340" t="s">
        <v>166</v>
      </c>
      <c r="G50" s="357">
        <v>1995</v>
      </c>
      <c r="H50" s="357" t="s">
        <v>152</v>
      </c>
      <c r="I50" s="357">
        <v>12715102</v>
      </c>
      <c r="J50" s="357">
        <v>12715001</v>
      </c>
      <c r="K50" s="357" t="s">
        <v>911</v>
      </c>
      <c r="L50" s="420" t="s">
        <v>153</v>
      </c>
      <c r="M50" s="357" t="s">
        <v>154</v>
      </c>
      <c r="N50" s="357" t="s">
        <v>163</v>
      </c>
      <c r="O50" s="357" t="s">
        <v>577</v>
      </c>
      <c r="P50" s="357" t="s">
        <v>2617</v>
      </c>
      <c r="Q50" s="357">
        <v>284</v>
      </c>
      <c r="R50" s="357">
        <v>203.7</v>
      </c>
      <c r="S50" s="357">
        <v>12</v>
      </c>
      <c r="T50" s="357" t="s">
        <v>1242</v>
      </c>
      <c r="U50" s="357">
        <v>184</v>
      </c>
      <c r="V50" s="357">
        <v>51.41</v>
      </c>
      <c r="W50" s="357" t="s">
        <v>157</v>
      </c>
      <c r="X50" s="357">
        <v>8.4600000000000009</v>
      </c>
      <c r="Y50" s="357"/>
      <c r="Z50" s="357">
        <v>5.33</v>
      </c>
      <c r="AA50" s="357"/>
      <c r="AB50" s="357">
        <v>3.44</v>
      </c>
      <c r="AC50" s="357" t="s">
        <v>1940</v>
      </c>
      <c r="AD50" s="357">
        <v>619.6</v>
      </c>
      <c r="AE50" s="357" t="s">
        <v>576</v>
      </c>
      <c r="AF50" s="357">
        <v>0.08</v>
      </c>
      <c r="AG50" s="357">
        <v>1.3000000000000001E-2</v>
      </c>
      <c r="AH50" s="357" t="s">
        <v>576</v>
      </c>
      <c r="AI50" s="357" t="s">
        <v>912</v>
      </c>
      <c r="AJ50" s="357">
        <v>8.8999999999999996E-2</v>
      </c>
      <c r="AK50" s="420">
        <v>0.13</v>
      </c>
      <c r="AL50" s="357">
        <v>54</v>
      </c>
      <c r="AM50" s="420">
        <v>2032.5</v>
      </c>
      <c r="AN50" s="420">
        <v>2568</v>
      </c>
      <c r="AO50" s="420">
        <v>1298</v>
      </c>
      <c r="AP50" s="420">
        <v>176</v>
      </c>
      <c r="AQ50" s="420">
        <v>323</v>
      </c>
      <c r="AR50" s="420">
        <v>660</v>
      </c>
      <c r="AS50" s="420">
        <v>3065.8</v>
      </c>
      <c r="AT50" s="420"/>
      <c r="AU50" s="420"/>
      <c r="AV50" s="420"/>
      <c r="AW50" s="420"/>
      <c r="AX50" s="420"/>
      <c r="AY50" s="420"/>
      <c r="AZ50" s="257">
        <f>X51/Z51</f>
        <v>1.4790640394088672</v>
      </c>
    </row>
    <row r="51" spans="1:52" ht="22.5" x14ac:dyDescent="0.2">
      <c r="A51" s="340">
        <v>334</v>
      </c>
      <c r="B51" s="340">
        <f t="shared" si="1"/>
        <v>14</v>
      </c>
      <c r="C51" s="340" t="s">
        <v>1940</v>
      </c>
      <c r="D51" s="357" t="s">
        <v>2219</v>
      </c>
      <c r="E51" s="340" t="s">
        <v>913</v>
      </c>
      <c r="F51" s="420"/>
      <c r="G51" s="357">
        <v>1997</v>
      </c>
      <c r="H51" s="357" t="s">
        <v>559</v>
      </c>
      <c r="I51" s="340">
        <v>12847602</v>
      </c>
      <c r="J51" s="420">
        <v>12847501</v>
      </c>
      <c r="K51" s="340" t="s">
        <v>914</v>
      </c>
      <c r="L51" s="420"/>
      <c r="M51" s="357" t="s">
        <v>154</v>
      </c>
      <c r="N51" s="340" t="s">
        <v>163</v>
      </c>
      <c r="O51" s="340" t="s">
        <v>577</v>
      </c>
      <c r="P51" s="357" t="s">
        <v>2617</v>
      </c>
      <c r="Q51" s="340">
        <v>334</v>
      </c>
      <c r="R51" s="420">
        <v>251.8</v>
      </c>
      <c r="S51" s="340">
        <v>14</v>
      </c>
      <c r="T51" s="340" t="s">
        <v>1041</v>
      </c>
      <c r="U51" s="420">
        <v>228.48</v>
      </c>
      <c r="V51" s="340">
        <v>49.2</v>
      </c>
      <c r="W51" s="357" t="s">
        <v>157</v>
      </c>
      <c r="X51" s="340">
        <v>12.01</v>
      </c>
      <c r="Y51" s="340"/>
      <c r="Z51" s="340">
        <v>8.1199999999999992</v>
      </c>
      <c r="AA51" s="340"/>
      <c r="AB51" s="420"/>
      <c r="AC51" s="420"/>
      <c r="AD51" s="420"/>
      <c r="AE51" s="340" t="s">
        <v>576</v>
      </c>
      <c r="AF51" s="340">
        <v>0.05</v>
      </c>
      <c r="AG51" s="340">
        <v>1.2E-2</v>
      </c>
      <c r="AH51" s="340"/>
      <c r="AI51" s="420" t="s">
        <v>2422</v>
      </c>
      <c r="AJ51" s="357">
        <v>8.8999999999999996E-2</v>
      </c>
      <c r="AK51" s="420">
        <v>0.25</v>
      </c>
      <c r="AL51" s="420">
        <v>54</v>
      </c>
      <c r="AM51" s="420"/>
      <c r="AN51" s="420"/>
      <c r="AO51" s="420"/>
      <c r="AP51" s="420"/>
      <c r="AQ51" s="420"/>
      <c r="AR51" s="420"/>
      <c r="AS51" s="420"/>
      <c r="AT51" s="420"/>
      <c r="AU51" s="420"/>
      <c r="AV51" s="420"/>
      <c r="AW51" s="420"/>
      <c r="AX51" s="420"/>
      <c r="AY51" s="420"/>
    </row>
    <row r="52" spans="1:52" ht="22.5" x14ac:dyDescent="0.2">
      <c r="A52" s="340">
        <v>334</v>
      </c>
      <c r="B52" s="340">
        <f t="shared" si="1"/>
        <v>14</v>
      </c>
      <c r="C52" s="340" t="s">
        <v>1940</v>
      </c>
      <c r="D52" s="357" t="s">
        <v>2219</v>
      </c>
      <c r="E52" s="340" t="s">
        <v>915</v>
      </c>
      <c r="F52" s="420" t="s">
        <v>650</v>
      </c>
      <c r="G52" s="357">
        <v>1997</v>
      </c>
      <c r="H52" s="357" t="s">
        <v>559</v>
      </c>
      <c r="I52" s="340">
        <v>12847802</v>
      </c>
      <c r="J52" s="420">
        <v>12847701</v>
      </c>
      <c r="K52" s="340" t="s">
        <v>916</v>
      </c>
      <c r="L52" s="420"/>
      <c r="M52" s="340" t="s">
        <v>917</v>
      </c>
      <c r="N52" s="340" t="s">
        <v>163</v>
      </c>
      <c r="O52" s="340" t="s">
        <v>577</v>
      </c>
      <c r="P52" s="357" t="s">
        <v>2617</v>
      </c>
      <c r="Q52" s="340">
        <v>334</v>
      </c>
      <c r="R52" s="420">
        <v>251.8</v>
      </c>
      <c r="S52" s="340">
        <v>14</v>
      </c>
      <c r="T52" s="340" t="s">
        <v>918</v>
      </c>
      <c r="U52" s="420">
        <v>228.48</v>
      </c>
      <c r="V52" s="340">
        <v>71.900000000000006</v>
      </c>
      <c r="W52" s="357" t="s">
        <v>157</v>
      </c>
      <c r="X52" s="340">
        <v>13.58</v>
      </c>
      <c r="Y52" s="340"/>
      <c r="Z52" s="340">
        <v>9.19</v>
      </c>
      <c r="AA52" s="340"/>
      <c r="AB52" s="420"/>
      <c r="AC52" s="420"/>
      <c r="AD52" s="420"/>
      <c r="AE52" s="340" t="s">
        <v>576</v>
      </c>
      <c r="AF52" s="340">
        <v>0.05</v>
      </c>
      <c r="AG52" s="340">
        <v>1.2E-2</v>
      </c>
      <c r="AH52" s="340"/>
      <c r="AI52" s="420" t="s">
        <v>2422</v>
      </c>
      <c r="AJ52" s="357">
        <v>8.8999999999999996E-2</v>
      </c>
      <c r="AK52" s="420">
        <v>0.25</v>
      </c>
      <c r="AL52" s="420">
        <v>54</v>
      </c>
      <c r="AM52" s="420"/>
      <c r="AN52" s="420"/>
      <c r="AO52" s="420"/>
      <c r="AP52" s="420"/>
      <c r="AQ52" s="420"/>
      <c r="AR52" s="420"/>
      <c r="AS52" s="420"/>
      <c r="AT52" s="420"/>
      <c r="AU52" s="420"/>
      <c r="AV52" s="420"/>
      <c r="AW52" s="420"/>
      <c r="AX52" s="420"/>
      <c r="AY52" s="420"/>
    </row>
    <row r="53" spans="1:52" ht="22.5" x14ac:dyDescent="0.2">
      <c r="A53" s="340">
        <v>334</v>
      </c>
      <c r="B53" s="340">
        <f t="shared" si="1"/>
        <v>14</v>
      </c>
      <c r="C53" s="340" t="s">
        <v>1940</v>
      </c>
      <c r="D53" s="357" t="s">
        <v>2219</v>
      </c>
      <c r="E53" s="340" t="s">
        <v>929</v>
      </c>
      <c r="F53" s="340" t="s">
        <v>675</v>
      </c>
      <c r="G53" s="357">
        <v>1997</v>
      </c>
      <c r="H53" s="340" t="s">
        <v>559</v>
      </c>
      <c r="I53" s="340">
        <v>13270202</v>
      </c>
      <c r="J53" s="420">
        <v>12847701</v>
      </c>
      <c r="K53" s="340" t="s">
        <v>930</v>
      </c>
      <c r="L53" s="420" t="s">
        <v>153</v>
      </c>
      <c r="M53" s="340" t="s">
        <v>154</v>
      </c>
      <c r="N53" s="340" t="s">
        <v>163</v>
      </c>
      <c r="O53" s="340" t="s">
        <v>577</v>
      </c>
      <c r="P53" s="357" t="s">
        <v>2617</v>
      </c>
      <c r="Q53" s="340">
        <v>334</v>
      </c>
      <c r="R53" s="340">
        <v>251.8</v>
      </c>
      <c r="S53" s="340">
        <v>14</v>
      </c>
      <c r="T53" s="393" t="s">
        <v>931</v>
      </c>
      <c r="U53" s="340">
        <v>228.5</v>
      </c>
      <c r="V53" s="340">
        <v>71.900000000000006</v>
      </c>
      <c r="W53" s="340" t="s">
        <v>686</v>
      </c>
      <c r="X53" s="340">
        <v>13.58</v>
      </c>
      <c r="Y53" s="393">
        <v>14.798999999999999</v>
      </c>
      <c r="Z53" s="340">
        <v>9.19</v>
      </c>
      <c r="AA53" s="393">
        <v>9.7189999999999994</v>
      </c>
      <c r="AB53" s="357">
        <v>3.77</v>
      </c>
      <c r="AC53" s="357" t="s">
        <v>157</v>
      </c>
      <c r="AD53" s="357">
        <v>683</v>
      </c>
      <c r="AE53" s="340" t="s">
        <v>159</v>
      </c>
      <c r="AF53" s="340">
        <v>2.5000000000000001E-2</v>
      </c>
      <c r="AG53" s="340">
        <v>9.0000000000000011E-3</v>
      </c>
      <c r="AH53" s="357" t="s">
        <v>159</v>
      </c>
      <c r="AI53" s="420" t="s">
        <v>2422</v>
      </c>
      <c r="AJ53" s="340">
        <v>8.8999999999999996E-2</v>
      </c>
      <c r="AK53" s="357">
        <v>0.25</v>
      </c>
      <c r="AL53" s="340">
        <v>54</v>
      </c>
      <c r="AM53" s="420">
        <v>2222</v>
      </c>
      <c r="AN53" s="420">
        <v>3492</v>
      </c>
      <c r="AO53" s="420">
        <v>1619</v>
      </c>
      <c r="AP53" s="420">
        <v>161</v>
      </c>
      <c r="AQ53" s="420">
        <v>373.4</v>
      </c>
      <c r="AR53" s="420">
        <v>736.6</v>
      </c>
      <c r="AS53" s="420">
        <v>3531</v>
      </c>
      <c r="AT53" s="420"/>
      <c r="AU53" s="420"/>
      <c r="AV53" s="420"/>
      <c r="AW53" s="420"/>
      <c r="AX53" s="420"/>
      <c r="AY53" s="420"/>
    </row>
    <row r="54" spans="1:52" ht="22.5" x14ac:dyDescent="0.2">
      <c r="A54" s="340">
        <v>334</v>
      </c>
      <c r="B54" s="340">
        <f t="shared" si="1"/>
        <v>14</v>
      </c>
      <c r="C54" s="340" t="s">
        <v>1940</v>
      </c>
      <c r="D54" s="357" t="s">
        <v>2219</v>
      </c>
      <c r="E54" s="340" t="s">
        <v>932</v>
      </c>
      <c r="F54" s="340" t="s">
        <v>675</v>
      </c>
      <c r="G54" s="357">
        <v>1997</v>
      </c>
      <c r="H54" s="340" t="s">
        <v>559</v>
      </c>
      <c r="I54" s="340">
        <v>13623602</v>
      </c>
      <c r="J54" s="420">
        <v>12847501</v>
      </c>
      <c r="K54" s="340" t="s">
        <v>933</v>
      </c>
      <c r="L54" s="420" t="s">
        <v>153</v>
      </c>
      <c r="M54" s="340" t="s">
        <v>154</v>
      </c>
      <c r="N54" s="340" t="s">
        <v>163</v>
      </c>
      <c r="O54" s="340" t="s">
        <v>577</v>
      </c>
      <c r="P54" s="357" t="s">
        <v>2617</v>
      </c>
      <c r="Q54" s="340">
        <v>334</v>
      </c>
      <c r="R54" s="340">
        <v>251.8</v>
      </c>
      <c r="S54" s="340">
        <v>14</v>
      </c>
      <c r="T54" s="340" t="s">
        <v>1041</v>
      </c>
      <c r="U54" s="340">
        <v>228.5</v>
      </c>
      <c r="V54" s="340">
        <v>49.2</v>
      </c>
      <c r="W54" s="340" t="s">
        <v>686</v>
      </c>
      <c r="X54" s="340">
        <v>12.01</v>
      </c>
      <c r="Y54" s="393">
        <v>13.018000000000001</v>
      </c>
      <c r="Z54" s="340">
        <v>8.58</v>
      </c>
      <c r="AA54" s="393">
        <v>8.5030000000000001</v>
      </c>
      <c r="AB54" s="357">
        <v>3.99</v>
      </c>
      <c r="AC54" s="357" t="s">
        <v>157</v>
      </c>
      <c r="AD54" s="357">
        <v>683</v>
      </c>
      <c r="AE54" s="340" t="s">
        <v>159</v>
      </c>
      <c r="AF54" s="340">
        <v>2.5000000000000001E-2</v>
      </c>
      <c r="AG54" s="340">
        <v>9.0000000000000011E-3</v>
      </c>
      <c r="AH54" s="357" t="s">
        <v>159</v>
      </c>
      <c r="AI54" s="420" t="s">
        <v>2422</v>
      </c>
      <c r="AJ54" s="340">
        <v>8.8999999999999996E-2</v>
      </c>
      <c r="AK54" s="357">
        <v>0.25</v>
      </c>
      <c r="AL54" s="340">
        <v>54</v>
      </c>
      <c r="AM54" s="420">
        <v>2404</v>
      </c>
      <c r="AN54" s="420">
        <v>3265</v>
      </c>
      <c r="AO54" s="420">
        <v>1486</v>
      </c>
      <c r="AP54" s="420"/>
      <c r="AQ54" s="420">
        <v>373.4</v>
      </c>
      <c r="AR54" s="420">
        <v>818</v>
      </c>
      <c r="AS54" s="420">
        <v>3023</v>
      </c>
      <c r="AT54" s="420"/>
      <c r="AU54" s="420"/>
      <c r="AV54" s="420"/>
      <c r="AW54" s="420"/>
      <c r="AX54" s="420"/>
      <c r="AY54" s="420"/>
      <c r="AZ54" s="257" t="e">
        <f>#REF!/#REF!</f>
        <v>#REF!</v>
      </c>
    </row>
    <row r="55" spans="1:52" ht="22.5" x14ac:dyDescent="0.2">
      <c r="A55" s="357">
        <v>258</v>
      </c>
      <c r="B55" s="340">
        <f t="shared" si="1"/>
        <v>18</v>
      </c>
      <c r="C55" s="340" t="s">
        <v>341</v>
      </c>
      <c r="D55" s="357" t="s">
        <v>766</v>
      </c>
      <c r="E55" s="357" t="s">
        <v>598</v>
      </c>
      <c r="F55" s="340"/>
      <c r="G55" s="357">
        <v>1990</v>
      </c>
      <c r="H55" s="357" t="s">
        <v>152</v>
      </c>
      <c r="I55" s="357">
        <v>12610801</v>
      </c>
      <c r="J55" s="357">
        <v>12610701</v>
      </c>
      <c r="K55" s="357" t="s">
        <v>909</v>
      </c>
      <c r="L55" s="420"/>
      <c r="M55" s="357" t="s">
        <v>154</v>
      </c>
      <c r="N55" s="357" t="s">
        <v>155</v>
      </c>
      <c r="O55" s="357" t="s">
        <v>577</v>
      </c>
      <c r="P55" s="357"/>
      <c r="Q55" s="357">
        <v>258</v>
      </c>
      <c r="R55" s="357">
        <v>172</v>
      </c>
      <c r="S55" s="357">
        <v>18</v>
      </c>
      <c r="T55" s="357" t="s">
        <v>1242</v>
      </c>
      <c r="U55" s="357">
        <v>147.75</v>
      </c>
      <c r="V55" s="357">
        <v>39.549999999999997</v>
      </c>
      <c r="W55" s="357">
        <v>6</v>
      </c>
      <c r="X55" s="357">
        <v>6.46</v>
      </c>
      <c r="Y55" s="357"/>
      <c r="Z55" s="357">
        <v>4.05</v>
      </c>
      <c r="AA55" s="357"/>
      <c r="AB55" s="357"/>
      <c r="AC55" s="357"/>
      <c r="AD55" s="357"/>
      <c r="AE55" s="357" t="s">
        <v>576</v>
      </c>
      <c r="AF55" s="357">
        <v>3.5000000000000003E-2</v>
      </c>
      <c r="AG55" s="357">
        <v>9.0000000000000011E-3</v>
      </c>
      <c r="AH55" s="357"/>
      <c r="AI55" s="357"/>
      <c r="AJ55" s="357"/>
      <c r="AK55" s="420">
        <v>0.1</v>
      </c>
      <c r="AL55" s="357">
        <v>54</v>
      </c>
      <c r="AM55" s="420"/>
      <c r="AN55" s="420"/>
      <c r="AO55" s="420"/>
      <c r="AP55" s="420"/>
      <c r="AQ55" s="420"/>
      <c r="AR55" s="420"/>
      <c r="AS55" s="420"/>
      <c r="AT55" s="420"/>
      <c r="AU55" s="420"/>
      <c r="AV55" s="420"/>
      <c r="AW55" s="420"/>
      <c r="AX55" s="420"/>
      <c r="AY55" s="420"/>
    </row>
    <row r="56" spans="1:52" ht="22.5" x14ac:dyDescent="0.2">
      <c r="A56" s="357">
        <v>258</v>
      </c>
      <c r="B56" s="340">
        <f t="shared" si="1"/>
        <v>18</v>
      </c>
      <c r="C56" s="340" t="s">
        <v>341</v>
      </c>
      <c r="D56" s="357" t="s">
        <v>766</v>
      </c>
      <c r="E56" s="357" t="s">
        <v>910</v>
      </c>
      <c r="F56" s="420"/>
      <c r="G56" s="420"/>
      <c r="H56" s="357" t="s">
        <v>152</v>
      </c>
      <c r="I56" s="357">
        <v>12610801</v>
      </c>
      <c r="J56" s="357">
        <v>12610701</v>
      </c>
      <c r="K56" s="357" t="s">
        <v>909</v>
      </c>
      <c r="L56" s="420"/>
      <c r="M56" s="357" t="s">
        <v>154</v>
      </c>
      <c r="N56" s="357" t="s">
        <v>155</v>
      </c>
      <c r="O56" s="357" t="s">
        <v>577</v>
      </c>
      <c r="P56" s="420"/>
      <c r="Q56" s="357">
        <v>258</v>
      </c>
      <c r="R56" s="420">
        <v>172</v>
      </c>
      <c r="S56" s="357">
        <v>18</v>
      </c>
      <c r="T56" s="357" t="s">
        <v>1242</v>
      </c>
      <c r="U56" s="357">
        <v>147.75</v>
      </c>
      <c r="V56" s="357">
        <v>39.549999999999997</v>
      </c>
      <c r="W56" s="357">
        <v>6</v>
      </c>
      <c r="X56" s="357">
        <v>6.46</v>
      </c>
      <c r="Y56" s="357"/>
      <c r="Z56" s="357">
        <v>4.05</v>
      </c>
      <c r="AA56" s="357"/>
      <c r="AB56" s="420"/>
      <c r="AC56" s="420"/>
      <c r="AD56" s="420"/>
      <c r="AE56" s="357" t="s">
        <v>576</v>
      </c>
      <c r="AF56" s="357">
        <v>3.5000000000000003E-2</v>
      </c>
      <c r="AG56" s="357">
        <v>9.0000000000000011E-3</v>
      </c>
      <c r="AH56" s="357"/>
      <c r="AI56" s="420"/>
      <c r="AJ56" s="420"/>
      <c r="AK56" s="420">
        <v>0.1</v>
      </c>
      <c r="AL56" s="420">
        <v>54</v>
      </c>
      <c r="AM56" s="420"/>
      <c r="AN56" s="420"/>
      <c r="AO56" s="420"/>
      <c r="AP56" s="420"/>
      <c r="AQ56" s="420"/>
      <c r="AR56" s="420"/>
      <c r="AS56" s="420"/>
      <c r="AT56" s="420"/>
      <c r="AU56" s="420"/>
      <c r="AV56" s="420"/>
      <c r="AW56" s="420"/>
      <c r="AX56" s="420"/>
      <c r="AY56" s="420"/>
    </row>
    <row r="57" spans="1:52" ht="33.75" x14ac:dyDescent="0.2">
      <c r="A57" s="357">
        <v>288</v>
      </c>
      <c r="B57" s="340">
        <f t="shared" si="1"/>
        <v>20</v>
      </c>
      <c r="C57" s="340" t="s">
        <v>341</v>
      </c>
      <c r="D57" s="357" t="s">
        <v>766</v>
      </c>
      <c r="E57" s="357" t="s">
        <v>1024</v>
      </c>
      <c r="F57" s="393" t="s">
        <v>166</v>
      </c>
      <c r="G57" s="357">
        <v>1999</v>
      </c>
      <c r="H57" s="357" t="s">
        <v>1617</v>
      </c>
      <c r="I57" s="357">
        <v>14016102</v>
      </c>
      <c r="J57" s="341">
        <v>14041001</v>
      </c>
      <c r="K57" s="341" t="s">
        <v>1025</v>
      </c>
      <c r="L57" s="420" t="s">
        <v>1617</v>
      </c>
      <c r="M57" s="357" t="s">
        <v>1026</v>
      </c>
      <c r="N57" s="357" t="s">
        <v>2084</v>
      </c>
      <c r="O57" s="357">
        <v>13590002</v>
      </c>
      <c r="P57" s="357" t="s">
        <v>2617</v>
      </c>
      <c r="Q57" s="357">
        <v>288</v>
      </c>
      <c r="R57" s="357">
        <v>190</v>
      </c>
      <c r="S57" s="357">
        <v>20</v>
      </c>
      <c r="T57" s="357" t="s">
        <v>1242</v>
      </c>
      <c r="U57" s="357" t="s">
        <v>157</v>
      </c>
      <c r="V57" s="357">
        <v>24.4</v>
      </c>
      <c r="W57" s="357">
        <v>7</v>
      </c>
      <c r="X57" s="357">
        <v>7.24</v>
      </c>
      <c r="Y57" s="357"/>
      <c r="Z57" s="357">
        <v>5.2389999999999999</v>
      </c>
      <c r="AA57" s="357"/>
      <c r="AB57" s="341">
        <v>4</v>
      </c>
      <c r="AC57" s="341">
        <v>803.4</v>
      </c>
      <c r="AD57" s="357">
        <v>635.9</v>
      </c>
      <c r="AE57" s="357" t="s">
        <v>576</v>
      </c>
      <c r="AF57" s="357">
        <v>2.5000000000000001E-2</v>
      </c>
      <c r="AG57" s="357">
        <v>5.0000000000000001E-3</v>
      </c>
      <c r="AH57" s="357" t="s">
        <v>157</v>
      </c>
      <c r="AI57" s="340" t="s">
        <v>686</v>
      </c>
      <c r="AJ57" s="340" t="s">
        <v>686</v>
      </c>
      <c r="AK57" s="420">
        <v>0.05</v>
      </c>
      <c r="AL57" s="357">
        <v>36</v>
      </c>
      <c r="AM57" s="420">
        <v>1728</v>
      </c>
      <c r="AN57" s="420">
        <v>2147</v>
      </c>
      <c r="AO57" s="420">
        <v>1011</v>
      </c>
      <c r="AP57" s="420">
        <v>238</v>
      </c>
      <c r="AQ57" s="420">
        <v>322</v>
      </c>
      <c r="AR57" s="420">
        <v>658</v>
      </c>
      <c r="AS57" s="420">
        <v>3034</v>
      </c>
      <c r="AT57" s="420">
        <v>0.28000000000000003</v>
      </c>
      <c r="AU57" s="420"/>
      <c r="AV57" s="420"/>
      <c r="AW57" s="420"/>
      <c r="AX57" s="420"/>
      <c r="AY57" s="420"/>
    </row>
    <row r="58" spans="1:52" ht="22.5" x14ac:dyDescent="0.2">
      <c r="A58" s="357">
        <v>288</v>
      </c>
      <c r="B58" s="340">
        <f t="shared" si="1"/>
        <v>20</v>
      </c>
      <c r="C58" s="340" t="s">
        <v>341</v>
      </c>
      <c r="D58" s="357" t="s">
        <v>766</v>
      </c>
      <c r="E58" s="357" t="s">
        <v>907</v>
      </c>
      <c r="F58" s="340" t="s">
        <v>166</v>
      </c>
      <c r="G58" s="357">
        <v>2004</v>
      </c>
      <c r="H58" s="357" t="s">
        <v>1617</v>
      </c>
      <c r="I58" s="357">
        <v>13400903</v>
      </c>
      <c r="J58" s="357">
        <v>14348001</v>
      </c>
      <c r="K58" s="357" t="s">
        <v>908</v>
      </c>
      <c r="L58" s="420" t="s">
        <v>1617</v>
      </c>
      <c r="M58" s="357" t="s">
        <v>154</v>
      </c>
      <c r="N58" s="357" t="s">
        <v>155</v>
      </c>
      <c r="O58" s="357" t="s">
        <v>577</v>
      </c>
      <c r="P58" s="357" t="s">
        <v>2617</v>
      </c>
      <c r="Q58" s="357">
        <v>288</v>
      </c>
      <c r="R58" s="357">
        <v>190</v>
      </c>
      <c r="S58" s="357">
        <v>20</v>
      </c>
      <c r="T58" s="357" t="s">
        <v>1242</v>
      </c>
      <c r="U58" s="357" t="s">
        <v>157</v>
      </c>
      <c r="V58" s="357">
        <v>24.5</v>
      </c>
      <c r="W58" s="357">
        <v>7</v>
      </c>
      <c r="X58" s="357">
        <v>7.4</v>
      </c>
      <c r="Y58" s="357"/>
      <c r="Z58" s="357">
        <v>5.18</v>
      </c>
      <c r="AA58" s="357"/>
      <c r="AB58" s="357">
        <v>4.04</v>
      </c>
      <c r="AC58" s="357">
        <v>705.2</v>
      </c>
      <c r="AD58" s="357">
        <v>635.9</v>
      </c>
      <c r="AE58" s="357" t="s">
        <v>576</v>
      </c>
      <c r="AF58" s="357">
        <v>2.5000000000000001E-2</v>
      </c>
      <c r="AG58" s="357">
        <v>0.06</v>
      </c>
      <c r="AH58" s="357" t="s">
        <v>157</v>
      </c>
      <c r="AI58" s="340" t="s">
        <v>686</v>
      </c>
      <c r="AJ58" s="340" t="s">
        <v>686</v>
      </c>
      <c r="AK58" s="420">
        <v>0.05</v>
      </c>
      <c r="AL58" s="357">
        <v>36</v>
      </c>
      <c r="AM58" s="420">
        <v>1728</v>
      </c>
      <c r="AN58" s="420">
        <v>2147</v>
      </c>
      <c r="AO58" s="420">
        <v>1011</v>
      </c>
      <c r="AP58" s="420">
        <v>238</v>
      </c>
      <c r="AQ58" s="420">
        <v>322</v>
      </c>
      <c r="AR58" s="420">
        <v>658</v>
      </c>
      <c r="AS58" s="420">
        <v>3034</v>
      </c>
      <c r="AT58" s="420">
        <v>0.28000000000000003</v>
      </c>
      <c r="AU58" s="420"/>
      <c r="AV58" s="420"/>
      <c r="AW58" s="420"/>
      <c r="AX58" s="420"/>
      <c r="AY58" s="420"/>
    </row>
    <row r="59" spans="1:52" ht="56.25" x14ac:dyDescent="0.2">
      <c r="A59" s="357">
        <v>327.7</v>
      </c>
      <c r="B59" s="340">
        <f t="shared" si="1"/>
        <v>38</v>
      </c>
      <c r="C59" s="340" t="s">
        <v>341</v>
      </c>
      <c r="D59" s="357" t="s">
        <v>679</v>
      </c>
      <c r="E59" s="357" t="s">
        <v>1037</v>
      </c>
      <c r="F59" s="340" t="s">
        <v>675</v>
      </c>
      <c r="G59" s="357">
        <v>1996</v>
      </c>
      <c r="H59" s="357" t="s">
        <v>152</v>
      </c>
      <c r="I59" s="357">
        <v>12997802</v>
      </c>
      <c r="J59" s="357">
        <v>12997701</v>
      </c>
      <c r="K59" s="357" t="s">
        <v>3174</v>
      </c>
      <c r="L59" s="420" t="s">
        <v>153</v>
      </c>
      <c r="M59" s="357" t="s">
        <v>154</v>
      </c>
      <c r="N59" s="357" t="s">
        <v>2082</v>
      </c>
      <c r="O59" s="357" t="s">
        <v>577</v>
      </c>
      <c r="P59" s="357" t="s">
        <v>684</v>
      </c>
      <c r="Q59" s="357">
        <v>327.7</v>
      </c>
      <c r="R59" s="357">
        <v>199.4</v>
      </c>
      <c r="S59" s="357">
        <v>38</v>
      </c>
      <c r="T59" s="357" t="s">
        <v>2080</v>
      </c>
      <c r="U59" s="357" t="s">
        <v>1029</v>
      </c>
      <c r="V59" s="357">
        <v>123.7</v>
      </c>
      <c r="W59" s="357">
        <v>16.600000000000001</v>
      </c>
      <c r="X59" s="341">
        <v>18.190000000000001</v>
      </c>
      <c r="Y59" s="341">
        <v>18.484999999999999</v>
      </c>
      <c r="Z59" s="357">
        <v>14.46</v>
      </c>
      <c r="AA59" s="341">
        <v>14.5</v>
      </c>
      <c r="AB59" s="357">
        <v>9.6199999999999992</v>
      </c>
      <c r="AC59" s="357">
        <v>1912</v>
      </c>
      <c r="AD59" s="357">
        <v>996</v>
      </c>
      <c r="AE59" s="357" t="s">
        <v>159</v>
      </c>
      <c r="AF59" s="357">
        <v>0.08</v>
      </c>
      <c r="AG59" s="357">
        <v>1.3000000000000001E-2</v>
      </c>
      <c r="AH59" s="357" t="s">
        <v>1029</v>
      </c>
      <c r="AI59" s="357" t="s">
        <v>686</v>
      </c>
      <c r="AJ59" s="357" t="s">
        <v>686</v>
      </c>
      <c r="AK59" s="357">
        <v>0.13</v>
      </c>
      <c r="AL59" s="357">
        <v>286</v>
      </c>
      <c r="AM59" s="420" t="s">
        <v>157</v>
      </c>
      <c r="AN59" s="420">
        <v>6372</v>
      </c>
      <c r="AO59" s="420">
        <v>2086</v>
      </c>
      <c r="AP59" s="420">
        <v>155</v>
      </c>
      <c r="AQ59" s="420">
        <v>366</v>
      </c>
      <c r="AR59" s="420">
        <v>1209</v>
      </c>
      <c r="AS59" s="420">
        <v>4470</v>
      </c>
      <c r="AT59" s="420"/>
      <c r="AU59" s="420"/>
      <c r="AV59" s="420">
        <v>619.01</v>
      </c>
      <c r="AW59" s="420"/>
      <c r="AX59" s="420">
        <v>665</v>
      </c>
      <c r="AY59" s="420" t="s">
        <v>690</v>
      </c>
    </row>
    <row r="60" spans="1:52" ht="33.75" x14ac:dyDescent="0.2">
      <c r="A60" s="340">
        <v>344.9</v>
      </c>
      <c r="B60" s="340">
        <f t="shared" si="1"/>
        <v>36.6</v>
      </c>
      <c r="C60" s="340" t="s">
        <v>341</v>
      </c>
      <c r="D60" s="357" t="s">
        <v>648</v>
      </c>
      <c r="E60" s="340" t="s">
        <v>1926</v>
      </c>
      <c r="F60" s="340" t="s">
        <v>21</v>
      </c>
      <c r="G60" s="340">
        <v>1997</v>
      </c>
      <c r="H60" s="340" t="s">
        <v>681</v>
      </c>
      <c r="I60" s="340">
        <v>13027601</v>
      </c>
      <c r="J60" s="420">
        <v>13027501</v>
      </c>
      <c r="K60" s="340">
        <v>15735272</v>
      </c>
      <c r="L60" s="420" t="s">
        <v>153</v>
      </c>
      <c r="M60" s="340" t="s">
        <v>154</v>
      </c>
      <c r="N60" s="357" t="s">
        <v>2084</v>
      </c>
      <c r="O60" s="340" t="s">
        <v>577</v>
      </c>
      <c r="P60" s="424" t="s">
        <v>651</v>
      </c>
      <c r="Q60" s="340">
        <v>344.9</v>
      </c>
      <c r="R60" s="340">
        <v>215.6</v>
      </c>
      <c r="S60" s="340">
        <v>36.6</v>
      </c>
      <c r="T60" s="340" t="s">
        <v>1927</v>
      </c>
      <c r="U60" s="340" t="s">
        <v>157</v>
      </c>
      <c r="V60" s="340">
        <v>111.2</v>
      </c>
      <c r="W60" s="340">
        <v>12.7</v>
      </c>
      <c r="X60" s="340">
        <v>19.829999999999998</v>
      </c>
      <c r="Y60" s="340"/>
      <c r="Z60" s="340">
        <v>15.97</v>
      </c>
      <c r="AA60" s="340"/>
      <c r="AB60" s="357">
        <v>11.1</v>
      </c>
      <c r="AC60" s="357">
        <v>1433.1</v>
      </c>
      <c r="AD60" s="357">
        <v>1071.8</v>
      </c>
      <c r="AE60" s="340" t="s">
        <v>576</v>
      </c>
      <c r="AF60" s="340">
        <v>0.08</v>
      </c>
      <c r="AG60" s="340">
        <v>2.5000000000000001E-2</v>
      </c>
      <c r="AH60" s="430" t="s">
        <v>686</v>
      </c>
      <c r="AI60" s="430" t="s">
        <v>686</v>
      </c>
      <c r="AJ60" s="430" t="s">
        <v>686</v>
      </c>
      <c r="AK60" s="439">
        <v>0.13</v>
      </c>
      <c r="AL60" s="340">
        <v>432</v>
      </c>
      <c r="AM60" s="420"/>
      <c r="AN60" s="420">
        <v>7500</v>
      </c>
      <c r="AO60" s="420">
        <v>2499</v>
      </c>
      <c r="AP60" s="420">
        <v>130</v>
      </c>
      <c r="AQ60" s="420"/>
      <c r="AR60" s="420"/>
      <c r="AS60" s="420"/>
      <c r="AT60" s="420"/>
      <c r="AU60" s="420"/>
      <c r="AV60" s="420"/>
      <c r="AW60" s="420"/>
      <c r="AX60" s="420"/>
      <c r="AY60" s="420"/>
    </row>
    <row r="61" spans="1:52" ht="33.75" x14ac:dyDescent="0.2">
      <c r="A61" s="357">
        <v>316</v>
      </c>
      <c r="B61" s="340">
        <f t="shared" si="1"/>
        <v>20</v>
      </c>
      <c r="C61" s="340" t="s">
        <v>341</v>
      </c>
      <c r="D61" s="357" t="s">
        <v>766</v>
      </c>
      <c r="E61" s="357" t="s">
        <v>1027</v>
      </c>
      <c r="F61" s="393" t="s">
        <v>166</v>
      </c>
      <c r="G61" s="357">
        <v>2003</v>
      </c>
      <c r="H61" s="357" t="s">
        <v>1617</v>
      </c>
      <c r="I61" s="357">
        <v>13750803</v>
      </c>
      <c r="J61" s="357">
        <v>13750701</v>
      </c>
      <c r="K61" s="357" t="s">
        <v>1028</v>
      </c>
      <c r="L61" s="420" t="s">
        <v>1617</v>
      </c>
      <c r="M61" s="357" t="s">
        <v>154</v>
      </c>
      <c r="N61" s="357" t="s">
        <v>2082</v>
      </c>
      <c r="O61" s="357" t="s">
        <v>1752</v>
      </c>
      <c r="P61" s="357" t="s">
        <v>2617</v>
      </c>
      <c r="Q61" s="357">
        <v>316</v>
      </c>
      <c r="R61" s="357">
        <v>218</v>
      </c>
      <c r="S61" s="357">
        <v>20</v>
      </c>
      <c r="T61" s="357" t="s">
        <v>581</v>
      </c>
      <c r="U61" s="357" t="s">
        <v>1029</v>
      </c>
      <c r="V61" s="357">
        <v>29.65</v>
      </c>
      <c r="W61" s="357">
        <v>8</v>
      </c>
      <c r="X61" s="357">
        <v>9.08</v>
      </c>
      <c r="Y61" s="357"/>
      <c r="Z61" s="357">
        <v>6.4</v>
      </c>
      <c r="AA61" s="357"/>
      <c r="AB61" s="357">
        <v>4.3600000000000003</v>
      </c>
      <c r="AC61" s="357">
        <v>845.43</v>
      </c>
      <c r="AD61" s="357">
        <v>754.92</v>
      </c>
      <c r="AE61" s="357" t="s">
        <v>159</v>
      </c>
      <c r="AF61" s="357">
        <v>2.5000000000000001E-2</v>
      </c>
      <c r="AG61" s="357">
        <v>8.9999999999999993E-3</v>
      </c>
      <c r="AH61" s="357" t="s">
        <v>157</v>
      </c>
      <c r="AI61" s="340" t="s">
        <v>686</v>
      </c>
      <c r="AJ61" s="340" t="s">
        <v>686</v>
      </c>
      <c r="AK61" s="420">
        <v>0.05</v>
      </c>
      <c r="AL61" s="357">
        <v>36</v>
      </c>
      <c r="AM61" s="420">
        <v>1890</v>
      </c>
      <c r="AN61" s="420">
        <v>2680</v>
      </c>
      <c r="AO61" s="420">
        <v>1215</v>
      </c>
      <c r="AP61" s="420">
        <v>181</v>
      </c>
      <c r="AQ61" s="420">
        <v>329</v>
      </c>
      <c r="AR61" s="420">
        <v>665.4</v>
      </c>
      <c r="AS61" s="420">
        <v>3066</v>
      </c>
      <c r="AT61" s="420">
        <v>0.32</v>
      </c>
      <c r="AU61" s="420"/>
      <c r="AV61" s="420">
        <v>217.79</v>
      </c>
      <c r="AW61" s="420"/>
      <c r="AX61" s="420">
        <v>363</v>
      </c>
      <c r="AY61" s="420" t="s">
        <v>674</v>
      </c>
    </row>
    <row r="62" spans="1:52" ht="22.5" x14ac:dyDescent="0.2">
      <c r="A62" s="357">
        <v>296</v>
      </c>
      <c r="B62" s="340">
        <f t="shared" si="1"/>
        <v>18</v>
      </c>
      <c r="C62" s="340" t="s">
        <v>341</v>
      </c>
      <c r="D62" s="357" t="s">
        <v>766</v>
      </c>
      <c r="E62" s="357" t="s">
        <v>1936</v>
      </c>
      <c r="F62" s="340" t="s">
        <v>151</v>
      </c>
      <c r="G62" s="357">
        <v>1996</v>
      </c>
      <c r="H62" s="357" t="s">
        <v>1617</v>
      </c>
      <c r="I62" s="357" t="s">
        <v>3168</v>
      </c>
      <c r="J62" s="357" t="s">
        <v>1937</v>
      </c>
      <c r="K62" s="357" t="s">
        <v>1938</v>
      </c>
      <c r="L62" s="420" t="s">
        <v>1617</v>
      </c>
      <c r="M62" s="357" t="s">
        <v>154</v>
      </c>
      <c r="N62" s="357" t="s">
        <v>155</v>
      </c>
      <c r="O62" s="357">
        <v>13028001</v>
      </c>
      <c r="P62" s="357" t="s">
        <v>2617</v>
      </c>
      <c r="Q62" s="357">
        <v>296</v>
      </c>
      <c r="R62" s="357">
        <v>219</v>
      </c>
      <c r="S62" s="357">
        <v>18</v>
      </c>
      <c r="T62" s="357" t="s">
        <v>581</v>
      </c>
      <c r="U62" s="357" t="s">
        <v>157</v>
      </c>
      <c r="V62" s="357">
        <v>45.1</v>
      </c>
      <c r="W62" s="357">
        <v>6</v>
      </c>
      <c r="X62" s="357">
        <v>7.93</v>
      </c>
      <c r="Y62" s="357"/>
      <c r="Z62" s="357">
        <v>5.4240000000000004</v>
      </c>
      <c r="AA62" s="357"/>
      <c r="AB62" s="357">
        <v>2.97</v>
      </c>
      <c r="AC62" s="357">
        <v>698</v>
      </c>
      <c r="AD62" s="357">
        <v>302</v>
      </c>
      <c r="AE62" s="357" t="s">
        <v>576</v>
      </c>
      <c r="AF62" s="357">
        <v>0.05</v>
      </c>
      <c r="AG62" s="357">
        <v>8.0000000000000002E-3</v>
      </c>
      <c r="AH62" s="357" t="s">
        <v>157</v>
      </c>
      <c r="AI62" s="340" t="s">
        <v>686</v>
      </c>
      <c r="AJ62" s="340" t="s">
        <v>686</v>
      </c>
      <c r="AK62" s="420">
        <v>0.1</v>
      </c>
      <c r="AL62" s="357">
        <v>54</v>
      </c>
      <c r="AM62" s="420"/>
      <c r="AN62" s="420"/>
      <c r="AO62" s="420"/>
      <c r="AP62" s="420"/>
      <c r="AQ62" s="420"/>
      <c r="AR62" s="420"/>
      <c r="AS62" s="420"/>
      <c r="AT62" s="420"/>
      <c r="AU62" s="420"/>
      <c r="AV62" s="420"/>
      <c r="AW62" s="420"/>
      <c r="AX62" s="420"/>
      <c r="AY62" s="420"/>
    </row>
    <row r="63" spans="1:52" ht="56.25" x14ac:dyDescent="0.2">
      <c r="A63" s="357">
        <v>305</v>
      </c>
      <c r="B63" s="340">
        <f t="shared" si="1"/>
        <v>26</v>
      </c>
      <c r="C63" s="340" t="s">
        <v>341</v>
      </c>
      <c r="D63" s="357" t="s">
        <v>638</v>
      </c>
      <c r="E63" s="357" t="s">
        <v>2066</v>
      </c>
      <c r="F63" s="340" t="s">
        <v>151</v>
      </c>
      <c r="G63" s="357">
        <v>1997</v>
      </c>
      <c r="H63" s="357" t="s">
        <v>1617</v>
      </c>
      <c r="I63" s="357" t="s">
        <v>934</v>
      </c>
      <c r="J63" s="357" t="s">
        <v>935</v>
      </c>
      <c r="K63" s="357" t="s">
        <v>936</v>
      </c>
      <c r="L63" s="420" t="s">
        <v>1617</v>
      </c>
      <c r="M63" s="357" t="s">
        <v>154</v>
      </c>
      <c r="N63" s="357" t="s">
        <v>155</v>
      </c>
      <c r="O63" s="357" t="s">
        <v>577</v>
      </c>
      <c r="P63" s="357" t="s">
        <v>578</v>
      </c>
      <c r="Q63" s="357">
        <v>305</v>
      </c>
      <c r="R63" s="357">
        <v>229</v>
      </c>
      <c r="S63" s="357">
        <v>26</v>
      </c>
      <c r="T63" s="357" t="s">
        <v>2049</v>
      </c>
      <c r="U63" s="357">
        <v>190.15</v>
      </c>
      <c r="V63" s="357">
        <v>42.2</v>
      </c>
      <c r="W63" s="357">
        <v>13.25</v>
      </c>
      <c r="X63" s="357">
        <v>9.1999999999999993</v>
      </c>
      <c r="Y63" s="357"/>
      <c r="Z63" s="357">
        <v>6.48</v>
      </c>
      <c r="AA63" s="357"/>
      <c r="AB63" s="357">
        <v>4.4000000000000004</v>
      </c>
      <c r="AC63" s="357">
        <v>974</v>
      </c>
      <c r="AD63" s="357">
        <v>820</v>
      </c>
      <c r="AE63" s="357" t="s">
        <v>576</v>
      </c>
      <c r="AF63" s="357">
        <v>3.5000000000000003E-2</v>
      </c>
      <c r="AG63" s="357">
        <v>9.0000000000000011E-3</v>
      </c>
      <c r="AH63" s="357" t="s">
        <v>159</v>
      </c>
      <c r="AI63" s="420" t="s">
        <v>937</v>
      </c>
      <c r="AJ63" s="357">
        <v>0.09</v>
      </c>
      <c r="AK63" s="420">
        <v>0.08</v>
      </c>
      <c r="AL63" s="357">
        <v>36</v>
      </c>
      <c r="AM63" s="420">
        <v>1464.6</v>
      </c>
      <c r="AN63" s="420">
        <v>1702</v>
      </c>
      <c r="AO63" s="420">
        <v>872.3</v>
      </c>
      <c r="AP63" s="420">
        <v>275</v>
      </c>
      <c r="AQ63" s="420">
        <v>338</v>
      </c>
      <c r="AR63" s="420">
        <v>483</v>
      </c>
      <c r="AS63" s="420">
        <v>2654.3</v>
      </c>
      <c r="AT63" s="420">
        <v>0.36699999999999999</v>
      </c>
      <c r="AU63" s="420"/>
      <c r="AV63" s="420"/>
      <c r="AW63" s="420"/>
      <c r="AX63" s="420"/>
      <c r="AY63" s="420"/>
    </row>
    <row r="64" spans="1:52" ht="22.5" x14ac:dyDescent="0.2">
      <c r="A64" s="340">
        <v>313.5</v>
      </c>
      <c r="B64" s="340">
        <f t="shared" si="1"/>
        <v>20</v>
      </c>
      <c r="C64" s="340" t="s">
        <v>341</v>
      </c>
      <c r="D64" s="357" t="s">
        <v>164</v>
      </c>
      <c r="E64" s="340" t="s">
        <v>757</v>
      </c>
      <c r="F64" s="340"/>
      <c r="G64" s="340">
        <v>1997</v>
      </c>
      <c r="H64" s="357" t="s">
        <v>559</v>
      </c>
      <c r="I64" s="340">
        <v>13073702</v>
      </c>
      <c r="J64" s="340">
        <v>13073601</v>
      </c>
      <c r="K64" s="340">
        <v>4815750</v>
      </c>
      <c r="L64" s="420"/>
      <c r="M64" s="340" t="s">
        <v>2419</v>
      </c>
      <c r="N64" s="357" t="s">
        <v>155</v>
      </c>
      <c r="O64" s="340" t="s">
        <v>156</v>
      </c>
      <c r="P64" s="440" t="s">
        <v>2265</v>
      </c>
      <c r="Q64" s="340">
        <v>313.5</v>
      </c>
      <c r="R64" s="340">
        <v>229.2</v>
      </c>
      <c r="S64" s="340">
        <v>20</v>
      </c>
      <c r="T64" s="340" t="s">
        <v>581</v>
      </c>
      <c r="U64" s="340">
        <v>195</v>
      </c>
      <c r="V64" s="340">
        <v>40</v>
      </c>
      <c r="W64" s="340">
        <v>6</v>
      </c>
      <c r="X64" s="340">
        <v>3.81</v>
      </c>
      <c r="Y64" s="340"/>
      <c r="Z64" s="340">
        <v>2.72</v>
      </c>
      <c r="AA64" s="340"/>
      <c r="AB64" s="340">
        <v>1.8</v>
      </c>
      <c r="AC64" s="340">
        <v>1833.3</v>
      </c>
      <c r="AD64" s="340">
        <v>570.9</v>
      </c>
      <c r="AE64" s="340" t="s">
        <v>159</v>
      </c>
      <c r="AF64" s="340">
        <v>0.05</v>
      </c>
      <c r="AG64" s="340">
        <v>0.01</v>
      </c>
      <c r="AH64" s="340" t="s">
        <v>159</v>
      </c>
      <c r="AI64" s="420" t="s">
        <v>2416</v>
      </c>
      <c r="AJ64" s="340">
        <v>8.8999999999999996E-2</v>
      </c>
      <c r="AK64" s="420">
        <v>0.13</v>
      </c>
      <c r="AL64" s="340">
        <v>54</v>
      </c>
      <c r="AM64" s="420">
        <v>1270</v>
      </c>
      <c r="AN64" s="420">
        <v>1451</v>
      </c>
      <c r="AO64" s="420">
        <v>711</v>
      </c>
      <c r="AP64" s="420">
        <v>193</v>
      </c>
      <c r="AQ64" s="420">
        <v>358.6</v>
      </c>
      <c r="AR64" s="420">
        <v>457.2</v>
      </c>
      <c r="AS64" s="420">
        <v>2872</v>
      </c>
      <c r="AT64" s="420">
        <v>0.215</v>
      </c>
      <c r="AU64" s="420"/>
      <c r="AV64" s="420"/>
      <c r="AW64" s="420"/>
      <c r="AX64" s="420"/>
      <c r="AY64" s="420"/>
    </row>
    <row r="65" spans="1:51" ht="22.5" x14ac:dyDescent="0.2">
      <c r="A65" s="340">
        <v>316.60000000000002</v>
      </c>
      <c r="B65" s="340">
        <f t="shared" si="1"/>
        <v>22</v>
      </c>
      <c r="C65" s="340" t="s">
        <v>341</v>
      </c>
      <c r="D65" s="357" t="s">
        <v>20</v>
      </c>
      <c r="E65" s="340" t="s">
        <v>2420</v>
      </c>
      <c r="F65" s="340" t="s">
        <v>21</v>
      </c>
      <c r="G65" s="340">
        <v>2003</v>
      </c>
      <c r="H65" s="340" t="s">
        <v>559</v>
      </c>
      <c r="I65" s="357">
        <v>14142003</v>
      </c>
      <c r="J65" s="357">
        <v>14141901</v>
      </c>
      <c r="K65" s="357" t="s">
        <v>2421</v>
      </c>
      <c r="L65" s="420" t="s">
        <v>153</v>
      </c>
      <c r="M65" s="357" t="s">
        <v>154</v>
      </c>
      <c r="N65" s="357" t="s">
        <v>155</v>
      </c>
      <c r="O65" s="340" t="s">
        <v>577</v>
      </c>
      <c r="P65" s="357" t="s">
        <v>684</v>
      </c>
      <c r="Q65" s="340">
        <v>316.60000000000002</v>
      </c>
      <c r="R65" s="357">
        <v>230</v>
      </c>
      <c r="S65" s="357">
        <v>22</v>
      </c>
      <c r="T65" s="357" t="s">
        <v>1749</v>
      </c>
      <c r="U65" s="357">
        <v>206.1</v>
      </c>
      <c r="V65" s="357">
        <v>63</v>
      </c>
      <c r="W65" s="357">
        <v>7</v>
      </c>
      <c r="X65" s="357">
        <v>11.964</v>
      </c>
      <c r="Y65" s="357"/>
      <c r="Z65" s="357">
        <v>8.6259999999999994</v>
      </c>
      <c r="AA65" s="357"/>
      <c r="AB65" s="357">
        <v>4.97</v>
      </c>
      <c r="AC65" s="357">
        <v>1033</v>
      </c>
      <c r="AD65" s="357">
        <v>688</v>
      </c>
      <c r="AE65" s="340" t="s">
        <v>159</v>
      </c>
      <c r="AF65" s="357">
        <v>0.03</v>
      </c>
      <c r="AG65" s="357">
        <v>0.01</v>
      </c>
      <c r="AH65" s="357" t="s">
        <v>159</v>
      </c>
      <c r="AI65" s="420" t="s">
        <v>2422</v>
      </c>
      <c r="AJ65" s="357">
        <v>0.08</v>
      </c>
      <c r="AK65" s="420">
        <v>0.13</v>
      </c>
      <c r="AL65" s="357">
        <v>54</v>
      </c>
      <c r="AM65" s="420">
        <v>2257</v>
      </c>
      <c r="AN65" s="420">
        <v>2994</v>
      </c>
      <c r="AO65" s="420">
        <v>1404</v>
      </c>
      <c r="AP65" s="420">
        <v>160</v>
      </c>
      <c r="AQ65" s="420">
        <v>327.66000000000003</v>
      </c>
      <c r="AR65" s="420">
        <v>810.26</v>
      </c>
      <c r="AS65" s="420">
        <v>2784</v>
      </c>
      <c r="AT65" s="420"/>
      <c r="AU65" s="420"/>
      <c r="AV65" s="420"/>
      <c r="AW65" s="420"/>
      <c r="AX65" s="420"/>
      <c r="AY65" s="420"/>
    </row>
    <row r="66" spans="1:51" ht="22.5" x14ac:dyDescent="0.2">
      <c r="A66" s="340">
        <v>316.60000000000002</v>
      </c>
      <c r="B66" s="340">
        <f t="shared" si="1"/>
        <v>22</v>
      </c>
      <c r="C66" s="340" t="s">
        <v>341</v>
      </c>
      <c r="D66" s="357" t="s">
        <v>20</v>
      </c>
      <c r="E66" s="357" t="s">
        <v>762</v>
      </c>
      <c r="F66" s="340" t="s">
        <v>21</v>
      </c>
      <c r="G66" s="357">
        <v>2003</v>
      </c>
      <c r="H66" s="340" t="s">
        <v>559</v>
      </c>
      <c r="I66" s="357">
        <v>13998203</v>
      </c>
      <c r="J66" s="357">
        <v>139981</v>
      </c>
      <c r="K66" s="357" t="s">
        <v>2423</v>
      </c>
      <c r="L66" s="420" t="s">
        <v>153</v>
      </c>
      <c r="M66" s="357" t="s">
        <v>1176</v>
      </c>
      <c r="N66" s="357" t="s">
        <v>155</v>
      </c>
      <c r="O66" s="340" t="s">
        <v>577</v>
      </c>
      <c r="P66" s="357" t="s">
        <v>684</v>
      </c>
      <c r="Q66" s="340">
        <v>316.60000000000002</v>
      </c>
      <c r="R66" s="357">
        <v>230</v>
      </c>
      <c r="S66" s="357">
        <v>22</v>
      </c>
      <c r="T66" s="357" t="s">
        <v>760</v>
      </c>
      <c r="U66" s="357">
        <v>206.1</v>
      </c>
      <c r="V66" s="357">
        <v>63</v>
      </c>
      <c r="W66" s="357">
        <v>7</v>
      </c>
      <c r="X66" s="357">
        <v>12.377000000000001</v>
      </c>
      <c r="Y66" s="357"/>
      <c r="Z66" s="357">
        <v>8.7579999999999991</v>
      </c>
      <c r="AA66" s="357"/>
      <c r="AB66" s="357">
        <v>4.6900000000000004</v>
      </c>
      <c r="AC66" s="357">
        <v>1123.03</v>
      </c>
      <c r="AD66" s="357">
        <v>688</v>
      </c>
      <c r="AE66" s="340" t="s">
        <v>159</v>
      </c>
      <c r="AF66" s="357">
        <v>2.5000000000000001E-2</v>
      </c>
      <c r="AG66" s="357">
        <v>0.01</v>
      </c>
      <c r="AH66" s="357" t="s">
        <v>159</v>
      </c>
      <c r="AI66" s="420" t="s">
        <v>2422</v>
      </c>
      <c r="AJ66" s="357">
        <v>0.08</v>
      </c>
      <c r="AK66" s="420">
        <v>0.1</v>
      </c>
      <c r="AL66" s="357">
        <v>54</v>
      </c>
      <c r="AM66" s="420">
        <v>2404</v>
      </c>
      <c r="AN66" s="420">
        <v>2904</v>
      </c>
      <c r="AO66" s="420">
        <v>1362</v>
      </c>
      <c r="AP66" s="420">
        <v>193.2</v>
      </c>
      <c r="AQ66" s="420">
        <v>360.6</v>
      </c>
      <c r="AR66" s="420">
        <v>635</v>
      </c>
      <c r="AS66" s="420">
        <v>2946</v>
      </c>
      <c r="AT66" s="420">
        <v>0.35</v>
      </c>
      <c r="AU66" s="420">
        <v>5.98</v>
      </c>
      <c r="AV66" s="420">
        <v>295.12</v>
      </c>
      <c r="AW66" s="420"/>
      <c r="AX66" s="420" t="s">
        <v>2424</v>
      </c>
      <c r="AY66" s="420" t="s">
        <v>765</v>
      </c>
    </row>
    <row r="67" spans="1:51" ht="33.75" x14ac:dyDescent="0.2">
      <c r="A67" s="340">
        <v>326</v>
      </c>
      <c r="B67" s="340">
        <f t="shared" si="1"/>
        <v>30</v>
      </c>
      <c r="C67" s="340" t="s">
        <v>341</v>
      </c>
      <c r="D67" s="357" t="s">
        <v>679</v>
      </c>
      <c r="E67" s="340" t="s">
        <v>1922</v>
      </c>
      <c r="F67" s="393" t="s">
        <v>1615</v>
      </c>
      <c r="G67" s="357">
        <v>1999</v>
      </c>
      <c r="H67" s="340" t="s">
        <v>681</v>
      </c>
      <c r="I67" s="340">
        <v>13077410</v>
      </c>
      <c r="J67" s="420">
        <v>13077301</v>
      </c>
      <c r="K67" s="340" t="s">
        <v>1923</v>
      </c>
      <c r="L67" s="420" t="s">
        <v>1924</v>
      </c>
      <c r="M67" s="340" t="s">
        <v>154</v>
      </c>
      <c r="N67" s="357" t="s">
        <v>2082</v>
      </c>
      <c r="O67" s="340" t="s">
        <v>577</v>
      </c>
      <c r="P67" s="340" t="s">
        <v>684</v>
      </c>
      <c r="Q67" s="340">
        <v>326</v>
      </c>
      <c r="R67" s="340">
        <v>230</v>
      </c>
      <c r="S67" s="340">
        <v>30</v>
      </c>
      <c r="T67" s="340" t="s">
        <v>1618</v>
      </c>
      <c r="U67" s="340">
        <v>206.1</v>
      </c>
      <c r="V67" s="340">
        <v>90.5</v>
      </c>
      <c r="W67" s="340">
        <v>12.6</v>
      </c>
      <c r="X67" s="340">
        <v>15.59</v>
      </c>
      <c r="Y67" s="340"/>
      <c r="Z67" s="340">
        <v>11.03</v>
      </c>
      <c r="AA67" s="340"/>
      <c r="AB67" s="357">
        <v>6.61</v>
      </c>
      <c r="AC67" s="357">
        <v>1138.5999999999999</v>
      </c>
      <c r="AD67" s="357">
        <v>767.8</v>
      </c>
      <c r="AE67" s="340" t="s">
        <v>159</v>
      </c>
      <c r="AF67" s="393">
        <v>2.5000000000000001E-2</v>
      </c>
      <c r="AG67" s="393">
        <v>8.9999999999999993E-3</v>
      </c>
      <c r="AH67" s="341" t="s">
        <v>2350</v>
      </c>
      <c r="AI67" s="341" t="s">
        <v>2976</v>
      </c>
      <c r="AJ67" s="340">
        <v>8.8999999999999996E-2</v>
      </c>
      <c r="AK67" s="342">
        <v>0.05</v>
      </c>
      <c r="AL67" s="340">
        <v>144</v>
      </c>
      <c r="AM67" s="420">
        <v>2661.7</v>
      </c>
      <c r="AN67" s="420">
        <v>4490.6000000000004</v>
      </c>
      <c r="AO67" s="420">
        <v>1995.8</v>
      </c>
      <c r="AP67" s="420">
        <v>154.5</v>
      </c>
      <c r="AQ67" s="420">
        <v>375.9</v>
      </c>
      <c r="AR67" s="420">
        <v>762</v>
      </c>
      <c r="AS67" s="420">
        <v>4379</v>
      </c>
      <c r="AT67" s="420">
        <v>0.39900000000000002</v>
      </c>
      <c r="AU67" s="420"/>
      <c r="AV67" s="420"/>
      <c r="AW67" s="420"/>
      <c r="AX67" s="420"/>
      <c r="AY67" s="420"/>
    </row>
    <row r="68" spans="1:51" ht="33.75" x14ac:dyDescent="0.2">
      <c r="A68" s="340">
        <v>326</v>
      </c>
      <c r="B68" s="340">
        <f t="shared" si="1"/>
        <v>30</v>
      </c>
      <c r="C68" s="340" t="s">
        <v>341</v>
      </c>
      <c r="D68" s="357" t="s">
        <v>679</v>
      </c>
      <c r="E68" s="340" t="s">
        <v>1925</v>
      </c>
      <c r="F68" s="340" t="s">
        <v>675</v>
      </c>
      <c r="G68" s="357">
        <v>1999</v>
      </c>
      <c r="H68" s="340" t="s">
        <v>152</v>
      </c>
      <c r="I68" s="340">
        <v>13999002</v>
      </c>
      <c r="J68" s="420">
        <v>13321801</v>
      </c>
      <c r="K68" s="340" t="s">
        <v>3178</v>
      </c>
      <c r="L68" s="420" t="s">
        <v>153</v>
      </c>
      <c r="M68" s="340" t="s">
        <v>154</v>
      </c>
      <c r="N68" s="357" t="s">
        <v>2082</v>
      </c>
      <c r="O68" s="393" t="s">
        <v>1613</v>
      </c>
      <c r="P68" s="441" t="s">
        <v>1035</v>
      </c>
      <c r="Q68" s="340">
        <v>326</v>
      </c>
      <c r="R68" s="340">
        <v>230</v>
      </c>
      <c r="S68" s="340">
        <v>30</v>
      </c>
      <c r="T68" s="393" t="s">
        <v>1036</v>
      </c>
      <c r="U68" s="340">
        <v>206.1</v>
      </c>
      <c r="V68" s="340">
        <v>110.5</v>
      </c>
      <c r="W68" s="340">
        <v>12.6</v>
      </c>
      <c r="X68" s="340">
        <v>14.45</v>
      </c>
      <c r="Y68" s="393">
        <v>14.53</v>
      </c>
      <c r="Z68" s="340">
        <v>11.34</v>
      </c>
      <c r="AA68" s="393">
        <v>11.34</v>
      </c>
      <c r="AB68" s="357">
        <v>6.96</v>
      </c>
      <c r="AC68" s="357">
        <v>1194</v>
      </c>
      <c r="AD68" s="357">
        <v>769</v>
      </c>
      <c r="AE68" s="340" t="s">
        <v>159</v>
      </c>
      <c r="AF68" s="340">
        <v>0.04</v>
      </c>
      <c r="AG68" s="340">
        <v>0.01</v>
      </c>
      <c r="AH68" s="341" t="s">
        <v>2350</v>
      </c>
      <c r="AI68" s="342" t="s">
        <v>2976</v>
      </c>
      <c r="AJ68" s="340">
        <v>0.09</v>
      </c>
      <c r="AK68" s="357">
        <v>0.13</v>
      </c>
      <c r="AL68" s="340">
        <v>288</v>
      </c>
      <c r="AM68" s="420">
        <v>2486</v>
      </c>
      <c r="AN68" s="420">
        <v>5215</v>
      </c>
      <c r="AO68" s="420">
        <v>1769</v>
      </c>
      <c r="AP68" s="420">
        <v>154</v>
      </c>
      <c r="AQ68" s="420">
        <v>358.1</v>
      </c>
      <c r="AR68" s="420">
        <v>1193.8</v>
      </c>
      <c r="AS68" s="420">
        <v>4470</v>
      </c>
      <c r="AT68" s="420"/>
      <c r="AU68" s="420"/>
      <c r="AV68" s="420"/>
      <c r="AW68" s="420"/>
      <c r="AX68" s="420"/>
      <c r="AY68" s="420"/>
    </row>
    <row r="69" spans="1:51" ht="33.75" x14ac:dyDescent="0.2">
      <c r="A69" s="340">
        <v>326</v>
      </c>
      <c r="B69" s="340">
        <f t="shared" si="1"/>
        <v>30</v>
      </c>
      <c r="C69" s="340" t="s">
        <v>341</v>
      </c>
      <c r="D69" s="357" t="s">
        <v>679</v>
      </c>
      <c r="E69" s="340" t="s">
        <v>1033</v>
      </c>
      <c r="F69" s="340" t="s">
        <v>675</v>
      </c>
      <c r="G69" s="357">
        <v>1999</v>
      </c>
      <c r="H69" s="340" t="s">
        <v>152</v>
      </c>
      <c r="I69" s="340">
        <v>13998702</v>
      </c>
      <c r="J69" s="420">
        <v>13077301</v>
      </c>
      <c r="K69" s="340" t="s">
        <v>1034</v>
      </c>
      <c r="L69" s="420" t="s">
        <v>153</v>
      </c>
      <c r="M69" s="340" t="s">
        <v>154</v>
      </c>
      <c r="N69" s="357" t="s">
        <v>2082</v>
      </c>
      <c r="O69" s="393" t="s">
        <v>1613</v>
      </c>
      <c r="P69" s="441" t="s">
        <v>1035</v>
      </c>
      <c r="Q69" s="340">
        <v>326</v>
      </c>
      <c r="R69" s="340">
        <v>230</v>
      </c>
      <c r="S69" s="340">
        <v>30</v>
      </c>
      <c r="T69" s="340" t="s">
        <v>685</v>
      </c>
      <c r="U69" s="340">
        <v>206.1</v>
      </c>
      <c r="V69" s="340">
        <v>90.5</v>
      </c>
      <c r="W69" s="340">
        <v>12.6</v>
      </c>
      <c r="X69" s="340">
        <v>15.59</v>
      </c>
      <c r="Y69" s="393"/>
      <c r="Z69" s="340">
        <v>10.82</v>
      </c>
      <c r="AA69" s="393"/>
      <c r="AB69" s="357">
        <v>6.43</v>
      </c>
      <c r="AC69" s="357">
        <v>966</v>
      </c>
      <c r="AD69" s="357">
        <v>769</v>
      </c>
      <c r="AE69" s="340" t="s">
        <v>159</v>
      </c>
      <c r="AF69" s="340">
        <v>0.04</v>
      </c>
      <c r="AG69" s="340">
        <v>0.01</v>
      </c>
      <c r="AH69" s="341" t="s">
        <v>2350</v>
      </c>
      <c r="AI69" s="342" t="s">
        <v>2976</v>
      </c>
      <c r="AJ69" s="340">
        <v>8.8999999999999996E-2</v>
      </c>
      <c r="AK69" s="357">
        <v>0.13</v>
      </c>
      <c r="AL69" s="340">
        <v>144</v>
      </c>
      <c r="AM69" s="442" t="s">
        <v>687</v>
      </c>
      <c r="AN69" s="420">
        <v>2032.5</v>
      </c>
      <c r="AO69" s="420">
        <v>2568</v>
      </c>
      <c r="AP69" s="420">
        <v>1298</v>
      </c>
      <c r="AQ69" s="420">
        <v>176</v>
      </c>
      <c r="AR69" s="420">
        <v>323</v>
      </c>
      <c r="AS69" s="420">
        <v>660</v>
      </c>
      <c r="AT69" s="420">
        <v>3065.8</v>
      </c>
      <c r="AU69" s="420"/>
      <c r="AV69" s="420"/>
      <c r="AW69" s="420"/>
      <c r="AX69" s="420"/>
      <c r="AY69" s="420"/>
    </row>
    <row r="70" spans="1:51" ht="22.5" x14ac:dyDescent="0.2">
      <c r="A70" s="340">
        <v>326</v>
      </c>
      <c r="B70" s="340">
        <f t="shared" si="1"/>
        <v>30</v>
      </c>
      <c r="C70" s="340" t="s">
        <v>341</v>
      </c>
      <c r="D70" s="357" t="s">
        <v>2219</v>
      </c>
      <c r="E70" s="340" t="s">
        <v>919</v>
      </c>
      <c r="F70" s="393" t="s">
        <v>650</v>
      </c>
      <c r="G70" s="357">
        <v>1999</v>
      </c>
      <c r="H70" s="340" t="s">
        <v>681</v>
      </c>
      <c r="I70" s="340">
        <v>13078202</v>
      </c>
      <c r="J70" s="420">
        <v>13078101</v>
      </c>
      <c r="K70" s="340" t="s">
        <v>3179</v>
      </c>
      <c r="L70" s="420" t="s">
        <v>153</v>
      </c>
      <c r="M70" s="340" t="s">
        <v>154</v>
      </c>
      <c r="N70" s="357" t="s">
        <v>155</v>
      </c>
      <c r="O70" s="340" t="s">
        <v>156</v>
      </c>
      <c r="P70" s="440" t="s">
        <v>2265</v>
      </c>
      <c r="Q70" s="340">
        <v>326</v>
      </c>
      <c r="R70" s="340">
        <v>230</v>
      </c>
      <c r="S70" s="340">
        <v>30</v>
      </c>
      <c r="T70" s="340" t="s">
        <v>921</v>
      </c>
      <c r="U70" s="340">
        <v>206</v>
      </c>
      <c r="V70" s="393">
        <v>104.71</v>
      </c>
      <c r="W70" s="340">
        <v>12.6</v>
      </c>
      <c r="X70" s="340">
        <v>14.41</v>
      </c>
      <c r="Y70" s="340"/>
      <c r="Z70" s="340">
        <v>11.2</v>
      </c>
      <c r="AA70" s="340"/>
      <c r="AB70" s="357">
        <v>6.61</v>
      </c>
      <c r="AC70" s="357">
        <v>1138.5999999999999</v>
      </c>
      <c r="AD70" s="357">
        <v>767.8</v>
      </c>
      <c r="AE70" s="340" t="s">
        <v>159</v>
      </c>
      <c r="AF70" s="340">
        <v>0.04</v>
      </c>
      <c r="AG70" s="340">
        <v>0.01</v>
      </c>
      <c r="AH70" s="341" t="s">
        <v>2350</v>
      </c>
      <c r="AI70" s="357" t="s">
        <v>2976</v>
      </c>
      <c r="AJ70" s="340">
        <v>0.09</v>
      </c>
      <c r="AK70" s="420">
        <v>0.13</v>
      </c>
      <c r="AL70" s="340">
        <v>288</v>
      </c>
      <c r="AM70" s="420">
        <v>3082.2</v>
      </c>
      <c r="AN70" s="420">
        <v>5080.2</v>
      </c>
      <c r="AO70" s="420">
        <v>2358.6999999999998</v>
      </c>
      <c r="AP70" s="420">
        <v>154.5</v>
      </c>
      <c r="AQ70" s="420">
        <v>355.6</v>
      </c>
      <c r="AR70" s="420" t="s">
        <v>922</v>
      </c>
      <c r="AS70" s="420">
        <v>4379</v>
      </c>
      <c r="AT70" s="420">
        <v>0.39900000000000002</v>
      </c>
      <c r="AU70" s="420"/>
      <c r="AV70" s="420"/>
      <c r="AW70" s="420"/>
      <c r="AX70" s="420"/>
      <c r="AY70" s="420"/>
    </row>
    <row r="71" spans="1:51" ht="22.5" x14ac:dyDescent="0.2">
      <c r="A71" s="340">
        <v>330</v>
      </c>
      <c r="B71" s="340">
        <f t="shared" si="1"/>
        <v>21.9</v>
      </c>
      <c r="C71" s="340" t="s">
        <v>341</v>
      </c>
      <c r="D71" s="357" t="s">
        <v>164</v>
      </c>
      <c r="E71" s="357" t="s">
        <v>758</v>
      </c>
      <c r="F71" s="340" t="s">
        <v>151</v>
      </c>
      <c r="G71" s="357">
        <v>1991</v>
      </c>
      <c r="H71" s="357" t="s">
        <v>768</v>
      </c>
      <c r="I71" s="357">
        <v>12561602</v>
      </c>
      <c r="J71" s="357">
        <v>125615</v>
      </c>
      <c r="K71" s="357">
        <v>4642353</v>
      </c>
      <c r="L71" s="420"/>
      <c r="M71" s="357" t="s">
        <v>154</v>
      </c>
      <c r="N71" s="357" t="s">
        <v>155</v>
      </c>
      <c r="O71" s="357" t="s">
        <v>563</v>
      </c>
      <c r="P71" s="357" t="s">
        <v>571</v>
      </c>
      <c r="Q71" s="340">
        <v>330</v>
      </c>
      <c r="R71" s="357">
        <v>234</v>
      </c>
      <c r="S71" s="357">
        <v>21.9</v>
      </c>
      <c r="T71" s="357" t="s">
        <v>760</v>
      </c>
      <c r="U71" s="357" t="s">
        <v>1029</v>
      </c>
      <c r="V71" s="357">
        <v>35.39</v>
      </c>
      <c r="W71" s="357">
        <v>8.6</v>
      </c>
      <c r="X71" s="357">
        <v>10.7</v>
      </c>
      <c r="Y71" s="357"/>
      <c r="Z71" s="357">
        <v>7.17</v>
      </c>
      <c r="AA71" s="357"/>
      <c r="AB71" s="357">
        <v>5</v>
      </c>
      <c r="AC71" s="357">
        <v>961</v>
      </c>
      <c r="AD71" s="357">
        <v>418</v>
      </c>
      <c r="AE71" s="340" t="s">
        <v>576</v>
      </c>
      <c r="AF71" s="357">
        <v>0.08</v>
      </c>
      <c r="AG71" s="357">
        <v>1.2999999999999999E-2</v>
      </c>
      <c r="AH71" s="340" t="s">
        <v>686</v>
      </c>
      <c r="AI71" s="340" t="s">
        <v>686</v>
      </c>
      <c r="AJ71" s="340" t="s">
        <v>686</v>
      </c>
      <c r="AK71" s="420">
        <v>0.13</v>
      </c>
      <c r="AL71" s="357">
        <v>108</v>
      </c>
      <c r="AM71" s="420"/>
      <c r="AN71" s="420">
        <v>1735</v>
      </c>
      <c r="AO71" s="420">
        <v>814</v>
      </c>
      <c r="AP71" s="420">
        <v>296</v>
      </c>
      <c r="AQ71" s="420">
        <v>305</v>
      </c>
      <c r="AR71" s="420">
        <v>442</v>
      </c>
      <c r="AS71" s="420">
        <v>2443.5</v>
      </c>
      <c r="AT71" s="420"/>
      <c r="AU71" s="420"/>
      <c r="AV71" s="420"/>
      <c r="AW71" s="420"/>
      <c r="AX71" s="420"/>
      <c r="AY71" s="420"/>
    </row>
    <row r="72" spans="1:51" ht="33.75" x14ac:dyDescent="0.2">
      <c r="A72" s="393">
        <v>329.3</v>
      </c>
      <c r="B72" s="340">
        <f t="shared" si="1"/>
        <v>22</v>
      </c>
      <c r="C72" s="340" t="s">
        <v>341</v>
      </c>
      <c r="D72" s="357" t="s">
        <v>679</v>
      </c>
      <c r="E72" s="357" t="s">
        <v>1030</v>
      </c>
      <c r="F72" s="340" t="s">
        <v>21</v>
      </c>
      <c r="G72" s="357">
        <v>2004</v>
      </c>
      <c r="H72" s="393" t="s">
        <v>559</v>
      </c>
      <c r="I72" s="357">
        <v>14585008</v>
      </c>
      <c r="J72" s="357">
        <v>14584901</v>
      </c>
      <c r="K72" s="357" t="s">
        <v>1031</v>
      </c>
      <c r="L72" s="420" t="s">
        <v>153</v>
      </c>
      <c r="M72" s="357" t="s">
        <v>154</v>
      </c>
      <c r="N72" s="357" t="s">
        <v>2082</v>
      </c>
      <c r="O72" s="357" t="s">
        <v>1752</v>
      </c>
      <c r="P72" s="357" t="s">
        <v>2617</v>
      </c>
      <c r="Q72" s="393">
        <v>329.3</v>
      </c>
      <c r="R72" s="357">
        <v>244.5</v>
      </c>
      <c r="S72" s="357">
        <v>22</v>
      </c>
      <c r="T72" s="357" t="s">
        <v>1749</v>
      </c>
      <c r="U72" s="357">
        <v>206.1</v>
      </c>
      <c r="V72" s="357">
        <v>67.5</v>
      </c>
      <c r="W72" s="357">
        <v>7</v>
      </c>
      <c r="X72" s="341">
        <v>12.41</v>
      </c>
      <c r="Y72" s="341">
        <v>12.693</v>
      </c>
      <c r="Z72" s="341">
        <v>9.2085000000000008</v>
      </c>
      <c r="AA72" s="341">
        <v>9.5399999999999991</v>
      </c>
      <c r="AB72" s="357">
        <v>5.16</v>
      </c>
      <c r="AC72" s="357">
        <v>879</v>
      </c>
      <c r="AD72" s="357">
        <v>724</v>
      </c>
      <c r="AE72" s="340" t="s">
        <v>159</v>
      </c>
      <c r="AF72" s="357">
        <v>2.5000000000000001E-2</v>
      </c>
      <c r="AG72" s="393">
        <v>8.9999999999999993E-3</v>
      </c>
      <c r="AH72" s="357" t="s">
        <v>159</v>
      </c>
      <c r="AI72" s="357" t="s">
        <v>2976</v>
      </c>
      <c r="AJ72" s="340">
        <v>8.8999999999999996E-2</v>
      </c>
      <c r="AK72" s="357">
        <v>0.05</v>
      </c>
      <c r="AL72" s="357">
        <v>100</v>
      </c>
      <c r="AM72" s="420">
        <v>2383</v>
      </c>
      <c r="AN72" s="420">
        <v>3175</v>
      </c>
      <c r="AO72" s="420">
        <v>1544</v>
      </c>
      <c r="AP72" s="420">
        <v>148</v>
      </c>
      <c r="AQ72" s="420">
        <v>335.3</v>
      </c>
      <c r="AR72" s="420">
        <v>774.7</v>
      </c>
      <c r="AS72" s="420">
        <v>3505</v>
      </c>
      <c r="AT72" s="420">
        <v>0.33800000000000002</v>
      </c>
      <c r="AU72" s="420">
        <v>179.1</v>
      </c>
      <c r="AV72" s="420">
        <v>352</v>
      </c>
      <c r="AW72" s="420"/>
      <c r="AX72" s="420">
        <v>385.5</v>
      </c>
      <c r="AY72" s="420" t="s">
        <v>1032</v>
      </c>
    </row>
    <row r="73" spans="1:51" ht="33.75" x14ac:dyDescent="0.2">
      <c r="A73" s="340">
        <v>350</v>
      </c>
      <c r="B73" s="340">
        <f t="shared" si="1"/>
        <v>30</v>
      </c>
      <c r="C73" s="340" t="s">
        <v>341</v>
      </c>
      <c r="D73" s="357" t="s">
        <v>20</v>
      </c>
      <c r="E73" s="357" t="s">
        <v>1750</v>
      </c>
      <c r="F73" s="340" t="s">
        <v>21</v>
      </c>
      <c r="G73" s="357">
        <v>2005</v>
      </c>
      <c r="H73" s="340"/>
      <c r="I73" s="340">
        <v>14964603</v>
      </c>
      <c r="J73" s="420">
        <v>14964501</v>
      </c>
      <c r="K73" s="393" t="s">
        <v>941</v>
      </c>
      <c r="L73" s="420" t="s">
        <v>153</v>
      </c>
      <c r="M73" s="340" t="s">
        <v>154</v>
      </c>
      <c r="N73" s="357" t="s">
        <v>2084</v>
      </c>
      <c r="O73" s="357" t="s">
        <v>1752</v>
      </c>
      <c r="P73" s="357" t="s">
        <v>0</v>
      </c>
      <c r="Q73" s="340">
        <v>350</v>
      </c>
      <c r="R73" s="340">
        <v>251.4</v>
      </c>
      <c r="S73" s="340">
        <v>30</v>
      </c>
      <c r="T73" s="340" t="s">
        <v>1749</v>
      </c>
      <c r="U73" s="393">
        <v>206.1</v>
      </c>
      <c r="V73" s="340">
        <v>76.2</v>
      </c>
      <c r="W73" s="340">
        <v>14</v>
      </c>
      <c r="X73" s="340">
        <v>15.379</v>
      </c>
      <c r="Y73" s="340"/>
      <c r="Z73" s="340">
        <v>10.946999999999999</v>
      </c>
      <c r="AA73" s="340"/>
      <c r="AB73" s="357">
        <v>7.14</v>
      </c>
      <c r="AC73" s="357">
        <v>1640</v>
      </c>
      <c r="AD73" s="357">
        <v>812.79</v>
      </c>
      <c r="AE73" s="340" t="s">
        <v>159</v>
      </c>
      <c r="AF73" s="340">
        <v>0.03</v>
      </c>
      <c r="AG73" s="340">
        <v>0.05</v>
      </c>
      <c r="AH73" s="340" t="s">
        <v>1813</v>
      </c>
      <c r="AI73" s="420"/>
      <c r="AJ73" s="340">
        <v>0.08</v>
      </c>
      <c r="AK73" s="357">
        <v>0.1</v>
      </c>
      <c r="AL73" s="340">
        <v>144</v>
      </c>
      <c r="AM73" s="420"/>
      <c r="AN73" s="420"/>
      <c r="AO73" s="420"/>
      <c r="AP73" s="420"/>
      <c r="AQ73" s="420"/>
      <c r="AR73" s="420"/>
      <c r="AS73" s="420"/>
      <c r="AT73" s="420"/>
      <c r="AU73" s="420"/>
      <c r="AV73" s="420"/>
      <c r="AW73" s="420"/>
      <c r="AX73" s="420"/>
      <c r="AY73" s="420"/>
    </row>
    <row r="74" spans="1:51" ht="33.75" x14ac:dyDescent="0.2">
      <c r="A74" s="340">
        <v>395</v>
      </c>
      <c r="B74" s="340">
        <f t="shared" si="1"/>
        <v>38</v>
      </c>
      <c r="C74" s="340" t="s">
        <v>341</v>
      </c>
      <c r="D74" s="357" t="s">
        <v>679</v>
      </c>
      <c r="E74" s="340" t="s">
        <v>1912</v>
      </c>
      <c r="F74" s="393" t="s">
        <v>650</v>
      </c>
      <c r="G74" s="357">
        <v>1999</v>
      </c>
      <c r="H74" s="340" t="s">
        <v>681</v>
      </c>
      <c r="I74" s="340">
        <v>13721401</v>
      </c>
      <c r="J74" s="420">
        <v>13080001</v>
      </c>
      <c r="K74" s="340" t="s">
        <v>3180</v>
      </c>
      <c r="L74" s="420" t="s">
        <v>153</v>
      </c>
      <c r="M74" s="341" t="s">
        <v>2773</v>
      </c>
      <c r="N74" s="357" t="s">
        <v>2082</v>
      </c>
      <c r="O74" s="340" t="s">
        <v>156</v>
      </c>
      <c r="P74" s="341" t="s">
        <v>545</v>
      </c>
      <c r="Q74" s="340">
        <v>395</v>
      </c>
      <c r="R74" s="340">
        <v>270</v>
      </c>
      <c r="S74" s="340">
        <v>38</v>
      </c>
      <c r="T74" s="340" t="s">
        <v>2137</v>
      </c>
      <c r="U74" s="340" t="s">
        <v>686</v>
      </c>
      <c r="V74" s="340">
        <v>123.7</v>
      </c>
      <c r="W74" s="340">
        <v>16.600000000000001</v>
      </c>
      <c r="X74" s="393">
        <v>25.91</v>
      </c>
      <c r="Y74" s="393">
        <v>19.79</v>
      </c>
      <c r="Z74" s="340">
        <v>19.79</v>
      </c>
      <c r="AA74" s="393">
        <v>16.82</v>
      </c>
      <c r="AB74" s="357">
        <v>12.93</v>
      </c>
      <c r="AC74" s="357">
        <v>1816</v>
      </c>
      <c r="AD74" s="357">
        <v>1305.7</v>
      </c>
      <c r="AE74" s="340" t="s">
        <v>159</v>
      </c>
      <c r="AF74" s="340">
        <v>0.04</v>
      </c>
      <c r="AG74" s="340">
        <v>0.01</v>
      </c>
      <c r="AH74" s="357" t="s">
        <v>1029</v>
      </c>
      <c r="AI74" s="357" t="s">
        <v>686</v>
      </c>
      <c r="AJ74" s="357" t="s">
        <v>686</v>
      </c>
      <c r="AK74" s="420">
        <v>0.13</v>
      </c>
      <c r="AL74" s="340">
        <v>504</v>
      </c>
      <c r="AM74" s="420" t="s">
        <v>157</v>
      </c>
      <c r="AN74" s="420">
        <v>7727</v>
      </c>
      <c r="AO74" s="420">
        <v>2721.5</v>
      </c>
      <c r="AP74" s="420">
        <v>154.5</v>
      </c>
      <c r="AQ74" s="420">
        <v>381</v>
      </c>
      <c r="AR74" s="420">
        <v>889</v>
      </c>
      <c r="AS74" s="420"/>
      <c r="AT74" s="420"/>
      <c r="AU74" s="420"/>
      <c r="AV74" s="420"/>
      <c r="AW74" s="420"/>
      <c r="AX74" s="420"/>
      <c r="AY74" s="420"/>
    </row>
    <row r="75" spans="1:51" ht="33.75" x14ac:dyDescent="0.2">
      <c r="A75" s="340">
        <v>395</v>
      </c>
      <c r="B75" s="340">
        <f t="shared" si="1"/>
        <v>38</v>
      </c>
      <c r="C75" s="340" t="s">
        <v>341</v>
      </c>
      <c r="D75" s="357" t="s">
        <v>2219</v>
      </c>
      <c r="E75" s="340" t="s">
        <v>2135</v>
      </c>
      <c r="F75" s="393" t="s">
        <v>650</v>
      </c>
      <c r="G75" s="357">
        <v>1999</v>
      </c>
      <c r="H75" s="340" t="s">
        <v>681</v>
      </c>
      <c r="I75" s="340">
        <v>13080102</v>
      </c>
      <c r="J75" s="420">
        <v>13080001</v>
      </c>
      <c r="K75" s="340" t="s">
        <v>2136</v>
      </c>
      <c r="L75" s="420" t="s">
        <v>153</v>
      </c>
      <c r="M75" s="340" t="s">
        <v>154</v>
      </c>
      <c r="N75" s="357" t="s">
        <v>155</v>
      </c>
      <c r="O75" s="393" t="s">
        <v>1613</v>
      </c>
      <c r="P75" s="440" t="s">
        <v>2265</v>
      </c>
      <c r="Q75" s="340">
        <v>395</v>
      </c>
      <c r="R75" s="340">
        <v>270</v>
      </c>
      <c r="S75" s="340">
        <v>38</v>
      </c>
      <c r="T75" s="340" t="s">
        <v>2137</v>
      </c>
      <c r="U75" s="340">
        <v>242</v>
      </c>
      <c r="V75" s="393">
        <v>111.7</v>
      </c>
      <c r="W75" s="340">
        <v>16.600000000000001</v>
      </c>
      <c r="X75" s="340">
        <v>25.91</v>
      </c>
      <c r="Y75" s="340"/>
      <c r="Z75" s="340">
        <v>19.79</v>
      </c>
      <c r="AA75" s="340"/>
      <c r="AB75" s="357">
        <v>12.93</v>
      </c>
      <c r="AC75" s="357">
        <v>1816</v>
      </c>
      <c r="AD75" s="357">
        <v>1305.7</v>
      </c>
      <c r="AE75" s="340" t="s">
        <v>159</v>
      </c>
      <c r="AF75" s="340">
        <v>0.04</v>
      </c>
      <c r="AG75" s="340">
        <v>0.01</v>
      </c>
      <c r="AH75" s="341" t="s">
        <v>2350</v>
      </c>
      <c r="AI75" s="357" t="s">
        <v>2976</v>
      </c>
      <c r="AJ75" s="340">
        <v>0.09</v>
      </c>
      <c r="AK75" s="420">
        <v>0.13</v>
      </c>
      <c r="AL75" s="340">
        <v>504</v>
      </c>
      <c r="AM75" s="420" t="s">
        <v>157</v>
      </c>
      <c r="AN75" s="420">
        <v>8618</v>
      </c>
      <c r="AO75" s="420">
        <v>2721.5</v>
      </c>
      <c r="AP75" s="420">
        <v>130.4</v>
      </c>
      <c r="AQ75" s="420">
        <v>381</v>
      </c>
      <c r="AR75" s="420">
        <v>889</v>
      </c>
      <c r="AS75" s="420">
        <v>4475.5</v>
      </c>
      <c r="AT75" s="420">
        <v>0.52200000000000002</v>
      </c>
      <c r="AU75" s="420"/>
      <c r="AV75" s="420"/>
      <c r="AW75" s="420"/>
      <c r="AX75" s="420"/>
      <c r="AY75" s="420"/>
    </row>
  </sheetData>
  <autoFilter ref="A2:O31" xr:uid="{00000000-0009-0000-0000-000002000000}">
    <filterColumn colId="5">
      <filters>
        <filter val="Delgado"/>
      </filters>
    </filterColumn>
    <sortState xmlns:xlrd2="http://schemas.microsoft.com/office/spreadsheetml/2017/richdata2" ref="A3:P35">
      <sortCondition ref="A2"/>
    </sortState>
  </autoFilter>
  <customSheetViews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E28" sqref="E28"/>
      <pageMargins left="0.75" right="0.75" top="1" bottom="1" header="0.5" footer="0.5"/>
      <pageSetup paperSize="5" scale="30" fitToHeight="6" orientation="landscape" r:id="rId1"/>
      <headerFooter alignWithMargins="0"/>
      <autoFilter ref="B1:P1" xr:uid="{00000000-0000-0000-0000-000000000000}"/>
    </customSheetView>
    <customSheetView guid="{BD983C39-643B-49A4-A851-3C307533663B}" scale="80" showPageBreaks="1" fitToPage="1" printArea="1" showAutoFilter="1">
      <pane xSplit="5" ySplit="2" topLeftCell="F3" activePane="bottomRight" state="frozen"/>
      <selection pane="bottomRight" activeCell="E28" sqref="E28"/>
      <pageMargins left="0.75" right="0.75" top="1" bottom="1" header="0.5" footer="0.5"/>
      <pageSetup paperSize="5" scale="29" fitToHeight="6" orientation="landscape" r:id="rId2"/>
      <headerFooter alignWithMargins="0"/>
      <autoFilter ref="B1:P1" xr:uid="{00000000-0000-0000-0000-000000000000}"/>
    </customSheetView>
  </customSheetViews>
  <mergeCells count="8">
    <mergeCell ref="AU1:AV1"/>
    <mergeCell ref="AX1:AY1"/>
    <mergeCell ref="D1:H1"/>
    <mergeCell ref="I1:K1"/>
    <mergeCell ref="N1:Z1"/>
    <mergeCell ref="AB1:AD1"/>
    <mergeCell ref="AE1:AL1"/>
    <mergeCell ref="AM1:AT1"/>
  </mergeCells>
  <pageMargins left="0.75" right="0.75" top="1" bottom="1" header="0.5" footer="0.5"/>
  <pageSetup paperSize="5" scale="29" fitToHeight="6" orientation="landscape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U44"/>
  <sheetViews>
    <sheetView zoomScale="130" zoomScaleNormal="130" workbookViewId="0">
      <pane xSplit="6" ySplit="2" topLeftCell="G3" activePane="bottomRight" state="frozenSplit"/>
      <selection pane="topRight" activeCell="G1" sqref="G1"/>
      <selection pane="bottomLeft" activeCell="A3" sqref="A3"/>
      <selection pane="bottomRight" activeCell="D5" sqref="D5"/>
    </sheetView>
  </sheetViews>
  <sheetFormatPr defaultColWidth="12.42578125" defaultRowHeight="11.25" x14ac:dyDescent="0.2"/>
  <cols>
    <col min="1" max="1" width="10.140625" style="13" bestFit="1" customWidth="1"/>
    <col min="2" max="2" width="10.140625" style="13" customWidth="1"/>
    <col min="3" max="3" width="25.42578125" style="13" bestFit="1" customWidth="1"/>
    <col min="4" max="4" width="13.42578125" style="13" bestFit="1" customWidth="1"/>
    <col min="5" max="5" width="7" style="9" bestFit="1" customWidth="1"/>
    <col min="6" max="6" width="11.42578125" style="9" customWidth="1"/>
    <col min="7" max="7" width="20.140625" style="13" customWidth="1"/>
    <col min="8" max="8" width="14.42578125" style="13" customWidth="1"/>
    <col min="9" max="9" width="11" style="13" bestFit="1" customWidth="1"/>
    <col min="10" max="10" width="12.42578125" style="13" bestFit="1" customWidth="1"/>
    <col min="11" max="11" width="11" style="13" bestFit="1" customWidth="1"/>
    <col min="12" max="12" width="9.42578125" style="13" customWidth="1"/>
    <col min="13" max="13" width="14.42578125" style="13" customWidth="1"/>
    <col min="14" max="14" width="19.140625" style="13" customWidth="1"/>
    <col min="15" max="15" width="21.140625" style="13" bestFit="1" customWidth="1"/>
    <col min="16" max="16" width="10.42578125" style="13" bestFit="1" customWidth="1"/>
    <col min="17" max="17" width="17" style="13" bestFit="1" customWidth="1"/>
    <col min="18" max="18" width="8.42578125" style="13" bestFit="1" customWidth="1"/>
    <col min="19" max="19" width="9.42578125" style="13" customWidth="1"/>
    <col min="20" max="20" width="11.140625" style="13" customWidth="1"/>
    <col min="21" max="21" width="9.42578125" style="13" customWidth="1"/>
    <col min="22" max="22" width="11.85546875" style="13" customWidth="1"/>
    <col min="23" max="23" width="17.85546875" style="13" bestFit="1" customWidth="1"/>
    <col min="24" max="24" width="8.42578125" style="13" bestFit="1" customWidth="1"/>
    <col min="25" max="25" width="15" style="13" bestFit="1" customWidth="1"/>
    <col min="26" max="28" width="11.42578125" style="9" customWidth="1"/>
    <col min="29" max="29" width="7.42578125" style="9" customWidth="1"/>
    <col min="30" max="30" width="8.42578125" style="9" customWidth="1"/>
    <col min="31" max="32" width="11.42578125" style="9" customWidth="1"/>
    <col min="33" max="33" width="15.140625" style="9" customWidth="1"/>
    <col min="34" max="34" width="13.85546875" style="9" customWidth="1"/>
    <col min="35" max="35" width="20.42578125" style="9" customWidth="1"/>
    <col min="36" max="36" width="13.85546875" style="9" customWidth="1"/>
    <col min="37" max="16384" width="12.42578125" style="9"/>
  </cols>
  <sheetData>
    <row r="1" spans="1:36" ht="15.75" customHeight="1" thickBot="1" x14ac:dyDescent="0.25">
      <c r="A1" s="1063" t="s">
        <v>1071</v>
      </c>
      <c r="B1" s="1063"/>
      <c r="C1" s="1063"/>
      <c r="D1" s="1063"/>
      <c r="E1" s="1063"/>
      <c r="F1" s="365" t="s">
        <v>1072</v>
      </c>
      <c r="G1" s="1063" t="s">
        <v>1073</v>
      </c>
      <c r="H1" s="1063"/>
      <c r="I1" s="1063" t="s">
        <v>1393</v>
      </c>
      <c r="J1" s="1063"/>
      <c r="K1" s="1063"/>
      <c r="L1" s="1063"/>
      <c r="M1" s="1063"/>
      <c r="N1" s="1063"/>
      <c r="O1" s="1063"/>
      <c r="P1" s="1063" t="s">
        <v>1074</v>
      </c>
      <c r="Q1" s="1063"/>
      <c r="R1" s="1063"/>
      <c r="S1" s="1064"/>
      <c r="T1" s="1064"/>
      <c r="U1" s="1064"/>
      <c r="V1" s="1064"/>
      <c r="W1" s="1063" t="s">
        <v>1075</v>
      </c>
      <c r="X1" s="1063"/>
      <c r="Y1" s="1063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45.75" thickBot="1" x14ac:dyDescent="0.25">
      <c r="A2" s="370" t="s">
        <v>1401</v>
      </c>
      <c r="B2" s="370" t="s">
        <v>3011</v>
      </c>
      <c r="C2" s="370" t="s">
        <v>1810</v>
      </c>
      <c r="D2" s="371" t="s">
        <v>1076</v>
      </c>
      <c r="E2" s="370" t="s">
        <v>1077</v>
      </c>
      <c r="F2" s="370" t="s">
        <v>1190</v>
      </c>
      <c r="G2" s="370" t="s">
        <v>1078</v>
      </c>
      <c r="H2" s="370" t="s">
        <v>551</v>
      </c>
      <c r="I2" s="370" t="s">
        <v>133</v>
      </c>
      <c r="J2" s="370" t="s">
        <v>3268</v>
      </c>
      <c r="K2" s="370" t="s">
        <v>1080</v>
      </c>
      <c r="L2" s="370" t="s">
        <v>1081</v>
      </c>
      <c r="M2" s="370" t="s">
        <v>550</v>
      </c>
      <c r="N2" s="370" t="s">
        <v>3093</v>
      </c>
      <c r="O2" s="370" t="s">
        <v>2635</v>
      </c>
      <c r="P2" s="370" t="s">
        <v>2636</v>
      </c>
      <c r="Q2" s="370" t="s">
        <v>2637</v>
      </c>
      <c r="R2" s="370" t="s">
        <v>2638</v>
      </c>
      <c r="S2" s="412" t="s">
        <v>2223</v>
      </c>
      <c r="T2" s="412" t="s">
        <v>2639</v>
      </c>
      <c r="U2" s="412" t="s">
        <v>2224</v>
      </c>
      <c r="V2" s="412" t="s">
        <v>2640</v>
      </c>
      <c r="W2" s="370" t="s">
        <v>1078</v>
      </c>
      <c r="X2" s="370" t="s">
        <v>2641</v>
      </c>
      <c r="Y2" s="370" t="s">
        <v>2642</v>
      </c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spans="1:36" x14ac:dyDescent="0.2">
      <c r="A3" s="1"/>
      <c r="B3" s="1"/>
      <c r="C3" s="1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6"/>
      <c r="T3" s="6"/>
      <c r="U3" s="6"/>
      <c r="V3" s="6"/>
      <c r="W3" s="1"/>
      <c r="X3" s="1"/>
      <c r="Y3" s="1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ht="22.5" x14ac:dyDescent="0.2">
      <c r="A4" s="1" t="s">
        <v>2219</v>
      </c>
      <c r="B4" s="1" t="s">
        <v>3012</v>
      </c>
      <c r="C4" s="1" t="s">
        <v>3253</v>
      </c>
      <c r="D4" s="2" t="s">
        <v>4059</v>
      </c>
      <c r="E4" s="1">
        <v>2008</v>
      </c>
      <c r="F4" s="1" t="s">
        <v>681</v>
      </c>
      <c r="G4" s="5" t="s">
        <v>1469</v>
      </c>
      <c r="H4" s="5" t="s">
        <v>1470</v>
      </c>
      <c r="I4" s="4">
        <v>15885907</v>
      </c>
      <c r="J4" s="1" t="s">
        <v>3252</v>
      </c>
      <c r="K4" s="1">
        <v>15885802</v>
      </c>
      <c r="L4" s="1">
        <v>15885701</v>
      </c>
      <c r="M4" s="4" t="s">
        <v>153</v>
      </c>
      <c r="N4" s="1">
        <v>13684301</v>
      </c>
      <c r="O4" s="4" t="s">
        <v>3254</v>
      </c>
      <c r="P4" s="3">
        <v>202.75</v>
      </c>
      <c r="Q4" s="1">
        <f>(27.15+26.65)/2</f>
        <v>26.9</v>
      </c>
      <c r="R4" s="1" t="s">
        <v>2673</v>
      </c>
      <c r="S4" s="6">
        <v>9.5</v>
      </c>
      <c r="T4" s="6"/>
      <c r="U4" s="6">
        <v>7.2</v>
      </c>
      <c r="V4" s="6"/>
      <c r="W4" s="5" t="s">
        <v>1473</v>
      </c>
      <c r="X4" s="1"/>
      <c r="Y4" s="5" t="s">
        <v>3255</v>
      </c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ht="33.75" x14ac:dyDescent="0.2">
      <c r="A5" s="1" t="s">
        <v>2219</v>
      </c>
      <c r="B5" s="1" t="s">
        <v>3012</v>
      </c>
      <c r="C5" s="4" t="s">
        <v>56</v>
      </c>
      <c r="D5" s="2" t="s">
        <v>4059</v>
      </c>
      <c r="E5" s="4">
        <v>1999</v>
      </c>
      <c r="F5" s="4" t="s">
        <v>215</v>
      </c>
      <c r="G5" s="5" t="s">
        <v>1469</v>
      </c>
      <c r="H5" s="5" t="s">
        <v>1470</v>
      </c>
      <c r="I5" s="4">
        <v>13171701</v>
      </c>
      <c r="J5" s="4" t="s">
        <v>1471</v>
      </c>
      <c r="K5" s="4">
        <v>13171601</v>
      </c>
      <c r="L5" s="4">
        <v>13171501</v>
      </c>
      <c r="M5" s="4" t="s">
        <v>215</v>
      </c>
      <c r="N5" s="4">
        <v>13275401</v>
      </c>
      <c r="O5" s="4" t="s">
        <v>1472</v>
      </c>
      <c r="P5" s="5">
        <v>203.2</v>
      </c>
      <c r="Q5" s="5">
        <v>18.25</v>
      </c>
      <c r="R5" s="5" t="s">
        <v>2648</v>
      </c>
      <c r="S5" s="3">
        <v>8.6</v>
      </c>
      <c r="T5" s="3"/>
      <c r="U5" s="3">
        <v>7.78</v>
      </c>
      <c r="V5" s="3"/>
      <c r="W5" s="5" t="s">
        <v>1473</v>
      </c>
      <c r="X5" s="5" t="s">
        <v>2650</v>
      </c>
      <c r="Y5" s="5" t="s">
        <v>1474</v>
      </c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33.75" x14ac:dyDescent="0.2">
      <c r="A6" s="1" t="s">
        <v>2219</v>
      </c>
      <c r="B6" s="1" t="s">
        <v>3012</v>
      </c>
      <c r="C6" s="4" t="s">
        <v>1465</v>
      </c>
      <c r="D6" s="2" t="s">
        <v>1714</v>
      </c>
      <c r="E6" s="4">
        <v>1999</v>
      </c>
      <c r="F6" s="4" t="s">
        <v>215</v>
      </c>
      <c r="G6" s="5" t="s">
        <v>1469</v>
      </c>
      <c r="H6" s="5" t="s">
        <v>1470</v>
      </c>
      <c r="I6" s="4">
        <v>13177701</v>
      </c>
      <c r="J6" s="4" t="s">
        <v>1475</v>
      </c>
      <c r="K6" s="4">
        <v>13177601</v>
      </c>
      <c r="L6" s="4">
        <v>13177501</v>
      </c>
      <c r="M6" s="4" t="s">
        <v>215</v>
      </c>
      <c r="N6" s="4">
        <v>13535101</v>
      </c>
      <c r="O6" s="4" t="s">
        <v>1476</v>
      </c>
      <c r="P6" s="5">
        <v>254</v>
      </c>
      <c r="Q6" s="5">
        <v>21</v>
      </c>
      <c r="R6" s="5" t="s">
        <v>1477</v>
      </c>
      <c r="S6" s="3">
        <v>23</v>
      </c>
      <c r="T6" s="3"/>
      <c r="U6" s="3">
        <v>19.760000000000002</v>
      </c>
      <c r="V6" s="3"/>
      <c r="W6" s="5" t="s">
        <v>1473</v>
      </c>
      <c r="X6" s="5" t="s">
        <v>2650</v>
      </c>
      <c r="Y6" s="5" t="s">
        <v>1478</v>
      </c>
    </row>
    <row r="7" spans="1:36" ht="22.5" x14ac:dyDescent="0.2">
      <c r="A7" s="1" t="s">
        <v>2219</v>
      </c>
      <c r="B7" s="1" t="s">
        <v>3012</v>
      </c>
      <c r="C7" s="1" t="s">
        <v>62</v>
      </c>
      <c r="D7" s="2" t="s">
        <v>1714</v>
      </c>
      <c r="E7" s="1">
        <v>2005</v>
      </c>
      <c r="F7" s="1" t="s">
        <v>681</v>
      </c>
      <c r="G7" s="5" t="s">
        <v>1469</v>
      </c>
      <c r="H7" s="5" t="s">
        <v>1479</v>
      </c>
      <c r="I7" s="4">
        <v>14513201</v>
      </c>
      <c r="J7" s="4" t="s">
        <v>1480</v>
      </c>
      <c r="K7" s="4">
        <v>14513100</v>
      </c>
      <c r="L7" s="4">
        <v>14513001</v>
      </c>
      <c r="M7" s="4" t="s">
        <v>153</v>
      </c>
      <c r="N7" s="4">
        <v>14593301</v>
      </c>
      <c r="O7" s="4" t="s">
        <v>3116</v>
      </c>
      <c r="P7" s="5">
        <v>260</v>
      </c>
      <c r="Q7" s="5">
        <v>20</v>
      </c>
      <c r="R7" s="5" t="s">
        <v>2910</v>
      </c>
      <c r="S7" s="3">
        <v>15.2</v>
      </c>
      <c r="T7" s="3"/>
      <c r="U7" s="3">
        <v>14.51</v>
      </c>
      <c r="V7" s="3"/>
      <c r="W7" s="5" t="s">
        <v>1473</v>
      </c>
      <c r="X7" s="5" t="s">
        <v>2650</v>
      </c>
      <c r="Y7" s="5" t="s">
        <v>2911</v>
      </c>
    </row>
    <row r="8" spans="1:36" ht="45" x14ac:dyDescent="0.2">
      <c r="A8" s="1" t="s">
        <v>3263</v>
      </c>
      <c r="B8" s="1" t="s">
        <v>3012</v>
      </c>
      <c r="C8" s="1" t="s">
        <v>57</v>
      </c>
      <c r="D8" s="2" t="s">
        <v>1714</v>
      </c>
      <c r="E8" s="1">
        <v>2005</v>
      </c>
      <c r="F8" s="1" t="s">
        <v>681</v>
      </c>
      <c r="G8" s="5" t="s">
        <v>1469</v>
      </c>
      <c r="H8" s="5" t="s">
        <v>1479</v>
      </c>
      <c r="I8" s="4">
        <v>14513801</v>
      </c>
      <c r="J8" s="4" t="s">
        <v>3267</v>
      </c>
      <c r="K8" s="4">
        <v>14513701</v>
      </c>
      <c r="L8" s="4">
        <v>14513601</v>
      </c>
      <c r="M8" s="4" t="s">
        <v>153</v>
      </c>
      <c r="N8" s="4">
        <v>14281101</v>
      </c>
      <c r="O8" s="4" t="s">
        <v>2666</v>
      </c>
      <c r="P8" s="5">
        <v>279</v>
      </c>
      <c r="Q8" s="5">
        <v>23</v>
      </c>
      <c r="R8" s="5" t="s">
        <v>2667</v>
      </c>
      <c r="S8" s="18">
        <v>22.73</v>
      </c>
      <c r="T8" s="11">
        <v>22.36</v>
      </c>
      <c r="U8" s="11">
        <v>18.57</v>
      </c>
      <c r="V8" s="11">
        <v>18.54</v>
      </c>
      <c r="W8" s="5" t="s">
        <v>1473</v>
      </c>
      <c r="X8" s="5" t="s">
        <v>2650</v>
      </c>
      <c r="Y8" s="5" t="s">
        <v>2668</v>
      </c>
    </row>
    <row r="9" spans="1:36" ht="22.5" x14ac:dyDescent="0.2">
      <c r="A9" s="1" t="s">
        <v>2196</v>
      </c>
      <c r="B9" s="1" t="s">
        <v>3012</v>
      </c>
      <c r="C9" s="342" t="s">
        <v>3036</v>
      </c>
      <c r="D9" s="2" t="s">
        <v>1714</v>
      </c>
      <c r="E9" s="1">
        <v>2005</v>
      </c>
      <c r="F9" s="1" t="s">
        <v>681</v>
      </c>
      <c r="G9" s="5" t="s">
        <v>1469</v>
      </c>
      <c r="H9" s="5" t="s">
        <v>1479</v>
      </c>
      <c r="I9" s="4">
        <v>14513805</v>
      </c>
      <c r="J9" s="4" t="s">
        <v>157</v>
      </c>
      <c r="K9" s="4">
        <v>14513702</v>
      </c>
      <c r="L9" s="4">
        <v>14513603</v>
      </c>
      <c r="M9" s="4" t="s">
        <v>153</v>
      </c>
      <c r="N9" s="4">
        <v>14281101</v>
      </c>
      <c r="O9" s="4" t="s">
        <v>2666</v>
      </c>
      <c r="P9" s="5">
        <v>279</v>
      </c>
      <c r="Q9" s="5">
        <v>23</v>
      </c>
      <c r="R9" s="5" t="s">
        <v>2667</v>
      </c>
      <c r="S9" s="18">
        <v>22.73</v>
      </c>
      <c r="T9" s="11">
        <v>22.36</v>
      </c>
      <c r="U9" s="11">
        <v>18.57</v>
      </c>
      <c r="V9" s="11">
        <v>18.54</v>
      </c>
      <c r="W9" s="5" t="s">
        <v>1473</v>
      </c>
      <c r="X9" s="5" t="s">
        <v>2650</v>
      </c>
      <c r="Y9" s="5" t="s">
        <v>2668</v>
      </c>
    </row>
    <row r="10" spans="1:36" s="10" customFormat="1" ht="23.25" customHeight="1" x14ac:dyDescent="0.2">
      <c r="A10" s="6" t="s">
        <v>2219</v>
      </c>
      <c r="B10" s="6" t="s">
        <v>3012</v>
      </c>
      <c r="C10" s="2" t="s">
        <v>2777</v>
      </c>
      <c r="D10" s="2" t="s">
        <v>1714</v>
      </c>
      <c r="E10" s="6">
        <v>2005.5</v>
      </c>
      <c r="F10" s="6" t="s">
        <v>681</v>
      </c>
      <c r="G10" s="5" t="s">
        <v>1469</v>
      </c>
      <c r="H10" s="3" t="s">
        <v>2778</v>
      </c>
      <c r="I10" s="6">
        <v>15169201</v>
      </c>
      <c r="J10" s="3" t="s">
        <v>2779</v>
      </c>
      <c r="K10" s="6">
        <v>15169102</v>
      </c>
      <c r="L10" s="8">
        <v>15169001</v>
      </c>
      <c r="M10" s="6" t="s">
        <v>153</v>
      </c>
      <c r="N10" s="2">
        <v>13684301</v>
      </c>
      <c r="O10" s="2" t="s">
        <v>3115</v>
      </c>
      <c r="P10" s="3">
        <v>202.75</v>
      </c>
      <c r="Q10" s="3">
        <v>22</v>
      </c>
      <c r="R10" s="3" t="s">
        <v>2673</v>
      </c>
      <c r="S10" s="11">
        <v>9.7040000000000006</v>
      </c>
      <c r="T10" s="11">
        <v>9.6999999999999993</v>
      </c>
      <c r="U10" s="11">
        <v>7.4386999999999999</v>
      </c>
      <c r="V10" s="11">
        <v>7.44</v>
      </c>
      <c r="W10" s="5" t="s">
        <v>1473</v>
      </c>
      <c r="X10" s="5" t="s">
        <v>2650</v>
      </c>
      <c r="Y10" s="5" t="s">
        <v>3255</v>
      </c>
      <c r="Z10" s="5"/>
    </row>
    <row r="11" spans="1:36" s="10" customFormat="1" ht="23.25" customHeight="1" x14ac:dyDescent="0.2">
      <c r="A11" s="6" t="s">
        <v>2219</v>
      </c>
      <c r="B11" s="6" t="s">
        <v>3012</v>
      </c>
      <c r="C11" s="2" t="s">
        <v>61</v>
      </c>
      <c r="D11" s="2" t="s">
        <v>1714</v>
      </c>
      <c r="E11" s="6">
        <v>2005</v>
      </c>
      <c r="F11" s="6" t="s">
        <v>681</v>
      </c>
      <c r="G11" s="5" t="s">
        <v>1469</v>
      </c>
      <c r="H11" s="3" t="s">
        <v>2776</v>
      </c>
      <c r="I11" s="6">
        <v>15297901</v>
      </c>
      <c r="J11" s="6" t="s">
        <v>1480</v>
      </c>
      <c r="K11" s="6">
        <v>15297801</v>
      </c>
      <c r="L11" s="8">
        <v>15297701</v>
      </c>
      <c r="M11" s="6" t="s">
        <v>153</v>
      </c>
      <c r="N11" s="2">
        <v>14279201</v>
      </c>
      <c r="O11" s="2" t="s">
        <v>3114</v>
      </c>
      <c r="P11" s="3">
        <v>248</v>
      </c>
      <c r="Q11" s="3">
        <v>20</v>
      </c>
      <c r="R11" s="3" t="s">
        <v>2780</v>
      </c>
      <c r="S11" s="11">
        <v>15.712999999999999</v>
      </c>
      <c r="T11" s="11">
        <v>15.65</v>
      </c>
      <c r="U11" s="11">
        <v>13.487</v>
      </c>
      <c r="V11" s="11">
        <v>13.26</v>
      </c>
      <c r="W11" s="5" t="s">
        <v>1473</v>
      </c>
      <c r="X11" s="5" t="s">
        <v>2650</v>
      </c>
      <c r="Y11" s="5" t="s">
        <v>3256</v>
      </c>
    </row>
    <row r="12" spans="1:36" s="10" customFormat="1" ht="33.75" hidden="1" x14ac:dyDescent="0.2">
      <c r="A12" s="6" t="s">
        <v>2219</v>
      </c>
      <c r="B12" s="6" t="s">
        <v>3013</v>
      </c>
      <c r="C12" s="8" t="s">
        <v>984</v>
      </c>
      <c r="D12" s="2" t="s">
        <v>1714</v>
      </c>
      <c r="E12" s="6">
        <v>2005</v>
      </c>
      <c r="F12" s="6" t="s">
        <v>681</v>
      </c>
      <c r="G12" s="5" t="s">
        <v>1411</v>
      </c>
      <c r="H12" s="5" t="s">
        <v>2675</v>
      </c>
      <c r="I12" s="8">
        <v>14611801</v>
      </c>
      <c r="J12" s="8" t="s">
        <v>2782</v>
      </c>
      <c r="K12" s="8">
        <v>14611801</v>
      </c>
      <c r="L12" s="8">
        <v>14611701</v>
      </c>
      <c r="M12" s="6" t="s">
        <v>2646</v>
      </c>
      <c r="N12" s="2" t="s">
        <v>538</v>
      </c>
      <c r="O12" s="2" t="s">
        <v>1814</v>
      </c>
      <c r="P12" s="3">
        <v>203</v>
      </c>
      <c r="Q12" s="3">
        <v>13.13</v>
      </c>
      <c r="R12" s="3" t="s">
        <v>2783</v>
      </c>
      <c r="S12" s="15">
        <v>9.16</v>
      </c>
      <c r="T12" s="15"/>
      <c r="U12" s="15">
        <v>8.6</v>
      </c>
      <c r="V12" s="15"/>
      <c r="W12" s="5" t="s">
        <v>58</v>
      </c>
      <c r="X12" s="3" t="s">
        <v>2650</v>
      </c>
      <c r="Y12" s="5" t="s">
        <v>59</v>
      </c>
    </row>
    <row r="13" spans="1:36" s="10" customFormat="1" ht="33.75" hidden="1" x14ac:dyDescent="0.2">
      <c r="A13" s="6" t="s">
        <v>2219</v>
      </c>
      <c r="B13" s="6" t="s">
        <v>3013</v>
      </c>
      <c r="C13" s="8" t="s">
        <v>983</v>
      </c>
      <c r="D13" s="2" t="s">
        <v>1714</v>
      </c>
      <c r="E13" s="6">
        <v>2005</v>
      </c>
      <c r="F13" s="6" t="s">
        <v>681</v>
      </c>
      <c r="G13" s="5" t="s">
        <v>1411</v>
      </c>
      <c r="H13" s="3" t="s">
        <v>348</v>
      </c>
      <c r="I13" s="8">
        <v>14611901</v>
      </c>
      <c r="J13" s="8" t="s">
        <v>2784</v>
      </c>
      <c r="K13" s="8">
        <v>14611801</v>
      </c>
      <c r="L13" s="8">
        <v>14611701</v>
      </c>
      <c r="M13" s="6" t="s">
        <v>2646</v>
      </c>
      <c r="N13" s="2" t="s">
        <v>347</v>
      </c>
      <c r="O13" s="2" t="s">
        <v>1814</v>
      </c>
      <c r="P13" s="3">
        <v>203</v>
      </c>
      <c r="Q13" s="3">
        <v>13.13</v>
      </c>
      <c r="R13" s="3" t="s">
        <v>2783</v>
      </c>
      <c r="S13" s="15">
        <v>9.16</v>
      </c>
      <c r="T13" s="15"/>
      <c r="U13" s="15">
        <v>8.6</v>
      </c>
      <c r="V13" s="15"/>
      <c r="W13" s="5" t="s">
        <v>58</v>
      </c>
      <c r="X13" s="3" t="s">
        <v>2650</v>
      </c>
      <c r="Y13" s="5" t="s">
        <v>59</v>
      </c>
    </row>
    <row r="14" spans="1:36" s="10" customFormat="1" ht="23.25" customHeight="1" x14ac:dyDescent="0.2">
      <c r="A14" s="6" t="s">
        <v>2219</v>
      </c>
      <c r="B14" s="6" t="s">
        <v>3012</v>
      </c>
      <c r="C14" s="8" t="s">
        <v>61</v>
      </c>
      <c r="D14" s="2" t="s">
        <v>1714</v>
      </c>
      <c r="E14" s="6">
        <v>2005</v>
      </c>
      <c r="F14" s="6" t="s">
        <v>681</v>
      </c>
      <c r="G14" s="5" t="s">
        <v>1469</v>
      </c>
      <c r="H14" s="3" t="s">
        <v>2776</v>
      </c>
      <c r="I14" s="8">
        <v>14523201</v>
      </c>
      <c r="J14" s="8" t="s">
        <v>2785</v>
      </c>
      <c r="K14" s="8">
        <v>15297801</v>
      </c>
      <c r="L14" s="8">
        <v>15297701</v>
      </c>
      <c r="M14" s="6" t="s">
        <v>153</v>
      </c>
      <c r="N14" s="2">
        <v>14279201</v>
      </c>
      <c r="O14" s="2" t="s">
        <v>3113</v>
      </c>
      <c r="P14" s="3">
        <v>248</v>
      </c>
      <c r="Q14" s="3">
        <v>20</v>
      </c>
      <c r="R14" s="3" t="s">
        <v>2780</v>
      </c>
      <c r="S14" s="11">
        <v>15.712999999999999</v>
      </c>
      <c r="T14" s="11">
        <v>15.65</v>
      </c>
      <c r="U14" s="11">
        <v>13.487</v>
      </c>
      <c r="V14" s="11">
        <v>13.26</v>
      </c>
      <c r="W14" s="5" t="s">
        <v>1473</v>
      </c>
      <c r="X14" s="5" t="s">
        <v>2650</v>
      </c>
      <c r="Y14" s="5" t="s">
        <v>1474</v>
      </c>
    </row>
    <row r="15" spans="1:36" s="10" customFormat="1" ht="33.75" hidden="1" x14ac:dyDescent="0.2">
      <c r="A15" s="6" t="s">
        <v>2219</v>
      </c>
      <c r="B15" s="6" t="s">
        <v>3013</v>
      </c>
      <c r="C15" s="8" t="s">
        <v>983</v>
      </c>
      <c r="D15" s="2" t="s">
        <v>1714</v>
      </c>
      <c r="E15" s="6">
        <v>2005</v>
      </c>
      <c r="F15" s="6" t="s">
        <v>681</v>
      </c>
      <c r="G15" s="5" t="s">
        <v>981</v>
      </c>
      <c r="H15" s="3" t="s">
        <v>348</v>
      </c>
      <c r="I15" s="8" t="s">
        <v>1814</v>
      </c>
      <c r="J15" s="8" t="s">
        <v>60</v>
      </c>
      <c r="K15" s="8">
        <v>14612201</v>
      </c>
      <c r="L15" s="8">
        <v>14612101</v>
      </c>
      <c r="M15" s="6" t="s">
        <v>2646</v>
      </c>
      <c r="N15" s="2" t="s">
        <v>347</v>
      </c>
      <c r="O15" s="2" t="s">
        <v>1814</v>
      </c>
      <c r="P15" s="3">
        <v>203</v>
      </c>
      <c r="Q15" s="3">
        <v>13.13</v>
      </c>
      <c r="R15" s="3" t="s">
        <v>541</v>
      </c>
      <c r="S15" s="11" t="s">
        <v>2952</v>
      </c>
      <c r="T15" s="11"/>
      <c r="U15" s="11" t="s">
        <v>2952</v>
      </c>
      <c r="V15" s="11"/>
      <c r="W15" s="5" t="s">
        <v>58</v>
      </c>
      <c r="X15" s="3" t="s">
        <v>2650</v>
      </c>
      <c r="Y15" s="5" t="s">
        <v>59</v>
      </c>
    </row>
    <row r="16" spans="1:36" s="10" customFormat="1" ht="33.75" hidden="1" x14ac:dyDescent="0.2">
      <c r="A16" s="6" t="s">
        <v>2219</v>
      </c>
      <c r="B16" s="6" t="s">
        <v>3013</v>
      </c>
      <c r="C16" s="8" t="s">
        <v>982</v>
      </c>
      <c r="D16" s="2" t="s">
        <v>1714</v>
      </c>
      <c r="E16" s="6">
        <v>2005</v>
      </c>
      <c r="F16" s="6" t="s">
        <v>681</v>
      </c>
      <c r="G16" s="5" t="s">
        <v>1411</v>
      </c>
      <c r="H16" s="5" t="s">
        <v>346</v>
      </c>
      <c r="I16" s="8" t="s">
        <v>1814</v>
      </c>
      <c r="J16" s="8" t="s">
        <v>60</v>
      </c>
      <c r="K16" s="8">
        <v>14767501</v>
      </c>
      <c r="L16" s="8" t="s">
        <v>2952</v>
      </c>
      <c r="M16" s="6" t="s">
        <v>2646</v>
      </c>
      <c r="N16" s="2" t="s">
        <v>347</v>
      </c>
      <c r="O16" s="2" t="s">
        <v>1814</v>
      </c>
      <c r="P16" s="3">
        <v>203</v>
      </c>
      <c r="Q16" s="3">
        <v>20.8</v>
      </c>
      <c r="R16" s="3" t="s">
        <v>2090</v>
      </c>
      <c r="S16" s="11">
        <v>8.2539999999999996</v>
      </c>
      <c r="T16" s="11"/>
      <c r="U16" s="11">
        <v>6.1980000000000004</v>
      </c>
      <c r="V16" s="11"/>
      <c r="W16" s="5" t="s">
        <v>58</v>
      </c>
      <c r="X16" s="3" t="s">
        <v>2650</v>
      </c>
      <c r="Y16" s="5" t="s">
        <v>59</v>
      </c>
    </row>
    <row r="17" spans="1:255" s="3" customFormat="1" ht="23.25" customHeight="1" x14ac:dyDescent="0.2">
      <c r="A17" s="6" t="s">
        <v>2219</v>
      </c>
      <c r="B17" s="6" t="s">
        <v>3012</v>
      </c>
      <c r="C17" s="8" t="s">
        <v>1462</v>
      </c>
      <c r="D17" s="2" t="s">
        <v>1714</v>
      </c>
      <c r="E17" s="6">
        <v>2006</v>
      </c>
      <c r="F17" s="6" t="s">
        <v>681</v>
      </c>
      <c r="G17" s="5" t="s">
        <v>1469</v>
      </c>
      <c r="H17" s="3" t="s">
        <v>2077</v>
      </c>
      <c r="I17" s="8">
        <v>14822801</v>
      </c>
      <c r="J17" s="8" t="s">
        <v>2078</v>
      </c>
      <c r="K17" s="8">
        <v>14822701</v>
      </c>
      <c r="L17" s="8">
        <v>14822601</v>
      </c>
      <c r="M17" s="6" t="s">
        <v>153</v>
      </c>
      <c r="N17" s="2">
        <v>14821501</v>
      </c>
      <c r="O17" s="2" t="s">
        <v>3112</v>
      </c>
      <c r="P17" s="3">
        <v>336</v>
      </c>
      <c r="Q17" s="3">
        <v>23</v>
      </c>
      <c r="R17" s="3" t="s">
        <v>543</v>
      </c>
      <c r="S17" s="11">
        <v>30.538</v>
      </c>
      <c r="T17" s="11"/>
      <c r="U17" s="11">
        <v>26.85</v>
      </c>
      <c r="V17" s="11"/>
      <c r="W17" s="5" t="s">
        <v>1473</v>
      </c>
      <c r="Y17" s="5" t="s">
        <v>2668</v>
      </c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</row>
    <row r="18" spans="1:255" s="3" customFormat="1" ht="33" customHeight="1" x14ac:dyDescent="0.2">
      <c r="A18" s="6" t="s">
        <v>1461</v>
      </c>
      <c r="B18" s="6" t="s">
        <v>3012</v>
      </c>
      <c r="C18" s="8" t="s">
        <v>3117</v>
      </c>
      <c r="D18" s="2" t="s">
        <v>2226</v>
      </c>
      <c r="E18" s="6">
        <v>2008</v>
      </c>
      <c r="F18" s="6" t="s">
        <v>1015</v>
      </c>
      <c r="G18" s="5" t="s">
        <v>1469</v>
      </c>
      <c r="H18" s="3" t="s">
        <v>1285</v>
      </c>
      <c r="I18" s="8">
        <v>16376402</v>
      </c>
      <c r="J18" s="8" t="s">
        <v>3094</v>
      </c>
      <c r="K18" s="8">
        <v>16376302</v>
      </c>
      <c r="L18" s="8">
        <v>16375902</v>
      </c>
      <c r="M18" s="6" t="s">
        <v>153</v>
      </c>
      <c r="N18" s="2">
        <v>16788701</v>
      </c>
      <c r="O18" s="4" t="s">
        <v>2666</v>
      </c>
      <c r="P18" s="5">
        <v>279</v>
      </c>
      <c r="Q18" s="5">
        <v>23</v>
      </c>
      <c r="R18" s="5" t="s">
        <v>2667</v>
      </c>
      <c r="S18" s="18">
        <v>22.73</v>
      </c>
      <c r="T18" s="11">
        <v>22.36</v>
      </c>
      <c r="U18" s="11">
        <v>18.57</v>
      </c>
      <c r="V18" s="11">
        <v>18.54</v>
      </c>
      <c r="W18" s="5" t="s">
        <v>1473</v>
      </c>
      <c r="X18" s="5" t="s">
        <v>2650</v>
      </c>
      <c r="Y18" s="5" t="s">
        <v>2668</v>
      </c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</row>
    <row r="19" spans="1:255" s="3" customFormat="1" ht="33" customHeight="1" x14ac:dyDescent="0.2">
      <c r="A19" s="6" t="s">
        <v>1461</v>
      </c>
      <c r="B19" s="6" t="s">
        <v>3012</v>
      </c>
      <c r="C19" s="8" t="s">
        <v>216</v>
      </c>
      <c r="D19" s="2" t="s">
        <v>2226</v>
      </c>
      <c r="E19" s="6">
        <v>2008</v>
      </c>
      <c r="F19" s="6" t="s">
        <v>1015</v>
      </c>
      <c r="G19" s="5" t="s">
        <v>1469</v>
      </c>
      <c r="H19" s="3" t="s">
        <v>1285</v>
      </c>
      <c r="I19" s="8">
        <v>16376402</v>
      </c>
      <c r="J19" s="8" t="s">
        <v>3094</v>
      </c>
      <c r="K19" s="8">
        <v>16376302</v>
      </c>
      <c r="L19" s="8">
        <v>16375902</v>
      </c>
      <c r="M19" s="6" t="s">
        <v>153</v>
      </c>
      <c r="N19" s="2">
        <v>16788701</v>
      </c>
      <c r="O19" s="4" t="s">
        <v>2666</v>
      </c>
      <c r="P19" s="5">
        <v>279</v>
      </c>
      <c r="Q19" s="5">
        <v>23</v>
      </c>
      <c r="R19" s="5" t="s">
        <v>2667</v>
      </c>
      <c r="S19" s="18">
        <v>22.73</v>
      </c>
      <c r="T19" s="11">
        <v>22.36</v>
      </c>
      <c r="U19" s="11">
        <v>18.57</v>
      </c>
      <c r="V19" s="11">
        <v>18.54</v>
      </c>
      <c r="W19" s="5" t="s">
        <v>1473</v>
      </c>
      <c r="X19" s="5" t="s">
        <v>2650</v>
      </c>
      <c r="Y19" s="5" t="s">
        <v>2668</v>
      </c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</row>
    <row r="20" spans="1:255" s="10" customFormat="1" ht="35.450000000000003" customHeight="1" x14ac:dyDescent="0.2">
      <c r="A20" s="6" t="s">
        <v>1461</v>
      </c>
      <c r="B20" s="6" t="s">
        <v>3012</v>
      </c>
      <c r="C20" s="8" t="s">
        <v>2165</v>
      </c>
      <c r="D20" s="2" t="s">
        <v>2226</v>
      </c>
      <c r="E20" s="6">
        <v>2009</v>
      </c>
      <c r="F20" s="6" t="s">
        <v>1015</v>
      </c>
      <c r="G20" s="5" t="s">
        <v>1469</v>
      </c>
      <c r="H20" s="3" t="s">
        <v>1285</v>
      </c>
      <c r="I20" s="8">
        <v>18048802</v>
      </c>
      <c r="J20" s="8" t="s">
        <v>157</v>
      </c>
      <c r="K20" s="8">
        <v>18048302</v>
      </c>
      <c r="L20" s="8">
        <v>15907201</v>
      </c>
      <c r="M20" s="6" t="s">
        <v>1874</v>
      </c>
      <c r="N20" s="2">
        <v>17172001</v>
      </c>
      <c r="O20" s="4" t="s">
        <v>3110</v>
      </c>
      <c r="P20" s="5">
        <v>219</v>
      </c>
      <c r="Q20" s="5">
        <v>21</v>
      </c>
      <c r="R20" s="5" t="s">
        <v>2984</v>
      </c>
      <c r="S20" s="18">
        <v>13.25</v>
      </c>
      <c r="T20" s="11" t="s">
        <v>1921</v>
      </c>
      <c r="U20" s="11">
        <v>10.4</v>
      </c>
      <c r="V20" s="11" t="s">
        <v>1921</v>
      </c>
      <c r="W20" s="5" t="s">
        <v>1473</v>
      </c>
      <c r="X20" s="5" t="s">
        <v>2650</v>
      </c>
      <c r="Y20" s="5" t="s">
        <v>2233</v>
      </c>
    </row>
    <row r="21" spans="1:255" s="10" customFormat="1" ht="35.450000000000003" customHeight="1" x14ac:dyDescent="0.2">
      <c r="A21" s="6" t="s">
        <v>1461</v>
      </c>
      <c r="B21" s="6" t="s">
        <v>3012</v>
      </c>
      <c r="C21" s="8" t="s">
        <v>2165</v>
      </c>
      <c r="D21" s="2" t="s">
        <v>2226</v>
      </c>
      <c r="E21" s="6">
        <v>2009</v>
      </c>
      <c r="F21" s="6" t="s">
        <v>1015</v>
      </c>
      <c r="G21" s="5" t="s">
        <v>1469</v>
      </c>
      <c r="H21" s="3" t="s">
        <v>1285</v>
      </c>
      <c r="I21" s="8">
        <v>15907402</v>
      </c>
      <c r="J21" s="8" t="s">
        <v>157</v>
      </c>
      <c r="K21" s="8">
        <v>15907302</v>
      </c>
      <c r="L21" s="8">
        <v>15907201</v>
      </c>
      <c r="M21" s="6" t="s">
        <v>227</v>
      </c>
      <c r="N21" s="2">
        <v>15919501</v>
      </c>
      <c r="O21" s="4" t="s">
        <v>3111</v>
      </c>
      <c r="P21" s="5">
        <v>219</v>
      </c>
      <c r="Q21" s="5">
        <v>21</v>
      </c>
      <c r="R21" s="5" t="s">
        <v>2984</v>
      </c>
      <c r="S21" s="18">
        <v>13.25</v>
      </c>
      <c r="T21" s="11" t="s">
        <v>1921</v>
      </c>
      <c r="U21" s="11">
        <v>10.4</v>
      </c>
      <c r="V21" s="11" t="s">
        <v>1921</v>
      </c>
      <c r="W21" s="5" t="s">
        <v>1473</v>
      </c>
      <c r="X21" s="5" t="s">
        <v>2650</v>
      </c>
      <c r="Y21" s="5" t="s">
        <v>2233</v>
      </c>
    </row>
    <row r="22" spans="1:255" s="10" customFormat="1" ht="35.450000000000003" customHeight="1" x14ac:dyDescent="0.2">
      <c r="A22" s="358"/>
      <c r="B22" s="358"/>
      <c r="C22" s="359"/>
      <c r="D22" s="360"/>
      <c r="E22" s="358"/>
      <c r="F22" s="358"/>
      <c r="G22" s="9"/>
      <c r="I22" s="359"/>
      <c r="J22" s="359"/>
      <c r="K22" s="359"/>
      <c r="L22" s="359"/>
      <c r="M22" s="358"/>
      <c r="N22" s="360"/>
      <c r="O22" s="12"/>
      <c r="P22" s="9"/>
      <c r="Q22" s="9"/>
      <c r="R22" s="9"/>
      <c r="S22" s="361"/>
      <c r="T22" s="362"/>
      <c r="U22" s="362"/>
      <c r="V22" s="362"/>
      <c r="W22" s="9"/>
      <c r="X22" s="9"/>
      <c r="Y22" s="9"/>
    </row>
    <row r="23" spans="1:255" s="10" customFormat="1" ht="35.450000000000003" customHeight="1" x14ac:dyDescent="0.2">
      <c r="A23" s="358"/>
      <c r="B23" s="358"/>
      <c r="C23" s="359"/>
      <c r="D23" s="360"/>
      <c r="E23" s="358"/>
      <c r="F23" s="358"/>
      <c r="G23" s="9"/>
      <c r="I23" s="359"/>
      <c r="J23" s="359"/>
      <c r="K23" s="359"/>
      <c r="L23" s="359"/>
      <c r="M23" s="358"/>
      <c r="N23" s="360"/>
      <c r="O23" s="12"/>
      <c r="P23" s="9"/>
      <c r="Q23" s="9"/>
      <c r="R23" s="9"/>
      <c r="S23" s="361"/>
      <c r="T23" s="362"/>
      <c r="U23" s="362"/>
      <c r="V23" s="362"/>
      <c r="W23" s="9"/>
      <c r="X23" s="9"/>
      <c r="Y23" s="9"/>
    </row>
    <row r="24" spans="1:255" s="10" customFormat="1" ht="35.450000000000003" customHeight="1" x14ac:dyDescent="0.2">
      <c r="A24" s="358"/>
      <c r="B24" s="358"/>
      <c r="C24" s="359"/>
      <c r="D24" s="360"/>
      <c r="E24" s="358"/>
      <c r="F24" s="358"/>
      <c r="G24" s="9"/>
      <c r="I24" s="359"/>
      <c r="J24" s="359"/>
      <c r="K24" s="359"/>
      <c r="L24" s="359"/>
      <c r="M24" s="358"/>
      <c r="N24" s="360"/>
      <c r="O24" s="12"/>
      <c r="P24" s="9"/>
      <c r="Q24" s="9"/>
      <c r="R24" s="9"/>
      <c r="S24" s="361"/>
      <c r="T24" s="362"/>
      <c r="U24" s="362"/>
      <c r="V24" s="362"/>
      <c r="W24" s="9"/>
      <c r="X24" s="9"/>
      <c r="Y24" s="9"/>
    </row>
    <row r="25" spans="1:255" x14ac:dyDescent="0.2">
      <c r="A25" s="9"/>
      <c r="B25" s="9"/>
      <c r="C25" s="9"/>
      <c r="D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5" x14ac:dyDescent="0.2">
      <c r="A26" s="24" t="s">
        <v>1935</v>
      </c>
      <c r="B26" s="314"/>
      <c r="C26" s="9"/>
      <c r="D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5" s="10" customFormat="1" ht="23.25" customHeight="1" x14ac:dyDescent="0.2">
      <c r="A27" s="6" t="s">
        <v>679</v>
      </c>
      <c r="B27" s="6"/>
      <c r="C27" s="3" t="s">
        <v>1467</v>
      </c>
      <c r="D27" s="2" t="s">
        <v>1051</v>
      </c>
      <c r="E27" s="6">
        <v>1998</v>
      </c>
      <c r="F27" s="6" t="s">
        <v>681</v>
      </c>
      <c r="G27" s="5" t="s">
        <v>1469</v>
      </c>
      <c r="H27" s="3" t="s">
        <v>2776</v>
      </c>
      <c r="I27" s="6">
        <v>1307800</v>
      </c>
      <c r="J27" s="6" t="s">
        <v>2075</v>
      </c>
      <c r="K27" s="3">
        <v>13077901</v>
      </c>
      <c r="L27" s="8">
        <v>13077801</v>
      </c>
      <c r="M27" s="6" t="s">
        <v>153</v>
      </c>
      <c r="N27" s="2">
        <v>13277801</v>
      </c>
      <c r="O27" s="3" t="s">
        <v>2076</v>
      </c>
      <c r="P27" s="3">
        <v>215</v>
      </c>
      <c r="Q27" s="3">
        <v>20</v>
      </c>
      <c r="R27" s="3" t="s">
        <v>2089</v>
      </c>
      <c r="S27" s="11">
        <v>12.906000000000001</v>
      </c>
      <c r="T27" s="11">
        <v>12.7</v>
      </c>
      <c r="U27" s="11">
        <v>10.54</v>
      </c>
      <c r="V27" s="11">
        <v>10.52</v>
      </c>
      <c r="W27" s="5" t="s">
        <v>1473</v>
      </c>
      <c r="X27" s="5" t="s">
        <v>2650</v>
      </c>
      <c r="Y27" s="5" t="s">
        <v>1474</v>
      </c>
    </row>
    <row r="28" spans="1:255" ht="33.75" x14ac:dyDescent="0.2">
      <c r="A28" s="1" t="s">
        <v>2219</v>
      </c>
      <c r="B28" s="1"/>
      <c r="C28" s="4" t="s">
        <v>1466</v>
      </c>
      <c r="D28" s="2" t="s">
        <v>1051</v>
      </c>
      <c r="E28" s="4">
        <v>1998</v>
      </c>
      <c r="F28" s="4" t="s">
        <v>681</v>
      </c>
      <c r="G28" s="5" t="s">
        <v>2643</v>
      </c>
      <c r="H28" s="5" t="s">
        <v>2644</v>
      </c>
      <c r="I28" s="4">
        <v>14277702</v>
      </c>
      <c r="J28" s="4" t="s">
        <v>2645</v>
      </c>
      <c r="K28" s="4">
        <v>13590104</v>
      </c>
      <c r="L28" s="4">
        <v>13590002</v>
      </c>
      <c r="M28" s="4" t="s">
        <v>2646</v>
      </c>
      <c r="N28" s="2">
        <v>14280901</v>
      </c>
      <c r="O28" s="4" t="s">
        <v>2647</v>
      </c>
      <c r="P28" s="5">
        <v>203</v>
      </c>
      <c r="Q28" s="3">
        <v>13</v>
      </c>
      <c r="R28" s="5" t="s">
        <v>2648</v>
      </c>
      <c r="S28" s="3">
        <v>8.2539999999999996</v>
      </c>
      <c r="T28" s="3"/>
      <c r="U28" s="3">
        <v>6.1980000000000004</v>
      </c>
      <c r="V28" s="3"/>
      <c r="W28" s="5" t="s">
        <v>2649</v>
      </c>
      <c r="X28" s="5" t="s">
        <v>2650</v>
      </c>
      <c r="Y28" s="5" t="s">
        <v>1468</v>
      </c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</row>
    <row r="29" spans="1:255" s="3" customFormat="1" ht="23.25" customHeight="1" x14ac:dyDescent="0.2">
      <c r="A29" s="6" t="s">
        <v>2219</v>
      </c>
      <c r="B29" s="6"/>
      <c r="C29" s="8" t="s">
        <v>1462</v>
      </c>
      <c r="D29" s="2" t="s">
        <v>1546</v>
      </c>
      <c r="E29" s="6">
        <v>2004</v>
      </c>
      <c r="F29" s="6" t="s">
        <v>681</v>
      </c>
      <c r="I29" s="8">
        <v>14822801</v>
      </c>
      <c r="J29" s="8"/>
      <c r="K29" s="8">
        <v>14822701</v>
      </c>
      <c r="L29" s="8">
        <v>14822601</v>
      </c>
      <c r="M29" s="6"/>
      <c r="N29" s="2">
        <v>14821501</v>
      </c>
      <c r="O29" s="2" t="s">
        <v>542</v>
      </c>
      <c r="P29" s="3">
        <v>336</v>
      </c>
      <c r="Q29" s="3">
        <v>23</v>
      </c>
      <c r="R29" s="3" t="s">
        <v>543</v>
      </c>
      <c r="S29" s="11">
        <v>30.538</v>
      </c>
      <c r="T29" s="11"/>
      <c r="U29" s="11">
        <v>26.58</v>
      </c>
      <c r="V29" s="11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</row>
    <row r="30" spans="1:255" ht="33.75" x14ac:dyDescent="0.2">
      <c r="A30" s="1" t="s">
        <v>648</v>
      </c>
      <c r="B30" s="1"/>
      <c r="C30" s="1" t="s">
        <v>2683</v>
      </c>
      <c r="D30" s="4" t="s">
        <v>214</v>
      </c>
      <c r="E30" s="1">
        <v>1999</v>
      </c>
      <c r="F30" s="6" t="s">
        <v>1015</v>
      </c>
      <c r="G30" s="5" t="s">
        <v>2684</v>
      </c>
      <c r="H30" s="5" t="s">
        <v>2675</v>
      </c>
      <c r="I30" s="19" t="s">
        <v>2685</v>
      </c>
      <c r="J30" s="14" t="s">
        <v>2686</v>
      </c>
      <c r="K30" s="1">
        <v>15876301</v>
      </c>
      <c r="L30" s="1">
        <v>13028001</v>
      </c>
      <c r="M30" s="1" t="s">
        <v>2687</v>
      </c>
      <c r="N30" s="4">
        <v>13045201</v>
      </c>
      <c r="O30" s="4" t="s">
        <v>2688</v>
      </c>
      <c r="P30" s="5">
        <v>199.3</v>
      </c>
      <c r="Q30" s="5">
        <v>10.199999999999999</v>
      </c>
      <c r="R30" s="5" t="s">
        <v>2689</v>
      </c>
      <c r="S30" s="3">
        <v>5.94</v>
      </c>
      <c r="T30" s="3"/>
      <c r="U30" s="3">
        <f>10.8/2.2045</f>
        <v>4.8990700839192565</v>
      </c>
      <c r="V30" s="3"/>
      <c r="W30" s="5" t="s">
        <v>2649</v>
      </c>
      <c r="X30" s="5" t="s">
        <v>2650</v>
      </c>
      <c r="Y30" s="5" t="s">
        <v>1468</v>
      </c>
    </row>
    <row r="31" spans="1:255" ht="33.75" x14ac:dyDescent="0.2">
      <c r="A31" s="1" t="s">
        <v>648</v>
      </c>
      <c r="B31" s="1"/>
      <c r="C31" s="1" t="s">
        <v>2690</v>
      </c>
      <c r="D31" s="4" t="s">
        <v>214</v>
      </c>
      <c r="E31" s="1">
        <v>1999</v>
      </c>
      <c r="F31" s="6" t="s">
        <v>1015</v>
      </c>
      <c r="G31" s="5" t="s">
        <v>2643</v>
      </c>
      <c r="H31" s="5" t="s">
        <v>2675</v>
      </c>
      <c r="I31" s="14">
        <v>15875901</v>
      </c>
      <c r="J31" s="14">
        <v>15225770</v>
      </c>
      <c r="K31" s="1">
        <v>15876401</v>
      </c>
      <c r="L31" s="1">
        <v>13044701</v>
      </c>
      <c r="M31" s="1" t="s">
        <v>2687</v>
      </c>
      <c r="N31" s="4">
        <v>13045201</v>
      </c>
      <c r="O31" s="4" t="s">
        <v>2688</v>
      </c>
      <c r="P31" s="5">
        <v>199.3</v>
      </c>
      <c r="Q31" s="5">
        <v>10.199999999999999</v>
      </c>
      <c r="R31" s="5" t="s">
        <v>2689</v>
      </c>
      <c r="S31" s="3">
        <v>5.27</v>
      </c>
      <c r="T31" s="3"/>
      <c r="U31" s="3">
        <v>3.9980000000000002</v>
      </c>
      <c r="V31" s="3"/>
      <c r="W31" s="5" t="s">
        <v>2649</v>
      </c>
      <c r="X31" s="5" t="s">
        <v>2650</v>
      </c>
      <c r="Y31" s="5" t="s">
        <v>1468</v>
      </c>
    </row>
    <row r="32" spans="1:255" ht="33.75" x14ac:dyDescent="0.2">
      <c r="A32" s="1" t="s">
        <v>648</v>
      </c>
      <c r="B32" s="1"/>
      <c r="C32" s="1" t="s">
        <v>2691</v>
      </c>
      <c r="D32" s="4" t="s">
        <v>214</v>
      </c>
      <c r="E32" s="1">
        <v>2001</v>
      </c>
      <c r="F32" s="6" t="s">
        <v>1015</v>
      </c>
      <c r="G32" s="5" t="s">
        <v>2684</v>
      </c>
      <c r="H32" s="5" t="s">
        <v>2675</v>
      </c>
      <c r="I32" s="1">
        <v>15875801</v>
      </c>
      <c r="J32" s="1">
        <v>15225752</v>
      </c>
      <c r="K32" s="1">
        <v>15876301</v>
      </c>
      <c r="L32" s="1">
        <v>13028001</v>
      </c>
      <c r="M32" s="1" t="s">
        <v>2687</v>
      </c>
      <c r="N32" s="4">
        <v>13045201</v>
      </c>
      <c r="O32" s="4" t="s">
        <v>2688</v>
      </c>
      <c r="P32" s="5">
        <v>199.3</v>
      </c>
      <c r="Q32" s="5">
        <v>10.199999999999999</v>
      </c>
      <c r="R32" s="5" t="s">
        <v>2689</v>
      </c>
      <c r="S32" s="3">
        <v>5.94</v>
      </c>
      <c r="T32" s="3"/>
      <c r="U32" s="3">
        <f>10.8/2.2045</f>
        <v>4.8990700839192565</v>
      </c>
      <c r="V32" s="3"/>
      <c r="W32" s="5" t="s">
        <v>2649</v>
      </c>
      <c r="X32" s="5" t="s">
        <v>2692</v>
      </c>
      <c r="Y32" s="5" t="s">
        <v>1468</v>
      </c>
    </row>
    <row r="33" spans="1:36" ht="33.75" x14ac:dyDescent="0.2">
      <c r="A33" s="1" t="s">
        <v>648</v>
      </c>
      <c r="B33" s="1"/>
      <c r="C33" s="1" t="s">
        <v>2693</v>
      </c>
      <c r="D33" s="4" t="s">
        <v>214</v>
      </c>
      <c r="E33" s="1">
        <v>2001</v>
      </c>
      <c r="F33" s="6" t="s">
        <v>1015</v>
      </c>
      <c r="G33" s="5" t="s">
        <v>2643</v>
      </c>
      <c r="H33" s="5" t="s">
        <v>2675</v>
      </c>
      <c r="I33" s="1">
        <v>15875801</v>
      </c>
      <c r="J33" s="1">
        <v>15225752</v>
      </c>
      <c r="K33" s="1">
        <v>15876401</v>
      </c>
      <c r="L33" s="1">
        <v>13044701</v>
      </c>
      <c r="M33" s="1" t="s">
        <v>2687</v>
      </c>
      <c r="N33" s="4">
        <v>13045201</v>
      </c>
      <c r="O33" s="4" t="s">
        <v>2688</v>
      </c>
      <c r="P33" s="5">
        <v>199.3</v>
      </c>
      <c r="Q33" s="5">
        <v>10.199999999999999</v>
      </c>
      <c r="R33" s="5" t="s">
        <v>2689</v>
      </c>
      <c r="S33" s="3">
        <v>5.27</v>
      </c>
      <c r="T33" s="3"/>
      <c r="U33" s="3">
        <v>3.9980000000000002</v>
      </c>
      <c r="V33" s="3"/>
      <c r="W33" s="5" t="s">
        <v>2649</v>
      </c>
      <c r="X33" s="5" t="s">
        <v>2692</v>
      </c>
      <c r="Y33" s="5" t="s">
        <v>1468</v>
      </c>
    </row>
    <row r="34" spans="1:36" ht="22.5" x14ac:dyDescent="0.2">
      <c r="A34" s="1" t="s">
        <v>648</v>
      </c>
      <c r="B34" s="1"/>
      <c r="C34" s="4" t="s">
        <v>2301</v>
      </c>
      <c r="D34" s="4" t="s">
        <v>214</v>
      </c>
      <c r="E34" s="1">
        <v>1997</v>
      </c>
      <c r="F34" s="6" t="s">
        <v>681</v>
      </c>
      <c r="G34" s="5" t="s">
        <v>1469</v>
      </c>
      <c r="H34" s="5" t="s">
        <v>2302</v>
      </c>
      <c r="I34" s="1">
        <v>13027902</v>
      </c>
      <c r="J34" s="1">
        <v>15997231</v>
      </c>
      <c r="K34" s="1">
        <v>13027301</v>
      </c>
      <c r="L34" s="1">
        <v>13027201</v>
      </c>
      <c r="M34" s="1" t="s">
        <v>2671</v>
      </c>
      <c r="N34" s="4">
        <v>13027701</v>
      </c>
      <c r="O34" s="4" t="s">
        <v>2303</v>
      </c>
      <c r="P34" s="5">
        <v>345</v>
      </c>
      <c r="Q34" s="5">
        <v>23.55</v>
      </c>
      <c r="R34" s="5" t="s">
        <v>2304</v>
      </c>
      <c r="S34" s="3"/>
      <c r="T34" s="3"/>
      <c r="U34" s="3"/>
      <c r="V34" s="3"/>
      <c r="W34" s="5" t="s">
        <v>1473</v>
      </c>
      <c r="X34" s="5" t="s">
        <v>2650</v>
      </c>
      <c r="Y34" s="5" t="s">
        <v>2775</v>
      </c>
    </row>
    <row r="35" spans="1:36" ht="22.5" x14ac:dyDescent="0.2">
      <c r="A35" s="1" t="s">
        <v>648</v>
      </c>
      <c r="B35" s="1"/>
      <c r="C35" s="4" t="s">
        <v>1926</v>
      </c>
      <c r="D35" s="4" t="s">
        <v>214</v>
      </c>
      <c r="E35" s="1">
        <v>1997</v>
      </c>
      <c r="F35" s="6" t="s">
        <v>681</v>
      </c>
      <c r="G35" s="5" t="s">
        <v>2694</v>
      </c>
      <c r="H35" s="5" t="s">
        <v>2297</v>
      </c>
      <c r="I35" s="1">
        <v>13142901</v>
      </c>
      <c r="J35" s="1">
        <v>15024278</v>
      </c>
      <c r="K35" s="1">
        <v>13142401</v>
      </c>
      <c r="L35" s="1">
        <v>13142301</v>
      </c>
      <c r="M35" s="1" t="s">
        <v>153</v>
      </c>
      <c r="N35" s="4">
        <v>13142701</v>
      </c>
      <c r="O35" s="4" t="s">
        <v>2298</v>
      </c>
      <c r="P35" s="5">
        <v>220</v>
      </c>
      <c r="Q35" s="5">
        <v>16</v>
      </c>
      <c r="R35" s="5" t="s">
        <v>2299</v>
      </c>
      <c r="S35" s="3"/>
      <c r="T35" s="3"/>
      <c r="U35" s="3"/>
      <c r="V35" s="3"/>
      <c r="W35" s="5" t="s">
        <v>1473</v>
      </c>
      <c r="X35" s="5" t="s">
        <v>2650</v>
      </c>
      <c r="Y35" s="5" t="s">
        <v>2300</v>
      </c>
    </row>
    <row r="36" spans="1:36" ht="33.75" x14ac:dyDescent="0.2">
      <c r="A36" s="1" t="s">
        <v>2219</v>
      </c>
      <c r="B36" s="1"/>
      <c r="C36" s="4" t="s">
        <v>2680</v>
      </c>
      <c r="D36" s="4" t="s">
        <v>1615</v>
      </c>
      <c r="E36" s="4">
        <v>1999</v>
      </c>
      <c r="F36" s="4" t="s">
        <v>559</v>
      </c>
      <c r="G36" s="5" t="s">
        <v>2643</v>
      </c>
      <c r="H36" s="5" t="s">
        <v>2675</v>
      </c>
      <c r="I36" s="4">
        <v>13269802</v>
      </c>
      <c r="J36" s="4" t="s">
        <v>2681</v>
      </c>
      <c r="K36" s="4">
        <v>12892005</v>
      </c>
      <c r="L36" s="4">
        <v>12891901</v>
      </c>
      <c r="M36" s="4" t="s">
        <v>2646</v>
      </c>
      <c r="N36" s="4">
        <v>13477301</v>
      </c>
      <c r="O36" s="4" t="s">
        <v>2677</v>
      </c>
      <c r="P36" s="5">
        <v>181.35</v>
      </c>
      <c r="Q36" s="5">
        <v>10</v>
      </c>
      <c r="R36" s="5" t="s">
        <v>2682</v>
      </c>
      <c r="S36" s="3"/>
      <c r="T36" s="3"/>
      <c r="U36" s="3">
        <v>2.99</v>
      </c>
      <c r="V36" s="3"/>
      <c r="W36" s="5" t="s">
        <v>2649</v>
      </c>
      <c r="X36" s="5" t="s">
        <v>2650</v>
      </c>
      <c r="Y36" s="5" t="s">
        <v>2679</v>
      </c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 spans="1:36" ht="26.45" customHeight="1" x14ac:dyDescent="0.2">
      <c r="A37" s="1" t="s">
        <v>2219</v>
      </c>
      <c r="B37" s="1"/>
      <c r="C37" s="4" t="s">
        <v>2674</v>
      </c>
      <c r="D37" s="4" t="s">
        <v>21</v>
      </c>
      <c r="E37" s="4">
        <v>1999</v>
      </c>
      <c r="F37" s="4" t="s">
        <v>559</v>
      </c>
      <c r="G37" s="5" t="s">
        <v>2643</v>
      </c>
      <c r="H37" s="5" t="s">
        <v>2675</v>
      </c>
      <c r="I37" s="4">
        <v>13512701</v>
      </c>
      <c r="J37" s="4" t="s">
        <v>2676</v>
      </c>
      <c r="K37" s="4">
        <v>12892003</v>
      </c>
      <c r="L37" s="4">
        <v>12891901</v>
      </c>
      <c r="M37" s="4" t="s">
        <v>2646</v>
      </c>
      <c r="N37" s="4">
        <v>13619601</v>
      </c>
      <c r="O37" s="4" t="s">
        <v>2677</v>
      </c>
      <c r="P37" s="5">
        <v>181.35</v>
      </c>
      <c r="Q37" s="5">
        <v>10</v>
      </c>
      <c r="R37" s="5" t="s">
        <v>2678</v>
      </c>
      <c r="S37" s="3"/>
      <c r="T37" s="3">
        <v>4.6550000000000002</v>
      </c>
      <c r="U37" s="3">
        <v>13.914999999999999</v>
      </c>
      <c r="V37" s="3">
        <v>3.2429999999999999</v>
      </c>
      <c r="W37" s="5" t="s">
        <v>2649</v>
      </c>
      <c r="X37" s="5" t="s">
        <v>2650</v>
      </c>
      <c r="Y37" s="5" t="s">
        <v>2679</v>
      </c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</row>
    <row r="38" spans="1:36" ht="22.5" x14ac:dyDescent="0.2">
      <c r="A38" s="1" t="s">
        <v>2219</v>
      </c>
      <c r="B38" s="1"/>
      <c r="C38" s="4" t="s">
        <v>2669</v>
      </c>
      <c r="D38" s="4" t="s">
        <v>21</v>
      </c>
      <c r="E38" s="4">
        <v>1999</v>
      </c>
      <c r="F38" s="4" t="s">
        <v>152</v>
      </c>
      <c r="G38" s="5" t="s">
        <v>1469</v>
      </c>
      <c r="H38" s="5" t="s">
        <v>1479</v>
      </c>
      <c r="I38" s="4">
        <v>12997604</v>
      </c>
      <c r="J38" s="4" t="s">
        <v>2670</v>
      </c>
      <c r="K38" s="4">
        <v>12997502</v>
      </c>
      <c r="L38" s="4">
        <v>12997401</v>
      </c>
      <c r="M38" s="4" t="s">
        <v>2671</v>
      </c>
      <c r="N38" s="4">
        <v>13684301</v>
      </c>
      <c r="O38" s="4" t="s">
        <v>2672</v>
      </c>
      <c r="P38" s="5">
        <v>213.1</v>
      </c>
      <c r="Q38" s="5">
        <v>22</v>
      </c>
      <c r="R38" s="5" t="s">
        <v>2673</v>
      </c>
      <c r="S38" s="11">
        <v>15.16</v>
      </c>
      <c r="T38" s="11">
        <v>13.31</v>
      </c>
      <c r="U38" s="11">
        <v>12.71</v>
      </c>
      <c r="V38" s="11">
        <v>10.98</v>
      </c>
      <c r="W38" s="5" t="s">
        <v>1473</v>
      </c>
      <c r="X38" s="5" t="s">
        <v>2650</v>
      </c>
      <c r="Y38" s="5" t="s">
        <v>1474</v>
      </c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</row>
    <row r="39" spans="1:36" ht="27.2" customHeight="1" x14ac:dyDescent="0.2">
      <c r="A39" s="1" t="s">
        <v>2050</v>
      </c>
      <c r="B39" s="1"/>
      <c r="C39" s="1" t="s">
        <v>544</v>
      </c>
      <c r="D39" s="4"/>
      <c r="E39" s="1"/>
      <c r="F39" s="1" t="s">
        <v>152</v>
      </c>
      <c r="G39" s="5" t="s">
        <v>2643</v>
      </c>
      <c r="H39" s="5" t="s">
        <v>2302</v>
      </c>
      <c r="I39" s="1">
        <v>12996005</v>
      </c>
      <c r="J39" s="1">
        <v>8972077560</v>
      </c>
      <c r="K39" s="1">
        <v>12998301</v>
      </c>
      <c r="L39" s="1">
        <v>12998201</v>
      </c>
      <c r="M39" s="1"/>
      <c r="N39" s="1">
        <v>12367302</v>
      </c>
      <c r="O39" s="4" t="s">
        <v>545</v>
      </c>
      <c r="P39" s="5">
        <v>184</v>
      </c>
      <c r="Q39" s="5">
        <v>10</v>
      </c>
      <c r="R39" s="5" t="s">
        <v>546</v>
      </c>
      <c r="S39" s="5">
        <v>4.04</v>
      </c>
      <c r="T39" s="5"/>
      <c r="U39" s="5">
        <v>3.04</v>
      </c>
      <c r="V39" s="5"/>
      <c r="W39" s="5" t="s">
        <v>547</v>
      </c>
      <c r="X39" s="5"/>
      <c r="Y39" s="5"/>
    </row>
    <row r="40" spans="1:36" ht="33.75" x14ac:dyDescent="0.2">
      <c r="A40" s="1" t="s">
        <v>2219</v>
      </c>
      <c r="B40" s="1"/>
      <c r="C40" s="4" t="s">
        <v>2458</v>
      </c>
      <c r="D40" s="2" t="s">
        <v>2858</v>
      </c>
      <c r="E40" s="4">
        <v>1999</v>
      </c>
      <c r="F40" s="4" t="s">
        <v>681</v>
      </c>
      <c r="G40" s="5" t="s">
        <v>1469</v>
      </c>
      <c r="H40" s="5" t="s">
        <v>2302</v>
      </c>
      <c r="I40" s="4">
        <v>14839701</v>
      </c>
      <c r="J40" s="4" t="s">
        <v>2459</v>
      </c>
      <c r="K40" s="4">
        <v>14839601</v>
      </c>
      <c r="L40" s="4">
        <v>13080201</v>
      </c>
      <c r="M40" s="4" t="s">
        <v>153</v>
      </c>
      <c r="N40" s="4">
        <v>14281101</v>
      </c>
      <c r="O40" s="4" t="s">
        <v>2666</v>
      </c>
      <c r="P40" s="5">
        <v>279</v>
      </c>
      <c r="Q40" s="5">
        <v>23</v>
      </c>
      <c r="R40" s="5" t="s">
        <v>2460</v>
      </c>
      <c r="S40" s="3">
        <v>25.16</v>
      </c>
      <c r="T40" s="3"/>
      <c r="U40" s="3">
        <v>19.266999999999999</v>
      </c>
      <c r="V40" s="3"/>
      <c r="W40" s="5" t="s">
        <v>1473</v>
      </c>
      <c r="X40" s="5" t="s">
        <v>2650</v>
      </c>
      <c r="Y40" s="5" t="s">
        <v>2461</v>
      </c>
    </row>
    <row r="41" spans="1:36" ht="33.75" x14ac:dyDescent="0.2">
      <c r="A41" s="1" t="s">
        <v>2219</v>
      </c>
      <c r="B41" s="1"/>
      <c r="C41" s="4" t="s">
        <v>2462</v>
      </c>
      <c r="D41" s="2" t="s">
        <v>2858</v>
      </c>
      <c r="E41" s="4">
        <v>1998</v>
      </c>
      <c r="F41" s="4" t="s">
        <v>681</v>
      </c>
      <c r="G41" s="5" t="s">
        <v>2643</v>
      </c>
      <c r="H41" s="5" t="s">
        <v>2644</v>
      </c>
      <c r="I41" s="4">
        <v>14277710</v>
      </c>
      <c r="J41" s="4" t="s">
        <v>2463</v>
      </c>
      <c r="K41" s="4">
        <v>13590104</v>
      </c>
      <c r="L41" s="4">
        <v>13590002</v>
      </c>
      <c r="M41" s="4" t="s">
        <v>2646</v>
      </c>
      <c r="N41" s="4">
        <v>13591501</v>
      </c>
      <c r="O41" s="4" t="s">
        <v>2647</v>
      </c>
      <c r="P41" s="5">
        <v>203</v>
      </c>
      <c r="Q41" s="3">
        <v>13</v>
      </c>
      <c r="R41" s="5" t="s">
        <v>2648</v>
      </c>
      <c r="S41" s="3">
        <v>8.2539999999999996</v>
      </c>
      <c r="T41" s="3"/>
      <c r="U41" s="3">
        <v>6.1980000000000004</v>
      </c>
      <c r="V41" s="3"/>
      <c r="W41" s="5" t="s">
        <v>2649</v>
      </c>
      <c r="X41" s="5" t="s">
        <v>2650</v>
      </c>
      <c r="Y41" s="5" t="s">
        <v>1468</v>
      </c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</row>
    <row r="42" spans="1:36" ht="22.5" x14ac:dyDescent="0.2">
      <c r="A42" s="1" t="s">
        <v>2219</v>
      </c>
      <c r="B42" s="1"/>
      <c r="C42" s="4" t="s">
        <v>2464</v>
      </c>
      <c r="D42" s="2" t="s">
        <v>2858</v>
      </c>
      <c r="E42" s="4">
        <v>1998</v>
      </c>
      <c r="F42" s="4" t="s">
        <v>681</v>
      </c>
      <c r="G42" s="5" t="s">
        <v>1469</v>
      </c>
      <c r="H42" s="5" t="s">
        <v>2302</v>
      </c>
      <c r="I42" s="4">
        <v>14278701</v>
      </c>
      <c r="J42" s="4" t="s">
        <v>2465</v>
      </c>
      <c r="K42" s="4">
        <v>13077901</v>
      </c>
      <c r="L42" s="4">
        <v>13077801</v>
      </c>
      <c r="M42" s="4" t="s">
        <v>153</v>
      </c>
      <c r="N42" s="4">
        <v>14279201</v>
      </c>
      <c r="O42" s="4" t="s">
        <v>1472</v>
      </c>
      <c r="P42" s="5">
        <v>215</v>
      </c>
      <c r="Q42" s="5">
        <v>20</v>
      </c>
      <c r="R42" s="5" t="s">
        <v>2648</v>
      </c>
      <c r="S42" s="3">
        <v>12.906000000000001</v>
      </c>
      <c r="T42" s="3"/>
      <c r="U42" s="3">
        <v>11.74</v>
      </c>
      <c r="V42" s="3"/>
      <c r="W42" s="5" t="s">
        <v>1473</v>
      </c>
      <c r="X42" s="5" t="s">
        <v>2650</v>
      </c>
      <c r="Y42" s="5" t="s">
        <v>2466</v>
      </c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</row>
    <row r="43" spans="1:36" ht="33.75" x14ac:dyDescent="0.2">
      <c r="A43" s="1" t="s">
        <v>2219</v>
      </c>
      <c r="B43" s="1"/>
      <c r="C43" s="4" t="s">
        <v>2467</v>
      </c>
      <c r="D43" s="2" t="s">
        <v>2858</v>
      </c>
      <c r="E43" s="4">
        <v>1998</v>
      </c>
      <c r="F43" s="4" t="s">
        <v>681</v>
      </c>
      <c r="G43" s="5" t="s">
        <v>2684</v>
      </c>
      <c r="H43" s="5" t="s">
        <v>2675</v>
      </c>
      <c r="I43" s="4">
        <v>13590802</v>
      </c>
      <c r="J43" s="4" t="s">
        <v>2468</v>
      </c>
      <c r="K43" s="2">
        <v>13590702</v>
      </c>
      <c r="L43" s="4">
        <v>13590600</v>
      </c>
      <c r="M43" s="4" t="s">
        <v>2646</v>
      </c>
      <c r="N43" s="4">
        <v>13591501</v>
      </c>
      <c r="O43" s="4" t="s">
        <v>2469</v>
      </c>
      <c r="P43" s="5">
        <v>203</v>
      </c>
      <c r="Q43" s="5">
        <v>13</v>
      </c>
      <c r="R43" s="5" t="s">
        <v>2648</v>
      </c>
      <c r="S43" s="3">
        <v>7.4470000000000001</v>
      </c>
      <c r="T43" s="3"/>
      <c r="U43" s="3">
        <v>5.0830000000000002</v>
      </c>
      <c r="V43" s="3"/>
      <c r="W43" s="5" t="s">
        <v>2649</v>
      </c>
      <c r="X43" s="5" t="s">
        <v>2650</v>
      </c>
      <c r="Y43" s="5" t="s">
        <v>1468</v>
      </c>
    </row>
    <row r="44" spans="1:36" ht="33.75" x14ac:dyDescent="0.2">
      <c r="A44" s="1" t="s">
        <v>2219</v>
      </c>
      <c r="B44" s="1"/>
      <c r="C44" s="4" t="s">
        <v>2470</v>
      </c>
      <c r="D44" s="2" t="s">
        <v>2858</v>
      </c>
      <c r="E44" s="4">
        <v>1998</v>
      </c>
      <c r="F44" s="4" t="s">
        <v>681</v>
      </c>
      <c r="G44" s="5" t="s">
        <v>2643</v>
      </c>
      <c r="H44" s="5" t="s">
        <v>2644</v>
      </c>
      <c r="I44" s="4">
        <v>14277710</v>
      </c>
      <c r="J44" s="4" t="s">
        <v>2463</v>
      </c>
      <c r="K44" s="4">
        <v>13590104</v>
      </c>
      <c r="L44" s="4">
        <v>13590002</v>
      </c>
      <c r="M44" s="4" t="s">
        <v>2646</v>
      </c>
      <c r="N44" s="4">
        <v>13591501</v>
      </c>
      <c r="O44" s="4" t="s">
        <v>2647</v>
      </c>
      <c r="P44" s="5">
        <v>203</v>
      </c>
      <c r="Q44" s="3">
        <v>13</v>
      </c>
      <c r="R44" s="5" t="s">
        <v>2648</v>
      </c>
      <c r="S44" s="3">
        <v>8.2539999999999996</v>
      </c>
      <c r="T44" s="3"/>
      <c r="U44" s="3">
        <v>6.1980000000000004</v>
      </c>
      <c r="V44" s="3"/>
      <c r="W44" s="5" t="s">
        <v>2649</v>
      </c>
      <c r="X44" s="5" t="s">
        <v>2650</v>
      </c>
      <c r="Y44" s="5" t="s">
        <v>1468</v>
      </c>
    </row>
  </sheetData>
  <customSheetViews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pageSetup orientation="portrait" horizontalDpi="1200" verticalDpi="1200" r:id="rId1"/>
      <headerFooter alignWithMargins="0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pageSetup orientation="portrait" horizontalDpi="1200" verticalDpi="1200" r:id="rId2"/>
      <headerFooter alignWithMargins="0"/>
      <autoFilter ref="B1:P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pageSetup orientation="portrait" horizontalDpi="1200" verticalDpi="1200" r:id="rId3"/>
      <headerFooter alignWithMargins="0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pageSetup orientation="portrait" horizontalDpi="1200" verticalDpi="1200" r:id="rId4"/>
      <headerFooter alignWithMargins="0"/>
      <autoFilter ref="B1:P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pageSetup orientation="portrait" horizontalDpi="1200" verticalDpi="1200" r:id="rId5"/>
      <headerFooter alignWithMargins="0"/>
      <autoFilter ref="B1:Y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pageSetup orientation="portrait" horizontalDpi="1200" verticalDpi="1200" r:id="rId6"/>
      <headerFooter alignWithMargins="0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  <pageSetup orientation="portrait" horizontalDpi="1200" verticalDpi="1200" r:id="rId7"/>
      <headerFooter alignWithMargins="0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pageSetup orientation="portrait" horizontalDpi="1200" verticalDpi="1200" r:id="rId8"/>
      <headerFooter alignWithMargins="0"/>
      <autoFilter ref="B1:Y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pageSetup orientation="portrait" horizontalDpi="1200" verticalDpi="1200" r:id="rId9"/>
      <headerFooter alignWithMargins="0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  <pageSetup orientation="portrait" horizontalDpi="1200" verticalDpi="1200" r:id="rId10"/>
      <headerFooter alignWithMargins="0"/>
    </customSheetView>
    <customSheetView guid="{BDAEB28A-7E10-448D-A971-7675AC895086}" showAutoFilter="1" showRuler="0">
      <pane xSplit="10" ySplit="2" topLeftCell="L3" activePane="bottomRight" state="frozenSplit"/>
      <selection pane="bottomRight" activeCell="F11" sqref="F11"/>
      <pageMargins left="0.75" right="0.75" top="1" bottom="1" header="0.5" footer="0.5"/>
      <pageSetup orientation="portrait" horizontalDpi="1200" verticalDpi="1200" r:id="rId11"/>
      <headerFooter alignWithMargins="0"/>
      <autoFilter ref="B1:Y1" xr:uid="{00000000-0000-0000-0000-000000000000}"/>
    </customSheetView>
    <customSheetView guid="{E843ABEA-26A9-452A-956F-4BE96FD7059F}" showAutoFilter="1" showRuler="0">
      <pane ySplit="2" topLeftCell="A3" activePane="bottomLeft" state="frozen"/>
      <selection pane="bottomLeft" activeCell="A3" sqref="A3"/>
      <pageMargins left="0.75" right="0.75" top="1" bottom="1" header="0.5" footer="0.5"/>
      <pageSetup orientation="portrait" horizontalDpi="1200" verticalDpi="1200" r:id="rId12"/>
      <headerFooter alignWithMargins="0"/>
      <autoFilter ref="B1:Y1" xr:uid="{00000000-0000-0000-0000-000000000000}"/>
    </customSheetView>
    <customSheetView guid="{566E9C19-68F9-43AD-B8B2-0A93EA7FF33D}" showAutoFilter="1" showRuler="0">
      <pane ySplit="2" topLeftCell="A3" activePane="bottomLeft" state="frozen"/>
      <selection pane="bottomLeft" activeCell="A3" sqref="A3"/>
      <pageMargins left="0.75" right="0.75" top="1" bottom="1" header="0.5" footer="0.5"/>
      <pageSetup orientation="portrait" horizontalDpi="1200" verticalDpi="1200" r:id="rId13"/>
      <headerFooter alignWithMargins="0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F11" sqref="F11"/>
      <pageMargins left="0.75" right="0.75" top="1" bottom="1" header="0.5" footer="0.5"/>
      <autoFilter ref="B1:Y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PageBreaks="1" fitToPage="1" printArea="1" showAutoFilter="1">
      <pane xSplit="5" ySplit="2" topLeftCell="F3" activePane="bottomRight" state="frozen"/>
      <selection pane="bottomRight" activeCell="M17" sqref="M17"/>
      <pageMargins left="0.75" right="0.75" top="1" bottom="1" header="0.5" footer="0.5"/>
      <autoFilter ref="B1:P1" xr:uid="{00000000-0000-0000-0000-000000000000}"/>
    </customSheetView>
    <customSheetView guid="{21F37784-ACDF-4AA9-A8FA-2D6F1A2FCD6C}" scale="80" showAutoFilter="1">
      <pane xSplit="5" ySplit="2" topLeftCell="F3" activePane="bottomRight" state="frozen"/>
      <selection pane="bottomRight" activeCell="A3" sqref="A3"/>
      <pageMargins left="0.75" right="0.75" top="1" bottom="1" header="0.5" footer="0.5"/>
      <autoFilter ref="B1:Y1" xr:uid="{00000000-0000-0000-0000-000000000000}"/>
    </customSheetView>
    <customSheetView guid="{21F37784-ACDF-4AA9-A8FA-2D6F1A2FCD6C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</customSheetView>
    <customSheetView guid="{BD983C39-643B-49A4-A851-3C307533663B}" scale="130" hiddenRows="1">
      <pane xSplit="6" ySplit="2" topLeftCell="G3" activePane="bottomRight" state="frozenSplit"/>
      <selection pane="bottomRight" activeCell="M17" sqref="M17"/>
      <pageMargins left="0.75" right="0.75" top="1" bottom="1" header="0.5" footer="0.5"/>
      <pageSetup orientation="portrait" horizontalDpi="1200" verticalDpi="1200" r:id="rId14"/>
      <headerFooter alignWithMargins="0"/>
    </customSheetView>
  </customSheetViews>
  <mergeCells count="6">
    <mergeCell ref="P1:V1"/>
    <mergeCell ref="W1:Y1"/>
    <mergeCell ref="A1:E1"/>
    <mergeCell ref="G1:H1"/>
    <mergeCell ref="I1:L1"/>
    <mergeCell ref="M1:O1"/>
  </mergeCells>
  <phoneticPr fontId="0" type="noConversion"/>
  <pageMargins left="0.75" right="0.75" top="1" bottom="1" header="0.5" footer="0.5"/>
  <pageSetup orientation="portrait" horizontalDpi="1200" verticalDpi="1200" r:id="rId1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986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6" sqref="F6"/>
    </sheetView>
  </sheetViews>
  <sheetFormatPr defaultColWidth="9.140625" defaultRowHeight="12.75" x14ac:dyDescent="0.2"/>
  <cols>
    <col min="1" max="1" width="9.140625" style="235"/>
    <col min="2" max="2" width="9.85546875" style="235" customWidth="1"/>
    <col min="3" max="3" width="9.140625" style="235"/>
    <col min="4" max="4" width="12.42578125" style="235" customWidth="1"/>
    <col min="5" max="5" width="30.42578125" style="235" customWidth="1"/>
    <col min="6" max="6" width="13.42578125" style="235" customWidth="1"/>
    <col min="7" max="7" width="12.85546875" style="235" customWidth="1"/>
    <col min="8" max="8" width="11.42578125" style="235" customWidth="1"/>
    <col min="9" max="11" width="9.140625" style="235"/>
    <col min="12" max="12" width="11.85546875" style="235" customWidth="1"/>
    <col min="13" max="13" width="11.42578125" style="235" customWidth="1"/>
    <col min="14" max="14" width="15.140625" style="235" customWidth="1"/>
    <col min="15" max="16" width="14.42578125" style="235" customWidth="1"/>
    <col min="17" max="17" width="17.140625" style="235" customWidth="1"/>
    <col min="18" max="18" width="14.42578125" style="235" customWidth="1"/>
    <col min="19" max="19" width="13.42578125" style="235" customWidth="1"/>
    <col min="20" max="20" width="13.140625" style="235" customWidth="1"/>
    <col min="21" max="27" width="9.140625" style="235"/>
    <col min="28" max="28" width="10" style="235" customWidth="1"/>
    <col min="29" max="29" width="9.140625" style="235"/>
    <col min="30" max="30" width="10.140625" style="235" customWidth="1"/>
    <col min="31" max="31" width="9.140625" style="235"/>
    <col min="32" max="32" width="11.42578125" style="235" customWidth="1"/>
    <col min="33" max="35" width="9.140625" style="235"/>
    <col min="36" max="36" width="10.42578125" style="235" customWidth="1"/>
    <col min="37" max="37" width="9.140625" style="235"/>
    <col min="38" max="38" width="10.42578125" style="235" customWidth="1"/>
    <col min="39" max="51" width="9.140625" style="235"/>
    <col min="52" max="52" width="10.42578125" style="235" customWidth="1"/>
    <col min="53" max="16384" width="9.140625" style="235"/>
  </cols>
  <sheetData>
    <row r="1" spans="1:256" ht="22.5" x14ac:dyDescent="0.2">
      <c r="D1" s="1057" t="s">
        <v>1392</v>
      </c>
      <c r="E1" s="1057"/>
      <c r="F1" s="1057"/>
      <c r="G1" s="1057"/>
      <c r="H1" s="1057"/>
      <c r="I1" s="1057" t="s">
        <v>1393</v>
      </c>
      <c r="J1" s="1057"/>
      <c r="K1" s="1057"/>
      <c r="L1" s="1057"/>
      <c r="M1" s="1057" t="s">
        <v>1394</v>
      </c>
      <c r="N1" s="1057"/>
      <c r="O1" s="1057"/>
      <c r="P1" s="1057"/>
      <c r="Q1" s="1057"/>
      <c r="R1" s="1057"/>
      <c r="S1" s="1057"/>
      <c r="T1" s="1057"/>
      <c r="U1" s="1057"/>
      <c r="V1" s="1057"/>
      <c r="W1" s="1057"/>
      <c r="X1" s="1057"/>
      <c r="Y1" s="1057"/>
      <c r="Z1" s="1057"/>
      <c r="AA1" s="1057"/>
      <c r="AB1" s="1057"/>
      <c r="AC1" s="1057"/>
      <c r="AD1" s="217"/>
      <c r="AE1" s="1057" t="s">
        <v>1395</v>
      </c>
      <c r="AF1" s="1057"/>
      <c r="AG1" s="1057"/>
      <c r="AH1" s="1057" t="s">
        <v>1396</v>
      </c>
      <c r="AI1" s="1057"/>
      <c r="AJ1" s="1057"/>
      <c r="AK1" s="1057"/>
      <c r="AL1" s="1057"/>
      <c r="AM1" s="1059" t="s">
        <v>1397</v>
      </c>
      <c r="AN1" s="1059"/>
      <c r="AO1" s="1059"/>
      <c r="AP1" s="1059"/>
      <c r="AQ1" s="1059"/>
      <c r="AR1" s="1059"/>
      <c r="AS1" s="1059"/>
      <c r="AT1" s="1059"/>
      <c r="AU1" s="1057" t="s">
        <v>1398</v>
      </c>
      <c r="AV1" s="1058"/>
      <c r="AW1" s="219" t="s">
        <v>1399</v>
      </c>
      <c r="AX1" s="1059" t="s">
        <v>1400</v>
      </c>
      <c r="AY1" s="1058"/>
      <c r="AZ1" s="220"/>
    </row>
    <row r="2" spans="1:256" ht="101.25" x14ac:dyDescent="0.2">
      <c r="A2" s="221" t="s">
        <v>555</v>
      </c>
      <c r="B2" s="221" t="s">
        <v>342</v>
      </c>
      <c r="C2" s="221" t="s">
        <v>340</v>
      </c>
      <c r="D2" s="221" t="s">
        <v>1401</v>
      </c>
      <c r="E2" s="221" t="s">
        <v>1810</v>
      </c>
      <c r="F2" s="217" t="s">
        <v>130</v>
      </c>
      <c r="G2" s="221" t="s">
        <v>131</v>
      </c>
      <c r="H2" s="221" t="s">
        <v>132</v>
      </c>
      <c r="I2" s="221" t="s">
        <v>133</v>
      </c>
      <c r="J2" s="221" t="s">
        <v>134</v>
      </c>
      <c r="K2" s="221" t="s">
        <v>1192</v>
      </c>
      <c r="L2" s="221" t="s">
        <v>549</v>
      </c>
      <c r="M2" s="218" t="s">
        <v>550</v>
      </c>
      <c r="N2" s="221" t="s">
        <v>551</v>
      </c>
      <c r="O2" s="221" t="s">
        <v>552</v>
      </c>
      <c r="P2" s="1" t="s">
        <v>3093</v>
      </c>
      <c r="Q2" s="1" t="s">
        <v>2635</v>
      </c>
      <c r="R2" s="1" t="s">
        <v>3096</v>
      </c>
      <c r="S2" s="221" t="s">
        <v>553</v>
      </c>
      <c r="T2" s="221" t="s">
        <v>554</v>
      </c>
      <c r="U2" s="221" t="s">
        <v>555</v>
      </c>
      <c r="V2" s="221" t="s">
        <v>556</v>
      </c>
      <c r="W2" s="221" t="s">
        <v>557</v>
      </c>
      <c r="X2" s="221" t="s">
        <v>558</v>
      </c>
      <c r="Y2" s="221" t="s">
        <v>2476</v>
      </c>
      <c r="Z2" s="221" t="s">
        <v>210</v>
      </c>
      <c r="AA2" s="221" t="s">
        <v>2658</v>
      </c>
      <c r="AB2" s="221" t="s">
        <v>2659</v>
      </c>
      <c r="AC2" s="221" t="s">
        <v>2660</v>
      </c>
      <c r="AD2" s="221" t="s">
        <v>2909</v>
      </c>
      <c r="AE2" s="221" t="s">
        <v>222</v>
      </c>
      <c r="AF2" s="221" t="s">
        <v>223</v>
      </c>
      <c r="AG2" s="221" t="s">
        <v>224</v>
      </c>
      <c r="AH2" s="221" t="s">
        <v>225</v>
      </c>
      <c r="AI2" s="221" t="s">
        <v>226</v>
      </c>
      <c r="AJ2" s="221" t="s">
        <v>71</v>
      </c>
      <c r="AK2" s="218" t="s">
        <v>72</v>
      </c>
      <c r="AL2" s="221" t="s">
        <v>73</v>
      </c>
      <c r="AM2" s="218" t="s">
        <v>74</v>
      </c>
      <c r="AN2" s="218" t="s">
        <v>75</v>
      </c>
      <c r="AO2" s="218" t="s">
        <v>76</v>
      </c>
      <c r="AP2" s="218" t="s">
        <v>141</v>
      </c>
      <c r="AQ2" s="218" t="s">
        <v>142</v>
      </c>
      <c r="AR2" s="218" t="s">
        <v>143</v>
      </c>
      <c r="AS2" s="218" t="s">
        <v>144</v>
      </c>
      <c r="AT2" s="218" t="s">
        <v>145</v>
      </c>
      <c r="AU2" s="218" t="s">
        <v>146</v>
      </c>
      <c r="AV2" s="218" t="s">
        <v>147</v>
      </c>
      <c r="AW2" s="218" t="s">
        <v>147</v>
      </c>
      <c r="AX2" s="218" t="s">
        <v>147</v>
      </c>
      <c r="AY2" s="218" t="s">
        <v>148</v>
      </c>
      <c r="AZ2" s="220" t="s">
        <v>1610</v>
      </c>
    </row>
    <row r="3" spans="1:256" ht="45" x14ac:dyDescent="0.2">
      <c r="A3" s="217">
        <f>U3</f>
        <v>345</v>
      </c>
      <c r="B3" s="217">
        <f>W3</f>
        <v>40</v>
      </c>
      <c r="C3" s="217" t="s">
        <v>341</v>
      </c>
      <c r="D3" s="223" t="s">
        <v>679</v>
      </c>
      <c r="E3" s="222" t="s">
        <v>220</v>
      </c>
      <c r="F3" s="342" t="s">
        <v>4059</v>
      </c>
      <c r="G3" s="223">
        <v>2008</v>
      </c>
      <c r="H3" s="223" t="s">
        <v>681</v>
      </c>
      <c r="I3" s="222">
        <v>15766402</v>
      </c>
      <c r="J3" s="222">
        <v>15766301</v>
      </c>
      <c r="K3" s="222">
        <v>15766201</v>
      </c>
      <c r="L3" s="342" t="s">
        <v>3184</v>
      </c>
      <c r="M3" s="222" t="s">
        <v>153</v>
      </c>
      <c r="N3" s="223" t="s">
        <v>2651</v>
      </c>
      <c r="O3" s="223" t="s">
        <v>2087</v>
      </c>
      <c r="P3" s="223">
        <v>13045801</v>
      </c>
      <c r="Q3" s="4" t="s">
        <v>3185</v>
      </c>
      <c r="R3" s="223">
        <v>12675301</v>
      </c>
      <c r="S3" s="223" t="s">
        <v>1186</v>
      </c>
      <c r="T3" s="236" t="s">
        <v>2772</v>
      </c>
      <c r="U3" s="230">
        <v>345</v>
      </c>
      <c r="V3" s="223">
        <v>221</v>
      </c>
      <c r="W3" s="223">
        <v>40</v>
      </c>
      <c r="X3" s="223">
        <v>165.1</v>
      </c>
      <c r="Y3" s="223">
        <v>40</v>
      </c>
      <c r="Z3" s="223">
        <v>14</v>
      </c>
      <c r="AA3" s="223">
        <v>29.390999999999998</v>
      </c>
      <c r="AB3" s="223"/>
      <c r="AC3" s="231">
        <v>26.06</v>
      </c>
      <c r="AD3" s="223"/>
      <c r="AE3" s="223"/>
      <c r="AF3" s="223"/>
      <c r="AG3" s="223"/>
      <c r="AH3" s="230" t="s">
        <v>159</v>
      </c>
      <c r="AI3" s="223">
        <v>0.04</v>
      </c>
      <c r="AJ3" s="223">
        <v>8.9999999999999993E-3</v>
      </c>
      <c r="AK3" s="222" t="s">
        <v>157</v>
      </c>
      <c r="AL3" s="223">
        <v>286</v>
      </c>
      <c r="AM3" s="222"/>
      <c r="AN3" s="222">
        <v>6577</v>
      </c>
      <c r="AO3" s="222">
        <v>2268</v>
      </c>
      <c r="AP3" s="222"/>
      <c r="AQ3" s="222"/>
      <c r="AR3" s="222"/>
      <c r="AS3" s="222"/>
      <c r="AT3" s="222"/>
      <c r="AU3" s="222"/>
      <c r="AV3" s="222"/>
      <c r="AW3" s="222"/>
      <c r="AX3" s="222"/>
      <c r="AY3" s="222"/>
      <c r="AZ3" s="224">
        <f>AA3/AC3</f>
        <v>1.1278204144282424</v>
      </c>
      <c r="BA3" s="225"/>
      <c r="BB3" s="225"/>
      <c r="BC3" s="225"/>
      <c r="BD3" s="225"/>
      <c r="BE3" s="225"/>
      <c r="BF3" s="225"/>
      <c r="BG3" s="225"/>
      <c r="BH3" s="225"/>
      <c r="BI3" s="225"/>
      <c r="BJ3" s="225"/>
      <c r="BK3" s="225"/>
      <c r="BL3" s="225"/>
      <c r="BM3" s="225"/>
      <c r="BN3" s="225"/>
      <c r="BO3" s="225"/>
      <c r="BP3" s="225"/>
      <c r="BQ3" s="225"/>
      <c r="BR3" s="225"/>
      <c r="BS3" s="225"/>
      <c r="BT3" s="225"/>
      <c r="BU3" s="225"/>
      <c r="BV3" s="225"/>
      <c r="BW3" s="225"/>
      <c r="BX3" s="225"/>
      <c r="BY3" s="225"/>
      <c r="BZ3" s="225"/>
      <c r="CA3" s="225"/>
      <c r="CB3" s="225"/>
      <c r="CC3" s="225"/>
      <c r="CD3" s="225"/>
      <c r="CE3" s="225"/>
      <c r="CF3" s="225"/>
      <c r="CG3" s="225"/>
      <c r="CH3" s="225"/>
      <c r="CI3" s="225"/>
      <c r="CJ3" s="225"/>
      <c r="CK3" s="225"/>
      <c r="CL3" s="225"/>
      <c r="CM3" s="225"/>
      <c r="CN3" s="225"/>
      <c r="CO3" s="225"/>
      <c r="CP3" s="225"/>
      <c r="CQ3" s="225"/>
      <c r="CR3" s="225"/>
      <c r="CS3" s="225"/>
      <c r="CT3" s="225"/>
      <c r="CU3" s="225"/>
      <c r="CV3" s="225"/>
      <c r="CW3" s="225"/>
      <c r="CX3" s="225"/>
      <c r="CY3" s="225"/>
      <c r="CZ3" s="225"/>
      <c r="DA3" s="225"/>
      <c r="DB3" s="225"/>
      <c r="DC3" s="225"/>
      <c r="DD3" s="225"/>
      <c r="DE3" s="225"/>
      <c r="DF3" s="225"/>
      <c r="DG3" s="225"/>
      <c r="DH3" s="225"/>
      <c r="DI3" s="225"/>
      <c r="DJ3" s="225"/>
      <c r="DK3" s="225"/>
      <c r="DL3" s="225"/>
      <c r="DM3" s="225"/>
      <c r="DN3" s="225"/>
      <c r="DO3" s="225"/>
      <c r="DP3" s="225"/>
      <c r="DQ3" s="225"/>
      <c r="DR3" s="225"/>
      <c r="DS3" s="225"/>
      <c r="DT3" s="225"/>
      <c r="DU3" s="225"/>
      <c r="DV3" s="225"/>
      <c r="DW3" s="225"/>
      <c r="DX3" s="225"/>
      <c r="DY3" s="225"/>
      <c r="DZ3" s="225"/>
      <c r="EA3" s="225"/>
      <c r="EB3" s="225"/>
      <c r="EC3" s="225"/>
      <c r="ED3" s="225"/>
      <c r="EE3" s="225"/>
      <c r="EF3" s="225"/>
      <c r="EG3" s="225"/>
      <c r="EH3" s="225"/>
      <c r="EI3" s="225"/>
      <c r="EJ3" s="225"/>
      <c r="EK3" s="225"/>
      <c r="EL3" s="225"/>
      <c r="EM3" s="225"/>
      <c r="EN3" s="225"/>
      <c r="EO3" s="225"/>
      <c r="EP3" s="225"/>
      <c r="EQ3" s="225"/>
      <c r="ER3" s="225"/>
      <c r="ES3" s="225"/>
      <c r="ET3" s="225"/>
      <c r="EU3" s="225"/>
      <c r="EV3" s="225"/>
      <c r="EW3" s="225"/>
      <c r="EX3" s="225"/>
      <c r="EY3" s="225"/>
      <c r="EZ3" s="225"/>
      <c r="FA3" s="225"/>
      <c r="FB3" s="225"/>
      <c r="FC3" s="225"/>
      <c r="FD3" s="225"/>
      <c r="FE3" s="225"/>
      <c r="FF3" s="225"/>
      <c r="FG3" s="225"/>
      <c r="FH3" s="225"/>
      <c r="FI3" s="225"/>
      <c r="FJ3" s="225"/>
      <c r="FK3" s="225"/>
      <c r="FL3" s="225"/>
      <c r="FM3" s="225"/>
      <c r="FN3" s="225"/>
      <c r="FO3" s="225"/>
      <c r="FP3" s="225"/>
      <c r="FQ3" s="225"/>
      <c r="FR3" s="225"/>
      <c r="FS3" s="225"/>
      <c r="FT3" s="225"/>
      <c r="FU3" s="225"/>
      <c r="FV3" s="225"/>
      <c r="FW3" s="225"/>
      <c r="FX3" s="225"/>
      <c r="FY3" s="225"/>
      <c r="FZ3" s="225"/>
      <c r="GA3" s="225"/>
      <c r="GB3" s="225"/>
      <c r="GC3" s="225"/>
      <c r="GD3" s="225"/>
      <c r="GE3" s="225"/>
      <c r="GF3" s="225"/>
      <c r="GG3" s="225"/>
      <c r="GH3" s="225"/>
      <c r="GI3" s="225"/>
      <c r="GJ3" s="225"/>
      <c r="GK3" s="225"/>
      <c r="GL3" s="225"/>
      <c r="GM3" s="225"/>
      <c r="GN3" s="225"/>
      <c r="GO3" s="225"/>
      <c r="GP3" s="225"/>
      <c r="GQ3" s="225"/>
      <c r="GR3" s="225"/>
      <c r="GS3" s="225"/>
      <c r="GT3" s="225"/>
      <c r="GU3" s="225"/>
      <c r="GV3" s="225"/>
      <c r="GW3" s="225"/>
      <c r="GX3" s="225"/>
      <c r="GY3" s="225"/>
      <c r="GZ3" s="225"/>
      <c r="HA3" s="225"/>
      <c r="HB3" s="225"/>
      <c r="HC3" s="225"/>
      <c r="HD3" s="225"/>
      <c r="HE3" s="225"/>
      <c r="HF3" s="225"/>
      <c r="HG3" s="225"/>
      <c r="HH3" s="225"/>
      <c r="HI3" s="225"/>
      <c r="HJ3" s="225"/>
      <c r="HK3" s="225"/>
      <c r="HL3" s="225"/>
      <c r="HM3" s="225"/>
      <c r="HN3" s="225"/>
      <c r="HO3" s="225"/>
      <c r="HP3" s="225"/>
      <c r="HQ3" s="225"/>
      <c r="HR3" s="225"/>
      <c r="HS3" s="225"/>
      <c r="HT3" s="225"/>
      <c r="HU3" s="225"/>
      <c r="HV3" s="225"/>
      <c r="HW3" s="225"/>
      <c r="HX3" s="225"/>
      <c r="HY3" s="225"/>
      <c r="HZ3" s="225"/>
      <c r="IA3" s="225"/>
      <c r="IB3" s="225"/>
      <c r="IC3" s="225"/>
      <c r="ID3" s="225"/>
      <c r="IE3" s="225"/>
      <c r="IF3" s="225"/>
      <c r="IG3" s="225"/>
      <c r="IH3" s="225"/>
      <c r="II3" s="225"/>
      <c r="IJ3" s="225"/>
      <c r="IK3" s="225"/>
      <c r="IL3" s="225"/>
      <c r="IM3" s="225"/>
      <c r="IN3" s="225"/>
      <c r="IO3" s="225"/>
      <c r="IP3" s="225"/>
      <c r="IQ3" s="225"/>
      <c r="IR3" s="225"/>
      <c r="IS3" s="225"/>
      <c r="IT3" s="225"/>
      <c r="IU3" s="225"/>
      <c r="IV3" s="225"/>
    </row>
    <row r="4" spans="1:256" ht="45" x14ac:dyDescent="0.2">
      <c r="A4" s="217">
        <f>U4</f>
        <v>345</v>
      </c>
      <c r="B4" s="217">
        <f>W4</f>
        <v>40</v>
      </c>
      <c r="C4" s="217" t="s">
        <v>341</v>
      </c>
      <c r="D4" s="223" t="s">
        <v>679</v>
      </c>
      <c r="E4" s="222" t="s">
        <v>221</v>
      </c>
      <c r="F4" s="342" t="s">
        <v>4059</v>
      </c>
      <c r="G4" s="223">
        <v>2008</v>
      </c>
      <c r="H4" s="223" t="s">
        <v>681</v>
      </c>
      <c r="I4" s="222">
        <v>15842202</v>
      </c>
      <c r="J4" s="222">
        <v>15842101</v>
      </c>
      <c r="K4" s="222">
        <v>15842001</v>
      </c>
      <c r="L4" s="342" t="s">
        <v>3218</v>
      </c>
      <c r="M4" s="222" t="s">
        <v>153</v>
      </c>
      <c r="N4" s="223" t="s">
        <v>2651</v>
      </c>
      <c r="O4" s="223" t="s">
        <v>2087</v>
      </c>
      <c r="P4" s="223">
        <v>13045801</v>
      </c>
      <c r="Q4" s="4" t="s">
        <v>3185</v>
      </c>
      <c r="R4" s="223">
        <v>12675301</v>
      </c>
      <c r="S4" s="223" t="s">
        <v>1186</v>
      </c>
      <c r="T4" s="236" t="s">
        <v>2772</v>
      </c>
      <c r="U4" s="230">
        <v>345</v>
      </c>
      <c r="V4" s="223">
        <v>221</v>
      </c>
      <c r="W4" s="223">
        <v>40</v>
      </c>
      <c r="X4" s="223">
        <v>165.1</v>
      </c>
      <c r="Y4" s="223">
        <v>40</v>
      </c>
      <c r="Z4" s="223">
        <v>14</v>
      </c>
      <c r="AA4" s="223">
        <v>24.344000000000001</v>
      </c>
      <c r="AB4" s="223"/>
      <c r="AC4" s="231">
        <v>21.52</v>
      </c>
      <c r="AD4" s="223"/>
      <c r="AE4" s="223">
        <v>12.42</v>
      </c>
      <c r="AF4" s="223"/>
      <c r="AG4" s="223"/>
      <c r="AH4" s="230" t="s">
        <v>159</v>
      </c>
      <c r="AI4" s="223">
        <v>0.04</v>
      </c>
      <c r="AJ4" s="223">
        <v>8.9999999999999993E-3</v>
      </c>
      <c r="AK4" s="222" t="s">
        <v>157</v>
      </c>
      <c r="AL4" s="223">
        <v>144</v>
      </c>
      <c r="AM4" s="222"/>
      <c r="AN4" s="222"/>
      <c r="AO4" s="222"/>
      <c r="AP4" s="222"/>
      <c r="AQ4" s="222"/>
      <c r="AR4" s="222"/>
      <c r="AS4" s="222"/>
      <c r="AT4" s="222"/>
      <c r="AU4" s="222"/>
      <c r="AV4" s="222"/>
      <c r="AW4" s="222"/>
      <c r="AX4" s="222"/>
      <c r="AY4" s="222"/>
      <c r="AZ4" s="224">
        <f>AA4/AC4</f>
        <v>1.1312267657992565</v>
      </c>
      <c r="BA4" s="225"/>
      <c r="BB4" s="225"/>
      <c r="BC4" s="225"/>
      <c r="BD4" s="225"/>
      <c r="BE4" s="225"/>
      <c r="BF4" s="225"/>
      <c r="BG4" s="225"/>
      <c r="BH4" s="225"/>
      <c r="BI4" s="225"/>
      <c r="BJ4" s="225"/>
      <c r="BK4" s="225"/>
      <c r="BL4" s="225"/>
      <c r="BM4" s="225"/>
      <c r="BN4" s="225"/>
      <c r="BO4" s="225"/>
      <c r="BP4" s="225"/>
      <c r="BQ4" s="225"/>
      <c r="BR4" s="225"/>
      <c r="BS4" s="225"/>
      <c r="BT4" s="225"/>
      <c r="BU4" s="225"/>
      <c r="BV4" s="225"/>
      <c r="BW4" s="225"/>
      <c r="BX4" s="225"/>
      <c r="BY4" s="225"/>
      <c r="BZ4" s="225"/>
      <c r="CA4" s="225"/>
      <c r="CB4" s="225"/>
      <c r="CC4" s="225"/>
      <c r="CD4" s="225"/>
      <c r="CE4" s="225"/>
      <c r="CF4" s="225"/>
      <c r="CG4" s="225"/>
      <c r="CH4" s="225"/>
      <c r="CI4" s="225"/>
      <c r="CJ4" s="225"/>
      <c r="CK4" s="225"/>
      <c r="CL4" s="225"/>
      <c r="CM4" s="225"/>
      <c r="CN4" s="225"/>
      <c r="CO4" s="225"/>
      <c r="CP4" s="225"/>
      <c r="CQ4" s="225"/>
      <c r="CR4" s="225"/>
      <c r="CS4" s="225"/>
      <c r="CT4" s="225"/>
      <c r="CU4" s="225"/>
      <c r="CV4" s="225"/>
      <c r="CW4" s="225"/>
      <c r="CX4" s="225"/>
      <c r="CY4" s="225"/>
      <c r="CZ4" s="225"/>
      <c r="DA4" s="225"/>
      <c r="DB4" s="225"/>
      <c r="DC4" s="225"/>
      <c r="DD4" s="225"/>
      <c r="DE4" s="225"/>
      <c r="DF4" s="225"/>
      <c r="DG4" s="225"/>
      <c r="DH4" s="225"/>
      <c r="DI4" s="225"/>
      <c r="DJ4" s="225"/>
      <c r="DK4" s="225"/>
      <c r="DL4" s="225"/>
      <c r="DM4" s="225"/>
      <c r="DN4" s="225"/>
      <c r="DO4" s="225"/>
      <c r="DP4" s="225"/>
      <c r="DQ4" s="225"/>
      <c r="DR4" s="225"/>
      <c r="DS4" s="225"/>
      <c r="DT4" s="225"/>
      <c r="DU4" s="225"/>
      <c r="DV4" s="225"/>
      <c r="DW4" s="225"/>
      <c r="DX4" s="225"/>
      <c r="DY4" s="225"/>
      <c r="DZ4" s="225"/>
      <c r="EA4" s="225"/>
      <c r="EB4" s="225"/>
      <c r="EC4" s="225"/>
      <c r="ED4" s="225"/>
      <c r="EE4" s="225"/>
      <c r="EF4" s="225"/>
      <c r="EG4" s="225"/>
      <c r="EH4" s="225"/>
      <c r="EI4" s="225"/>
      <c r="EJ4" s="225"/>
      <c r="EK4" s="225"/>
      <c r="EL4" s="225"/>
      <c r="EM4" s="225"/>
      <c r="EN4" s="225"/>
      <c r="EO4" s="225"/>
      <c r="EP4" s="225"/>
      <c r="EQ4" s="225"/>
      <c r="ER4" s="225"/>
      <c r="ES4" s="225"/>
      <c r="ET4" s="225"/>
      <c r="EU4" s="225"/>
      <c r="EV4" s="225"/>
      <c r="EW4" s="225"/>
      <c r="EX4" s="225"/>
      <c r="EY4" s="225"/>
      <c r="EZ4" s="225"/>
      <c r="FA4" s="225"/>
      <c r="FB4" s="225"/>
      <c r="FC4" s="225"/>
      <c r="FD4" s="225"/>
      <c r="FE4" s="225"/>
      <c r="FF4" s="225"/>
      <c r="FG4" s="225"/>
      <c r="FH4" s="225"/>
      <c r="FI4" s="225"/>
      <c r="FJ4" s="225"/>
      <c r="FK4" s="225"/>
      <c r="FL4" s="225"/>
      <c r="FM4" s="225"/>
      <c r="FN4" s="225"/>
      <c r="FO4" s="225"/>
      <c r="FP4" s="225"/>
      <c r="FQ4" s="225"/>
      <c r="FR4" s="225"/>
      <c r="FS4" s="225"/>
      <c r="FT4" s="225"/>
      <c r="FU4" s="225"/>
      <c r="FV4" s="225"/>
      <c r="FW4" s="225"/>
      <c r="FX4" s="225"/>
      <c r="FY4" s="225"/>
      <c r="FZ4" s="225"/>
      <c r="GA4" s="225"/>
      <c r="GB4" s="225"/>
      <c r="GC4" s="225"/>
      <c r="GD4" s="225"/>
      <c r="GE4" s="225"/>
      <c r="GF4" s="225"/>
      <c r="GG4" s="225"/>
      <c r="GH4" s="225"/>
      <c r="GI4" s="225"/>
      <c r="GJ4" s="225"/>
      <c r="GK4" s="225"/>
      <c r="GL4" s="225"/>
      <c r="GM4" s="225"/>
      <c r="GN4" s="225"/>
      <c r="GO4" s="225"/>
      <c r="GP4" s="225"/>
      <c r="GQ4" s="225"/>
      <c r="GR4" s="225"/>
      <c r="GS4" s="225"/>
      <c r="GT4" s="225"/>
      <c r="GU4" s="225"/>
      <c r="GV4" s="225"/>
      <c r="GW4" s="225"/>
      <c r="GX4" s="225"/>
      <c r="GY4" s="225"/>
      <c r="GZ4" s="225"/>
      <c r="HA4" s="225"/>
      <c r="HB4" s="225"/>
      <c r="HC4" s="225"/>
      <c r="HD4" s="225"/>
      <c r="HE4" s="225"/>
      <c r="HF4" s="225"/>
      <c r="HG4" s="225"/>
      <c r="HH4" s="225"/>
      <c r="HI4" s="225"/>
      <c r="HJ4" s="225"/>
      <c r="HK4" s="225"/>
      <c r="HL4" s="225"/>
      <c r="HM4" s="225"/>
      <c r="HN4" s="225"/>
      <c r="HO4" s="225"/>
      <c r="HP4" s="225"/>
      <c r="HQ4" s="225"/>
      <c r="HR4" s="225"/>
      <c r="HS4" s="225"/>
      <c r="HT4" s="225"/>
      <c r="HU4" s="225"/>
      <c r="HV4" s="225"/>
      <c r="HW4" s="225"/>
      <c r="HX4" s="225"/>
      <c r="HY4" s="225"/>
      <c r="HZ4" s="225"/>
      <c r="IA4" s="225"/>
      <c r="IB4" s="225"/>
      <c r="IC4" s="225"/>
      <c r="ID4" s="225"/>
      <c r="IE4" s="225"/>
      <c r="IF4" s="225"/>
      <c r="IG4" s="225"/>
      <c r="IH4" s="225"/>
      <c r="II4" s="225"/>
      <c r="IJ4" s="225"/>
      <c r="IK4" s="225"/>
      <c r="IL4" s="225"/>
      <c r="IM4" s="225"/>
      <c r="IN4" s="225"/>
      <c r="IO4" s="225"/>
      <c r="IP4" s="225"/>
      <c r="IQ4" s="225"/>
      <c r="IR4" s="225"/>
      <c r="IS4" s="225"/>
      <c r="IT4" s="225"/>
      <c r="IU4" s="225"/>
      <c r="IV4" s="225"/>
    </row>
    <row r="5" spans="1:256" ht="45" x14ac:dyDescent="0.2">
      <c r="A5" s="217">
        <f>U5</f>
        <v>363</v>
      </c>
      <c r="B5" s="217">
        <f>W5</f>
        <v>38</v>
      </c>
      <c r="C5" s="217" t="s">
        <v>341</v>
      </c>
      <c r="D5" s="223" t="s">
        <v>679</v>
      </c>
      <c r="E5" s="223" t="s">
        <v>2956</v>
      </c>
      <c r="F5" s="342" t="s">
        <v>4059</v>
      </c>
      <c r="G5" s="223">
        <v>2013</v>
      </c>
      <c r="H5" s="223" t="s">
        <v>681</v>
      </c>
      <c r="I5" s="223">
        <v>18002100</v>
      </c>
      <c r="J5" s="223">
        <v>18002001</v>
      </c>
      <c r="K5" s="223">
        <v>18001901</v>
      </c>
      <c r="L5" s="341" t="s">
        <v>2959</v>
      </c>
      <c r="M5" s="222" t="s">
        <v>153</v>
      </c>
      <c r="N5" s="223" t="s">
        <v>2651</v>
      </c>
      <c r="O5" s="223" t="s">
        <v>2087</v>
      </c>
      <c r="P5" s="223">
        <v>14281001</v>
      </c>
      <c r="Q5" s="4" t="s">
        <v>3187</v>
      </c>
      <c r="R5" s="223">
        <v>12675301</v>
      </c>
      <c r="S5" s="223" t="s">
        <v>577</v>
      </c>
      <c r="T5" s="236" t="s">
        <v>578</v>
      </c>
      <c r="U5" s="230">
        <v>363</v>
      </c>
      <c r="V5" s="223">
        <v>231</v>
      </c>
      <c r="W5" s="223">
        <v>38</v>
      </c>
      <c r="X5" s="223" t="s">
        <v>2962</v>
      </c>
      <c r="Y5" s="223"/>
      <c r="Z5" s="223">
        <v>10</v>
      </c>
      <c r="AA5" s="223">
        <v>31.14</v>
      </c>
      <c r="AB5" s="223"/>
      <c r="AC5" s="223">
        <v>26.46</v>
      </c>
      <c r="AD5" s="223"/>
      <c r="AE5" s="223"/>
      <c r="AF5" s="223"/>
      <c r="AG5" s="223"/>
      <c r="AH5" s="230" t="s">
        <v>159</v>
      </c>
      <c r="AI5" s="223">
        <v>0.04</v>
      </c>
      <c r="AJ5" s="223">
        <v>8.9999999999999993E-3</v>
      </c>
      <c r="AK5" s="222" t="s">
        <v>157</v>
      </c>
      <c r="AL5" s="223">
        <v>144</v>
      </c>
      <c r="AM5" s="222"/>
      <c r="AN5" s="222"/>
      <c r="AO5" s="222"/>
      <c r="AP5" s="222"/>
      <c r="AQ5" s="222"/>
      <c r="AR5" s="222"/>
      <c r="AS5" s="222"/>
      <c r="AT5" s="237"/>
      <c r="AU5" s="222"/>
      <c r="AV5" s="222"/>
      <c r="AW5" s="222"/>
      <c r="AX5" s="222"/>
      <c r="AY5" s="222"/>
      <c r="AZ5" s="224">
        <f>AA5/AC5</f>
        <v>1.1768707482993197</v>
      </c>
      <c r="BA5" s="225"/>
      <c r="BB5" s="225"/>
      <c r="BC5" s="225"/>
      <c r="BD5" s="225"/>
      <c r="BE5" s="225"/>
      <c r="BF5" s="225"/>
      <c r="BG5" s="225"/>
      <c r="BH5" s="225"/>
      <c r="BI5" s="225"/>
      <c r="BJ5" s="225"/>
      <c r="BK5" s="225"/>
      <c r="BL5" s="225"/>
      <c r="BM5" s="225"/>
      <c r="BN5" s="225"/>
      <c r="BO5" s="225"/>
      <c r="BP5" s="225"/>
      <c r="BQ5" s="225"/>
      <c r="BR5" s="225"/>
      <c r="BS5" s="225"/>
      <c r="BT5" s="225"/>
      <c r="BU5" s="225"/>
      <c r="BV5" s="225"/>
      <c r="BW5" s="225"/>
      <c r="BX5" s="225"/>
      <c r="BY5" s="225"/>
      <c r="BZ5" s="225"/>
      <c r="CA5" s="225"/>
      <c r="CB5" s="225"/>
      <c r="CC5" s="225"/>
      <c r="CD5" s="225"/>
      <c r="CE5" s="225"/>
      <c r="CF5" s="225"/>
      <c r="CG5" s="225"/>
      <c r="CH5" s="225"/>
      <c r="CI5" s="225"/>
      <c r="CJ5" s="225"/>
      <c r="CK5" s="225"/>
      <c r="CL5" s="225"/>
      <c r="CM5" s="225"/>
      <c r="CN5" s="225"/>
      <c r="CO5" s="225"/>
      <c r="CP5" s="225"/>
      <c r="CQ5" s="225"/>
      <c r="CR5" s="225"/>
      <c r="CS5" s="225"/>
      <c r="CT5" s="225"/>
      <c r="CU5" s="225"/>
      <c r="CV5" s="225"/>
      <c r="CW5" s="225"/>
      <c r="CX5" s="225"/>
      <c r="CY5" s="225"/>
      <c r="CZ5" s="225"/>
      <c r="DA5" s="225"/>
      <c r="DB5" s="225"/>
      <c r="DC5" s="225"/>
      <c r="DD5" s="225"/>
      <c r="DE5" s="225"/>
      <c r="DF5" s="225"/>
      <c r="DG5" s="225"/>
      <c r="DH5" s="225"/>
      <c r="DI5" s="225"/>
      <c r="DJ5" s="225"/>
      <c r="DK5" s="225"/>
      <c r="DL5" s="225"/>
      <c r="DM5" s="225"/>
      <c r="DN5" s="225"/>
      <c r="DO5" s="225"/>
      <c r="DP5" s="225"/>
      <c r="DQ5" s="225"/>
      <c r="DR5" s="225"/>
      <c r="DS5" s="225"/>
      <c r="DT5" s="225"/>
      <c r="DU5" s="225"/>
      <c r="DV5" s="225"/>
      <c r="DW5" s="225"/>
      <c r="DX5" s="225"/>
      <c r="DY5" s="225"/>
      <c r="DZ5" s="225"/>
      <c r="EA5" s="225"/>
      <c r="EB5" s="225"/>
      <c r="EC5" s="225"/>
      <c r="ED5" s="225"/>
      <c r="EE5" s="225"/>
      <c r="EF5" s="225"/>
      <c r="EG5" s="225"/>
      <c r="EH5" s="225"/>
      <c r="EI5" s="225"/>
      <c r="EJ5" s="225"/>
      <c r="EK5" s="225"/>
      <c r="EL5" s="225"/>
      <c r="EM5" s="225"/>
      <c r="EN5" s="225"/>
      <c r="EO5" s="225"/>
      <c r="EP5" s="225"/>
      <c r="EQ5" s="225"/>
      <c r="ER5" s="225"/>
      <c r="ES5" s="225"/>
      <c r="ET5" s="225"/>
      <c r="EU5" s="225"/>
      <c r="EV5" s="225"/>
      <c r="EW5" s="225"/>
      <c r="EX5" s="225"/>
      <c r="EY5" s="225"/>
      <c r="EZ5" s="225"/>
      <c r="FA5" s="225"/>
      <c r="FB5" s="225"/>
      <c r="FC5" s="225"/>
      <c r="FD5" s="225"/>
      <c r="FE5" s="225"/>
      <c r="FF5" s="225"/>
      <c r="FG5" s="225"/>
      <c r="FH5" s="225"/>
      <c r="FI5" s="225"/>
      <c r="FJ5" s="225"/>
      <c r="FK5" s="225"/>
      <c r="FL5" s="225"/>
      <c r="FM5" s="225"/>
      <c r="FN5" s="225"/>
      <c r="FO5" s="225"/>
      <c r="FP5" s="225"/>
      <c r="FQ5" s="225"/>
      <c r="FR5" s="225"/>
      <c r="FS5" s="225"/>
      <c r="FT5" s="225"/>
      <c r="FU5" s="225"/>
      <c r="FV5" s="225"/>
      <c r="FW5" s="225"/>
      <c r="FX5" s="225"/>
      <c r="FY5" s="225"/>
      <c r="FZ5" s="225"/>
      <c r="GA5" s="225"/>
      <c r="GB5" s="225"/>
      <c r="GC5" s="225"/>
      <c r="GD5" s="225"/>
      <c r="GE5" s="225"/>
      <c r="GF5" s="225"/>
      <c r="GG5" s="225"/>
      <c r="GH5" s="225"/>
      <c r="GI5" s="225"/>
      <c r="GJ5" s="225"/>
      <c r="GK5" s="225"/>
      <c r="GL5" s="225"/>
      <c r="GM5" s="225"/>
      <c r="GN5" s="225"/>
      <c r="GO5" s="225"/>
      <c r="GP5" s="225"/>
      <c r="GQ5" s="225"/>
      <c r="GR5" s="225"/>
      <c r="GS5" s="225"/>
      <c r="GT5" s="225"/>
      <c r="GU5" s="225"/>
      <c r="GV5" s="225"/>
      <c r="GW5" s="225"/>
      <c r="GX5" s="225"/>
      <c r="GY5" s="225"/>
      <c r="GZ5" s="225"/>
      <c r="HA5" s="225"/>
      <c r="HB5" s="225"/>
      <c r="HC5" s="225"/>
      <c r="HD5" s="225"/>
      <c r="HE5" s="225"/>
      <c r="HF5" s="225"/>
      <c r="HG5" s="225"/>
      <c r="HH5" s="225"/>
      <c r="HI5" s="225"/>
      <c r="HJ5" s="225"/>
      <c r="HK5" s="225"/>
      <c r="HL5" s="225"/>
      <c r="HM5" s="225"/>
      <c r="HN5" s="225"/>
      <c r="HO5" s="225"/>
      <c r="HP5" s="225"/>
      <c r="HQ5" s="225"/>
      <c r="HR5" s="225"/>
      <c r="HS5" s="225"/>
      <c r="HT5" s="225"/>
      <c r="HU5" s="225"/>
      <c r="HV5" s="225"/>
      <c r="HW5" s="225"/>
      <c r="HX5" s="225"/>
      <c r="HY5" s="225"/>
      <c r="HZ5" s="225"/>
      <c r="IA5" s="225"/>
      <c r="IB5" s="225"/>
      <c r="IC5" s="225"/>
      <c r="ID5" s="225"/>
      <c r="IE5" s="225"/>
      <c r="IF5" s="225"/>
      <c r="IG5" s="225"/>
      <c r="IH5" s="225"/>
      <c r="II5" s="225"/>
      <c r="IJ5" s="225"/>
      <c r="IK5" s="225"/>
      <c r="IL5" s="225"/>
      <c r="IM5" s="225"/>
      <c r="IN5" s="225"/>
      <c r="IO5" s="225"/>
      <c r="IP5" s="225"/>
      <c r="IQ5" s="225"/>
      <c r="IR5" s="225"/>
      <c r="IS5" s="225"/>
      <c r="IT5" s="225"/>
      <c r="IU5" s="225"/>
      <c r="IV5" s="225"/>
    </row>
    <row r="6" spans="1:256" ht="45" x14ac:dyDescent="0.2">
      <c r="A6" s="217">
        <f>U6</f>
        <v>363</v>
      </c>
      <c r="B6" s="217">
        <f>W6</f>
        <v>38</v>
      </c>
      <c r="C6" s="217" t="s">
        <v>341</v>
      </c>
      <c r="D6" s="223" t="s">
        <v>679</v>
      </c>
      <c r="E6" s="223" t="s">
        <v>2958</v>
      </c>
      <c r="F6" s="342" t="s">
        <v>4059</v>
      </c>
      <c r="G6" s="223">
        <v>2013</v>
      </c>
      <c r="H6" s="223" t="s">
        <v>681</v>
      </c>
      <c r="I6" s="223">
        <v>18002700</v>
      </c>
      <c r="J6" s="223">
        <v>18002601</v>
      </c>
      <c r="K6" s="223">
        <v>18002501</v>
      </c>
      <c r="L6" s="341" t="s">
        <v>3188</v>
      </c>
      <c r="M6" s="222" t="s">
        <v>153</v>
      </c>
      <c r="N6" s="223" t="s">
        <v>2651</v>
      </c>
      <c r="O6" s="223" t="s">
        <v>2087</v>
      </c>
      <c r="P6" s="223">
        <v>14281001</v>
      </c>
      <c r="Q6" s="4" t="s">
        <v>3187</v>
      </c>
      <c r="R6" s="223">
        <v>12675301</v>
      </c>
      <c r="S6" s="223" t="s">
        <v>577</v>
      </c>
      <c r="T6" s="236" t="s">
        <v>578</v>
      </c>
      <c r="U6" s="230">
        <v>363</v>
      </c>
      <c r="V6" s="223">
        <v>231</v>
      </c>
      <c r="W6" s="223">
        <v>38</v>
      </c>
      <c r="X6" s="223" t="s">
        <v>2963</v>
      </c>
      <c r="Y6" s="223"/>
      <c r="Z6" s="223">
        <v>10</v>
      </c>
      <c r="AA6" s="223">
        <v>37.369999999999997</v>
      </c>
      <c r="AB6" s="223"/>
      <c r="AC6" s="223">
        <v>33.22</v>
      </c>
      <c r="AD6" s="223"/>
      <c r="AE6" s="223"/>
      <c r="AF6" s="223"/>
      <c r="AG6" s="223"/>
      <c r="AH6" s="230" t="s">
        <v>159</v>
      </c>
      <c r="AI6" s="223">
        <v>0.04</v>
      </c>
      <c r="AJ6" s="223">
        <v>8.9999999999999993E-3</v>
      </c>
      <c r="AK6" s="222" t="s">
        <v>157</v>
      </c>
      <c r="AL6" s="223">
        <v>288</v>
      </c>
      <c r="AM6" s="222"/>
      <c r="AN6" s="222"/>
      <c r="AO6" s="222"/>
      <c r="AP6" s="222"/>
      <c r="AQ6" s="222"/>
      <c r="AR6" s="222"/>
      <c r="AS6" s="222"/>
      <c r="AT6" s="237"/>
      <c r="AU6" s="222"/>
      <c r="AV6" s="222"/>
      <c r="AW6" s="222"/>
      <c r="AX6" s="222"/>
      <c r="AY6" s="222"/>
      <c r="AZ6" s="224">
        <f>AA6/AC6</f>
        <v>1.1249247441300421</v>
      </c>
      <c r="BA6" s="225"/>
      <c r="BB6" s="225"/>
      <c r="BC6" s="225"/>
      <c r="BD6" s="225"/>
      <c r="BE6" s="225"/>
      <c r="BF6" s="225"/>
      <c r="BG6" s="225"/>
      <c r="BH6" s="225"/>
      <c r="BI6" s="225"/>
      <c r="BJ6" s="225"/>
      <c r="BK6" s="225"/>
      <c r="BL6" s="225"/>
      <c r="BM6" s="225"/>
      <c r="BN6" s="225"/>
      <c r="BO6" s="225"/>
      <c r="BP6" s="225"/>
      <c r="BQ6" s="225"/>
      <c r="BR6" s="225"/>
      <c r="BS6" s="225"/>
      <c r="BT6" s="225"/>
      <c r="BU6" s="225"/>
      <c r="BV6" s="225"/>
      <c r="BW6" s="225"/>
      <c r="BX6" s="225"/>
      <c r="BY6" s="225"/>
      <c r="BZ6" s="225"/>
      <c r="CA6" s="225"/>
      <c r="CB6" s="225"/>
      <c r="CC6" s="225"/>
      <c r="CD6" s="225"/>
      <c r="CE6" s="225"/>
      <c r="CF6" s="225"/>
      <c r="CG6" s="225"/>
      <c r="CH6" s="225"/>
      <c r="CI6" s="225"/>
      <c r="CJ6" s="225"/>
      <c r="CK6" s="225"/>
      <c r="CL6" s="225"/>
      <c r="CM6" s="225"/>
      <c r="CN6" s="225"/>
      <c r="CO6" s="225"/>
      <c r="CP6" s="225"/>
      <c r="CQ6" s="225"/>
      <c r="CR6" s="225"/>
      <c r="CS6" s="225"/>
      <c r="CT6" s="225"/>
      <c r="CU6" s="225"/>
      <c r="CV6" s="225"/>
      <c r="CW6" s="225"/>
      <c r="CX6" s="225"/>
      <c r="CY6" s="225"/>
      <c r="CZ6" s="225"/>
      <c r="DA6" s="225"/>
      <c r="DB6" s="225"/>
      <c r="DC6" s="225"/>
      <c r="DD6" s="225"/>
      <c r="DE6" s="225"/>
      <c r="DF6" s="225"/>
      <c r="DG6" s="225"/>
      <c r="DH6" s="225"/>
      <c r="DI6" s="225"/>
      <c r="DJ6" s="225"/>
      <c r="DK6" s="225"/>
      <c r="DL6" s="225"/>
      <c r="DM6" s="225"/>
      <c r="DN6" s="225"/>
      <c r="DO6" s="225"/>
      <c r="DP6" s="225"/>
      <c r="DQ6" s="225"/>
      <c r="DR6" s="225"/>
      <c r="DS6" s="225"/>
      <c r="DT6" s="225"/>
      <c r="DU6" s="225"/>
      <c r="DV6" s="225"/>
      <c r="DW6" s="225"/>
      <c r="DX6" s="225"/>
      <c r="DY6" s="225"/>
      <c r="DZ6" s="225"/>
      <c r="EA6" s="225"/>
      <c r="EB6" s="225"/>
      <c r="EC6" s="225"/>
      <c r="ED6" s="225"/>
      <c r="EE6" s="225"/>
      <c r="EF6" s="225"/>
      <c r="EG6" s="225"/>
      <c r="EH6" s="225"/>
      <c r="EI6" s="225"/>
      <c r="EJ6" s="225"/>
      <c r="EK6" s="225"/>
      <c r="EL6" s="225"/>
      <c r="EM6" s="225"/>
      <c r="EN6" s="225"/>
      <c r="EO6" s="225"/>
      <c r="EP6" s="225"/>
      <c r="EQ6" s="225"/>
      <c r="ER6" s="225"/>
      <c r="ES6" s="225"/>
      <c r="ET6" s="225"/>
      <c r="EU6" s="225"/>
      <c r="EV6" s="225"/>
      <c r="EW6" s="225"/>
      <c r="EX6" s="225"/>
      <c r="EY6" s="225"/>
      <c r="EZ6" s="225"/>
      <c r="FA6" s="225"/>
      <c r="FB6" s="225"/>
      <c r="FC6" s="225"/>
      <c r="FD6" s="225"/>
      <c r="FE6" s="225"/>
      <c r="FF6" s="225"/>
      <c r="FG6" s="225"/>
      <c r="FH6" s="225"/>
      <c r="FI6" s="225"/>
      <c r="FJ6" s="225"/>
      <c r="FK6" s="225"/>
      <c r="FL6" s="225"/>
      <c r="FM6" s="225"/>
      <c r="FN6" s="225"/>
      <c r="FO6" s="225"/>
      <c r="FP6" s="225"/>
      <c r="FQ6" s="225"/>
      <c r="FR6" s="225"/>
      <c r="FS6" s="225"/>
      <c r="FT6" s="225"/>
      <c r="FU6" s="225"/>
      <c r="FV6" s="225"/>
      <c r="FW6" s="225"/>
      <c r="FX6" s="225"/>
      <c r="FY6" s="225"/>
      <c r="FZ6" s="225"/>
      <c r="GA6" s="225"/>
      <c r="GB6" s="225"/>
      <c r="GC6" s="225"/>
      <c r="GD6" s="225"/>
      <c r="GE6" s="225"/>
      <c r="GF6" s="225"/>
      <c r="GG6" s="225"/>
      <c r="GH6" s="225"/>
      <c r="GI6" s="225"/>
      <c r="GJ6" s="225"/>
      <c r="GK6" s="225"/>
      <c r="GL6" s="225"/>
      <c r="GM6" s="225"/>
      <c r="GN6" s="225"/>
      <c r="GO6" s="225"/>
      <c r="GP6" s="225"/>
      <c r="GQ6" s="225"/>
      <c r="GR6" s="225"/>
      <c r="GS6" s="225"/>
      <c r="GT6" s="225"/>
      <c r="GU6" s="225"/>
      <c r="GV6" s="225"/>
      <c r="GW6" s="225"/>
      <c r="GX6" s="225"/>
      <c r="GY6" s="225"/>
      <c r="GZ6" s="225"/>
      <c r="HA6" s="225"/>
      <c r="HB6" s="225"/>
      <c r="HC6" s="225"/>
      <c r="HD6" s="225"/>
      <c r="HE6" s="225"/>
      <c r="HF6" s="225"/>
      <c r="HG6" s="225"/>
      <c r="HH6" s="225"/>
      <c r="HI6" s="225"/>
      <c r="HJ6" s="225"/>
      <c r="HK6" s="225"/>
      <c r="HL6" s="225"/>
      <c r="HM6" s="225"/>
      <c r="HN6" s="225"/>
      <c r="HO6" s="225"/>
      <c r="HP6" s="225"/>
      <c r="HQ6" s="225"/>
      <c r="HR6" s="225"/>
      <c r="HS6" s="225"/>
      <c r="HT6" s="225"/>
      <c r="HU6" s="225"/>
      <c r="HV6" s="225"/>
      <c r="HW6" s="225"/>
      <c r="HX6" s="225"/>
      <c r="HY6" s="225"/>
      <c r="HZ6" s="225"/>
      <c r="IA6" s="225"/>
      <c r="IB6" s="225"/>
      <c r="IC6" s="225"/>
      <c r="ID6" s="225"/>
      <c r="IE6" s="225"/>
      <c r="IF6" s="225"/>
      <c r="IG6" s="225"/>
      <c r="IH6" s="225"/>
      <c r="II6" s="225"/>
      <c r="IJ6" s="225"/>
      <c r="IK6" s="225"/>
      <c r="IL6" s="225"/>
      <c r="IM6" s="225"/>
      <c r="IN6" s="225"/>
      <c r="IO6" s="225"/>
      <c r="IP6" s="225"/>
      <c r="IQ6" s="225"/>
      <c r="IR6" s="225"/>
      <c r="IS6" s="225"/>
      <c r="IT6" s="225"/>
      <c r="IU6" s="225"/>
      <c r="IV6" s="225"/>
    </row>
    <row r="7" spans="1:256" x14ac:dyDescent="0.2">
      <c r="A7" s="239"/>
      <c r="B7" s="239"/>
      <c r="C7" s="239"/>
      <c r="D7" s="265"/>
      <c r="E7" s="266"/>
      <c r="F7" s="266"/>
      <c r="G7" s="265"/>
      <c r="H7" s="265"/>
      <c r="I7" s="266"/>
      <c r="J7" s="266"/>
      <c r="K7" s="266"/>
      <c r="L7" s="266"/>
      <c r="M7" s="266"/>
      <c r="N7" s="265"/>
      <c r="O7" s="265"/>
      <c r="P7" s="265"/>
      <c r="Q7" s="265"/>
      <c r="R7" s="265"/>
      <c r="S7" s="265"/>
      <c r="T7" s="267"/>
      <c r="U7" s="268"/>
      <c r="V7" s="265"/>
      <c r="W7" s="265"/>
      <c r="X7" s="265"/>
      <c r="Y7" s="265"/>
      <c r="Z7" s="265"/>
      <c r="AA7" s="265"/>
      <c r="AB7" s="265"/>
      <c r="AC7" s="269"/>
      <c r="AD7" s="265"/>
      <c r="AE7" s="265"/>
      <c r="AF7" s="265"/>
      <c r="AG7" s="265"/>
      <c r="AH7" s="268"/>
      <c r="AI7" s="265"/>
      <c r="AJ7" s="265"/>
      <c r="AK7" s="266"/>
      <c r="AL7" s="265"/>
      <c r="AM7" s="266"/>
      <c r="AN7" s="266"/>
      <c r="AO7" s="266"/>
      <c r="AP7" s="266"/>
      <c r="AQ7" s="266"/>
      <c r="AR7" s="266"/>
      <c r="AS7" s="266"/>
      <c r="AT7" s="266"/>
      <c r="AU7" s="266"/>
      <c r="AV7" s="266"/>
      <c r="AW7" s="266"/>
      <c r="AX7" s="266"/>
      <c r="AY7" s="266"/>
      <c r="AZ7" s="224"/>
      <c r="BA7" s="225"/>
    </row>
    <row r="8" spans="1:256" x14ac:dyDescent="0.2">
      <c r="A8" s="239"/>
      <c r="B8" s="239"/>
      <c r="C8" s="239"/>
      <c r="D8" s="265"/>
      <c r="E8" s="266"/>
      <c r="F8" s="266"/>
      <c r="G8" s="265"/>
      <c r="H8" s="265"/>
      <c r="I8" s="266"/>
      <c r="J8" s="266"/>
      <c r="K8" s="266"/>
      <c r="L8" s="266"/>
      <c r="M8" s="266"/>
      <c r="N8" s="265"/>
      <c r="O8" s="265"/>
      <c r="P8" s="265"/>
      <c r="Q8" s="265"/>
      <c r="R8" s="265"/>
      <c r="S8" s="265"/>
      <c r="T8" s="267"/>
      <c r="U8" s="268"/>
      <c r="V8" s="265"/>
      <c r="W8" s="265"/>
      <c r="X8" s="265"/>
      <c r="Y8" s="265"/>
      <c r="Z8" s="265"/>
      <c r="AA8" s="265"/>
      <c r="AB8" s="265"/>
      <c r="AC8" s="269"/>
      <c r="AD8" s="265"/>
      <c r="AE8" s="265"/>
      <c r="AF8" s="265"/>
      <c r="AG8" s="265"/>
      <c r="AH8" s="268"/>
      <c r="AI8" s="265"/>
      <c r="AJ8" s="265"/>
      <c r="AK8" s="266"/>
      <c r="AL8" s="265"/>
      <c r="AM8" s="266"/>
      <c r="AN8" s="266"/>
      <c r="AO8" s="266"/>
      <c r="AP8" s="266"/>
      <c r="AQ8" s="266"/>
      <c r="AR8" s="266"/>
      <c r="AS8" s="266"/>
      <c r="AT8" s="266"/>
      <c r="AU8" s="266"/>
      <c r="AV8" s="266"/>
      <c r="AW8" s="266"/>
      <c r="AX8" s="266"/>
      <c r="AY8" s="266"/>
      <c r="AZ8" s="224"/>
      <c r="BA8" s="225"/>
    </row>
    <row r="9" spans="1:256" x14ac:dyDescent="0.2">
      <c r="A9" s="239"/>
      <c r="B9" s="239"/>
      <c r="C9" s="239"/>
      <c r="D9" s="265"/>
      <c r="E9" s="266"/>
      <c r="F9" s="266"/>
      <c r="G9" s="265"/>
      <c r="H9" s="265"/>
      <c r="I9" s="266"/>
      <c r="J9" s="266"/>
      <c r="K9" s="266"/>
      <c r="L9" s="266"/>
      <c r="M9" s="266"/>
      <c r="N9" s="265"/>
      <c r="O9" s="265"/>
      <c r="P9" s="265"/>
      <c r="Q9" s="265"/>
      <c r="R9" s="265"/>
      <c r="S9" s="265"/>
      <c r="T9" s="267"/>
      <c r="U9" s="268"/>
      <c r="V9" s="265"/>
      <c r="W9" s="265"/>
      <c r="X9" s="265"/>
      <c r="Y9" s="265"/>
      <c r="Z9" s="265"/>
      <c r="AA9" s="265"/>
      <c r="AB9" s="265"/>
      <c r="AC9" s="269"/>
      <c r="AD9" s="265"/>
      <c r="AE9" s="265"/>
      <c r="AF9" s="265"/>
      <c r="AG9" s="265"/>
      <c r="AH9" s="268"/>
      <c r="AI9" s="265"/>
      <c r="AJ9" s="265"/>
      <c r="AK9" s="266"/>
      <c r="AL9" s="265"/>
      <c r="AM9" s="266"/>
      <c r="AN9" s="266"/>
      <c r="AO9" s="266"/>
      <c r="AP9" s="266"/>
      <c r="AQ9" s="266"/>
      <c r="AR9" s="266"/>
      <c r="AS9" s="266"/>
      <c r="AT9" s="266"/>
      <c r="AU9" s="266"/>
      <c r="AV9" s="266"/>
      <c r="AW9" s="266"/>
      <c r="AX9" s="266"/>
      <c r="AY9" s="266"/>
      <c r="AZ9" s="224"/>
      <c r="BA9" s="225"/>
    </row>
    <row r="10" spans="1:256" x14ac:dyDescent="0.2">
      <c r="A10" s="239"/>
      <c r="B10" s="239"/>
      <c r="C10" s="239"/>
      <c r="D10" s="265"/>
      <c r="E10" s="266"/>
      <c r="F10" s="266"/>
      <c r="G10" s="265"/>
      <c r="H10" s="265"/>
      <c r="I10" s="266"/>
      <c r="J10" s="266"/>
      <c r="K10" s="266"/>
      <c r="L10" s="266"/>
      <c r="M10" s="266"/>
      <c r="N10" s="265"/>
      <c r="O10" s="265"/>
      <c r="P10" s="265"/>
      <c r="Q10" s="265"/>
      <c r="R10" s="265"/>
      <c r="S10" s="265"/>
      <c r="T10" s="267"/>
      <c r="U10" s="268"/>
      <c r="V10" s="265"/>
      <c r="W10" s="265"/>
      <c r="X10" s="265"/>
      <c r="Y10" s="265"/>
      <c r="Z10" s="265"/>
      <c r="AA10" s="265"/>
      <c r="AB10" s="265"/>
      <c r="AC10" s="269"/>
      <c r="AD10" s="265"/>
      <c r="AE10" s="265"/>
      <c r="AF10" s="265"/>
      <c r="AG10" s="265"/>
      <c r="AH10" s="268"/>
      <c r="AI10" s="265"/>
      <c r="AJ10" s="265"/>
      <c r="AK10" s="266"/>
      <c r="AL10" s="265"/>
      <c r="AM10" s="266"/>
      <c r="AN10" s="266"/>
      <c r="AO10" s="266"/>
      <c r="AP10" s="266"/>
      <c r="AQ10" s="266"/>
      <c r="AR10" s="266"/>
      <c r="AS10" s="266"/>
      <c r="AT10" s="266"/>
      <c r="AU10" s="266"/>
      <c r="AV10" s="266"/>
      <c r="AW10" s="266"/>
      <c r="AX10" s="266"/>
      <c r="AY10" s="266"/>
      <c r="AZ10" s="224"/>
      <c r="BA10" s="225"/>
    </row>
    <row r="11" spans="1:256" x14ac:dyDescent="0.2">
      <c r="D11" s="238"/>
      <c r="E11" s="238"/>
      <c r="F11" s="239"/>
      <c r="G11" s="238"/>
      <c r="H11" s="238"/>
      <c r="I11" s="238"/>
      <c r="J11" s="238"/>
      <c r="K11" s="238"/>
      <c r="L11" s="238"/>
      <c r="M11" s="240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40"/>
      <c r="AL11" s="238"/>
      <c r="AM11" s="240"/>
      <c r="AN11" s="240"/>
      <c r="AO11" s="240"/>
      <c r="AP11" s="240"/>
      <c r="AQ11" s="240"/>
      <c r="AR11" s="240"/>
      <c r="AS11" s="240"/>
      <c r="AT11" s="240"/>
      <c r="AU11" s="240"/>
      <c r="AV11" s="240"/>
      <c r="AW11" s="240"/>
      <c r="AX11" s="240"/>
      <c r="AY11" s="240"/>
      <c r="AZ11" s="241"/>
    </row>
    <row r="12" spans="1:256" x14ac:dyDescent="0.2">
      <c r="A12" s="242" t="s">
        <v>1935</v>
      </c>
      <c r="E12" s="22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  <c r="AS12" s="240"/>
      <c r="AT12" s="240"/>
      <c r="AU12" s="240"/>
      <c r="AV12" s="240"/>
      <c r="AW12" s="240"/>
      <c r="AX12" s="240"/>
      <c r="AY12" s="240"/>
      <c r="AZ12" s="220"/>
    </row>
    <row r="13" spans="1:256" x14ac:dyDescent="0.2">
      <c r="D13" s="243"/>
      <c r="E13" s="22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  <c r="AS13" s="240"/>
      <c r="AT13" s="240"/>
      <c r="AU13" s="240"/>
      <c r="AV13" s="240"/>
      <c r="AW13" s="240"/>
      <c r="AX13" s="240"/>
      <c r="AY13" s="240"/>
      <c r="AZ13" s="220"/>
    </row>
    <row r="14" spans="1:256" ht="45" x14ac:dyDescent="0.2">
      <c r="A14" s="217">
        <f t="shared" ref="A14:A58" si="0">U14</f>
        <v>305</v>
      </c>
      <c r="B14" s="217">
        <f t="shared" ref="B14:B58" si="1">W14</f>
        <v>26</v>
      </c>
      <c r="C14" s="217" t="s">
        <v>341</v>
      </c>
      <c r="D14" s="223" t="s">
        <v>679</v>
      </c>
      <c r="E14" s="223" t="s">
        <v>357</v>
      </c>
      <c r="F14" s="230" t="s">
        <v>2908</v>
      </c>
      <c r="G14" s="223">
        <v>2004</v>
      </c>
      <c r="H14" s="221" t="s">
        <v>559</v>
      </c>
      <c r="I14" s="221">
        <v>15527602</v>
      </c>
      <c r="J14" s="219">
        <v>13469401</v>
      </c>
      <c r="K14" s="223">
        <v>13469301</v>
      </c>
      <c r="L14" s="223" t="s">
        <v>1612</v>
      </c>
      <c r="M14" s="218" t="s">
        <v>153</v>
      </c>
      <c r="N14" s="223" t="s">
        <v>2651</v>
      </c>
      <c r="O14" s="223" t="s">
        <v>2087</v>
      </c>
      <c r="P14" s="223">
        <v>13654901</v>
      </c>
      <c r="Q14" s="4" t="s">
        <v>3186</v>
      </c>
      <c r="R14" s="223">
        <v>12839601</v>
      </c>
      <c r="S14" s="223" t="s">
        <v>1613</v>
      </c>
      <c r="T14" s="223" t="s">
        <v>545</v>
      </c>
      <c r="U14" s="230">
        <v>305</v>
      </c>
      <c r="V14" s="223">
        <v>197</v>
      </c>
      <c r="W14" s="223">
        <v>26</v>
      </c>
      <c r="X14" s="223" t="s">
        <v>581</v>
      </c>
      <c r="Y14" s="223">
        <v>26</v>
      </c>
      <c r="Z14" s="223">
        <v>8.5</v>
      </c>
      <c r="AA14" s="223">
        <v>14.012</v>
      </c>
      <c r="AB14" s="223"/>
      <c r="AC14" s="223">
        <v>11.278</v>
      </c>
      <c r="AD14" s="223"/>
      <c r="AE14" s="223"/>
      <c r="AF14" s="223"/>
      <c r="AG14" s="223"/>
      <c r="AH14" s="230" t="s">
        <v>159</v>
      </c>
      <c r="AI14" s="223">
        <v>0.04</v>
      </c>
      <c r="AJ14" s="223">
        <v>8.9999999999999993E-3</v>
      </c>
      <c r="AK14" s="222" t="s">
        <v>686</v>
      </c>
      <c r="AL14" s="223">
        <v>72</v>
      </c>
      <c r="AM14" s="222"/>
      <c r="AN14" s="222"/>
      <c r="AO14" s="222"/>
      <c r="AP14" s="222"/>
      <c r="AQ14" s="222"/>
      <c r="AR14" s="222"/>
      <c r="AS14" s="222"/>
      <c r="AT14" s="222"/>
      <c r="AU14" s="222"/>
      <c r="AV14" s="222"/>
      <c r="AW14" s="222"/>
      <c r="AX14" s="222"/>
      <c r="AY14" s="222"/>
      <c r="AZ14" s="224">
        <f>AA14/AC14</f>
        <v>1.2424188685937223</v>
      </c>
    </row>
    <row r="15" spans="1:256" ht="45" x14ac:dyDescent="0.2">
      <c r="A15" s="217">
        <f t="shared" si="0"/>
        <v>286.60000000000002</v>
      </c>
      <c r="B15" s="217">
        <f t="shared" si="1"/>
        <v>26</v>
      </c>
      <c r="C15" s="217" t="s">
        <v>341</v>
      </c>
      <c r="D15" s="223" t="s">
        <v>679</v>
      </c>
      <c r="E15" s="223" t="s">
        <v>1614</v>
      </c>
      <c r="F15" s="230" t="s">
        <v>2908</v>
      </c>
      <c r="G15" s="223">
        <v>2004</v>
      </c>
      <c r="H15" s="221" t="s">
        <v>559</v>
      </c>
      <c r="I15" s="223">
        <v>15527702</v>
      </c>
      <c r="J15" s="219">
        <v>13025101</v>
      </c>
      <c r="K15" s="223">
        <v>13025001</v>
      </c>
      <c r="L15" s="341" t="s">
        <v>3189</v>
      </c>
      <c r="M15" s="218" t="s">
        <v>153</v>
      </c>
      <c r="N15" s="223" t="s">
        <v>2651</v>
      </c>
      <c r="O15" s="223" t="s">
        <v>2087</v>
      </c>
      <c r="P15" s="223">
        <v>13654901</v>
      </c>
      <c r="Q15" s="4" t="s">
        <v>3186</v>
      </c>
      <c r="R15" s="223">
        <v>12839601</v>
      </c>
      <c r="S15" s="223" t="s">
        <v>1613</v>
      </c>
      <c r="T15" s="223" t="s">
        <v>545</v>
      </c>
      <c r="U15" s="230">
        <v>286.60000000000002</v>
      </c>
      <c r="V15" s="223">
        <v>178</v>
      </c>
      <c r="W15" s="223">
        <v>26</v>
      </c>
      <c r="X15" s="223" t="s">
        <v>581</v>
      </c>
      <c r="Y15" s="223">
        <v>26</v>
      </c>
      <c r="Z15" s="223">
        <v>11.7</v>
      </c>
      <c r="AA15" s="223">
        <v>13.323</v>
      </c>
      <c r="AB15" s="223"/>
      <c r="AC15" s="223">
        <v>9.3390000000000004</v>
      </c>
      <c r="AD15" s="223"/>
      <c r="AE15" s="223"/>
      <c r="AF15" s="223"/>
      <c r="AG15" s="223"/>
      <c r="AH15" s="230" t="s">
        <v>159</v>
      </c>
      <c r="AI15" s="223">
        <v>3.5999999999999997E-2</v>
      </c>
      <c r="AJ15" s="223">
        <v>1.2E-2</v>
      </c>
      <c r="AK15" s="222" t="s">
        <v>686</v>
      </c>
      <c r="AL15" s="223">
        <v>72</v>
      </c>
      <c r="AM15" s="222"/>
      <c r="AN15" s="222"/>
      <c r="AO15" s="222"/>
      <c r="AP15" s="222"/>
      <c r="AQ15" s="222"/>
      <c r="AR15" s="222"/>
      <c r="AS15" s="222"/>
      <c r="AT15" s="222"/>
      <c r="AU15" s="222"/>
      <c r="AV15" s="222"/>
      <c r="AW15" s="222"/>
      <c r="AX15" s="222"/>
      <c r="AY15" s="222"/>
      <c r="AZ15" s="224">
        <f>AA15/AC15</f>
        <v>1.4265981368454868</v>
      </c>
    </row>
    <row r="16" spans="1:256" ht="45" x14ac:dyDescent="0.2">
      <c r="A16" s="217">
        <f t="shared" si="0"/>
        <v>331</v>
      </c>
      <c r="B16" s="217">
        <f t="shared" si="1"/>
        <v>38</v>
      </c>
      <c r="C16" s="217" t="s">
        <v>341</v>
      </c>
      <c r="D16" s="223" t="s">
        <v>679</v>
      </c>
      <c r="E16" s="221" t="s">
        <v>1815</v>
      </c>
      <c r="F16" s="230" t="s">
        <v>1714</v>
      </c>
      <c r="G16" s="218">
        <v>1999</v>
      </c>
      <c r="H16" s="221" t="s">
        <v>1351</v>
      </c>
      <c r="J16" s="221">
        <v>13074602</v>
      </c>
      <c r="K16" s="221">
        <v>13074400</v>
      </c>
      <c r="L16" s="221" t="s">
        <v>1616</v>
      </c>
      <c r="M16" s="221" t="s">
        <v>1351</v>
      </c>
      <c r="N16" s="223" t="s">
        <v>2651</v>
      </c>
      <c r="O16" s="221" t="s">
        <v>2087</v>
      </c>
      <c r="P16" s="221"/>
      <c r="Q16" s="221"/>
      <c r="R16" s="221"/>
      <c r="S16" s="221" t="s">
        <v>577</v>
      </c>
      <c r="T16" s="221" t="s">
        <v>684</v>
      </c>
      <c r="U16" s="221">
        <v>331</v>
      </c>
      <c r="V16" s="218">
        <v>230</v>
      </c>
      <c r="W16" s="221">
        <v>38</v>
      </c>
      <c r="X16" s="221" t="s">
        <v>1618</v>
      </c>
      <c r="Y16" s="221">
        <v>58.3</v>
      </c>
      <c r="Z16" s="218">
        <v>16.600000000000001</v>
      </c>
      <c r="AA16" s="221">
        <v>23.6</v>
      </c>
      <c r="AB16" s="221"/>
      <c r="AC16" s="221">
        <v>19.89</v>
      </c>
      <c r="AD16" s="221"/>
      <c r="AE16" s="218">
        <v>12</v>
      </c>
      <c r="AF16" s="218">
        <v>1374</v>
      </c>
      <c r="AG16" s="218">
        <v>721</v>
      </c>
      <c r="AH16" s="221" t="s">
        <v>159</v>
      </c>
      <c r="AI16" s="221">
        <v>0.05</v>
      </c>
      <c r="AJ16" s="221">
        <v>0.01</v>
      </c>
      <c r="AK16" s="221" t="s">
        <v>157</v>
      </c>
      <c r="AL16" s="218">
        <v>143</v>
      </c>
      <c r="AM16" s="218">
        <v>3119.1</v>
      </c>
      <c r="AN16" s="218">
        <v>5034</v>
      </c>
      <c r="AO16" s="218">
        <v>2381</v>
      </c>
      <c r="AP16" s="218">
        <v>161</v>
      </c>
      <c r="AQ16" s="218">
        <v>378</v>
      </c>
      <c r="AR16" s="218">
        <v>736</v>
      </c>
      <c r="AS16" s="218">
        <v>5105</v>
      </c>
      <c r="AT16" s="218">
        <v>0.62</v>
      </c>
      <c r="AU16" s="218"/>
      <c r="AV16" s="218" t="s">
        <v>1619</v>
      </c>
      <c r="AW16" s="218"/>
      <c r="AX16" s="218" t="s">
        <v>2856</v>
      </c>
      <c r="AY16" s="218" t="s">
        <v>2857</v>
      </c>
      <c r="AZ16" s="224">
        <f>AA16/AC16</f>
        <v>1.1865258924082454</v>
      </c>
    </row>
    <row r="17" spans="1:52" ht="33.75" x14ac:dyDescent="0.2">
      <c r="A17" s="217">
        <f t="shared" si="0"/>
        <v>347</v>
      </c>
      <c r="B17" s="217">
        <f t="shared" si="1"/>
        <v>38</v>
      </c>
      <c r="C17" s="217" t="s">
        <v>341</v>
      </c>
      <c r="D17" s="223" t="s">
        <v>679</v>
      </c>
      <c r="E17" s="341" t="s">
        <v>3183</v>
      </c>
      <c r="F17" s="222" t="s">
        <v>1714</v>
      </c>
      <c r="G17" s="223">
        <v>2007</v>
      </c>
      <c r="H17" s="223" t="s">
        <v>681</v>
      </c>
      <c r="I17" s="223">
        <v>15314800</v>
      </c>
      <c r="J17" s="223">
        <v>15314701</v>
      </c>
      <c r="K17" s="223">
        <v>15314601</v>
      </c>
      <c r="L17" s="223" t="s">
        <v>583</v>
      </c>
      <c r="M17" s="222" t="s">
        <v>153</v>
      </c>
      <c r="N17" s="223" t="s">
        <v>2651</v>
      </c>
      <c r="O17" s="223" t="s">
        <v>2087</v>
      </c>
      <c r="P17" s="223"/>
      <c r="Q17" s="223"/>
      <c r="R17" s="223"/>
      <c r="S17" s="223" t="s">
        <v>577</v>
      </c>
      <c r="T17" s="223" t="s">
        <v>1748</v>
      </c>
      <c r="U17" s="230">
        <v>347</v>
      </c>
      <c r="V17" s="223">
        <v>229</v>
      </c>
      <c r="W17" s="223">
        <v>38</v>
      </c>
      <c r="X17" s="223" t="s">
        <v>1618</v>
      </c>
      <c r="Y17" s="223">
        <v>38</v>
      </c>
      <c r="Z17" s="223">
        <v>16.600000000000001</v>
      </c>
      <c r="AA17" s="223">
        <v>27.146000000000001</v>
      </c>
      <c r="AB17" s="223"/>
      <c r="AC17" s="223">
        <v>22.94</v>
      </c>
      <c r="AD17" s="223"/>
      <c r="AE17" s="223">
        <v>10.6</v>
      </c>
      <c r="AF17" s="223">
        <v>1470.9</v>
      </c>
      <c r="AG17" s="223">
        <v>721</v>
      </c>
      <c r="AH17" s="230" t="s">
        <v>159</v>
      </c>
      <c r="AI17" s="223">
        <v>0.04</v>
      </c>
      <c r="AJ17" s="223">
        <v>8.9999999999999993E-3</v>
      </c>
      <c r="AK17" s="222" t="s">
        <v>686</v>
      </c>
      <c r="AL17" s="223">
        <v>143</v>
      </c>
      <c r="AM17" s="222"/>
      <c r="AN17" s="222"/>
      <c r="AO17" s="222"/>
      <c r="AP17" s="222"/>
      <c r="AQ17" s="222"/>
      <c r="AR17" s="222"/>
      <c r="AS17" s="222"/>
      <c r="AT17" s="222"/>
      <c r="AU17" s="222"/>
      <c r="AV17" s="222"/>
      <c r="AW17" s="222"/>
      <c r="AX17" s="222"/>
      <c r="AY17" s="222"/>
      <c r="AZ17" s="224">
        <f>AA17/AC17</f>
        <v>1.1833478639930253</v>
      </c>
    </row>
    <row r="18" spans="1:52" ht="33.75" x14ac:dyDescent="0.2">
      <c r="A18" s="217">
        <f t="shared" si="0"/>
        <v>347</v>
      </c>
      <c r="B18" s="217">
        <f t="shared" si="1"/>
        <v>38</v>
      </c>
      <c r="C18" s="217" t="s">
        <v>341</v>
      </c>
      <c r="D18" s="223" t="s">
        <v>679</v>
      </c>
      <c r="E18" s="223" t="s">
        <v>1821</v>
      </c>
      <c r="F18" s="222" t="s">
        <v>1714</v>
      </c>
      <c r="G18" s="223">
        <v>2007</v>
      </c>
      <c r="H18" s="223" t="s">
        <v>681</v>
      </c>
      <c r="I18" s="223">
        <v>15486600</v>
      </c>
      <c r="J18" s="223">
        <v>15486501</v>
      </c>
      <c r="K18" s="223">
        <v>15486401</v>
      </c>
      <c r="L18" s="223" t="s">
        <v>584</v>
      </c>
      <c r="M18" s="222" t="s">
        <v>153</v>
      </c>
      <c r="N18" s="223" t="s">
        <v>2651</v>
      </c>
      <c r="O18" s="223" t="s">
        <v>2087</v>
      </c>
      <c r="P18" s="223"/>
      <c r="Q18" s="223"/>
      <c r="R18" s="223"/>
      <c r="S18" s="223" t="s">
        <v>577</v>
      </c>
      <c r="T18" s="223" t="s">
        <v>1748</v>
      </c>
      <c r="U18" s="230">
        <v>347</v>
      </c>
      <c r="V18" s="223">
        <v>229</v>
      </c>
      <c r="W18" s="223">
        <v>38</v>
      </c>
      <c r="X18" s="223" t="s">
        <v>2236</v>
      </c>
      <c r="Y18" s="223">
        <v>38</v>
      </c>
      <c r="Z18" s="223">
        <v>13</v>
      </c>
      <c r="AA18" s="223">
        <v>34.832000000000001</v>
      </c>
      <c r="AB18" s="223"/>
      <c r="AC18" s="231">
        <v>31.3</v>
      </c>
      <c r="AD18" s="223"/>
      <c r="AE18" s="223">
        <v>11.8</v>
      </c>
      <c r="AF18" s="223">
        <v>1350.8</v>
      </c>
      <c r="AG18" s="223">
        <v>721</v>
      </c>
      <c r="AH18" s="230" t="s">
        <v>159</v>
      </c>
      <c r="AI18" s="223">
        <v>0.04</v>
      </c>
      <c r="AJ18" s="223">
        <v>8.9999999999999993E-3</v>
      </c>
      <c r="AK18" s="222" t="s">
        <v>686</v>
      </c>
      <c r="AL18" s="223">
        <v>288</v>
      </c>
      <c r="AM18" s="222"/>
      <c r="AN18" s="222"/>
      <c r="AO18" s="222">
        <v>2381</v>
      </c>
      <c r="AP18" s="222"/>
      <c r="AQ18" s="222">
        <v>393.7</v>
      </c>
      <c r="AR18" s="222">
        <v>736</v>
      </c>
      <c r="AS18" s="222"/>
      <c r="AT18" s="222"/>
      <c r="AU18" s="222"/>
      <c r="AV18" s="222"/>
      <c r="AW18" s="222"/>
      <c r="AX18" s="222"/>
      <c r="AY18" s="222"/>
      <c r="AZ18" s="224">
        <f>AA18/AC18</f>
        <v>1.1128434504792333</v>
      </c>
    </row>
    <row r="19" spans="1:52" ht="22.5" x14ac:dyDescent="0.2">
      <c r="A19" s="217">
        <f t="shared" si="0"/>
        <v>261.16000000000003</v>
      </c>
      <c r="B19" s="217">
        <f t="shared" si="1"/>
        <v>26</v>
      </c>
      <c r="C19" s="217" t="s">
        <v>341</v>
      </c>
      <c r="D19" s="221" t="s">
        <v>2219</v>
      </c>
      <c r="E19" s="221" t="s">
        <v>2359</v>
      </c>
      <c r="F19" s="217" t="s">
        <v>675</v>
      </c>
      <c r="G19" s="221">
        <v>1990</v>
      </c>
      <c r="H19" s="221" t="s">
        <v>152</v>
      </c>
      <c r="I19" s="221">
        <v>15664202</v>
      </c>
      <c r="J19" s="221">
        <v>13076901</v>
      </c>
      <c r="K19" s="221">
        <v>13076801</v>
      </c>
      <c r="L19" s="223" t="s">
        <v>2360</v>
      </c>
      <c r="M19" s="218" t="s">
        <v>153</v>
      </c>
      <c r="N19" s="223" t="s">
        <v>2361</v>
      </c>
      <c r="O19" s="221" t="s">
        <v>683</v>
      </c>
      <c r="P19" s="221"/>
      <c r="Q19" s="221"/>
      <c r="R19" s="221"/>
      <c r="S19" s="221" t="s">
        <v>2362</v>
      </c>
      <c r="T19" s="221" t="s">
        <v>157</v>
      </c>
      <c r="U19" s="221">
        <v>261.16000000000003</v>
      </c>
      <c r="V19" s="221">
        <v>163</v>
      </c>
      <c r="W19" s="221">
        <v>26</v>
      </c>
      <c r="X19" s="221" t="s">
        <v>2262</v>
      </c>
      <c r="Y19" s="221">
        <v>66.150000000000006</v>
      </c>
      <c r="Z19" s="221">
        <v>10</v>
      </c>
      <c r="AA19" s="221">
        <v>11.94</v>
      </c>
      <c r="AB19" s="221"/>
      <c r="AC19" s="221">
        <v>9.32</v>
      </c>
      <c r="AD19" s="221"/>
      <c r="AE19" s="221"/>
      <c r="AF19" s="221"/>
      <c r="AG19" s="221"/>
      <c r="AH19" s="221" t="s">
        <v>576</v>
      </c>
      <c r="AI19" s="221">
        <v>5.1000000000000004E-2</v>
      </c>
      <c r="AJ19" s="221">
        <v>1.2E-2</v>
      </c>
      <c r="AK19" s="218" t="s">
        <v>686</v>
      </c>
      <c r="AL19" s="221">
        <v>72</v>
      </c>
      <c r="AM19" s="218">
        <v>1432.9</v>
      </c>
      <c r="AN19" s="218"/>
      <c r="AO19" s="218"/>
      <c r="AP19" s="218"/>
      <c r="AQ19" s="218"/>
      <c r="AR19" s="218"/>
      <c r="AS19" s="218">
        <v>2740.7</v>
      </c>
      <c r="AT19" s="218"/>
      <c r="AU19" s="218"/>
      <c r="AV19" s="218"/>
      <c r="AW19" s="218"/>
      <c r="AX19" s="218"/>
      <c r="AY19" s="218"/>
      <c r="AZ19" s="241"/>
    </row>
    <row r="20" spans="1:52" ht="22.5" x14ac:dyDescent="0.2">
      <c r="A20" s="217">
        <f t="shared" si="0"/>
        <v>261.16000000000003</v>
      </c>
      <c r="B20" s="217">
        <f t="shared" si="1"/>
        <v>26</v>
      </c>
      <c r="C20" s="217" t="s">
        <v>341</v>
      </c>
      <c r="D20" s="221" t="s">
        <v>2219</v>
      </c>
      <c r="E20" s="221" t="s">
        <v>2363</v>
      </c>
      <c r="F20" s="217" t="s">
        <v>675</v>
      </c>
      <c r="G20" s="221">
        <v>1990</v>
      </c>
      <c r="H20" s="221" t="s">
        <v>152</v>
      </c>
      <c r="I20" s="221">
        <v>15664201</v>
      </c>
      <c r="J20" s="221">
        <v>13076901</v>
      </c>
      <c r="K20" s="221">
        <v>13076801</v>
      </c>
      <c r="L20" s="223" t="s">
        <v>2364</v>
      </c>
      <c r="M20" s="218" t="s">
        <v>153</v>
      </c>
      <c r="N20" s="223" t="s">
        <v>2361</v>
      </c>
      <c r="O20" s="221" t="s">
        <v>683</v>
      </c>
      <c r="P20" s="221"/>
      <c r="Q20" s="221"/>
      <c r="R20" s="221"/>
      <c r="S20" s="221" t="s">
        <v>2362</v>
      </c>
      <c r="T20" s="221" t="s">
        <v>157</v>
      </c>
      <c r="U20" s="221">
        <v>261.16000000000003</v>
      </c>
      <c r="V20" s="221">
        <v>163</v>
      </c>
      <c r="W20" s="221">
        <v>26</v>
      </c>
      <c r="X20" s="221" t="s">
        <v>2262</v>
      </c>
      <c r="Y20" s="221">
        <v>66.150000000000006</v>
      </c>
      <c r="Z20" s="221">
        <v>10</v>
      </c>
      <c r="AA20" s="221">
        <v>11.94</v>
      </c>
      <c r="AB20" s="221"/>
      <c r="AC20" s="221">
        <v>9.32</v>
      </c>
      <c r="AD20" s="221"/>
      <c r="AE20" s="221"/>
      <c r="AF20" s="221"/>
      <c r="AG20" s="221"/>
      <c r="AH20" s="221" t="s">
        <v>576</v>
      </c>
      <c r="AI20" s="221">
        <v>5.1000000000000004E-2</v>
      </c>
      <c r="AJ20" s="221">
        <v>1.2E-2</v>
      </c>
      <c r="AK20" s="218" t="s">
        <v>686</v>
      </c>
      <c r="AL20" s="221">
        <v>72</v>
      </c>
      <c r="AM20" s="218"/>
      <c r="AN20" s="218"/>
      <c r="AO20" s="218"/>
      <c r="AP20" s="218"/>
      <c r="AQ20" s="218"/>
      <c r="AR20" s="218"/>
      <c r="AS20" s="218"/>
      <c r="AT20" s="218"/>
      <c r="AU20" s="218"/>
      <c r="AV20" s="218"/>
      <c r="AW20" s="218"/>
      <c r="AX20" s="218"/>
      <c r="AY20" s="218"/>
      <c r="AZ20" s="241"/>
    </row>
    <row r="21" spans="1:52" ht="45" x14ac:dyDescent="0.2">
      <c r="A21" s="217">
        <f t="shared" si="0"/>
        <v>261.2</v>
      </c>
      <c r="B21" s="217">
        <f t="shared" si="1"/>
        <v>22.1</v>
      </c>
      <c r="C21" s="217" t="s">
        <v>341</v>
      </c>
      <c r="D21" s="221" t="s">
        <v>2219</v>
      </c>
      <c r="E21" s="221" t="s">
        <v>2620</v>
      </c>
      <c r="F21" s="218"/>
      <c r="G21" s="218"/>
      <c r="H21" s="221" t="s">
        <v>152</v>
      </c>
      <c r="I21" s="221" t="s">
        <v>2621</v>
      </c>
      <c r="J21" s="221" t="s">
        <v>2622</v>
      </c>
      <c r="K21" s="223" t="s">
        <v>2623</v>
      </c>
      <c r="L21" s="221" t="s">
        <v>2624</v>
      </c>
      <c r="M21" s="218"/>
      <c r="N21" s="223" t="s">
        <v>154</v>
      </c>
      <c r="O21" s="221" t="s">
        <v>683</v>
      </c>
      <c r="P21" s="221"/>
      <c r="Q21" s="221"/>
      <c r="R21" s="221"/>
      <c r="S21" s="221" t="s">
        <v>577</v>
      </c>
      <c r="T21" s="223" t="s">
        <v>2625</v>
      </c>
      <c r="U21" s="221">
        <v>261.2</v>
      </c>
      <c r="V21" s="218">
        <v>165.7</v>
      </c>
      <c r="W21" s="221">
        <v>22.1</v>
      </c>
      <c r="X21" s="221" t="s">
        <v>2262</v>
      </c>
      <c r="Y21" s="221">
        <v>63.34</v>
      </c>
      <c r="Z21" s="222">
        <v>9.8000000000000007</v>
      </c>
      <c r="AA21" s="221">
        <v>10.62</v>
      </c>
      <c r="AB21" s="221"/>
      <c r="AC21" s="223">
        <v>7.55</v>
      </c>
      <c r="AD21" s="221"/>
      <c r="AE21" s="218"/>
      <c r="AF21" s="218"/>
      <c r="AG21" s="218"/>
      <c r="AH21" s="221" t="s">
        <v>159</v>
      </c>
      <c r="AI21" s="221">
        <v>0.08</v>
      </c>
      <c r="AJ21" s="221">
        <v>1.3000000000000001E-2</v>
      </c>
      <c r="AK21" s="223" t="s">
        <v>686</v>
      </c>
      <c r="AL21" s="218">
        <v>216</v>
      </c>
      <c r="AM21" s="218"/>
      <c r="AN21" s="218"/>
      <c r="AO21" s="218"/>
      <c r="AP21" s="218"/>
      <c r="AQ21" s="218"/>
      <c r="AR21" s="218"/>
      <c r="AS21" s="218"/>
      <c r="AT21" s="218"/>
      <c r="AU21" s="218"/>
      <c r="AV21" s="218"/>
      <c r="AW21" s="218"/>
      <c r="AX21" s="218"/>
      <c r="AY21" s="218"/>
      <c r="AZ21" s="241"/>
    </row>
    <row r="22" spans="1:52" ht="22.5" x14ac:dyDescent="0.2">
      <c r="A22" s="217">
        <f t="shared" si="0"/>
        <v>286.60000000000002</v>
      </c>
      <c r="B22" s="217">
        <f t="shared" si="1"/>
        <v>26</v>
      </c>
      <c r="C22" s="217" t="s">
        <v>341</v>
      </c>
      <c r="D22" s="221" t="s">
        <v>2219</v>
      </c>
      <c r="E22" s="221" t="s">
        <v>1834</v>
      </c>
      <c r="F22" s="217" t="s">
        <v>675</v>
      </c>
      <c r="G22" s="221">
        <v>1990</v>
      </c>
      <c r="H22" s="221" t="s">
        <v>152</v>
      </c>
      <c r="I22" s="221">
        <v>13246106</v>
      </c>
      <c r="J22" s="221">
        <v>13025101</v>
      </c>
      <c r="K22" s="223">
        <v>13025001</v>
      </c>
      <c r="L22" s="221" t="s">
        <v>1835</v>
      </c>
      <c r="M22" s="226"/>
      <c r="N22" s="223" t="s">
        <v>2361</v>
      </c>
      <c r="O22" s="221" t="s">
        <v>683</v>
      </c>
      <c r="P22" s="221"/>
      <c r="Q22" s="221"/>
      <c r="R22" s="221"/>
      <c r="S22" s="221" t="s">
        <v>577</v>
      </c>
      <c r="T22" s="221" t="s">
        <v>2625</v>
      </c>
      <c r="U22" s="221">
        <v>286.60000000000002</v>
      </c>
      <c r="V22" s="221">
        <v>178</v>
      </c>
      <c r="W22" s="221">
        <v>26</v>
      </c>
      <c r="X22" s="221" t="s">
        <v>581</v>
      </c>
      <c r="Y22" s="223">
        <v>50.4</v>
      </c>
      <c r="Z22" s="221">
        <v>11.7</v>
      </c>
      <c r="AA22" s="221">
        <v>12.53</v>
      </c>
      <c r="AB22" s="221"/>
      <c r="AC22" s="223">
        <v>9.32</v>
      </c>
      <c r="AD22" s="221"/>
      <c r="AE22" s="221">
        <v>5.05</v>
      </c>
      <c r="AF22" s="221">
        <v>952</v>
      </c>
      <c r="AG22" s="221"/>
      <c r="AH22" s="221" t="s">
        <v>576</v>
      </c>
      <c r="AI22" s="223">
        <v>3.5999999999999997E-2</v>
      </c>
      <c r="AJ22" s="221">
        <v>1.2E-2</v>
      </c>
      <c r="AK22" s="218" t="s">
        <v>686</v>
      </c>
      <c r="AL22" s="221">
        <v>72</v>
      </c>
      <c r="AM22" s="218">
        <v>1847</v>
      </c>
      <c r="AN22" s="218"/>
      <c r="AO22" s="218"/>
      <c r="AP22" s="218"/>
      <c r="AQ22" s="218"/>
      <c r="AR22" s="218"/>
      <c r="AS22" s="218">
        <v>2842.3</v>
      </c>
      <c r="AT22" s="218"/>
      <c r="AU22" s="218"/>
      <c r="AV22" s="218"/>
      <c r="AW22" s="218"/>
      <c r="AX22" s="218"/>
      <c r="AY22" s="218"/>
      <c r="AZ22" s="241"/>
    </row>
    <row r="23" spans="1:52" ht="22.5" x14ac:dyDescent="0.2">
      <c r="A23" s="217">
        <f t="shared" si="0"/>
        <v>286.60000000000002</v>
      </c>
      <c r="B23" s="217">
        <f t="shared" si="1"/>
        <v>26</v>
      </c>
      <c r="C23" s="217" t="s">
        <v>341</v>
      </c>
      <c r="D23" s="221" t="s">
        <v>2219</v>
      </c>
      <c r="E23" s="221" t="s">
        <v>2103</v>
      </c>
      <c r="F23" s="217" t="s">
        <v>675</v>
      </c>
      <c r="G23" s="221">
        <v>1998</v>
      </c>
      <c r="H23" s="221" t="s">
        <v>152</v>
      </c>
      <c r="I23" s="221">
        <v>13246105</v>
      </c>
      <c r="J23" s="221">
        <v>13025101</v>
      </c>
      <c r="K23" s="221">
        <v>13025001</v>
      </c>
      <c r="L23" s="221" t="s">
        <v>2104</v>
      </c>
      <c r="M23" s="218" t="s">
        <v>153</v>
      </c>
      <c r="N23" s="221" t="s">
        <v>154</v>
      </c>
      <c r="O23" s="221" t="s">
        <v>683</v>
      </c>
      <c r="P23" s="221"/>
      <c r="Q23" s="221"/>
      <c r="R23" s="221"/>
      <c r="S23" s="221" t="s">
        <v>577</v>
      </c>
      <c r="T23" s="221" t="s">
        <v>2625</v>
      </c>
      <c r="U23" s="221">
        <v>286.60000000000002</v>
      </c>
      <c r="V23" s="221">
        <v>178</v>
      </c>
      <c r="W23" s="221">
        <v>26</v>
      </c>
      <c r="X23" s="221" t="s">
        <v>581</v>
      </c>
      <c r="Y23" s="221">
        <v>41</v>
      </c>
      <c r="Z23" s="223">
        <v>11.7</v>
      </c>
      <c r="AA23" s="223">
        <v>13.39</v>
      </c>
      <c r="AB23" s="221"/>
      <c r="AC23" s="221">
        <v>9.32</v>
      </c>
      <c r="AD23" s="221"/>
      <c r="AE23" s="221">
        <v>5.05</v>
      </c>
      <c r="AF23" s="221">
        <v>952</v>
      </c>
      <c r="AG23" s="221">
        <v>792.6</v>
      </c>
      <c r="AH23" s="221" t="s">
        <v>576</v>
      </c>
      <c r="AI23" s="223">
        <v>0.5</v>
      </c>
      <c r="AJ23" s="223">
        <v>1.2E-2</v>
      </c>
      <c r="AK23" s="218" t="s">
        <v>686</v>
      </c>
      <c r="AL23" s="221">
        <v>72</v>
      </c>
      <c r="AM23" s="218" t="s">
        <v>2105</v>
      </c>
      <c r="AN23" s="218">
        <v>2277</v>
      </c>
      <c r="AO23" s="218" t="s">
        <v>2106</v>
      </c>
      <c r="AP23" s="218">
        <v>171</v>
      </c>
      <c r="AQ23" s="218">
        <v>317</v>
      </c>
      <c r="AR23" s="218">
        <v>674.4</v>
      </c>
      <c r="AS23" s="218">
        <v>2842.3</v>
      </c>
      <c r="AT23" s="218"/>
      <c r="AU23" s="218"/>
      <c r="AV23" s="218"/>
      <c r="AW23" s="218"/>
      <c r="AX23" s="218"/>
      <c r="AY23" s="218"/>
      <c r="AZ23" s="244"/>
    </row>
    <row r="24" spans="1:52" ht="22.5" x14ac:dyDescent="0.2">
      <c r="A24" s="217">
        <f t="shared" si="0"/>
        <v>297.60000000000002</v>
      </c>
      <c r="B24" s="217">
        <f t="shared" si="1"/>
        <v>26</v>
      </c>
      <c r="C24" s="217" t="s">
        <v>341</v>
      </c>
      <c r="D24" s="221" t="s">
        <v>2219</v>
      </c>
      <c r="E24" s="221" t="s">
        <v>173</v>
      </c>
      <c r="F24" s="217"/>
      <c r="G24" s="221">
        <v>1990</v>
      </c>
      <c r="H24" s="221" t="s">
        <v>559</v>
      </c>
      <c r="I24" s="221">
        <v>12811103</v>
      </c>
      <c r="J24" s="221">
        <v>12811201</v>
      </c>
      <c r="K24" s="223">
        <v>12811301</v>
      </c>
      <c r="L24" s="221" t="s">
        <v>174</v>
      </c>
      <c r="M24" s="218"/>
      <c r="N24" s="223" t="s">
        <v>154</v>
      </c>
      <c r="O24" s="221" t="s">
        <v>683</v>
      </c>
      <c r="P24" s="221"/>
      <c r="Q24" s="221"/>
      <c r="R24" s="221"/>
      <c r="S24" s="221" t="s">
        <v>577</v>
      </c>
      <c r="T24" s="221" t="s">
        <v>2625</v>
      </c>
      <c r="U24" s="221">
        <v>297.60000000000002</v>
      </c>
      <c r="V24" s="221">
        <v>189.8</v>
      </c>
      <c r="W24" s="221">
        <v>26</v>
      </c>
      <c r="X24" s="221" t="s">
        <v>175</v>
      </c>
      <c r="Y24" s="221">
        <v>77.48</v>
      </c>
      <c r="Z24" s="223">
        <v>14.2</v>
      </c>
      <c r="AA24" s="221">
        <v>16.21</v>
      </c>
      <c r="AB24" s="221"/>
      <c r="AC24" s="223">
        <v>11.574999999999999</v>
      </c>
      <c r="AD24" s="221"/>
      <c r="AE24" s="221">
        <v>3.98</v>
      </c>
      <c r="AF24" s="221">
        <v>1058</v>
      </c>
      <c r="AG24" s="221">
        <v>764</v>
      </c>
      <c r="AH24" s="221" t="s">
        <v>576</v>
      </c>
      <c r="AI24" s="221">
        <v>6.5000000000000002E-2</v>
      </c>
      <c r="AJ24" s="221">
        <v>0.01</v>
      </c>
      <c r="AK24" s="218" t="s">
        <v>686</v>
      </c>
      <c r="AL24" s="221">
        <v>72</v>
      </c>
      <c r="AM24" s="218">
        <v>2383</v>
      </c>
      <c r="AN24" s="218">
        <v>3175</v>
      </c>
      <c r="AO24" s="218">
        <v>1632</v>
      </c>
      <c r="AP24" s="218">
        <v>167</v>
      </c>
      <c r="AQ24" s="218">
        <v>330</v>
      </c>
      <c r="AR24" s="218">
        <v>736.6</v>
      </c>
      <c r="AS24" s="218">
        <v>3505</v>
      </c>
      <c r="AT24" s="218"/>
      <c r="AU24" s="218"/>
      <c r="AV24" s="218"/>
      <c r="AW24" s="218"/>
      <c r="AX24" s="218"/>
      <c r="AY24" s="218"/>
      <c r="AZ24" s="220"/>
    </row>
    <row r="25" spans="1:52" ht="22.5" x14ac:dyDescent="0.2">
      <c r="A25" s="217">
        <f t="shared" si="0"/>
        <v>297.60000000000002</v>
      </c>
      <c r="B25" s="217">
        <f t="shared" si="1"/>
        <v>26</v>
      </c>
      <c r="C25" s="217" t="s">
        <v>341</v>
      </c>
      <c r="D25" s="221" t="s">
        <v>2219</v>
      </c>
      <c r="E25" s="221" t="s">
        <v>1983</v>
      </c>
      <c r="F25" s="217" t="s">
        <v>1984</v>
      </c>
      <c r="G25" s="221">
        <v>1990</v>
      </c>
      <c r="H25" s="221" t="s">
        <v>559</v>
      </c>
      <c r="I25" s="221">
        <v>12811110</v>
      </c>
      <c r="J25" s="221">
        <v>12811201</v>
      </c>
      <c r="K25" s="221">
        <v>12811301</v>
      </c>
      <c r="L25" s="221" t="s">
        <v>1985</v>
      </c>
      <c r="M25" s="218" t="s">
        <v>568</v>
      </c>
      <c r="N25" s="221" t="s">
        <v>154</v>
      </c>
      <c r="O25" s="221" t="s">
        <v>683</v>
      </c>
      <c r="P25" s="221"/>
      <c r="Q25" s="221"/>
      <c r="R25" s="221"/>
      <c r="S25" s="221" t="s">
        <v>577</v>
      </c>
      <c r="T25" s="221" t="s">
        <v>2625</v>
      </c>
      <c r="U25" s="221">
        <v>297.60000000000002</v>
      </c>
      <c r="V25" s="221">
        <v>189.8</v>
      </c>
      <c r="W25" s="221">
        <v>26</v>
      </c>
      <c r="X25" s="221" t="s">
        <v>1749</v>
      </c>
      <c r="Y25" s="221">
        <v>77.48</v>
      </c>
      <c r="Z25" s="223">
        <v>14.2</v>
      </c>
      <c r="AA25" s="221">
        <v>16.21</v>
      </c>
      <c r="AB25" s="221"/>
      <c r="AC25" s="223">
        <v>11.574999999999999</v>
      </c>
      <c r="AD25" s="221"/>
      <c r="AE25" s="221">
        <v>3.98</v>
      </c>
      <c r="AF25" s="221">
        <v>1058</v>
      </c>
      <c r="AG25" s="221">
        <v>764</v>
      </c>
      <c r="AH25" s="221" t="s">
        <v>576</v>
      </c>
      <c r="AI25" s="221">
        <v>6.5000000000000002E-2</v>
      </c>
      <c r="AJ25" s="221">
        <v>0.01</v>
      </c>
      <c r="AK25" s="218" t="s">
        <v>686</v>
      </c>
      <c r="AL25" s="221">
        <v>72</v>
      </c>
      <c r="AM25" s="218">
        <v>2383</v>
      </c>
      <c r="AN25" s="218">
        <v>3175</v>
      </c>
      <c r="AO25" s="218">
        <v>1632</v>
      </c>
      <c r="AP25" s="218">
        <v>167</v>
      </c>
      <c r="AQ25" s="218">
        <v>330</v>
      </c>
      <c r="AR25" s="218">
        <v>736.6</v>
      </c>
      <c r="AS25" s="218">
        <v>3505</v>
      </c>
      <c r="AT25" s="218">
        <v>0.66200000000000003</v>
      </c>
      <c r="AU25" s="218"/>
      <c r="AV25" s="218"/>
      <c r="AW25" s="218"/>
      <c r="AX25" s="218"/>
      <c r="AY25" s="218"/>
      <c r="AZ25" s="220"/>
    </row>
    <row r="26" spans="1:52" ht="22.5" x14ac:dyDescent="0.2">
      <c r="A26" s="217">
        <f t="shared" si="0"/>
        <v>308</v>
      </c>
      <c r="B26" s="217">
        <f t="shared" si="1"/>
        <v>30</v>
      </c>
      <c r="C26" s="217" t="s">
        <v>341</v>
      </c>
      <c r="D26" s="221" t="s">
        <v>2219</v>
      </c>
      <c r="E26" s="217" t="s">
        <v>2626</v>
      </c>
      <c r="F26" s="217" t="s">
        <v>675</v>
      </c>
      <c r="G26" s="221">
        <v>1997</v>
      </c>
      <c r="H26" s="217" t="s">
        <v>559</v>
      </c>
      <c r="I26" s="217">
        <v>12887000</v>
      </c>
      <c r="J26" s="217">
        <v>12886901</v>
      </c>
      <c r="K26" s="217">
        <v>12886801</v>
      </c>
      <c r="L26" s="217" t="s">
        <v>2627</v>
      </c>
      <c r="M26" s="218" t="s">
        <v>153</v>
      </c>
      <c r="N26" s="221" t="s">
        <v>154</v>
      </c>
      <c r="O26" s="221" t="s">
        <v>683</v>
      </c>
      <c r="P26" s="221"/>
      <c r="Q26" s="221"/>
      <c r="R26" s="221"/>
      <c r="S26" s="217" t="s">
        <v>577</v>
      </c>
      <c r="T26" s="221" t="s">
        <v>684</v>
      </c>
      <c r="U26" s="217">
        <v>308</v>
      </c>
      <c r="V26" s="217">
        <v>201</v>
      </c>
      <c r="W26" s="217">
        <v>30</v>
      </c>
      <c r="X26" s="217" t="s">
        <v>1187</v>
      </c>
      <c r="Y26" s="217">
        <v>7.68</v>
      </c>
      <c r="Z26" s="217">
        <v>14</v>
      </c>
      <c r="AA26" s="217">
        <v>15.97</v>
      </c>
      <c r="AB26" s="217"/>
      <c r="AC26" s="217">
        <v>12.74</v>
      </c>
      <c r="AD26" s="217"/>
      <c r="AE26" s="217">
        <v>6.03</v>
      </c>
      <c r="AF26" s="217">
        <v>959</v>
      </c>
      <c r="AG26" s="217">
        <v>792</v>
      </c>
      <c r="AH26" s="217" t="s">
        <v>159</v>
      </c>
      <c r="AI26" s="217">
        <v>0.04</v>
      </c>
      <c r="AJ26" s="217">
        <v>9.0000000000000011E-3</v>
      </c>
      <c r="AK26" s="218" t="s">
        <v>686</v>
      </c>
      <c r="AL26" s="221">
        <v>72</v>
      </c>
      <c r="AM26" s="218">
        <v>2222</v>
      </c>
      <c r="AN26" s="218">
        <v>3492</v>
      </c>
      <c r="AO26" s="218">
        <v>1619</v>
      </c>
      <c r="AP26" s="218">
        <v>161</v>
      </c>
      <c r="AQ26" s="218">
        <v>373.4</v>
      </c>
      <c r="AR26" s="218">
        <v>736.6</v>
      </c>
      <c r="AS26" s="218">
        <v>3531</v>
      </c>
      <c r="AT26" s="218"/>
      <c r="AU26" s="218"/>
      <c r="AV26" s="218"/>
      <c r="AW26" s="218"/>
      <c r="AX26" s="218"/>
      <c r="AY26" s="218"/>
      <c r="AZ26" s="220"/>
    </row>
    <row r="27" spans="1:52" ht="22.5" x14ac:dyDescent="0.2">
      <c r="A27" s="217">
        <f t="shared" si="0"/>
        <v>308</v>
      </c>
      <c r="B27" s="217">
        <f t="shared" si="1"/>
        <v>30</v>
      </c>
      <c r="C27" s="217" t="s">
        <v>341</v>
      </c>
      <c r="D27" s="221" t="s">
        <v>2219</v>
      </c>
      <c r="E27" s="217" t="s">
        <v>1039</v>
      </c>
      <c r="F27" s="217" t="s">
        <v>675</v>
      </c>
      <c r="G27" s="221">
        <v>1999</v>
      </c>
      <c r="H27" s="221" t="s">
        <v>559</v>
      </c>
      <c r="I27" s="221">
        <v>13623702</v>
      </c>
      <c r="J27" s="221">
        <v>13623101</v>
      </c>
      <c r="K27" s="221">
        <v>12886501</v>
      </c>
      <c r="L27" s="221" t="s">
        <v>1040</v>
      </c>
      <c r="M27" s="218" t="s">
        <v>153</v>
      </c>
      <c r="N27" s="221" t="s">
        <v>154</v>
      </c>
      <c r="O27" s="221" t="s">
        <v>683</v>
      </c>
      <c r="P27" s="221"/>
      <c r="Q27" s="221"/>
      <c r="R27" s="221"/>
      <c r="S27" s="221" t="s">
        <v>577</v>
      </c>
      <c r="T27" s="221" t="s">
        <v>1038</v>
      </c>
      <c r="U27" s="217">
        <v>308</v>
      </c>
      <c r="V27" s="217">
        <v>201</v>
      </c>
      <c r="W27" s="217">
        <v>30</v>
      </c>
      <c r="X27" s="217" t="s">
        <v>1041</v>
      </c>
      <c r="Y27" s="223">
        <v>11.8</v>
      </c>
      <c r="Z27" s="221">
        <v>14</v>
      </c>
      <c r="AA27" s="217">
        <v>15.91</v>
      </c>
      <c r="AB27" s="230">
        <v>15.31</v>
      </c>
      <c r="AC27" s="230">
        <v>12.73</v>
      </c>
      <c r="AD27" s="230">
        <v>11.869</v>
      </c>
      <c r="AE27" s="217">
        <v>6.03</v>
      </c>
      <c r="AF27" s="217">
        <v>869</v>
      </c>
      <c r="AG27" s="217">
        <v>792</v>
      </c>
      <c r="AH27" s="217" t="s">
        <v>159</v>
      </c>
      <c r="AI27" s="217">
        <v>0.04</v>
      </c>
      <c r="AJ27" s="217">
        <v>9.0000000000000011E-3</v>
      </c>
      <c r="AK27" s="218" t="s">
        <v>686</v>
      </c>
      <c r="AL27" s="221">
        <v>72</v>
      </c>
      <c r="AM27" s="218">
        <v>2118.3000000000002</v>
      </c>
      <c r="AN27" s="218">
        <v>2744.3</v>
      </c>
      <c r="AO27" s="218">
        <v>1338.1</v>
      </c>
      <c r="AP27" s="218">
        <v>228.5</v>
      </c>
      <c r="AQ27" s="218">
        <v>373.4</v>
      </c>
      <c r="AR27" s="218">
        <v>625.1</v>
      </c>
      <c r="AS27" s="218">
        <v>3042.9</v>
      </c>
      <c r="AT27" s="218"/>
      <c r="AU27" s="218"/>
      <c r="AV27" s="218"/>
      <c r="AW27" s="218"/>
      <c r="AX27" s="218"/>
      <c r="AY27" s="218"/>
      <c r="AZ27" s="220"/>
    </row>
    <row r="28" spans="1:52" ht="22.5" x14ac:dyDescent="0.2">
      <c r="A28" s="217">
        <f t="shared" si="0"/>
        <v>308</v>
      </c>
      <c r="B28" s="217">
        <f t="shared" si="1"/>
        <v>30</v>
      </c>
      <c r="C28" s="217" t="s">
        <v>341</v>
      </c>
      <c r="D28" s="221" t="s">
        <v>2219</v>
      </c>
      <c r="E28" s="217" t="s">
        <v>1042</v>
      </c>
      <c r="F28" s="217" t="s">
        <v>675</v>
      </c>
      <c r="G28" s="221">
        <v>1997</v>
      </c>
      <c r="H28" s="217" t="s">
        <v>559</v>
      </c>
      <c r="I28" s="217">
        <v>13623201</v>
      </c>
      <c r="J28" s="217">
        <v>13623101</v>
      </c>
      <c r="K28" s="217">
        <v>12886501</v>
      </c>
      <c r="L28" s="217" t="s">
        <v>1043</v>
      </c>
      <c r="M28" s="218" t="s">
        <v>153</v>
      </c>
      <c r="N28" s="221" t="s">
        <v>154</v>
      </c>
      <c r="O28" s="221" t="s">
        <v>683</v>
      </c>
      <c r="P28" s="221"/>
      <c r="Q28" s="221"/>
      <c r="R28" s="221"/>
      <c r="S28" s="221" t="s">
        <v>577</v>
      </c>
      <c r="T28" s="221" t="s">
        <v>1038</v>
      </c>
      <c r="U28" s="217">
        <v>308</v>
      </c>
      <c r="V28" s="217">
        <v>201</v>
      </c>
      <c r="W28" s="217">
        <v>30</v>
      </c>
      <c r="X28" s="217" t="s">
        <v>1041</v>
      </c>
      <c r="Y28" s="217">
        <v>7.68</v>
      </c>
      <c r="Z28" s="217">
        <v>14</v>
      </c>
      <c r="AA28" s="217">
        <v>15.91</v>
      </c>
      <c r="AB28" s="217"/>
      <c r="AC28" s="230">
        <v>12.73</v>
      </c>
      <c r="AD28" s="217"/>
      <c r="AE28" s="217">
        <v>6.03</v>
      </c>
      <c r="AF28" s="217">
        <v>869</v>
      </c>
      <c r="AG28" s="217">
        <v>792</v>
      </c>
      <c r="AH28" s="217" t="s">
        <v>159</v>
      </c>
      <c r="AI28" s="217">
        <v>0.04</v>
      </c>
      <c r="AJ28" s="217">
        <v>9.0000000000000011E-3</v>
      </c>
      <c r="AK28" s="218" t="s">
        <v>686</v>
      </c>
      <c r="AL28" s="221">
        <v>72</v>
      </c>
      <c r="AM28" s="218">
        <v>2404</v>
      </c>
      <c r="AN28" s="218">
        <v>3265</v>
      </c>
      <c r="AO28" s="218">
        <v>1486</v>
      </c>
      <c r="AP28" s="218">
        <v>161</v>
      </c>
      <c r="AQ28" s="218">
        <v>373.4</v>
      </c>
      <c r="AR28" s="218">
        <v>818</v>
      </c>
      <c r="AS28" s="218">
        <v>3023</v>
      </c>
      <c r="AT28" s="218"/>
      <c r="AU28" s="218"/>
      <c r="AV28" s="218"/>
      <c r="AW28" s="218"/>
      <c r="AX28" s="218"/>
      <c r="AY28" s="218"/>
      <c r="AZ28" s="241"/>
    </row>
    <row r="29" spans="1:52" ht="22.5" x14ac:dyDescent="0.2">
      <c r="A29" s="217">
        <f t="shared" si="0"/>
        <v>308</v>
      </c>
      <c r="B29" s="217">
        <f t="shared" si="1"/>
        <v>30</v>
      </c>
      <c r="C29" s="217" t="s">
        <v>341</v>
      </c>
      <c r="D29" s="221" t="s">
        <v>2219</v>
      </c>
      <c r="E29" s="217" t="s">
        <v>1997</v>
      </c>
      <c r="F29" s="218"/>
      <c r="G29" s="221">
        <v>1997</v>
      </c>
      <c r="H29" s="221" t="s">
        <v>559</v>
      </c>
      <c r="I29" s="217">
        <v>12886702</v>
      </c>
      <c r="J29" s="217">
        <v>12886601</v>
      </c>
      <c r="K29" s="230">
        <v>12866501</v>
      </c>
      <c r="L29" s="217" t="s">
        <v>1998</v>
      </c>
      <c r="M29" s="218"/>
      <c r="N29" s="223"/>
      <c r="O29" s="221" t="s">
        <v>683</v>
      </c>
      <c r="P29" s="221"/>
      <c r="Q29" s="221"/>
      <c r="R29" s="221"/>
      <c r="S29" s="217" t="s">
        <v>577</v>
      </c>
      <c r="T29" s="223" t="s">
        <v>684</v>
      </c>
      <c r="U29" s="217">
        <v>308</v>
      </c>
      <c r="V29" s="218">
        <v>201</v>
      </c>
      <c r="W29" s="217">
        <v>30</v>
      </c>
      <c r="X29" s="217" t="s">
        <v>1041</v>
      </c>
      <c r="Y29" s="230">
        <v>48.06</v>
      </c>
      <c r="Z29" s="222">
        <v>14</v>
      </c>
      <c r="AA29" s="217">
        <v>15.9</v>
      </c>
      <c r="AB29" s="217"/>
      <c r="AC29" s="230">
        <v>12.7288</v>
      </c>
      <c r="AD29" s="230">
        <v>11.891999999999999</v>
      </c>
      <c r="AE29" s="218"/>
      <c r="AF29" s="218"/>
      <c r="AG29" s="218"/>
      <c r="AH29" s="217" t="s">
        <v>576</v>
      </c>
      <c r="AI29" s="217">
        <v>0.08</v>
      </c>
      <c r="AJ29" s="217">
        <v>1.2E-2</v>
      </c>
      <c r="AK29" s="217"/>
      <c r="AL29" s="218">
        <v>144</v>
      </c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20"/>
    </row>
    <row r="30" spans="1:52" ht="22.5" x14ac:dyDescent="0.2">
      <c r="A30" s="217">
        <f t="shared" si="0"/>
        <v>308</v>
      </c>
      <c r="B30" s="217">
        <f t="shared" si="1"/>
        <v>30</v>
      </c>
      <c r="C30" s="217" t="s">
        <v>341</v>
      </c>
      <c r="D30" s="221" t="s">
        <v>2219</v>
      </c>
      <c r="E30" s="217" t="s">
        <v>2000</v>
      </c>
      <c r="F30" s="218"/>
      <c r="G30" s="221">
        <v>1997</v>
      </c>
      <c r="H30" s="217" t="s">
        <v>559</v>
      </c>
      <c r="I30" s="217">
        <v>12887009</v>
      </c>
      <c r="J30" s="217">
        <v>12886901</v>
      </c>
      <c r="K30" s="230">
        <v>12886801</v>
      </c>
      <c r="L30" s="217" t="s">
        <v>2001</v>
      </c>
      <c r="M30" s="218"/>
      <c r="N30" s="223" t="s">
        <v>154</v>
      </c>
      <c r="O30" s="221" t="s">
        <v>683</v>
      </c>
      <c r="P30" s="221"/>
      <c r="Q30" s="221"/>
      <c r="R30" s="221"/>
      <c r="S30" s="221" t="s">
        <v>2265</v>
      </c>
      <c r="T30" s="218"/>
      <c r="U30" s="217">
        <v>308</v>
      </c>
      <c r="V30" s="218">
        <v>201</v>
      </c>
      <c r="W30" s="217">
        <v>30</v>
      </c>
      <c r="X30" s="217" t="s">
        <v>1187</v>
      </c>
      <c r="Y30" s="217">
        <v>47</v>
      </c>
      <c r="Z30" s="222">
        <v>14</v>
      </c>
      <c r="AA30" s="217">
        <v>15.97</v>
      </c>
      <c r="AB30" s="230">
        <v>15.156000000000001</v>
      </c>
      <c r="AC30" s="217">
        <v>12.74</v>
      </c>
      <c r="AD30" s="217"/>
      <c r="AE30" s="218"/>
      <c r="AF30" s="218"/>
      <c r="AG30" s="218"/>
      <c r="AH30" s="217" t="s">
        <v>159</v>
      </c>
      <c r="AI30" s="217">
        <v>0.04</v>
      </c>
      <c r="AJ30" s="217">
        <v>9.0000000000000011E-3</v>
      </c>
      <c r="AK30" s="230" t="s">
        <v>686</v>
      </c>
      <c r="AL30" s="218">
        <v>144</v>
      </c>
      <c r="AM30" s="218"/>
      <c r="AN30" s="218"/>
      <c r="AO30" s="218"/>
      <c r="AP30" s="218"/>
      <c r="AQ30" s="218"/>
      <c r="AR30" s="218"/>
      <c r="AS30" s="218"/>
      <c r="AT30" s="218"/>
      <c r="AU30" s="218"/>
      <c r="AV30" s="218"/>
      <c r="AW30" s="218"/>
      <c r="AX30" s="218"/>
      <c r="AY30" s="218"/>
      <c r="AZ30" s="244"/>
    </row>
    <row r="31" spans="1:52" ht="22.5" x14ac:dyDescent="0.2">
      <c r="A31" s="217">
        <f t="shared" si="0"/>
        <v>308</v>
      </c>
      <c r="B31" s="217">
        <f t="shared" si="1"/>
        <v>30</v>
      </c>
      <c r="C31" s="217" t="s">
        <v>341</v>
      </c>
      <c r="D31" s="221" t="s">
        <v>2219</v>
      </c>
      <c r="E31" s="217" t="s">
        <v>2000</v>
      </c>
      <c r="F31" s="218"/>
      <c r="G31" s="218"/>
      <c r="H31" s="221" t="s">
        <v>559</v>
      </c>
      <c r="I31" s="217">
        <v>12887001</v>
      </c>
      <c r="J31" s="217">
        <v>12886901</v>
      </c>
      <c r="K31" s="230">
        <v>12886801</v>
      </c>
      <c r="L31" s="217" t="s">
        <v>2002</v>
      </c>
      <c r="M31" s="218"/>
      <c r="N31" s="223" t="s">
        <v>154</v>
      </c>
      <c r="O31" s="221" t="s">
        <v>683</v>
      </c>
      <c r="P31" s="221"/>
      <c r="Q31" s="221"/>
      <c r="R31" s="221"/>
      <c r="S31" s="217" t="s">
        <v>577</v>
      </c>
      <c r="T31" s="218"/>
      <c r="U31" s="217">
        <v>308</v>
      </c>
      <c r="V31" s="218">
        <v>201</v>
      </c>
      <c r="W31" s="217">
        <v>30</v>
      </c>
      <c r="X31" s="217" t="s">
        <v>1187</v>
      </c>
      <c r="Y31" s="217">
        <v>47</v>
      </c>
      <c r="Z31" s="222">
        <v>14</v>
      </c>
      <c r="AA31" s="217">
        <v>15.97</v>
      </c>
      <c r="AB31" s="217"/>
      <c r="AC31" s="217">
        <v>12.74</v>
      </c>
      <c r="AD31" s="217"/>
      <c r="AE31" s="218"/>
      <c r="AF31" s="218"/>
      <c r="AG31" s="218"/>
      <c r="AH31" s="217" t="s">
        <v>576</v>
      </c>
      <c r="AI31" s="217">
        <v>0.08</v>
      </c>
      <c r="AJ31" s="217">
        <v>1.2E-2</v>
      </c>
      <c r="AK31" s="230" t="s">
        <v>686</v>
      </c>
      <c r="AL31" s="218">
        <v>144</v>
      </c>
      <c r="AM31" s="218"/>
      <c r="AN31" s="218"/>
      <c r="AO31" s="218"/>
      <c r="AP31" s="218"/>
      <c r="AQ31" s="218"/>
      <c r="AR31" s="218"/>
      <c r="AS31" s="218"/>
      <c r="AT31" s="218"/>
      <c r="AU31" s="218"/>
      <c r="AV31" s="218"/>
      <c r="AW31" s="218"/>
      <c r="AX31" s="218"/>
      <c r="AY31" s="218"/>
      <c r="AZ31" s="244"/>
    </row>
    <row r="32" spans="1:52" ht="22.5" x14ac:dyDescent="0.2">
      <c r="A32" s="217">
        <f t="shared" si="0"/>
        <v>308</v>
      </c>
      <c r="B32" s="217">
        <f t="shared" si="1"/>
        <v>30</v>
      </c>
      <c r="C32" s="217" t="s">
        <v>341</v>
      </c>
      <c r="D32" s="221" t="s">
        <v>2219</v>
      </c>
      <c r="E32" s="217" t="s">
        <v>2000</v>
      </c>
      <c r="F32" s="218"/>
      <c r="G32" s="218"/>
      <c r="H32" s="221" t="s">
        <v>559</v>
      </c>
      <c r="I32" s="217">
        <v>12887002</v>
      </c>
      <c r="J32" s="217">
        <v>12886901</v>
      </c>
      <c r="K32" s="230">
        <v>12886801</v>
      </c>
      <c r="L32" s="217" t="s">
        <v>2003</v>
      </c>
      <c r="M32" s="218"/>
      <c r="N32" s="223" t="s">
        <v>154</v>
      </c>
      <c r="O32" s="221" t="s">
        <v>683</v>
      </c>
      <c r="P32" s="221"/>
      <c r="Q32" s="221"/>
      <c r="R32" s="221"/>
      <c r="S32" s="217" t="s">
        <v>577</v>
      </c>
      <c r="T32" s="218"/>
      <c r="U32" s="217">
        <v>308</v>
      </c>
      <c r="V32" s="218">
        <v>201</v>
      </c>
      <c r="W32" s="217">
        <v>30</v>
      </c>
      <c r="X32" s="217" t="s">
        <v>1187</v>
      </c>
      <c r="Y32" s="217">
        <v>47</v>
      </c>
      <c r="Z32" s="222">
        <v>14</v>
      </c>
      <c r="AA32" s="217">
        <v>15.97</v>
      </c>
      <c r="AB32" s="217"/>
      <c r="AC32" s="217">
        <v>12.74</v>
      </c>
      <c r="AD32" s="217"/>
      <c r="AE32" s="218"/>
      <c r="AF32" s="218"/>
      <c r="AG32" s="218"/>
      <c r="AH32" s="217" t="s">
        <v>576</v>
      </c>
      <c r="AI32" s="217">
        <v>0.08</v>
      </c>
      <c r="AJ32" s="217">
        <v>1.2E-2</v>
      </c>
      <c r="AK32" s="230" t="s">
        <v>686</v>
      </c>
      <c r="AL32" s="218">
        <v>144</v>
      </c>
      <c r="AM32" s="218"/>
      <c r="AN32" s="218"/>
      <c r="AO32" s="218"/>
      <c r="AP32" s="218"/>
      <c r="AQ32" s="218"/>
      <c r="AR32" s="218"/>
      <c r="AS32" s="218"/>
      <c r="AT32" s="218"/>
      <c r="AU32" s="218"/>
      <c r="AV32" s="218"/>
      <c r="AW32" s="218"/>
      <c r="AX32" s="218"/>
      <c r="AY32" s="218"/>
      <c r="AZ32" s="241"/>
    </row>
    <row r="33" spans="1:52" ht="33.75" x14ac:dyDescent="0.2">
      <c r="A33" s="217">
        <f t="shared" si="0"/>
        <v>317.5</v>
      </c>
      <c r="B33" s="217">
        <f t="shared" si="1"/>
        <v>33</v>
      </c>
      <c r="C33" s="217" t="s">
        <v>341</v>
      </c>
      <c r="D33" s="221" t="s">
        <v>648</v>
      </c>
      <c r="E33" s="221" t="s">
        <v>1563</v>
      </c>
      <c r="F33" s="230" t="s">
        <v>21</v>
      </c>
      <c r="G33" s="221">
        <v>1990</v>
      </c>
      <c r="H33" s="221" t="s">
        <v>681</v>
      </c>
      <c r="I33" s="221">
        <v>12715801</v>
      </c>
      <c r="J33" s="221">
        <v>12715701</v>
      </c>
      <c r="K33" s="221">
        <v>12715600</v>
      </c>
      <c r="L33" s="221">
        <v>15981318</v>
      </c>
      <c r="M33" s="218" t="s">
        <v>153</v>
      </c>
      <c r="N33" s="221" t="s">
        <v>1176</v>
      </c>
      <c r="O33" s="221" t="s">
        <v>2088</v>
      </c>
      <c r="P33" s="221"/>
      <c r="Q33" s="221"/>
      <c r="R33" s="221"/>
      <c r="S33" s="223" t="s">
        <v>577</v>
      </c>
      <c r="T33" s="221" t="s">
        <v>157</v>
      </c>
      <c r="U33" s="221">
        <v>317.5</v>
      </c>
      <c r="V33" s="221">
        <v>211.5</v>
      </c>
      <c r="W33" s="221">
        <v>33</v>
      </c>
      <c r="X33" s="221" t="s">
        <v>685</v>
      </c>
      <c r="Y33" s="221">
        <v>5.9</v>
      </c>
      <c r="Z33" s="221">
        <v>15</v>
      </c>
      <c r="AA33" s="221">
        <v>19.79</v>
      </c>
      <c r="AB33" s="221"/>
      <c r="AC33" s="223">
        <v>15.83</v>
      </c>
      <c r="AD33" s="221"/>
      <c r="AE33" s="221">
        <v>7.2</v>
      </c>
      <c r="AF33" s="217">
        <v>1246</v>
      </c>
      <c r="AG33" s="221">
        <v>812.5</v>
      </c>
      <c r="AH33" s="221" t="s">
        <v>1562</v>
      </c>
      <c r="AI33" s="221">
        <v>0.13</v>
      </c>
      <c r="AJ33" s="221">
        <v>1.3000000000000001E-2</v>
      </c>
      <c r="AK33" s="218" t="s">
        <v>686</v>
      </c>
      <c r="AL33" s="221">
        <v>216</v>
      </c>
      <c r="AM33" s="218"/>
      <c r="AN33" s="218">
        <v>1814</v>
      </c>
      <c r="AO33" s="218"/>
      <c r="AP33" s="218">
        <v>192</v>
      </c>
      <c r="AQ33" s="218">
        <v>376</v>
      </c>
      <c r="AR33" s="218">
        <v>845</v>
      </c>
      <c r="AS33" s="218"/>
      <c r="AT33" s="218"/>
      <c r="AU33" s="218"/>
      <c r="AV33" s="218"/>
      <c r="AW33" s="218"/>
      <c r="AX33" s="218"/>
      <c r="AY33" s="218"/>
      <c r="AZ33" s="220"/>
    </row>
    <row r="34" spans="1:52" ht="33.75" x14ac:dyDescent="0.2">
      <c r="A34" s="217">
        <f t="shared" si="0"/>
        <v>317.5</v>
      </c>
      <c r="B34" s="217">
        <f t="shared" si="1"/>
        <v>39.1</v>
      </c>
      <c r="C34" s="217" t="s">
        <v>341</v>
      </c>
      <c r="D34" s="221" t="s">
        <v>648</v>
      </c>
      <c r="E34" s="217" t="s">
        <v>1178</v>
      </c>
      <c r="F34" s="230" t="s">
        <v>21</v>
      </c>
      <c r="G34" s="217">
        <v>1997</v>
      </c>
      <c r="H34" s="217" t="s">
        <v>681</v>
      </c>
      <c r="I34" s="217">
        <v>13099501</v>
      </c>
      <c r="J34" s="217">
        <v>13099401</v>
      </c>
      <c r="K34" s="217">
        <v>13099301</v>
      </c>
      <c r="L34" s="217">
        <v>15740766</v>
      </c>
      <c r="M34" s="218" t="s">
        <v>153</v>
      </c>
      <c r="N34" s="221" t="s">
        <v>154</v>
      </c>
      <c r="O34" s="221" t="s">
        <v>2088</v>
      </c>
      <c r="P34" s="221"/>
      <c r="Q34" s="221"/>
      <c r="R34" s="221"/>
      <c r="S34" s="217" t="s">
        <v>577</v>
      </c>
      <c r="T34" s="221" t="s">
        <v>651</v>
      </c>
      <c r="U34" s="217">
        <v>317.5</v>
      </c>
      <c r="V34" s="217">
        <v>211.33</v>
      </c>
      <c r="W34" s="217">
        <v>39.1</v>
      </c>
      <c r="X34" s="217" t="s">
        <v>685</v>
      </c>
      <c r="Y34" s="217">
        <v>106.515</v>
      </c>
      <c r="Z34" s="230">
        <v>19.75</v>
      </c>
      <c r="AA34" s="217">
        <v>27.94</v>
      </c>
      <c r="AB34" s="217"/>
      <c r="AC34" s="217">
        <v>25.21</v>
      </c>
      <c r="AD34" s="217"/>
      <c r="AE34" s="217">
        <v>5.9</v>
      </c>
      <c r="AF34" s="217">
        <v>1246</v>
      </c>
      <c r="AG34" s="221">
        <v>812.5</v>
      </c>
      <c r="AH34" s="217" t="s">
        <v>159</v>
      </c>
      <c r="AI34" s="217">
        <v>0.127</v>
      </c>
      <c r="AJ34" s="217">
        <v>2.5000000000000001E-2</v>
      </c>
      <c r="AK34" s="218" t="s">
        <v>686</v>
      </c>
      <c r="AL34" s="217">
        <v>432</v>
      </c>
      <c r="AM34" s="218"/>
      <c r="AN34" s="218"/>
      <c r="AO34" s="218"/>
      <c r="AP34" s="218">
        <v>192</v>
      </c>
      <c r="AQ34" s="218"/>
      <c r="AR34" s="218"/>
      <c r="AS34" s="218"/>
      <c r="AT34" s="218"/>
      <c r="AU34" s="218"/>
      <c r="AV34" s="218"/>
      <c r="AW34" s="218"/>
      <c r="AX34" s="218"/>
      <c r="AY34" s="218"/>
      <c r="AZ34" s="220"/>
    </row>
    <row r="35" spans="1:52" ht="33.75" x14ac:dyDescent="0.2">
      <c r="A35" s="217">
        <f t="shared" si="0"/>
        <v>317.5</v>
      </c>
      <c r="B35" s="217">
        <f t="shared" si="1"/>
        <v>39.4</v>
      </c>
      <c r="C35" s="217" t="s">
        <v>341</v>
      </c>
      <c r="D35" s="221" t="s">
        <v>648</v>
      </c>
      <c r="E35" s="221" t="s">
        <v>654</v>
      </c>
      <c r="F35" s="230" t="s">
        <v>21</v>
      </c>
      <c r="G35" s="221">
        <v>1990</v>
      </c>
      <c r="H35" s="221" t="s">
        <v>681</v>
      </c>
      <c r="I35" s="221">
        <v>12720904</v>
      </c>
      <c r="J35" s="221">
        <v>12720800</v>
      </c>
      <c r="K35" s="221">
        <v>12720702</v>
      </c>
      <c r="L35" s="221">
        <v>15992122</v>
      </c>
      <c r="M35" s="218" t="s">
        <v>153</v>
      </c>
      <c r="N35" s="221" t="s">
        <v>1561</v>
      </c>
      <c r="O35" s="221" t="s">
        <v>2088</v>
      </c>
      <c r="P35" s="221"/>
      <c r="Q35" s="221"/>
      <c r="R35" s="221"/>
      <c r="S35" s="221" t="s">
        <v>577</v>
      </c>
      <c r="T35" s="221" t="s">
        <v>651</v>
      </c>
      <c r="U35" s="221">
        <v>317.5</v>
      </c>
      <c r="V35" s="221">
        <v>211.5</v>
      </c>
      <c r="W35" s="221">
        <v>39.4</v>
      </c>
      <c r="X35" s="221" t="s">
        <v>685</v>
      </c>
      <c r="Y35" s="221">
        <v>103.95</v>
      </c>
      <c r="Z35" s="223">
        <v>19.100000000000001</v>
      </c>
      <c r="AA35" s="221">
        <v>22.7</v>
      </c>
      <c r="AB35" s="221"/>
      <c r="AC35" s="221">
        <v>19.7</v>
      </c>
      <c r="AD35" s="221"/>
      <c r="AE35" s="221">
        <v>9.3000000000000007</v>
      </c>
      <c r="AF35" s="217">
        <v>1246</v>
      </c>
      <c r="AG35" s="221">
        <v>812.5</v>
      </c>
      <c r="AH35" s="221" t="s">
        <v>1562</v>
      </c>
      <c r="AI35" s="221">
        <v>0.13</v>
      </c>
      <c r="AJ35" s="221">
        <v>1.3000000000000001E-2</v>
      </c>
      <c r="AK35" s="218" t="s">
        <v>686</v>
      </c>
      <c r="AL35" s="221">
        <v>430</v>
      </c>
      <c r="AM35" s="218"/>
      <c r="AN35" s="218"/>
      <c r="AO35" s="218"/>
      <c r="AP35" s="218">
        <v>192</v>
      </c>
      <c r="AQ35" s="218">
        <v>386.1</v>
      </c>
      <c r="AR35" s="218"/>
      <c r="AS35" s="218"/>
      <c r="AT35" s="218"/>
      <c r="AU35" s="218"/>
      <c r="AV35" s="218"/>
      <c r="AW35" s="218"/>
      <c r="AX35" s="218"/>
      <c r="AY35" s="218"/>
      <c r="AZ35" s="220"/>
    </row>
    <row r="36" spans="1:52" ht="33.75" x14ac:dyDescent="0.2">
      <c r="A36" s="217">
        <f t="shared" si="0"/>
        <v>320</v>
      </c>
      <c r="B36" s="217">
        <f t="shared" si="1"/>
        <v>30</v>
      </c>
      <c r="C36" s="217" t="s">
        <v>341</v>
      </c>
      <c r="D36" s="221" t="s">
        <v>1179</v>
      </c>
      <c r="E36" s="221" t="s">
        <v>1180</v>
      </c>
      <c r="F36" s="217" t="s">
        <v>166</v>
      </c>
      <c r="G36" s="221">
        <v>2002</v>
      </c>
      <c r="H36" s="221" t="s">
        <v>1617</v>
      </c>
      <c r="I36" s="221"/>
      <c r="J36" s="221">
        <v>13894903</v>
      </c>
      <c r="K36" s="221">
        <v>13894903</v>
      </c>
      <c r="L36" s="221" t="s">
        <v>1181</v>
      </c>
      <c r="M36" s="218" t="s">
        <v>1617</v>
      </c>
      <c r="N36" s="221" t="s">
        <v>154</v>
      </c>
      <c r="O36" s="221" t="s">
        <v>2084</v>
      </c>
      <c r="P36" s="221"/>
      <c r="Q36" s="221"/>
      <c r="R36" s="221"/>
      <c r="S36" s="221" t="s">
        <v>1245</v>
      </c>
      <c r="T36" s="221" t="s">
        <v>1246</v>
      </c>
      <c r="U36" s="217">
        <v>320</v>
      </c>
      <c r="V36" s="221">
        <v>168</v>
      </c>
      <c r="W36" s="221">
        <v>30</v>
      </c>
      <c r="X36" s="221" t="s">
        <v>1182</v>
      </c>
      <c r="Y36" s="221">
        <v>35</v>
      </c>
      <c r="Z36" s="221">
        <v>14.8</v>
      </c>
      <c r="AA36" s="221">
        <v>11.54</v>
      </c>
      <c r="AB36" s="221"/>
      <c r="AC36" s="221">
        <v>8.6</v>
      </c>
      <c r="AD36" s="221"/>
      <c r="AE36" s="221">
        <v>7.83</v>
      </c>
      <c r="AF36" s="221">
        <v>1368.5</v>
      </c>
      <c r="AG36" s="221">
        <v>902</v>
      </c>
      <c r="AH36" s="217" t="s">
        <v>576</v>
      </c>
      <c r="AI36" s="221">
        <v>2.5000000000000001E-2</v>
      </c>
      <c r="AJ36" s="221">
        <v>5.0000000000000001E-3</v>
      </c>
      <c r="AK36" s="218">
        <v>0.05</v>
      </c>
      <c r="AL36" s="221">
        <v>36</v>
      </c>
      <c r="AM36" s="218">
        <v>1728</v>
      </c>
      <c r="AN36" s="218">
        <v>2147</v>
      </c>
      <c r="AO36" s="218">
        <v>1011</v>
      </c>
      <c r="AP36" s="218">
        <v>238</v>
      </c>
      <c r="AQ36" s="218">
        <v>322</v>
      </c>
      <c r="AR36" s="218">
        <v>658</v>
      </c>
      <c r="AS36" s="218">
        <v>3034</v>
      </c>
      <c r="AT36" s="218">
        <v>0.75</v>
      </c>
      <c r="AU36" s="218"/>
      <c r="AV36" s="218"/>
      <c r="AW36" s="218"/>
      <c r="AX36" s="218"/>
      <c r="AY36" s="218"/>
      <c r="AZ36" s="220"/>
    </row>
    <row r="37" spans="1:52" ht="33.75" x14ac:dyDescent="0.2">
      <c r="A37" s="217">
        <f t="shared" si="0"/>
        <v>326</v>
      </c>
      <c r="B37" s="217">
        <f t="shared" si="1"/>
        <v>31.5</v>
      </c>
      <c r="C37" s="217" t="s">
        <v>341</v>
      </c>
      <c r="D37" s="223" t="s">
        <v>679</v>
      </c>
      <c r="E37" s="223" t="s">
        <v>694</v>
      </c>
      <c r="F37" s="230" t="s">
        <v>21</v>
      </c>
      <c r="G37" s="223">
        <v>2004</v>
      </c>
      <c r="H37" s="217" t="s">
        <v>559</v>
      </c>
      <c r="I37" s="223">
        <v>14546705</v>
      </c>
      <c r="J37" s="223">
        <v>14546602</v>
      </c>
      <c r="K37" s="223">
        <v>14546501</v>
      </c>
      <c r="L37" s="223" t="s">
        <v>695</v>
      </c>
      <c r="M37" s="218" t="s">
        <v>153</v>
      </c>
      <c r="N37" s="223" t="s">
        <v>154</v>
      </c>
      <c r="O37" s="223" t="s">
        <v>2087</v>
      </c>
      <c r="P37" s="223"/>
      <c r="Q37" s="223"/>
      <c r="R37" s="223"/>
      <c r="S37" s="223" t="s">
        <v>1752</v>
      </c>
      <c r="T37" s="221" t="s">
        <v>157</v>
      </c>
      <c r="U37" s="230">
        <v>326</v>
      </c>
      <c r="V37" s="223">
        <v>194</v>
      </c>
      <c r="W37" s="223">
        <v>31.5</v>
      </c>
      <c r="X37" s="223" t="s">
        <v>696</v>
      </c>
      <c r="Y37" s="223">
        <v>45.4</v>
      </c>
      <c r="Z37" s="223">
        <v>12</v>
      </c>
      <c r="AA37" s="223">
        <v>19.004000000000001</v>
      </c>
      <c r="AB37" s="223">
        <v>19.291</v>
      </c>
      <c r="AC37" s="223">
        <v>15.412000000000001</v>
      </c>
      <c r="AD37" s="247">
        <v>15.548999999999999</v>
      </c>
      <c r="AE37" s="221">
        <v>9.7200000000000006</v>
      </c>
      <c r="AF37" s="221">
        <v>1290</v>
      </c>
      <c r="AG37" s="221">
        <v>1020</v>
      </c>
      <c r="AH37" s="217" t="s">
        <v>159</v>
      </c>
      <c r="AI37" s="223">
        <v>0.04</v>
      </c>
      <c r="AJ37" s="223">
        <v>8.9999999999999993E-3</v>
      </c>
      <c r="AK37" s="222" t="s">
        <v>686</v>
      </c>
      <c r="AL37" s="223">
        <v>72</v>
      </c>
      <c r="AM37" s="218">
        <v>2383</v>
      </c>
      <c r="AN37" s="218">
        <v>3175</v>
      </c>
      <c r="AO37" s="222">
        <v>1544</v>
      </c>
      <c r="AP37" s="218">
        <v>148</v>
      </c>
      <c r="AQ37" s="222">
        <v>335.3</v>
      </c>
      <c r="AR37" s="222">
        <v>774.7</v>
      </c>
      <c r="AS37" s="218">
        <v>3505</v>
      </c>
      <c r="AT37" s="218">
        <v>0.67</v>
      </c>
      <c r="AU37" s="218">
        <v>76.900000000000006</v>
      </c>
      <c r="AV37" s="218">
        <v>505</v>
      </c>
      <c r="AW37" s="218"/>
      <c r="AX37" s="218">
        <v>508</v>
      </c>
      <c r="AY37" s="218" t="s">
        <v>1611</v>
      </c>
      <c r="AZ37" s="220"/>
    </row>
    <row r="38" spans="1:52" ht="33.75" x14ac:dyDescent="0.2">
      <c r="A38" s="217">
        <f t="shared" si="0"/>
        <v>331</v>
      </c>
      <c r="B38" s="217">
        <f t="shared" si="1"/>
        <v>30</v>
      </c>
      <c r="C38" s="217" t="s">
        <v>341</v>
      </c>
      <c r="D38" s="223" t="s">
        <v>679</v>
      </c>
      <c r="E38" s="221" t="s">
        <v>680</v>
      </c>
      <c r="F38" s="217" t="s">
        <v>675</v>
      </c>
      <c r="G38" s="221">
        <v>1990</v>
      </c>
      <c r="H38" s="221" t="s">
        <v>681</v>
      </c>
      <c r="I38" s="221">
        <v>13279302</v>
      </c>
      <c r="J38" s="221">
        <v>13279201</v>
      </c>
      <c r="K38" s="221">
        <v>13279101</v>
      </c>
      <c r="L38" s="221" t="s">
        <v>682</v>
      </c>
      <c r="M38" s="218" t="s">
        <v>153</v>
      </c>
      <c r="N38" s="221" t="s">
        <v>154</v>
      </c>
      <c r="O38" s="221" t="s">
        <v>2087</v>
      </c>
      <c r="P38" s="221"/>
      <c r="Q38" s="221"/>
      <c r="R38" s="221"/>
      <c r="S38" s="221" t="s">
        <v>577</v>
      </c>
      <c r="T38" s="221" t="s">
        <v>684</v>
      </c>
      <c r="U38" s="221">
        <v>331</v>
      </c>
      <c r="V38" s="221">
        <v>230</v>
      </c>
      <c r="W38" s="221">
        <v>30</v>
      </c>
      <c r="X38" s="221" t="s">
        <v>685</v>
      </c>
      <c r="Y38" s="221">
        <v>58</v>
      </c>
      <c r="Z38" s="221">
        <v>10</v>
      </c>
      <c r="AA38" s="221">
        <v>20.420000000000002</v>
      </c>
      <c r="AB38" s="223">
        <v>21.06</v>
      </c>
      <c r="AC38" s="223">
        <v>16.901599999999998</v>
      </c>
      <c r="AD38" s="223">
        <v>17.14</v>
      </c>
      <c r="AE38" s="221">
        <v>7.3</v>
      </c>
      <c r="AF38" s="221">
        <v>1563</v>
      </c>
      <c r="AG38" s="221">
        <v>820</v>
      </c>
      <c r="AH38" s="221" t="s">
        <v>159</v>
      </c>
      <c r="AI38" s="221">
        <v>6.5000000000000002E-2</v>
      </c>
      <c r="AJ38" s="221">
        <v>0.01</v>
      </c>
      <c r="AK38" s="218" t="s">
        <v>686</v>
      </c>
      <c r="AL38" s="221">
        <v>143</v>
      </c>
      <c r="AM38" s="248" t="s">
        <v>687</v>
      </c>
      <c r="AN38" s="218">
        <v>2032.5</v>
      </c>
      <c r="AO38" s="218">
        <v>2568</v>
      </c>
      <c r="AP38" s="218">
        <v>1298</v>
      </c>
      <c r="AQ38" s="218">
        <v>176</v>
      </c>
      <c r="AR38" s="218">
        <v>323</v>
      </c>
      <c r="AS38" s="218">
        <v>660</v>
      </c>
      <c r="AT38" s="218">
        <v>3065.8</v>
      </c>
      <c r="AU38" s="218"/>
      <c r="AV38" s="218"/>
      <c r="AW38" s="218"/>
      <c r="AX38" s="218"/>
      <c r="AY38" s="218"/>
      <c r="AZ38" s="220"/>
    </row>
    <row r="39" spans="1:52" ht="56.25" x14ac:dyDescent="0.2">
      <c r="A39" s="217">
        <f t="shared" si="0"/>
        <v>331</v>
      </c>
      <c r="B39" s="217">
        <f t="shared" si="1"/>
        <v>30</v>
      </c>
      <c r="C39" s="217" t="s">
        <v>341</v>
      </c>
      <c r="D39" s="223" t="s">
        <v>679</v>
      </c>
      <c r="E39" s="221" t="s">
        <v>688</v>
      </c>
      <c r="F39" s="217" t="s">
        <v>675</v>
      </c>
      <c r="G39" s="221">
        <v>1990</v>
      </c>
      <c r="H39" s="221" t="s">
        <v>681</v>
      </c>
      <c r="I39" s="221">
        <v>13265815</v>
      </c>
      <c r="J39" s="221">
        <v>13265702</v>
      </c>
      <c r="K39" s="221">
        <v>13265601</v>
      </c>
      <c r="L39" s="221" t="s">
        <v>689</v>
      </c>
      <c r="M39" s="218" t="s">
        <v>153</v>
      </c>
      <c r="N39" s="221" t="s">
        <v>154</v>
      </c>
      <c r="O39" s="221" t="s">
        <v>2087</v>
      </c>
      <c r="P39" s="221"/>
      <c r="Q39" s="221"/>
      <c r="R39" s="221"/>
      <c r="S39" s="221" t="s">
        <v>577</v>
      </c>
      <c r="T39" s="221" t="s">
        <v>684</v>
      </c>
      <c r="U39" s="221">
        <v>331</v>
      </c>
      <c r="V39" s="221">
        <v>230</v>
      </c>
      <c r="W39" s="221">
        <v>30</v>
      </c>
      <c r="X39" s="221" t="s">
        <v>685</v>
      </c>
      <c r="Y39" s="221">
        <v>58.3</v>
      </c>
      <c r="Z39" s="221">
        <v>10</v>
      </c>
      <c r="AA39" s="217">
        <v>25.25</v>
      </c>
      <c r="AB39" s="230">
        <v>26</v>
      </c>
      <c r="AC39" s="223">
        <v>20.5</v>
      </c>
      <c r="AD39" s="223">
        <v>21.92</v>
      </c>
      <c r="AE39" s="217">
        <v>7.32</v>
      </c>
      <c r="AF39" s="217">
        <v>1059</v>
      </c>
      <c r="AG39" s="221">
        <v>820</v>
      </c>
      <c r="AH39" s="221" t="s">
        <v>159</v>
      </c>
      <c r="AI39" s="221">
        <v>0.08</v>
      </c>
      <c r="AJ39" s="221">
        <v>0.08</v>
      </c>
      <c r="AK39" s="222">
        <v>0.08</v>
      </c>
      <c r="AL39" s="221">
        <v>286</v>
      </c>
      <c r="AM39" s="218">
        <v>2486</v>
      </c>
      <c r="AN39" s="218">
        <v>5215</v>
      </c>
      <c r="AO39" s="218">
        <v>1769</v>
      </c>
      <c r="AP39" s="218">
        <v>154</v>
      </c>
      <c r="AQ39" s="218">
        <v>358.1</v>
      </c>
      <c r="AR39" s="218">
        <v>1193.8</v>
      </c>
      <c r="AS39" s="218">
        <v>4470</v>
      </c>
      <c r="AT39" s="218"/>
      <c r="AU39" s="218"/>
      <c r="AV39" s="218">
        <v>685.01</v>
      </c>
      <c r="AW39" s="218"/>
      <c r="AX39" s="218">
        <v>665</v>
      </c>
      <c r="AY39" s="218" t="s">
        <v>690</v>
      </c>
      <c r="AZ39" s="220"/>
    </row>
    <row r="40" spans="1:52" ht="33.75" x14ac:dyDescent="0.2">
      <c r="A40" s="217">
        <f t="shared" si="0"/>
        <v>331</v>
      </c>
      <c r="B40" s="217">
        <f t="shared" si="1"/>
        <v>30</v>
      </c>
      <c r="C40" s="217" t="s">
        <v>341</v>
      </c>
      <c r="D40" s="223" t="s">
        <v>679</v>
      </c>
      <c r="E40" s="223" t="s">
        <v>691</v>
      </c>
      <c r="F40" s="230" t="s">
        <v>675</v>
      </c>
      <c r="G40" s="223">
        <v>1990</v>
      </c>
      <c r="H40" s="223" t="s">
        <v>681</v>
      </c>
      <c r="I40" s="223">
        <v>13265812</v>
      </c>
      <c r="J40" s="223">
        <v>13265701</v>
      </c>
      <c r="K40" s="223">
        <v>13265601</v>
      </c>
      <c r="L40" s="223" t="s">
        <v>692</v>
      </c>
      <c r="M40" s="218" t="s">
        <v>153</v>
      </c>
      <c r="N40" s="223" t="s">
        <v>154</v>
      </c>
      <c r="O40" s="221" t="s">
        <v>2087</v>
      </c>
      <c r="P40" s="221"/>
      <c r="Q40" s="221"/>
      <c r="R40" s="221"/>
      <c r="S40" s="223" t="s">
        <v>577</v>
      </c>
      <c r="T40" s="223" t="s">
        <v>1748</v>
      </c>
      <c r="U40" s="230">
        <v>331</v>
      </c>
      <c r="V40" s="223">
        <v>230</v>
      </c>
      <c r="W40" s="223">
        <v>30</v>
      </c>
      <c r="X40" s="223" t="s">
        <v>693</v>
      </c>
      <c r="Y40" s="221">
        <v>58.3</v>
      </c>
      <c r="Z40" s="221">
        <v>10</v>
      </c>
      <c r="AA40" s="217">
        <v>25.25</v>
      </c>
      <c r="AB40" s="230">
        <v>26</v>
      </c>
      <c r="AC40" s="223">
        <v>20.5</v>
      </c>
      <c r="AD40" s="223">
        <v>21.92</v>
      </c>
      <c r="AE40" s="217">
        <v>7.32</v>
      </c>
      <c r="AF40" s="217">
        <v>1059</v>
      </c>
      <c r="AG40" s="221">
        <v>820</v>
      </c>
      <c r="AH40" s="221" t="s">
        <v>159</v>
      </c>
      <c r="AI40" s="221">
        <v>0.08</v>
      </c>
      <c r="AJ40" s="221">
        <v>0.08</v>
      </c>
      <c r="AK40" s="222">
        <v>0.08</v>
      </c>
      <c r="AL40" s="221">
        <v>286</v>
      </c>
      <c r="AM40" s="218">
        <v>2486</v>
      </c>
      <c r="AN40" s="218">
        <v>5215</v>
      </c>
      <c r="AO40" s="218">
        <v>1769</v>
      </c>
      <c r="AP40" s="218">
        <v>154</v>
      </c>
      <c r="AQ40" s="218">
        <v>358.1</v>
      </c>
      <c r="AR40" s="218">
        <v>1193.8</v>
      </c>
      <c r="AS40" s="218">
        <v>4470</v>
      </c>
      <c r="AT40" s="218"/>
      <c r="AU40" s="218"/>
      <c r="AV40" s="218"/>
      <c r="AW40" s="218"/>
      <c r="AX40" s="218"/>
      <c r="AY40" s="218"/>
      <c r="AZ40" s="220"/>
    </row>
    <row r="41" spans="1:52" ht="22.5" x14ac:dyDescent="0.2">
      <c r="A41" s="217">
        <f t="shared" si="0"/>
        <v>331</v>
      </c>
      <c r="B41" s="217">
        <f t="shared" si="1"/>
        <v>30</v>
      </c>
      <c r="C41" s="217" t="s">
        <v>341</v>
      </c>
      <c r="D41" s="221" t="s">
        <v>2219</v>
      </c>
      <c r="E41" s="221" t="s">
        <v>1986</v>
      </c>
      <c r="F41" s="217"/>
      <c r="G41" s="221">
        <v>1990</v>
      </c>
      <c r="H41" s="221" t="s">
        <v>681</v>
      </c>
      <c r="I41" s="221">
        <v>13279602</v>
      </c>
      <c r="J41" s="221">
        <v>13279501</v>
      </c>
      <c r="K41" s="223">
        <v>13279401</v>
      </c>
      <c r="L41" s="221" t="s">
        <v>1987</v>
      </c>
      <c r="M41" s="218"/>
      <c r="N41" s="223" t="s">
        <v>154</v>
      </c>
      <c r="O41" s="221" t="s">
        <v>683</v>
      </c>
      <c r="P41" s="221"/>
      <c r="Q41" s="221"/>
      <c r="R41" s="221"/>
      <c r="S41" s="221" t="s">
        <v>577</v>
      </c>
      <c r="T41" s="221" t="s">
        <v>2625</v>
      </c>
      <c r="U41" s="221">
        <v>331</v>
      </c>
      <c r="V41" s="221">
        <v>230</v>
      </c>
      <c r="W41" s="221">
        <v>30</v>
      </c>
      <c r="X41" s="221" t="s">
        <v>1988</v>
      </c>
      <c r="Y41" s="221">
        <v>94.5</v>
      </c>
      <c r="Z41" s="221">
        <v>10</v>
      </c>
      <c r="AA41" s="221">
        <v>20.62</v>
      </c>
      <c r="AB41" s="221"/>
      <c r="AC41" s="223">
        <v>16.420000000000002</v>
      </c>
      <c r="AD41" s="221"/>
      <c r="AE41" s="221">
        <v>7.3</v>
      </c>
      <c r="AF41" s="221">
        <v>1563</v>
      </c>
      <c r="AG41" s="221">
        <v>820</v>
      </c>
      <c r="AH41" s="221" t="s">
        <v>159</v>
      </c>
      <c r="AI41" s="221">
        <v>6.5000000000000002E-2</v>
      </c>
      <c r="AJ41" s="221">
        <v>0.01</v>
      </c>
      <c r="AK41" s="218" t="s">
        <v>686</v>
      </c>
      <c r="AL41" s="221">
        <v>143</v>
      </c>
      <c r="AM41" s="248" t="s">
        <v>687</v>
      </c>
      <c r="AN41" s="218" t="s">
        <v>1989</v>
      </c>
      <c r="AO41" s="218" t="s">
        <v>1990</v>
      </c>
      <c r="AP41" s="218" t="s">
        <v>1991</v>
      </c>
      <c r="AQ41" s="218" t="s">
        <v>1992</v>
      </c>
      <c r="AR41" s="218" t="s">
        <v>1993</v>
      </c>
      <c r="AS41" s="218">
        <v>3505</v>
      </c>
      <c r="AT41" s="218"/>
      <c r="AU41" s="218"/>
      <c r="AV41" s="218"/>
      <c r="AW41" s="218"/>
      <c r="AX41" s="218"/>
      <c r="AY41" s="218"/>
      <c r="AZ41" s="220"/>
    </row>
    <row r="42" spans="1:52" ht="22.5" x14ac:dyDescent="0.2">
      <c r="A42" s="217">
        <f t="shared" si="0"/>
        <v>331</v>
      </c>
      <c r="B42" s="217">
        <f t="shared" si="1"/>
        <v>30</v>
      </c>
      <c r="C42" s="217" t="s">
        <v>341</v>
      </c>
      <c r="D42" s="221" t="s">
        <v>2219</v>
      </c>
      <c r="E42" s="221" t="s">
        <v>1994</v>
      </c>
      <c r="F42" s="218"/>
      <c r="G42" s="218"/>
      <c r="H42" s="221" t="s">
        <v>681</v>
      </c>
      <c r="I42" s="221">
        <v>13265802</v>
      </c>
      <c r="J42" s="221">
        <v>13265701</v>
      </c>
      <c r="K42" s="223">
        <v>13265601</v>
      </c>
      <c r="L42" s="221" t="s">
        <v>1995</v>
      </c>
      <c r="M42" s="218"/>
      <c r="N42" s="223" t="s">
        <v>154</v>
      </c>
      <c r="O42" s="221" t="s">
        <v>683</v>
      </c>
      <c r="P42" s="221"/>
      <c r="Q42" s="221"/>
      <c r="R42" s="221"/>
      <c r="S42" s="221" t="s">
        <v>577</v>
      </c>
      <c r="T42" s="223" t="s">
        <v>684</v>
      </c>
      <c r="U42" s="221">
        <v>331</v>
      </c>
      <c r="V42" s="218">
        <v>230</v>
      </c>
      <c r="W42" s="221">
        <v>30</v>
      </c>
      <c r="X42" s="221" t="s">
        <v>1996</v>
      </c>
      <c r="Y42" s="221">
        <v>193.6</v>
      </c>
      <c r="Z42" s="222">
        <v>10</v>
      </c>
      <c r="AA42" s="223">
        <v>25.251999999999999</v>
      </c>
      <c r="AB42" s="221"/>
      <c r="AC42" s="223">
        <v>20.5</v>
      </c>
      <c r="AD42" s="221"/>
      <c r="AE42" s="218"/>
      <c r="AF42" s="218"/>
      <c r="AG42" s="218"/>
      <c r="AH42" s="221" t="s">
        <v>159</v>
      </c>
      <c r="AI42" s="223">
        <v>7.0000000000000007E-2</v>
      </c>
      <c r="AJ42" s="223">
        <v>0.01</v>
      </c>
      <c r="AK42" s="222" t="s">
        <v>686</v>
      </c>
      <c r="AL42" s="222">
        <v>286</v>
      </c>
      <c r="AM42" s="218"/>
      <c r="AN42" s="218"/>
      <c r="AO42" s="218"/>
      <c r="AP42" s="218"/>
      <c r="AQ42" s="218"/>
      <c r="AR42" s="218"/>
      <c r="AS42" s="218"/>
      <c r="AT42" s="218"/>
      <c r="AU42" s="218"/>
      <c r="AV42" s="218"/>
      <c r="AW42" s="218"/>
      <c r="AX42" s="218"/>
      <c r="AY42" s="218"/>
      <c r="AZ42" s="220"/>
    </row>
    <row r="43" spans="1:52" ht="33.75" x14ac:dyDescent="0.2">
      <c r="A43" s="217">
        <f t="shared" si="0"/>
        <v>331</v>
      </c>
      <c r="B43" s="217">
        <f t="shared" si="1"/>
        <v>38</v>
      </c>
      <c r="C43" s="217" t="s">
        <v>341</v>
      </c>
      <c r="D43" s="223" t="s">
        <v>679</v>
      </c>
      <c r="E43" s="217" t="s">
        <v>2246</v>
      </c>
      <c r="F43" s="222" t="s">
        <v>1615</v>
      </c>
      <c r="G43" s="221">
        <v>1998</v>
      </c>
      <c r="H43" s="217" t="s">
        <v>681</v>
      </c>
      <c r="I43" s="217">
        <v>14279107</v>
      </c>
      <c r="J43" s="217">
        <v>13590400</v>
      </c>
      <c r="K43" s="217">
        <v>13074400</v>
      </c>
      <c r="L43" s="217" t="s">
        <v>2247</v>
      </c>
      <c r="M43" s="218" t="s">
        <v>153</v>
      </c>
      <c r="N43" s="221" t="s">
        <v>154</v>
      </c>
      <c r="O43" s="223" t="s">
        <v>2087</v>
      </c>
      <c r="P43" s="223"/>
      <c r="Q43" s="223"/>
      <c r="R43" s="223"/>
      <c r="S43" s="217" t="s">
        <v>577</v>
      </c>
      <c r="T43" s="221" t="s">
        <v>684</v>
      </c>
      <c r="U43" s="217">
        <v>331</v>
      </c>
      <c r="V43" s="217">
        <v>231</v>
      </c>
      <c r="W43" s="217">
        <v>38</v>
      </c>
      <c r="X43" s="217" t="s">
        <v>1618</v>
      </c>
      <c r="Y43" s="230">
        <v>89.5</v>
      </c>
      <c r="Z43" s="217">
        <v>16.600000000000001</v>
      </c>
      <c r="AA43" s="217">
        <v>23.6</v>
      </c>
      <c r="AB43" s="217"/>
      <c r="AC43" s="230">
        <v>12.672000000000001</v>
      </c>
      <c r="AD43" s="217"/>
      <c r="AE43" s="217">
        <v>8.5399999999999991</v>
      </c>
      <c r="AF43" s="217">
        <v>1348.3</v>
      </c>
      <c r="AG43" s="217">
        <v>890</v>
      </c>
      <c r="AH43" s="217" t="s">
        <v>159</v>
      </c>
      <c r="AI43" s="217">
        <v>2.5000000000000001E-2</v>
      </c>
      <c r="AJ43" s="217">
        <v>0.01</v>
      </c>
      <c r="AK43" s="218">
        <v>0.13</v>
      </c>
      <c r="AL43" s="217">
        <v>144</v>
      </c>
      <c r="AM43" s="218">
        <v>2944.77</v>
      </c>
      <c r="AN43" s="218" t="s">
        <v>2248</v>
      </c>
      <c r="AO43" s="218">
        <v>2177.2399999999998</v>
      </c>
      <c r="AP43" s="218">
        <v>154.5</v>
      </c>
      <c r="AQ43" s="218">
        <v>375.92</v>
      </c>
      <c r="AR43" s="218">
        <v>774.7</v>
      </c>
      <c r="AS43" s="218" t="s">
        <v>634</v>
      </c>
      <c r="AT43" s="218">
        <v>0.60099999999999998</v>
      </c>
      <c r="AU43" s="218"/>
      <c r="AV43" s="218"/>
      <c r="AW43" s="218"/>
      <c r="AX43" s="218"/>
      <c r="AY43" s="218"/>
      <c r="AZ43" s="220"/>
    </row>
    <row r="44" spans="1:52" ht="33.75" x14ac:dyDescent="0.2">
      <c r="A44" s="217">
        <f t="shared" si="0"/>
        <v>331</v>
      </c>
      <c r="B44" s="217">
        <f t="shared" si="1"/>
        <v>38</v>
      </c>
      <c r="C44" s="217" t="s">
        <v>341</v>
      </c>
      <c r="D44" s="223" t="s">
        <v>679</v>
      </c>
      <c r="E44" s="217" t="s">
        <v>635</v>
      </c>
      <c r="F44" s="222" t="s">
        <v>1615</v>
      </c>
      <c r="G44" s="221">
        <v>1998</v>
      </c>
      <c r="H44" s="217" t="s">
        <v>681</v>
      </c>
      <c r="I44" s="217">
        <v>14659604</v>
      </c>
      <c r="J44" s="217">
        <v>13590400</v>
      </c>
      <c r="K44" s="217">
        <v>13590301</v>
      </c>
      <c r="L44" s="217" t="s">
        <v>636</v>
      </c>
      <c r="M44" s="218" t="s">
        <v>153</v>
      </c>
      <c r="N44" s="221" t="s">
        <v>154</v>
      </c>
      <c r="O44" s="223" t="s">
        <v>2087</v>
      </c>
      <c r="P44" s="223"/>
      <c r="Q44" s="223"/>
      <c r="R44" s="223"/>
      <c r="S44" s="217" t="s">
        <v>577</v>
      </c>
      <c r="T44" s="221" t="s">
        <v>684</v>
      </c>
      <c r="U44" s="217">
        <v>331</v>
      </c>
      <c r="V44" s="217">
        <v>230</v>
      </c>
      <c r="W44" s="217">
        <v>38</v>
      </c>
      <c r="X44" s="217" t="s">
        <v>1618</v>
      </c>
      <c r="Y44" s="217">
        <v>89.5</v>
      </c>
      <c r="Z44" s="217">
        <v>16.600000000000001</v>
      </c>
      <c r="AA44" s="230">
        <v>16.032</v>
      </c>
      <c r="AB44" s="230">
        <v>16.03</v>
      </c>
      <c r="AC44" s="230">
        <v>12.672000000000001</v>
      </c>
      <c r="AD44" s="230">
        <v>12.97</v>
      </c>
      <c r="AE44" s="217">
        <v>8.5399999999999991</v>
      </c>
      <c r="AF44" s="217">
        <v>1348.3</v>
      </c>
      <c r="AG44" s="217">
        <v>890</v>
      </c>
      <c r="AH44" s="217" t="s">
        <v>159</v>
      </c>
      <c r="AI44" s="217">
        <v>2.5000000000000001E-2</v>
      </c>
      <c r="AJ44" s="217">
        <v>0.01</v>
      </c>
      <c r="AK44" s="218">
        <v>0.13</v>
      </c>
      <c r="AL44" s="217">
        <v>144</v>
      </c>
      <c r="AM44" s="218">
        <v>3353.92</v>
      </c>
      <c r="AN44" s="218">
        <v>5080.32</v>
      </c>
      <c r="AO44" s="218">
        <v>2358.6999999999998</v>
      </c>
      <c r="AP44" s="218">
        <v>154.5</v>
      </c>
      <c r="AQ44" s="218">
        <v>375.92</v>
      </c>
      <c r="AR44" s="218">
        <v>787.4</v>
      </c>
      <c r="AS44" s="218" t="s">
        <v>637</v>
      </c>
      <c r="AT44" s="218">
        <v>0.60099999999999998</v>
      </c>
      <c r="AU44" s="218"/>
      <c r="AV44" s="218"/>
      <c r="AW44" s="218"/>
      <c r="AX44" s="218"/>
      <c r="AY44" s="218"/>
      <c r="AZ44" s="220"/>
    </row>
    <row r="45" spans="1:52" ht="33.75" x14ac:dyDescent="0.2">
      <c r="A45" s="217">
        <f t="shared" si="0"/>
        <v>331</v>
      </c>
      <c r="B45" s="217">
        <f t="shared" si="1"/>
        <v>38</v>
      </c>
      <c r="C45" s="217" t="s">
        <v>341</v>
      </c>
      <c r="D45" s="221" t="s">
        <v>2219</v>
      </c>
      <c r="E45" s="217" t="s">
        <v>2220</v>
      </c>
      <c r="F45" s="217" t="s">
        <v>1615</v>
      </c>
      <c r="G45" s="221">
        <v>1998</v>
      </c>
      <c r="H45" s="217" t="s">
        <v>681</v>
      </c>
      <c r="I45" s="217"/>
      <c r="J45" s="217">
        <v>13079702</v>
      </c>
      <c r="K45" s="217">
        <v>13079500</v>
      </c>
      <c r="L45" s="230" t="s">
        <v>2221</v>
      </c>
      <c r="M45" s="218" t="s">
        <v>153</v>
      </c>
      <c r="N45" s="221" t="s">
        <v>154</v>
      </c>
      <c r="O45" s="221" t="s">
        <v>683</v>
      </c>
      <c r="P45" s="221"/>
      <c r="Q45" s="221"/>
      <c r="R45" s="221"/>
      <c r="S45" s="217" t="s">
        <v>577</v>
      </c>
      <c r="T45" s="223" t="s">
        <v>2222</v>
      </c>
      <c r="U45" s="217">
        <v>331</v>
      </c>
      <c r="V45" s="217">
        <v>230</v>
      </c>
      <c r="W45" s="217">
        <v>38</v>
      </c>
      <c r="X45" s="217" t="s">
        <v>1618</v>
      </c>
      <c r="Y45" s="217">
        <v>215.48</v>
      </c>
      <c r="Z45" s="217">
        <v>16.600000000000001</v>
      </c>
      <c r="AA45" s="230">
        <v>28.23</v>
      </c>
      <c r="AB45" s="217"/>
      <c r="AC45" s="217">
        <v>23.43</v>
      </c>
      <c r="AD45" s="217"/>
      <c r="AE45" s="217">
        <v>8.48</v>
      </c>
      <c r="AF45" s="217">
        <v>1323</v>
      </c>
      <c r="AG45" s="217">
        <v>890</v>
      </c>
      <c r="AH45" s="217" t="s">
        <v>159</v>
      </c>
      <c r="AI45" s="217">
        <v>7.0000000000000007E-2</v>
      </c>
      <c r="AJ45" s="217">
        <v>0.01</v>
      </c>
      <c r="AK45" s="218" t="s">
        <v>157</v>
      </c>
      <c r="AL45" s="217">
        <v>286</v>
      </c>
      <c r="AM45" s="218">
        <v>2859.4</v>
      </c>
      <c r="AN45" s="218">
        <v>5080.2</v>
      </c>
      <c r="AO45" s="218">
        <v>2358.6999999999998</v>
      </c>
      <c r="AP45" s="218">
        <v>154.5</v>
      </c>
      <c r="AQ45" s="218">
        <v>375.92</v>
      </c>
      <c r="AR45" s="218">
        <v>32</v>
      </c>
      <c r="AS45" s="218">
        <v>4379</v>
      </c>
      <c r="AT45" s="218">
        <v>0.60099999999999998</v>
      </c>
      <c r="AU45" s="218"/>
      <c r="AV45" s="218"/>
      <c r="AW45" s="218"/>
      <c r="AX45" s="218"/>
      <c r="AY45" s="218"/>
      <c r="AZ45" s="220"/>
    </row>
    <row r="46" spans="1:52" ht="33.75" x14ac:dyDescent="0.2">
      <c r="A46" s="217">
        <f t="shared" si="0"/>
        <v>331</v>
      </c>
      <c r="B46" s="217">
        <f t="shared" si="1"/>
        <v>38</v>
      </c>
      <c r="C46" s="217" t="s">
        <v>341</v>
      </c>
      <c r="D46" s="221" t="s">
        <v>2219</v>
      </c>
      <c r="E46" s="217" t="s">
        <v>349</v>
      </c>
      <c r="F46" s="217" t="s">
        <v>1615</v>
      </c>
      <c r="G46" s="221">
        <v>1998</v>
      </c>
      <c r="H46" s="217" t="s">
        <v>681</v>
      </c>
      <c r="I46" s="217">
        <v>13079702</v>
      </c>
      <c r="J46" s="217">
        <v>13079601</v>
      </c>
      <c r="K46" s="217">
        <v>130795</v>
      </c>
      <c r="L46" s="230" t="s">
        <v>2221</v>
      </c>
      <c r="M46" s="218" t="s">
        <v>153</v>
      </c>
      <c r="N46" s="221" t="s">
        <v>154</v>
      </c>
      <c r="O46" s="221" t="s">
        <v>683</v>
      </c>
      <c r="P46" s="221"/>
      <c r="Q46" s="221"/>
      <c r="R46" s="221"/>
      <c r="S46" s="217" t="s">
        <v>577</v>
      </c>
      <c r="T46" s="221" t="s">
        <v>684</v>
      </c>
      <c r="U46" s="217">
        <v>331</v>
      </c>
      <c r="V46" s="217">
        <v>230</v>
      </c>
      <c r="W46" s="217">
        <v>38</v>
      </c>
      <c r="X46" s="217" t="s">
        <v>1618</v>
      </c>
      <c r="Y46" s="217">
        <v>215.48</v>
      </c>
      <c r="Z46" s="217">
        <v>16.600000000000001</v>
      </c>
      <c r="AA46" s="230">
        <v>28.23</v>
      </c>
      <c r="AB46" s="217"/>
      <c r="AC46" s="230">
        <v>24.38</v>
      </c>
      <c r="AD46" s="217"/>
      <c r="AE46" s="217">
        <v>8.48</v>
      </c>
      <c r="AF46" s="217">
        <v>1323</v>
      </c>
      <c r="AG46" s="217">
        <v>890</v>
      </c>
      <c r="AH46" s="217" t="s">
        <v>159</v>
      </c>
      <c r="AI46" s="217">
        <v>7.0000000000000007E-2</v>
      </c>
      <c r="AJ46" s="217">
        <v>0.01</v>
      </c>
      <c r="AK46" s="218" t="s">
        <v>157</v>
      </c>
      <c r="AL46" s="217">
        <v>286</v>
      </c>
      <c r="AM46" s="218">
        <v>2859.4</v>
      </c>
      <c r="AN46" s="218">
        <v>5080.2</v>
      </c>
      <c r="AO46" s="218">
        <v>2358.6999999999998</v>
      </c>
      <c r="AP46" s="218">
        <v>154.5</v>
      </c>
      <c r="AQ46" s="218">
        <v>375.92</v>
      </c>
      <c r="AR46" s="218">
        <v>32</v>
      </c>
      <c r="AS46" s="218">
        <v>4379</v>
      </c>
      <c r="AT46" s="218">
        <v>0.60099999999999998</v>
      </c>
      <c r="AU46" s="218"/>
      <c r="AV46" s="218"/>
      <c r="AW46" s="218"/>
      <c r="AX46" s="218"/>
      <c r="AY46" s="218"/>
      <c r="AZ46" s="220"/>
    </row>
    <row r="47" spans="1:52" ht="22.5" x14ac:dyDescent="0.2">
      <c r="A47" s="217">
        <f t="shared" si="0"/>
        <v>331</v>
      </c>
      <c r="B47" s="217">
        <f t="shared" si="1"/>
        <v>38</v>
      </c>
      <c r="C47" s="217" t="s">
        <v>341</v>
      </c>
      <c r="D47" s="221" t="s">
        <v>2219</v>
      </c>
      <c r="E47" s="217" t="s">
        <v>1087</v>
      </c>
      <c r="F47" s="222" t="s">
        <v>1615</v>
      </c>
      <c r="G47" s="221">
        <v>1998</v>
      </c>
      <c r="H47" s="217" t="s">
        <v>681</v>
      </c>
      <c r="I47" s="217">
        <v>14277607</v>
      </c>
      <c r="J47" s="217">
        <v>13074501</v>
      </c>
      <c r="K47" s="217">
        <v>13074400</v>
      </c>
      <c r="L47" s="217" t="s">
        <v>1088</v>
      </c>
      <c r="M47" s="218" t="s">
        <v>153</v>
      </c>
      <c r="N47" s="221" t="s">
        <v>154</v>
      </c>
      <c r="O47" s="221" t="s">
        <v>683</v>
      </c>
      <c r="P47" s="221"/>
      <c r="Q47" s="221"/>
      <c r="R47" s="221"/>
      <c r="S47" s="217" t="s">
        <v>577</v>
      </c>
      <c r="T47" s="221" t="s">
        <v>684</v>
      </c>
      <c r="U47" s="217">
        <v>331</v>
      </c>
      <c r="V47" s="217">
        <v>230</v>
      </c>
      <c r="W47" s="217">
        <v>38</v>
      </c>
      <c r="X47" s="217" t="s">
        <v>1618</v>
      </c>
      <c r="Y47" s="217">
        <v>58.1</v>
      </c>
      <c r="Z47" s="217">
        <v>16.600000000000001</v>
      </c>
      <c r="AA47" s="217">
        <v>23.6</v>
      </c>
      <c r="AB47" s="230">
        <v>23.18</v>
      </c>
      <c r="AC47" s="230">
        <v>18.93</v>
      </c>
      <c r="AD47" s="230">
        <v>19.05</v>
      </c>
      <c r="AE47" s="217">
        <v>8.48</v>
      </c>
      <c r="AF47" s="217">
        <v>1323</v>
      </c>
      <c r="AG47" s="217">
        <v>890</v>
      </c>
      <c r="AH47" s="217" t="s">
        <v>159</v>
      </c>
      <c r="AI47" s="217">
        <v>0.05</v>
      </c>
      <c r="AJ47" s="217">
        <v>0.01</v>
      </c>
      <c r="AK47" s="218" t="s">
        <v>157</v>
      </c>
      <c r="AL47" s="217">
        <v>143</v>
      </c>
      <c r="AM47" s="218">
        <v>2766.5</v>
      </c>
      <c r="AN47" s="218" t="s">
        <v>2248</v>
      </c>
      <c r="AO47" s="218">
        <v>2177.2399999999998</v>
      </c>
      <c r="AP47" s="218">
        <v>154.5</v>
      </c>
      <c r="AQ47" s="218">
        <v>375.92</v>
      </c>
      <c r="AR47" s="218">
        <v>774.7</v>
      </c>
      <c r="AS47" s="218" t="s">
        <v>634</v>
      </c>
      <c r="AT47" s="218">
        <v>0.60099999999999998</v>
      </c>
      <c r="AU47" s="218"/>
      <c r="AV47" s="218"/>
      <c r="AW47" s="218"/>
      <c r="AX47" s="218"/>
      <c r="AY47" s="218"/>
      <c r="AZ47" s="220"/>
    </row>
    <row r="48" spans="1:52" ht="22.5" x14ac:dyDescent="0.2">
      <c r="A48" s="217">
        <f t="shared" si="0"/>
        <v>331</v>
      </c>
      <c r="B48" s="217">
        <f t="shared" si="1"/>
        <v>38</v>
      </c>
      <c r="C48" s="217" t="s">
        <v>341</v>
      </c>
      <c r="D48" s="221" t="s">
        <v>2219</v>
      </c>
      <c r="E48" s="217" t="s">
        <v>321</v>
      </c>
      <c r="F48" s="217" t="s">
        <v>1615</v>
      </c>
      <c r="G48" s="221">
        <v>1998</v>
      </c>
      <c r="H48" s="217" t="s">
        <v>681</v>
      </c>
      <c r="I48" s="217" t="s">
        <v>322</v>
      </c>
      <c r="J48" s="230">
        <v>13074501</v>
      </c>
      <c r="K48" s="230">
        <v>13074400</v>
      </c>
      <c r="L48" s="230" t="s">
        <v>1616</v>
      </c>
      <c r="M48" s="218"/>
      <c r="N48" s="223" t="s">
        <v>154</v>
      </c>
      <c r="O48" s="221" t="s">
        <v>683</v>
      </c>
      <c r="P48" s="221"/>
      <c r="Q48" s="221"/>
      <c r="R48" s="221"/>
      <c r="S48" s="217" t="s">
        <v>577</v>
      </c>
      <c r="T48" s="221" t="s">
        <v>684</v>
      </c>
      <c r="U48" s="217">
        <v>331</v>
      </c>
      <c r="V48" s="217">
        <v>230</v>
      </c>
      <c r="W48" s="217">
        <v>38</v>
      </c>
      <c r="X48" s="217" t="s">
        <v>1618</v>
      </c>
      <c r="Y48" s="217">
        <v>94.5</v>
      </c>
      <c r="Z48" s="217">
        <v>16.600000000000001</v>
      </c>
      <c r="AA48" s="230">
        <v>23.6</v>
      </c>
      <c r="AB48" s="230"/>
      <c r="AC48" s="230">
        <v>18.93</v>
      </c>
      <c r="AD48" s="217"/>
      <c r="AE48" s="217">
        <v>8.48</v>
      </c>
      <c r="AF48" s="217">
        <v>1323</v>
      </c>
      <c r="AG48" s="217">
        <v>890</v>
      </c>
      <c r="AH48" s="217" t="s">
        <v>159</v>
      </c>
      <c r="AI48" s="217">
        <v>0.05</v>
      </c>
      <c r="AJ48" s="217">
        <v>0.01</v>
      </c>
      <c r="AK48" s="218" t="s">
        <v>157</v>
      </c>
      <c r="AL48" s="217">
        <v>143</v>
      </c>
      <c r="AM48" s="218">
        <v>2661.7</v>
      </c>
      <c r="AN48" s="218">
        <v>4490.6000000000004</v>
      </c>
      <c r="AO48" s="218">
        <v>1995.8</v>
      </c>
      <c r="AP48" s="218">
        <v>154.5</v>
      </c>
      <c r="AQ48" s="218">
        <v>375.92</v>
      </c>
      <c r="AR48" s="218">
        <v>32</v>
      </c>
      <c r="AS48" s="218">
        <v>4379</v>
      </c>
      <c r="AT48" s="218">
        <v>0.60099999999999998</v>
      </c>
      <c r="AU48" s="218"/>
      <c r="AV48" s="218"/>
      <c r="AW48" s="218"/>
      <c r="AX48" s="218"/>
      <c r="AY48" s="218"/>
      <c r="AZ48" s="220"/>
    </row>
    <row r="49" spans="1:256" ht="33.75" x14ac:dyDescent="0.2">
      <c r="A49" s="217">
        <f t="shared" si="0"/>
        <v>331</v>
      </c>
      <c r="B49" s="217">
        <f t="shared" si="1"/>
        <v>38</v>
      </c>
      <c r="C49" s="217" t="s">
        <v>341</v>
      </c>
      <c r="D49" s="221" t="s">
        <v>2219</v>
      </c>
      <c r="E49" s="217" t="s">
        <v>2220</v>
      </c>
      <c r="F49" s="217" t="s">
        <v>1615</v>
      </c>
      <c r="G49" s="221">
        <v>1998</v>
      </c>
      <c r="H49" s="217" t="s">
        <v>681</v>
      </c>
      <c r="I49" s="217"/>
      <c r="J49" s="217">
        <v>13079702</v>
      </c>
      <c r="K49" s="230">
        <v>13079500</v>
      </c>
      <c r="L49" s="230" t="s">
        <v>2221</v>
      </c>
      <c r="M49" s="222" t="s">
        <v>153</v>
      </c>
      <c r="N49" s="223" t="s">
        <v>154</v>
      </c>
      <c r="O49" s="221" t="s">
        <v>683</v>
      </c>
      <c r="P49" s="221"/>
      <c r="Q49" s="221"/>
      <c r="R49" s="221"/>
      <c r="S49" s="217" t="s">
        <v>577</v>
      </c>
      <c r="T49" s="223" t="s">
        <v>2222</v>
      </c>
      <c r="U49" s="217">
        <v>331</v>
      </c>
      <c r="V49" s="217">
        <v>230</v>
      </c>
      <c r="W49" s="217">
        <v>38</v>
      </c>
      <c r="X49" s="217" t="s">
        <v>1618</v>
      </c>
      <c r="Y49" s="217">
        <v>215.48</v>
      </c>
      <c r="Z49" s="217">
        <v>16.600000000000001</v>
      </c>
      <c r="AA49" s="230">
        <v>28.23</v>
      </c>
      <c r="AB49" s="230"/>
      <c r="AC49" s="230">
        <v>23.43</v>
      </c>
      <c r="AD49" s="217"/>
      <c r="AE49" s="217">
        <v>8.48</v>
      </c>
      <c r="AF49" s="217">
        <v>1323</v>
      </c>
      <c r="AG49" s="217">
        <v>890</v>
      </c>
      <c r="AH49" s="217" t="s">
        <v>159</v>
      </c>
      <c r="AI49" s="217">
        <v>7.0000000000000007E-2</v>
      </c>
      <c r="AJ49" s="217">
        <v>0.01</v>
      </c>
      <c r="AK49" s="218" t="s">
        <v>157</v>
      </c>
      <c r="AL49" s="217">
        <v>286</v>
      </c>
      <c r="AM49" s="218">
        <v>2859.4</v>
      </c>
      <c r="AN49" s="218">
        <v>5080.2</v>
      </c>
      <c r="AO49" s="218">
        <v>2358.6999999999998</v>
      </c>
      <c r="AP49" s="218">
        <v>154.5</v>
      </c>
      <c r="AQ49" s="218">
        <v>375.92</v>
      </c>
      <c r="AR49" s="218">
        <v>32</v>
      </c>
      <c r="AS49" s="218">
        <v>4379</v>
      </c>
      <c r="AT49" s="218">
        <v>0.60099999999999998</v>
      </c>
      <c r="AU49" s="218"/>
      <c r="AV49" s="218"/>
      <c r="AW49" s="218"/>
      <c r="AX49" s="218"/>
      <c r="AY49" s="218"/>
      <c r="AZ49" s="220"/>
    </row>
    <row r="50" spans="1:256" ht="33.75" x14ac:dyDescent="0.2">
      <c r="A50" s="217">
        <f t="shared" si="0"/>
        <v>331</v>
      </c>
      <c r="B50" s="217">
        <f t="shared" si="1"/>
        <v>38</v>
      </c>
      <c r="C50" s="217" t="s">
        <v>341</v>
      </c>
      <c r="D50" s="221" t="s">
        <v>2219</v>
      </c>
      <c r="E50" s="217" t="s">
        <v>349</v>
      </c>
      <c r="F50" s="217" t="s">
        <v>1615</v>
      </c>
      <c r="G50" s="221">
        <v>1998</v>
      </c>
      <c r="H50" s="217" t="s">
        <v>681</v>
      </c>
      <c r="I50" s="217" t="s">
        <v>323</v>
      </c>
      <c r="J50" s="217">
        <v>13079601</v>
      </c>
      <c r="K50" s="230">
        <v>13079501</v>
      </c>
      <c r="L50" s="230" t="s">
        <v>2221</v>
      </c>
      <c r="M50" s="222"/>
      <c r="N50" s="223" t="s">
        <v>154</v>
      </c>
      <c r="O50" s="221" t="s">
        <v>683</v>
      </c>
      <c r="P50" s="221"/>
      <c r="Q50" s="221"/>
      <c r="R50" s="221"/>
      <c r="S50" s="217" t="s">
        <v>577</v>
      </c>
      <c r="T50" s="221" t="s">
        <v>684</v>
      </c>
      <c r="U50" s="217">
        <v>331</v>
      </c>
      <c r="V50" s="217">
        <v>230</v>
      </c>
      <c r="W50" s="217">
        <v>38</v>
      </c>
      <c r="X50" s="217" t="s">
        <v>1618</v>
      </c>
      <c r="Y50" s="217">
        <v>215.48</v>
      </c>
      <c r="Z50" s="217">
        <v>16.600000000000001</v>
      </c>
      <c r="AA50" s="230">
        <v>28.23</v>
      </c>
      <c r="AB50" s="230"/>
      <c r="AC50" s="230">
        <v>23.43</v>
      </c>
      <c r="AD50" s="217"/>
      <c r="AE50" s="217">
        <v>8.48</v>
      </c>
      <c r="AF50" s="217">
        <v>1323</v>
      </c>
      <c r="AG50" s="217">
        <v>890</v>
      </c>
      <c r="AH50" s="217" t="s">
        <v>159</v>
      </c>
      <c r="AI50" s="217">
        <v>7.0000000000000007E-2</v>
      </c>
      <c r="AJ50" s="217">
        <v>0.01</v>
      </c>
      <c r="AK50" s="218" t="s">
        <v>157</v>
      </c>
      <c r="AL50" s="217">
        <v>286</v>
      </c>
      <c r="AM50" s="218">
        <v>2859.4</v>
      </c>
      <c r="AN50" s="218">
        <v>5080.2</v>
      </c>
      <c r="AO50" s="218">
        <v>2358.6999999999998</v>
      </c>
      <c r="AP50" s="218">
        <v>154.5</v>
      </c>
      <c r="AQ50" s="218">
        <v>375.92</v>
      </c>
      <c r="AR50" s="218">
        <v>32</v>
      </c>
      <c r="AS50" s="218">
        <v>4379</v>
      </c>
      <c r="AT50" s="218">
        <v>0.60099999999999998</v>
      </c>
      <c r="AU50" s="218"/>
      <c r="AV50" s="218"/>
      <c r="AW50" s="218"/>
      <c r="AX50" s="218"/>
      <c r="AY50" s="218"/>
      <c r="AZ50" s="220"/>
    </row>
    <row r="51" spans="1:256" ht="33.75" x14ac:dyDescent="0.2">
      <c r="A51" s="217">
        <f t="shared" si="0"/>
        <v>331</v>
      </c>
      <c r="B51" s="217">
        <f t="shared" si="1"/>
        <v>38</v>
      </c>
      <c r="C51" s="217" t="s">
        <v>341</v>
      </c>
      <c r="D51" s="221" t="s">
        <v>2219</v>
      </c>
      <c r="E51" s="217" t="s">
        <v>395</v>
      </c>
      <c r="F51" s="217" t="s">
        <v>1615</v>
      </c>
      <c r="G51" s="221">
        <v>1998</v>
      </c>
      <c r="H51" s="217" t="s">
        <v>681</v>
      </c>
      <c r="I51" s="217" t="s">
        <v>396</v>
      </c>
      <c r="J51" s="217">
        <v>13079601</v>
      </c>
      <c r="K51" s="230">
        <v>13079501</v>
      </c>
      <c r="L51" s="230" t="s">
        <v>2221</v>
      </c>
      <c r="M51" s="222" t="s">
        <v>153</v>
      </c>
      <c r="N51" s="223" t="s">
        <v>154</v>
      </c>
      <c r="O51" s="221" t="s">
        <v>683</v>
      </c>
      <c r="P51" s="221"/>
      <c r="Q51" s="221"/>
      <c r="R51" s="221"/>
      <c r="S51" s="217" t="s">
        <v>577</v>
      </c>
      <c r="T51" s="221" t="s">
        <v>684</v>
      </c>
      <c r="U51" s="217">
        <v>331</v>
      </c>
      <c r="V51" s="217">
        <v>230</v>
      </c>
      <c r="W51" s="217">
        <v>38</v>
      </c>
      <c r="X51" s="217" t="s">
        <v>1618</v>
      </c>
      <c r="Y51" s="217">
        <v>215.48</v>
      </c>
      <c r="Z51" s="217">
        <v>16.600000000000001</v>
      </c>
      <c r="AA51" s="230">
        <v>28.23</v>
      </c>
      <c r="AB51" s="230"/>
      <c r="AC51" s="230">
        <v>24.38</v>
      </c>
      <c r="AD51" s="217"/>
      <c r="AE51" s="217">
        <v>8.48</v>
      </c>
      <c r="AF51" s="217">
        <v>1323</v>
      </c>
      <c r="AG51" s="217">
        <v>890</v>
      </c>
      <c r="AH51" s="217" t="s">
        <v>159</v>
      </c>
      <c r="AI51" s="217">
        <v>7.0000000000000007E-2</v>
      </c>
      <c r="AJ51" s="217">
        <v>0.01</v>
      </c>
      <c r="AK51" s="218" t="s">
        <v>157</v>
      </c>
      <c r="AL51" s="217">
        <v>286</v>
      </c>
      <c r="AM51" s="218">
        <v>2859.4</v>
      </c>
      <c r="AN51" s="218">
        <v>5080.2</v>
      </c>
      <c r="AO51" s="218">
        <v>2358.6999999999998</v>
      </c>
      <c r="AP51" s="218">
        <v>154.5</v>
      </c>
      <c r="AQ51" s="218">
        <v>375.92</v>
      </c>
      <c r="AR51" s="218">
        <v>32</v>
      </c>
      <c r="AS51" s="218">
        <v>4379</v>
      </c>
      <c r="AT51" s="218">
        <v>0.60099999999999998</v>
      </c>
      <c r="AU51" s="218"/>
      <c r="AV51" s="218"/>
      <c r="AW51" s="218"/>
      <c r="AX51" s="218"/>
      <c r="AY51" s="218"/>
      <c r="AZ51" s="220"/>
    </row>
    <row r="52" spans="1:256" ht="22.5" x14ac:dyDescent="0.2">
      <c r="A52" s="217">
        <f t="shared" si="0"/>
        <v>331</v>
      </c>
      <c r="B52" s="217">
        <f t="shared" si="1"/>
        <v>38</v>
      </c>
      <c r="C52" s="217" t="s">
        <v>341</v>
      </c>
      <c r="D52" s="221" t="s">
        <v>2219</v>
      </c>
      <c r="E52" s="217" t="s">
        <v>1087</v>
      </c>
      <c r="F52" s="217" t="s">
        <v>1615</v>
      </c>
      <c r="G52" s="221">
        <v>1998</v>
      </c>
      <c r="H52" s="217" t="s">
        <v>681</v>
      </c>
      <c r="I52" s="217" t="s">
        <v>2357</v>
      </c>
      <c r="J52" s="217">
        <v>13074501</v>
      </c>
      <c r="K52" s="230">
        <v>13074400</v>
      </c>
      <c r="L52" s="230" t="s">
        <v>2358</v>
      </c>
      <c r="M52" s="218"/>
      <c r="N52" s="223" t="s">
        <v>154</v>
      </c>
      <c r="O52" s="221" t="s">
        <v>683</v>
      </c>
      <c r="P52" s="221"/>
      <c r="Q52" s="221"/>
      <c r="R52" s="221"/>
      <c r="S52" s="217" t="s">
        <v>577</v>
      </c>
      <c r="T52" s="221" t="s">
        <v>684</v>
      </c>
      <c r="U52" s="217">
        <v>331</v>
      </c>
      <c r="V52" s="217">
        <v>230</v>
      </c>
      <c r="W52" s="217">
        <v>38</v>
      </c>
      <c r="X52" s="217" t="s">
        <v>1618</v>
      </c>
      <c r="Y52" s="217">
        <v>94.5</v>
      </c>
      <c r="Z52" s="217">
        <v>16.600000000000001</v>
      </c>
      <c r="AA52" s="230">
        <v>23.6</v>
      </c>
      <c r="AB52" s="217"/>
      <c r="AC52" s="230">
        <v>19.89</v>
      </c>
      <c r="AD52" s="217"/>
      <c r="AE52" s="217">
        <v>8.48</v>
      </c>
      <c r="AF52" s="217">
        <v>1323</v>
      </c>
      <c r="AG52" s="217">
        <v>890</v>
      </c>
      <c r="AH52" s="217" t="s">
        <v>159</v>
      </c>
      <c r="AI52" s="217">
        <v>0.05</v>
      </c>
      <c r="AJ52" s="217">
        <v>0.01</v>
      </c>
      <c r="AK52" s="218" t="s">
        <v>157</v>
      </c>
      <c r="AL52" s="217">
        <v>143</v>
      </c>
      <c r="AM52" s="218">
        <v>2661.7</v>
      </c>
      <c r="AN52" s="218">
        <v>4490.6000000000004</v>
      </c>
      <c r="AO52" s="218">
        <v>1995.8</v>
      </c>
      <c r="AP52" s="218">
        <v>154.5</v>
      </c>
      <c r="AQ52" s="218">
        <v>375.92</v>
      </c>
      <c r="AR52" s="218">
        <v>32</v>
      </c>
      <c r="AS52" s="218">
        <v>4379</v>
      </c>
      <c r="AT52" s="218">
        <v>0.60099999999999998</v>
      </c>
      <c r="AU52" s="218"/>
      <c r="AV52" s="218"/>
      <c r="AW52" s="218"/>
      <c r="AX52" s="218"/>
      <c r="AY52" s="218"/>
      <c r="AZ52" s="220"/>
    </row>
    <row r="53" spans="1:256" ht="22.5" x14ac:dyDescent="0.2">
      <c r="A53" s="217">
        <f t="shared" si="0"/>
        <v>331</v>
      </c>
      <c r="B53" s="217">
        <f t="shared" si="1"/>
        <v>38</v>
      </c>
      <c r="C53" s="217" t="s">
        <v>341</v>
      </c>
      <c r="D53" s="221" t="s">
        <v>2219</v>
      </c>
      <c r="E53" s="217" t="s">
        <v>321</v>
      </c>
      <c r="F53" s="222" t="s">
        <v>1615</v>
      </c>
      <c r="G53" s="221">
        <v>1999</v>
      </c>
      <c r="H53" s="217" t="s">
        <v>681</v>
      </c>
      <c r="I53" s="217">
        <v>14277602</v>
      </c>
      <c r="J53" s="217">
        <v>13074500</v>
      </c>
      <c r="K53" s="217">
        <v>13074400</v>
      </c>
      <c r="L53" s="217" t="s">
        <v>2107</v>
      </c>
      <c r="M53" s="218" t="s">
        <v>153</v>
      </c>
      <c r="N53" s="221" t="s">
        <v>154</v>
      </c>
      <c r="O53" s="221" t="s">
        <v>683</v>
      </c>
      <c r="P53" s="221"/>
      <c r="Q53" s="221"/>
      <c r="R53" s="221"/>
      <c r="S53" s="217" t="s">
        <v>577</v>
      </c>
      <c r="T53" s="221" t="s">
        <v>684</v>
      </c>
      <c r="U53" s="217">
        <v>331</v>
      </c>
      <c r="V53" s="217">
        <v>230</v>
      </c>
      <c r="W53" s="217">
        <v>38</v>
      </c>
      <c r="X53" s="217" t="s">
        <v>1618</v>
      </c>
      <c r="Y53" s="217">
        <v>58</v>
      </c>
      <c r="Z53" s="217">
        <v>16.600000000000001</v>
      </c>
      <c r="AA53" s="217">
        <v>23.6</v>
      </c>
      <c r="AB53" s="217"/>
      <c r="AC53" s="230">
        <v>18.93</v>
      </c>
      <c r="AD53" s="217"/>
      <c r="AE53" s="217">
        <v>8.48</v>
      </c>
      <c r="AF53" s="217">
        <v>1323</v>
      </c>
      <c r="AG53" s="217">
        <v>890</v>
      </c>
      <c r="AH53" s="217" t="s">
        <v>159</v>
      </c>
      <c r="AI53" s="217">
        <v>0.05</v>
      </c>
      <c r="AJ53" s="217">
        <v>0.01</v>
      </c>
      <c r="AK53" s="218" t="s">
        <v>157</v>
      </c>
      <c r="AL53" s="217">
        <v>143</v>
      </c>
      <c r="AM53" s="218">
        <v>2766.5</v>
      </c>
      <c r="AN53" s="218" t="s">
        <v>2108</v>
      </c>
      <c r="AO53" s="218">
        <v>2177.2399999999998</v>
      </c>
      <c r="AP53" s="218">
        <v>154.5</v>
      </c>
      <c r="AQ53" s="218">
        <v>375.92</v>
      </c>
      <c r="AR53" s="218">
        <v>774.7</v>
      </c>
      <c r="AS53" s="218" t="s">
        <v>634</v>
      </c>
      <c r="AT53" s="218">
        <v>0.60099999999999998</v>
      </c>
      <c r="AU53" s="218"/>
      <c r="AV53" s="218"/>
      <c r="AW53" s="218"/>
      <c r="AX53" s="218"/>
      <c r="AY53" s="218"/>
      <c r="AZ53" s="220"/>
    </row>
    <row r="54" spans="1:256" ht="22.5" x14ac:dyDescent="0.2">
      <c r="A54" s="217">
        <f t="shared" si="0"/>
        <v>331</v>
      </c>
      <c r="B54" s="217">
        <f t="shared" si="1"/>
        <v>38</v>
      </c>
      <c r="C54" s="217" t="s">
        <v>341</v>
      </c>
      <c r="D54" s="221" t="s">
        <v>2219</v>
      </c>
      <c r="E54" s="217" t="s">
        <v>2109</v>
      </c>
      <c r="F54" s="222" t="s">
        <v>1615</v>
      </c>
      <c r="G54" s="221">
        <v>1999</v>
      </c>
      <c r="H54" s="217" t="s">
        <v>1239</v>
      </c>
      <c r="I54" s="217">
        <v>13440502</v>
      </c>
      <c r="J54" s="217">
        <v>13440401</v>
      </c>
      <c r="K54" s="217">
        <v>13440300</v>
      </c>
      <c r="L54" s="217" t="s">
        <v>2110</v>
      </c>
      <c r="M54" s="218" t="s">
        <v>1617</v>
      </c>
      <c r="N54" s="221" t="s">
        <v>154</v>
      </c>
      <c r="O54" s="221" t="s">
        <v>683</v>
      </c>
      <c r="P54" s="221"/>
      <c r="Q54" s="221"/>
      <c r="R54" s="221"/>
      <c r="S54" s="217" t="s">
        <v>577</v>
      </c>
      <c r="T54" s="221" t="s">
        <v>684</v>
      </c>
      <c r="U54" s="217">
        <v>331</v>
      </c>
      <c r="V54" s="217">
        <v>230</v>
      </c>
      <c r="W54" s="217">
        <v>38</v>
      </c>
      <c r="X54" s="217" t="s">
        <v>1618</v>
      </c>
      <c r="Y54" s="217">
        <v>58.1</v>
      </c>
      <c r="Z54" s="249">
        <v>16.600000000000001</v>
      </c>
      <c r="AA54" s="217">
        <v>25.26</v>
      </c>
      <c r="AB54" s="217"/>
      <c r="AC54" s="230">
        <v>20.77</v>
      </c>
      <c r="AD54" s="217"/>
      <c r="AE54" s="249">
        <v>8.44</v>
      </c>
      <c r="AF54" s="249">
        <v>1334.8</v>
      </c>
      <c r="AG54" s="249">
        <v>890</v>
      </c>
      <c r="AH54" s="249" t="s">
        <v>159</v>
      </c>
      <c r="AI54" s="249">
        <v>0.05</v>
      </c>
      <c r="AJ54" s="249">
        <v>0.01</v>
      </c>
      <c r="AK54" s="250" t="s">
        <v>157</v>
      </c>
      <c r="AL54" s="249">
        <v>143</v>
      </c>
      <c r="AM54" s="218">
        <v>2722</v>
      </c>
      <c r="AN54" s="218">
        <v>3960</v>
      </c>
      <c r="AO54" s="218">
        <v>1665</v>
      </c>
      <c r="AP54" s="218">
        <v>145</v>
      </c>
      <c r="AQ54" s="218">
        <v>376</v>
      </c>
      <c r="AR54" s="218">
        <v>813</v>
      </c>
      <c r="AS54" s="218">
        <v>3480</v>
      </c>
      <c r="AT54" s="218">
        <v>0.61</v>
      </c>
      <c r="AU54" s="218"/>
      <c r="AV54" s="218"/>
      <c r="AW54" s="218"/>
      <c r="AX54" s="218"/>
      <c r="AY54" s="218"/>
      <c r="AZ54" s="220"/>
    </row>
    <row r="55" spans="1:256" ht="22.5" x14ac:dyDescent="0.2">
      <c r="A55" s="217">
        <f t="shared" si="0"/>
        <v>331</v>
      </c>
      <c r="B55" s="217">
        <f t="shared" si="1"/>
        <v>38</v>
      </c>
      <c r="C55" s="217" t="s">
        <v>341</v>
      </c>
      <c r="D55" s="221" t="s">
        <v>2219</v>
      </c>
      <c r="E55" s="217" t="s">
        <v>1942</v>
      </c>
      <c r="F55" s="222" t="s">
        <v>1615</v>
      </c>
      <c r="G55" s="221">
        <v>1999</v>
      </c>
      <c r="H55" s="217" t="s">
        <v>1239</v>
      </c>
      <c r="I55" s="217">
        <v>13440507</v>
      </c>
      <c r="J55" s="217">
        <v>13440401</v>
      </c>
      <c r="K55" s="217">
        <v>13440300</v>
      </c>
      <c r="L55" s="217" t="s">
        <v>1943</v>
      </c>
      <c r="M55" s="218" t="s">
        <v>1617</v>
      </c>
      <c r="N55" s="221" t="s">
        <v>154</v>
      </c>
      <c r="O55" s="221" t="s">
        <v>683</v>
      </c>
      <c r="P55" s="221"/>
      <c r="Q55" s="221"/>
      <c r="R55" s="221"/>
      <c r="S55" s="217" t="s">
        <v>577</v>
      </c>
      <c r="T55" s="221" t="s">
        <v>684</v>
      </c>
      <c r="U55" s="217">
        <v>331</v>
      </c>
      <c r="V55" s="217">
        <v>230</v>
      </c>
      <c r="W55" s="217">
        <v>38</v>
      </c>
      <c r="X55" s="217" t="s">
        <v>1618</v>
      </c>
      <c r="Y55" s="217">
        <v>58.1</v>
      </c>
      <c r="Z55" s="249">
        <v>16.600000000000001</v>
      </c>
      <c r="AA55" s="217">
        <v>25.26</v>
      </c>
      <c r="AB55" s="217"/>
      <c r="AC55" s="217">
        <v>21.7</v>
      </c>
      <c r="AD55" s="217"/>
      <c r="AE55" s="249">
        <v>8.44</v>
      </c>
      <c r="AF55" s="249">
        <v>1334.8</v>
      </c>
      <c r="AG55" s="249">
        <v>890</v>
      </c>
      <c r="AH55" s="249" t="s">
        <v>159</v>
      </c>
      <c r="AI55" s="249">
        <v>0.05</v>
      </c>
      <c r="AJ55" s="249">
        <v>0.01</v>
      </c>
      <c r="AK55" s="250" t="s">
        <v>157</v>
      </c>
      <c r="AL55" s="249">
        <v>143</v>
      </c>
      <c r="AM55" s="218">
        <v>2722</v>
      </c>
      <c r="AN55" s="218">
        <v>3960</v>
      </c>
      <c r="AO55" s="218">
        <v>1665</v>
      </c>
      <c r="AP55" s="218">
        <v>145</v>
      </c>
      <c r="AQ55" s="218">
        <v>376</v>
      </c>
      <c r="AR55" s="218">
        <v>813</v>
      </c>
      <c r="AS55" s="218">
        <v>3480</v>
      </c>
      <c r="AT55" s="218">
        <v>0.61</v>
      </c>
      <c r="AU55" s="218"/>
      <c r="AV55" s="218"/>
      <c r="AW55" s="218"/>
      <c r="AX55" s="218"/>
      <c r="AY55" s="218"/>
      <c r="AZ55" s="244"/>
    </row>
    <row r="56" spans="1:256" ht="33.75" x14ac:dyDescent="0.2">
      <c r="A56" s="217">
        <f t="shared" si="0"/>
        <v>331</v>
      </c>
      <c r="B56" s="217">
        <f t="shared" si="1"/>
        <v>38</v>
      </c>
      <c r="C56" s="217" t="s">
        <v>341</v>
      </c>
      <c r="D56" s="221" t="s">
        <v>2219</v>
      </c>
      <c r="E56" s="217" t="s">
        <v>395</v>
      </c>
      <c r="F56" s="222" t="s">
        <v>1615</v>
      </c>
      <c r="G56" s="221">
        <v>1998</v>
      </c>
      <c r="H56" s="217" t="s">
        <v>681</v>
      </c>
      <c r="I56" s="217">
        <v>14277507</v>
      </c>
      <c r="J56" s="217">
        <v>13079601</v>
      </c>
      <c r="K56" s="217">
        <v>13079500</v>
      </c>
      <c r="L56" s="217" t="s">
        <v>1945</v>
      </c>
      <c r="M56" s="218" t="s">
        <v>153</v>
      </c>
      <c r="N56" s="221" t="s">
        <v>154</v>
      </c>
      <c r="O56" s="221" t="s">
        <v>683</v>
      </c>
      <c r="P56" s="221"/>
      <c r="Q56" s="221"/>
      <c r="R56" s="221"/>
      <c r="S56" s="217" t="s">
        <v>577</v>
      </c>
      <c r="T56" s="221" t="s">
        <v>684</v>
      </c>
      <c r="U56" s="217">
        <v>331</v>
      </c>
      <c r="V56" s="217">
        <v>230</v>
      </c>
      <c r="W56" s="217">
        <v>38</v>
      </c>
      <c r="X56" s="217" t="s">
        <v>1618</v>
      </c>
      <c r="Y56" s="217">
        <v>58.3</v>
      </c>
      <c r="Z56" s="217">
        <v>16.600000000000001</v>
      </c>
      <c r="AA56" s="217">
        <v>28.23</v>
      </c>
      <c r="AB56" s="217"/>
      <c r="AC56" s="230">
        <v>25.38</v>
      </c>
      <c r="AD56" s="217"/>
      <c r="AE56" s="217">
        <v>8.48</v>
      </c>
      <c r="AF56" s="217">
        <v>1323</v>
      </c>
      <c r="AG56" s="217">
        <v>890</v>
      </c>
      <c r="AH56" s="217" t="s">
        <v>159</v>
      </c>
      <c r="AI56" s="217">
        <v>0.08</v>
      </c>
      <c r="AJ56" s="230">
        <v>0.01</v>
      </c>
      <c r="AK56" s="218" t="s">
        <v>157</v>
      </c>
      <c r="AL56" s="217">
        <v>286</v>
      </c>
      <c r="AM56" s="218">
        <v>3353.92</v>
      </c>
      <c r="AN56" s="218">
        <v>5080.32</v>
      </c>
      <c r="AO56" s="218">
        <v>2358.6999999999998</v>
      </c>
      <c r="AP56" s="218">
        <v>154.5</v>
      </c>
      <c r="AQ56" s="218">
        <v>375.92</v>
      </c>
      <c r="AR56" s="218">
        <v>787.4</v>
      </c>
      <c r="AS56" s="218" t="s">
        <v>637</v>
      </c>
      <c r="AT56" s="218">
        <v>0.60099999999999998</v>
      </c>
      <c r="AU56" s="218"/>
      <c r="AV56" s="218"/>
      <c r="AW56" s="218"/>
      <c r="AX56" s="218"/>
      <c r="AY56" s="218"/>
      <c r="AZ56" s="241"/>
      <c r="BA56" s="225"/>
      <c r="BB56" s="225"/>
      <c r="BC56" s="225"/>
      <c r="BD56" s="225"/>
      <c r="BE56" s="225"/>
      <c r="BF56" s="225"/>
      <c r="BG56" s="225"/>
      <c r="BH56" s="225"/>
      <c r="BI56" s="225"/>
      <c r="BJ56" s="225"/>
      <c r="BK56" s="225"/>
      <c r="BL56" s="225"/>
      <c r="BM56" s="225"/>
      <c r="BN56" s="225"/>
      <c r="BO56" s="225"/>
      <c r="BP56" s="225"/>
      <c r="BQ56" s="225"/>
      <c r="BR56" s="225"/>
      <c r="BS56" s="225"/>
      <c r="BT56" s="225"/>
      <c r="BU56" s="225"/>
      <c r="BV56" s="225"/>
      <c r="BW56" s="225"/>
      <c r="BX56" s="225"/>
      <c r="BY56" s="225"/>
      <c r="BZ56" s="225"/>
      <c r="CA56" s="225"/>
      <c r="CB56" s="225"/>
      <c r="CC56" s="225"/>
      <c r="CD56" s="225"/>
      <c r="CE56" s="225"/>
      <c r="CF56" s="225"/>
      <c r="CG56" s="225"/>
      <c r="CH56" s="225"/>
      <c r="CI56" s="225"/>
      <c r="CJ56" s="225"/>
      <c r="CK56" s="225"/>
      <c r="CL56" s="225"/>
      <c r="CM56" s="225"/>
      <c r="CN56" s="225"/>
      <c r="CO56" s="225"/>
      <c r="CP56" s="225"/>
      <c r="CQ56" s="225"/>
      <c r="CR56" s="225"/>
      <c r="CS56" s="225"/>
      <c r="CT56" s="225"/>
      <c r="CU56" s="225"/>
      <c r="CV56" s="225"/>
      <c r="CW56" s="225"/>
      <c r="CX56" s="225"/>
      <c r="CY56" s="225"/>
      <c r="CZ56" s="225"/>
      <c r="DA56" s="225"/>
      <c r="DB56" s="225"/>
      <c r="DC56" s="225"/>
      <c r="DD56" s="225"/>
      <c r="DE56" s="225"/>
      <c r="DF56" s="225"/>
      <c r="DG56" s="225"/>
      <c r="DH56" s="225"/>
      <c r="DI56" s="225"/>
      <c r="DJ56" s="225"/>
      <c r="DK56" s="225"/>
      <c r="DL56" s="225"/>
      <c r="DM56" s="225"/>
      <c r="DN56" s="225"/>
      <c r="DO56" s="225"/>
      <c r="DP56" s="225"/>
      <c r="DQ56" s="225"/>
      <c r="DR56" s="225"/>
      <c r="DS56" s="225"/>
      <c r="DT56" s="225"/>
      <c r="DU56" s="225"/>
      <c r="DV56" s="225"/>
      <c r="DW56" s="225"/>
      <c r="DX56" s="225"/>
      <c r="DY56" s="225"/>
      <c r="DZ56" s="225"/>
      <c r="EA56" s="225"/>
      <c r="EB56" s="225"/>
      <c r="EC56" s="225"/>
      <c r="ED56" s="225"/>
      <c r="EE56" s="225"/>
      <c r="EF56" s="225"/>
      <c r="EG56" s="225"/>
      <c r="EH56" s="225"/>
      <c r="EI56" s="225"/>
      <c r="EJ56" s="225"/>
      <c r="EK56" s="225"/>
      <c r="EL56" s="225"/>
      <c r="EM56" s="225"/>
      <c r="EN56" s="225"/>
      <c r="EO56" s="225"/>
      <c r="EP56" s="225"/>
      <c r="EQ56" s="225"/>
      <c r="ER56" s="225"/>
      <c r="ES56" s="225"/>
      <c r="ET56" s="225"/>
      <c r="EU56" s="225"/>
      <c r="EV56" s="225"/>
      <c r="EW56" s="225"/>
      <c r="EX56" s="225"/>
      <c r="EY56" s="225"/>
      <c r="EZ56" s="225"/>
      <c r="FA56" s="225"/>
      <c r="FB56" s="225"/>
      <c r="FC56" s="225"/>
      <c r="FD56" s="225"/>
      <c r="FE56" s="225"/>
      <c r="FF56" s="225"/>
      <c r="FG56" s="225"/>
      <c r="FH56" s="225"/>
      <c r="FI56" s="225"/>
      <c r="FJ56" s="225"/>
      <c r="FK56" s="225"/>
      <c r="FL56" s="225"/>
      <c r="FM56" s="225"/>
      <c r="FN56" s="225"/>
      <c r="FO56" s="225"/>
      <c r="FP56" s="225"/>
      <c r="FQ56" s="225"/>
      <c r="FR56" s="225"/>
      <c r="FS56" s="225"/>
      <c r="FT56" s="225"/>
      <c r="FU56" s="225"/>
      <c r="FV56" s="225"/>
      <c r="FW56" s="225"/>
      <c r="FX56" s="225"/>
      <c r="FY56" s="225"/>
      <c r="FZ56" s="225"/>
      <c r="GA56" s="225"/>
      <c r="GB56" s="225"/>
      <c r="GC56" s="225"/>
      <c r="GD56" s="225"/>
      <c r="GE56" s="225"/>
      <c r="GF56" s="225"/>
      <c r="GG56" s="225"/>
      <c r="GH56" s="225"/>
      <c r="GI56" s="225"/>
      <c r="GJ56" s="225"/>
      <c r="GK56" s="225"/>
      <c r="GL56" s="225"/>
      <c r="GM56" s="225"/>
      <c r="GN56" s="225"/>
      <c r="GO56" s="225"/>
      <c r="GP56" s="225"/>
      <c r="GQ56" s="225"/>
      <c r="GR56" s="225"/>
      <c r="GS56" s="225"/>
      <c r="GT56" s="225"/>
      <c r="GU56" s="225"/>
      <c r="GV56" s="225"/>
      <c r="GW56" s="225"/>
      <c r="GX56" s="225"/>
      <c r="GY56" s="225"/>
      <c r="GZ56" s="225"/>
      <c r="HA56" s="225"/>
      <c r="HB56" s="225"/>
      <c r="HC56" s="225"/>
      <c r="HD56" s="225"/>
      <c r="HE56" s="225"/>
      <c r="HF56" s="225"/>
      <c r="HG56" s="225"/>
      <c r="HH56" s="225"/>
      <c r="HI56" s="225"/>
      <c r="HJ56" s="225"/>
      <c r="HK56" s="225"/>
      <c r="HL56" s="225"/>
      <c r="HM56" s="225"/>
      <c r="HN56" s="225"/>
      <c r="HO56" s="225"/>
      <c r="HP56" s="225"/>
      <c r="HQ56" s="225"/>
      <c r="HR56" s="225"/>
      <c r="HS56" s="225"/>
      <c r="HT56" s="225"/>
      <c r="HU56" s="225"/>
      <c r="HV56" s="225"/>
      <c r="HW56" s="225"/>
      <c r="HX56" s="225"/>
      <c r="HY56" s="225"/>
      <c r="HZ56" s="225"/>
      <c r="IA56" s="225"/>
      <c r="IB56" s="225"/>
      <c r="IC56" s="225"/>
      <c r="ID56" s="225"/>
      <c r="IE56" s="225"/>
      <c r="IF56" s="225"/>
      <c r="IG56" s="225"/>
      <c r="IH56" s="225"/>
      <c r="II56" s="225"/>
      <c r="IJ56" s="225"/>
      <c r="IK56" s="225"/>
      <c r="IL56" s="225"/>
      <c r="IM56" s="225"/>
      <c r="IN56" s="225"/>
      <c r="IO56" s="225"/>
      <c r="IP56" s="225"/>
      <c r="IQ56" s="225"/>
      <c r="IR56" s="225"/>
      <c r="IS56" s="225"/>
      <c r="IT56" s="225"/>
      <c r="IU56" s="225"/>
      <c r="IV56" s="225"/>
    </row>
    <row r="57" spans="1:256" ht="33.75" x14ac:dyDescent="0.2">
      <c r="A57" s="217">
        <f t="shared" si="0"/>
        <v>347</v>
      </c>
      <c r="B57" s="217">
        <f t="shared" si="1"/>
        <v>38</v>
      </c>
      <c r="C57" s="217" t="s">
        <v>341</v>
      </c>
      <c r="D57" s="223" t="s">
        <v>679</v>
      </c>
      <c r="E57" s="222" t="s">
        <v>2214</v>
      </c>
      <c r="F57" s="217" t="s">
        <v>1615</v>
      </c>
      <c r="G57" s="223">
        <v>2005</v>
      </c>
      <c r="H57" s="223" t="s">
        <v>681</v>
      </c>
      <c r="I57" s="222">
        <v>14415700</v>
      </c>
      <c r="J57" s="222">
        <v>14415601</v>
      </c>
      <c r="K57" s="222">
        <v>14415501</v>
      </c>
      <c r="L57" s="222" t="s">
        <v>2215</v>
      </c>
      <c r="M57" s="222" t="s">
        <v>153</v>
      </c>
      <c r="N57" s="223" t="s">
        <v>154</v>
      </c>
      <c r="O57" s="223" t="s">
        <v>2087</v>
      </c>
      <c r="P57" s="223"/>
      <c r="Q57" s="223"/>
      <c r="R57" s="223"/>
      <c r="S57" s="223" t="s">
        <v>577</v>
      </c>
      <c r="T57" s="223" t="s">
        <v>1748</v>
      </c>
      <c r="U57" s="230">
        <v>347</v>
      </c>
      <c r="V57" s="223">
        <v>229</v>
      </c>
      <c r="W57" s="223">
        <v>38</v>
      </c>
      <c r="X57" s="223" t="s">
        <v>1618</v>
      </c>
      <c r="Y57" s="223"/>
      <c r="Z57" s="223">
        <v>16.600000000000001</v>
      </c>
      <c r="AA57" s="223">
        <v>27.800999999999998</v>
      </c>
      <c r="AB57" s="223">
        <v>56.37</v>
      </c>
      <c r="AC57" s="223">
        <v>23.364000000000001</v>
      </c>
      <c r="AD57" s="223">
        <v>48.8</v>
      </c>
      <c r="AE57" s="223">
        <v>10.6</v>
      </c>
      <c r="AF57" s="223">
        <v>1470.9</v>
      </c>
      <c r="AG57" s="223">
        <v>721</v>
      </c>
      <c r="AH57" s="230"/>
      <c r="AI57" s="223">
        <v>0.04</v>
      </c>
      <c r="AJ57" s="223">
        <v>8.9999999999999993E-3</v>
      </c>
      <c r="AK57" s="222" t="s">
        <v>686</v>
      </c>
      <c r="AL57" s="223">
        <v>143</v>
      </c>
      <c r="AM57" s="222"/>
      <c r="AN57" s="222"/>
      <c r="AO57" s="222"/>
      <c r="AP57" s="222"/>
      <c r="AQ57" s="222"/>
      <c r="AR57" s="222"/>
      <c r="AS57" s="222"/>
      <c r="AT57" s="222"/>
      <c r="AU57" s="222"/>
      <c r="AV57" s="222"/>
      <c r="AW57" s="222"/>
      <c r="AX57" s="222"/>
      <c r="AY57" s="222"/>
      <c r="AZ57" s="241"/>
    </row>
    <row r="58" spans="1:256" ht="33.75" x14ac:dyDescent="0.2">
      <c r="A58" s="217">
        <f t="shared" si="0"/>
        <v>347</v>
      </c>
      <c r="B58" s="217">
        <f t="shared" si="1"/>
        <v>38</v>
      </c>
      <c r="C58" s="217" t="s">
        <v>341</v>
      </c>
      <c r="D58" s="223" t="s">
        <v>679</v>
      </c>
      <c r="E58" s="221" t="s">
        <v>2861</v>
      </c>
      <c r="F58" s="222" t="s">
        <v>1615</v>
      </c>
      <c r="G58" s="218">
        <v>2005</v>
      </c>
      <c r="H58" s="221" t="s">
        <v>681</v>
      </c>
      <c r="I58" s="221">
        <v>15459601</v>
      </c>
      <c r="J58" s="221">
        <v>15459501</v>
      </c>
      <c r="K58" s="221">
        <v>15444301</v>
      </c>
      <c r="L58" s="221" t="s">
        <v>2862</v>
      </c>
      <c r="M58" s="218" t="s">
        <v>153</v>
      </c>
      <c r="N58" s="221" t="s">
        <v>154</v>
      </c>
      <c r="O58" s="221" t="s">
        <v>2087</v>
      </c>
      <c r="P58" s="221"/>
      <c r="Q58" s="221"/>
      <c r="R58" s="221"/>
      <c r="S58" s="221" t="s">
        <v>577</v>
      </c>
      <c r="T58" s="221" t="s">
        <v>684</v>
      </c>
      <c r="U58" s="221">
        <v>347</v>
      </c>
      <c r="V58" s="218">
        <v>229</v>
      </c>
      <c r="W58" s="221">
        <v>38</v>
      </c>
      <c r="X58" s="221" t="s">
        <v>2236</v>
      </c>
      <c r="Y58" s="221">
        <v>30</v>
      </c>
      <c r="Z58" s="222">
        <v>12</v>
      </c>
      <c r="AA58" s="223">
        <v>35.463999999999999</v>
      </c>
      <c r="AB58" s="223">
        <v>36.11</v>
      </c>
      <c r="AC58" s="223">
        <v>31.594100000000001</v>
      </c>
      <c r="AD58" s="223">
        <v>31.36</v>
      </c>
      <c r="AE58" s="218">
        <v>12</v>
      </c>
      <c r="AF58" s="222">
        <v>1308.3</v>
      </c>
      <c r="AG58" s="218">
        <v>721</v>
      </c>
      <c r="AH58" s="221" t="s">
        <v>159</v>
      </c>
      <c r="AI58" s="221">
        <v>0.04</v>
      </c>
      <c r="AJ58" s="223">
        <v>8.9999999999999993E-3</v>
      </c>
      <c r="AK58" s="221" t="s">
        <v>157</v>
      </c>
      <c r="AL58" s="222">
        <v>288</v>
      </c>
      <c r="AM58" s="218">
        <v>3360.9</v>
      </c>
      <c r="AN58" s="218">
        <v>5896</v>
      </c>
      <c r="AO58" s="218">
        <v>2381</v>
      </c>
      <c r="AP58" s="218">
        <v>161</v>
      </c>
      <c r="AQ58" s="218">
        <v>378</v>
      </c>
      <c r="AR58" s="218">
        <v>736</v>
      </c>
      <c r="AS58" s="218">
        <v>5080</v>
      </c>
      <c r="AT58" s="218">
        <v>0.62</v>
      </c>
      <c r="AU58" s="218"/>
      <c r="AV58" s="218">
        <v>565.73</v>
      </c>
      <c r="AW58" s="218"/>
      <c r="AX58" s="218">
        <v>580</v>
      </c>
      <c r="AY58" s="218" t="s">
        <v>2239</v>
      </c>
      <c r="AZ58" s="244"/>
    </row>
    <row r="59" spans="1:256" x14ac:dyDescent="0.2">
      <c r="D59" s="233"/>
      <c r="E59" s="233"/>
      <c r="F59" s="220"/>
      <c r="G59" s="220"/>
      <c r="H59" s="220"/>
      <c r="I59" s="220"/>
      <c r="J59" s="220"/>
      <c r="K59" s="220"/>
      <c r="L59" s="220"/>
      <c r="M59" s="220"/>
      <c r="N59" s="220"/>
      <c r="O59" s="220"/>
      <c r="P59" s="220"/>
      <c r="Q59" s="220"/>
      <c r="R59" s="220"/>
      <c r="S59" s="220"/>
      <c r="T59" s="251"/>
      <c r="U59" s="251"/>
      <c r="V59" s="220"/>
      <c r="W59" s="220"/>
      <c r="X59" s="220"/>
      <c r="Y59" s="220"/>
      <c r="Z59" s="251"/>
      <c r="AA59" s="220"/>
      <c r="AB59" s="220"/>
      <c r="AC59" s="252"/>
      <c r="AD59" s="252"/>
      <c r="AE59" s="251"/>
      <c r="AF59" s="251"/>
      <c r="AG59" s="220"/>
      <c r="AH59" s="220"/>
      <c r="AI59" s="220"/>
      <c r="AJ59" s="253"/>
      <c r="AK59" s="251"/>
      <c r="AL59" s="251"/>
      <c r="AM59" s="251"/>
      <c r="AN59" s="251"/>
      <c r="AO59" s="254"/>
      <c r="AP59" s="251"/>
      <c r="AQ59" s="251"/>
      <c r="AR59" s="251"/>
      <c r="AS59" s="255"/>
      <c r="AT59" s="220"/>
      <c r="AU59" s="220"/>
      <c r="AV59" s="220"/>
      <c r="AW59" s="220"/>
      <c r="AX59" s="256"/>
      <c r="AY59" s="220"/>
      <c r="AZ59" s="220"/>
    </row>
    <row r="60" spans="1:256" x14ac:dyDescent="0.2">
      <c r="D60" s="233"/>
      <c r="E60" s="233"/>
      <c r="F60" s="220"/>
      <c r="G60" s="220"/>
      <c r="H60" s="220"/>
      <c r="I60" s="220"/>
      <c r="J60" s="220"/>
      <c r="K60" s="220"/>
      <c r="L60" s="220"/>
      <c r="M60" s="220"/>
      <c r="N60" s="220"/>
      <c r="O60" s="220"/>
      <c r="P60" s="220"/>
      <c r="Q60" s="220"/>
      <c r="R60" s="220"/>
      <c r="S60" s="220"/>
      <c r="T60" s="251"/>
      <c r="U60" s="251"/>
      <c r="V60" s="220"/>
      <c r="W60" s="220"/>
      <c r="X60" s="220"/>
      <c r="Y60" s="220"/>
      <c r="Z60" s="251"/>
      <c r="AA60" s="220"/>
      <c r="AB60" s="220"/>
      <c r="AC60" s="252"/>
      <c r="AD60" s="252"/>
      <c r="AE60" s="251"/>
      <c r="AF60" s="251"/>
      <c r="AG60" s="220"/>
      <c r="AH60" s="220"/>
      <c r="AI60" s="220"/>
      <c r="AJ60" s="253"/>
      <c r="AK60" s="251"/>
      <c r="AL60" s="251"/>
      <c r="AM60" s="251"/>
      <c r="AN60" s="251"/>
      <c r="AO60" s="254"/>
      <c r="AP60" s="251"/>
      <c r="AQ60" s="251"/>
      <c r="AR60" s="251"/>
      <c r="AS60" s="255"/>
      <c r="AT60" s="220"/>
      <c r="AU60" s="220"/>
      <c r="AV60" s="220"/>
      <c r="AW60" s="220"/>
      <c r="AX60" s="256"/>
      <c r="AY60" s="220"/>
      <c r="AZ60" s="220"/>
    </row>
    <row r="61" spans="1:256" x14ac:dyDescent="0.2">
      <c r="D61" s="233"/>
      <c r="E61" s="233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51"/>
      <c r="U61" s="251"/>
      <c r="V61" s="220"/>
      <c r="W61" s="220"/>
      <c r="X61" s="220"/>
      <c r="Y61" s="220"/>
      <c r="Z61" s="251"/>
      <c r="AA61" s="220"/>
      <c r="AB61" s="220"/>
      <c r="AC61" s="252"/>
      <c r="AD61" s="252"/>
      <c r="AE61" s="251"/>
      <c r="AF61" s="251"/>
      <c r="AG61" s="220"/>
      <c r="AH61" s="220"/>
      <c r="AI61" s="220"/>
      <c r="AJ61" s="253"/>
      <c r="AK61" s="251"/>
      <c r="AL61" s="251"/>
      <c r="AM61" s="251"/>
      <c r="AN61" s="251"/>
      <c r="AO61" s="254"/>
      <c r="AP61" s="251"/>
      <c r="AQ61" s="251"/>
      <c r="AR61" s="251"/>
      <c r="AS61" s="255"/>
      <c r="AT61" s="220"/>
      <c r="AU61" s="220"/>
      <c r="AV61" s="220"/>
      <c r="AW61" s="220"/>
      <c r="AX61" s="256"/>
      <c r="AY61" s="220"/>
      <c r="AZ61" s="220"/>
    </row>
    <row r="62" spans="1:256" x14ac:dyDescent="0.2">
      <c r="D62" s="233"/>
      <c r="E62" s="233"/>
      <c r="F62" s="220"/>
      <c r="G62" s="220"/>
      <c r="H62" s="220"/>
      <c r="I62" s="220"/>
      <c r="J62" s="220"/>
      <c r="K62" s="220"/>
      <c r="L62" s="220"/>
      <c r="M62" s="220"/>
      <c r="N62" s="220"/>
      <c r="O62" s="220"/>
      <c r="P62" s="220"/>
      <c r="Q62" s="220"/>
      <c r="R62" s="220"/>
      <c r="S62" s="220"/>
      <c r="T62" s="251"/>
      <c r="U62" s="251"/>
      <c r="V62" s="220"/>
      <c r="W62" s="220"/>
      <c r="X62" s="220"/>
      <c r="Y62" s="220"/>
      <c r="Z62" s="251"/>
      <c r="AA62" s="220"/>
      <c r="AB62" s="220"/>
      <c r="AC62" s="252"/>
      <c r="AD62" s="252"/>
      <c r="AE62" s="251"/>
      <c r="AF62" s="251"/>
      <c r="AG62" s="220"/>
      <c r="AH62" s="220"/>
      <c r="AI62" s="220"/>
      <c r="AJ62" s="253"/>
      <c r="AK62" s="251"/>
      <c r="AL62" s="251"/>
      <c r="AM62" s="251"/>
      <c r="AN62" s="251"/>
      <c r="AO62" s="254"/>
      <c r="AP62" s="251"/>
      <c r="AQ62" s="251"/>
      <c r="AR62" s="251"/>
      <c r="AS62" s="255"/>
      <c r="AT62" s="220"/>
      <c r="AU62" s="220"/>
      <c r="AV62" s="220"/>
      <c r="AW62" s="220"/>
      <c r="AX62" s="256"/>
      <c r="AY62" s="220"/>
      <c r="AZ62" s="220"/>
    </row>
    <row r="63" spans="1:256" x14ac:dyDescent="0.2">
      <c r="Z63" s="251"/>
    </row>
    <row r="64" spans="1:256" x14ac:dyDescent="0.2">
      <c r="Z64" s="251"/>
    </row>
    <row r="65" spans="26:26" x14ac:dyDescent="0.2">
      <c r="Z65" s="251"/>
    </row>
    <row r="66" spans="26:26" x14ac:dyDescent="0.2">
      <c r="Z66" s="251"/>
    </row>
    <row r="67" spans="26:26" x14ac:dyDescent="0.2">
      <c r="Z67" s="251"/>
    </row>
    <row r="68" spans="26:26" x14ac:dyDescent="0.2">
      <c r="Z68" s="251"/>
    </row>
    <row r="69" spans="26:26" x14ac:dyDescent="0.2">
      <c r="Z69" s="251"/>
    </row>
    <row r="70" spans="26:26" x14ac:dyDescent="0.2">
      <c r="Z70" s="251"/>
    </row>
    <row r="71" spans="26:26" x14ac:dyDescent="0.2">
      <c r="Z71" s="251"/>
    </row>
    <row r="72" spans="26:26" x14ac:dyDescent="0.2">
      <c r="Z72" s="251"/>
    </row>
    <row r="73" spans="26:26" x14ac:dyDescent="0.2">
      <c r="Z73" s="251"/>
    </row>
    <row r="74" spans="26:26" x14ac:dyDescent="0.2">
      <c r="Z74" s="251"/>
    </row>
    <row r="75" spans="26:26" x14ac:dyDescent="0.2">
      <c r="Z75" s="251"/>
    </row>
    <row r="76" spans="26:26" x14ac:dyDescent="0.2">
      <c r="Z76" s="251"/>
    </row>
    <row r="77" spans="26:26" x14ac:dyDescent="0.2">
      <c r="Z77" s="251"/>
    </row>
    <row r="78" spans="26:26" x14ac:dyDescent="0.2">
      <c r="Z78" s="251"/>
    </row>
    <row r="79" spans="26:26" x14ac:dyDescent="0.2">
      <c r="Z79" s="251"/>
    </row>
    <row r="80" spans="26:26" x14ac:dyDescent="0.2">
      <c r="Z80" s="251"/>
    </row>
    <row r="81" spans="26:26" x14ac:dyDescent="0.2">
      <c r="Z81" s="251"/>
    </row>
    <row r="82" spans="26:26" x14ac:dyDescent="0.2">
      <c r="Z82" s="251"/>
    </row>
    <row r="83" spans="26:26" x14ac:dyDescent="0.2">
      <c r="Z83" s="251"/>
    </row>
    <row r="84" spans="26:26" x14ac:dyDescent="0.2">
      <c r="Z84" s="251"/>
    </row>
    <row r="85" spans="26:26" x14ac:dyDescent="0.2">
      <c r="Z85" s="251"/>
    </row>
    <row r="86" spans="26:26" x14ac:dyDescent="0.2">
      <c r="Z86" s="251"/>
    </row>
    <row r="87" spans="26:26" x14ac:dyDescent="0.2">
      <c r="Z87" s="251"/>
    </row>
    <row r="88" spans="26:26" x14ac:dyDescent="0.2">
      <c r="Z88" s="251"/>
    </row>
    <row r="89" spans="26:26" x14ac:dyDescent="0.2">
      <c r="Z89" s="251"/>
    </row>
    <row r="90" spans="26:26" x14ac:dyDescent="0.2">
      <c r="Z90" s="251"/>
    </row>
    <row r="91" spans="26:26" x14ac:dyDescent="0.2">
      <c r="Z91" s="251"/>
    </row>
    <row r="92" spans="26:26" x14ac:dyDescent="0.2">
      <c r="Z92" s="251"/>
    </row>
    <row r="93" spans="26:26" x14ac:dyDescent="0.2">
      <c r="Z93" s="251"/>
    </row>
    <row r="94" spans="26:26" x14ac:dyDescent="0.2">
      <c r="Z94" s="251"/>
    </row>
    <row r="95" spans="26:26" x14ac:dyDescent="0.2">
      <c r="Z95" s="251"/>
    </row>
    <row r="96" spans="26:26" x14ac:dyDescent="0.2">
      <c r="Z96" s="251"/>
    </row>
    <row r="97" spans="26:26" x14ac:dyDescent="0.2">
      <c r="Z97" s="251"/>
    </row>
    <row r="98" spans="26:26" x14ac:dyDescent="0.2">
      <c r="Z98" s="251"/>
    </row>
    <row r="99" spans="26:26" x14ac:dyDescent="0.2">
      <c r="Z99" s="251"/>
    </row>
    <row r="100" spans="26:26" x14ac:dyDescent="0.2">
      <c r="Z100" s="251"/>
    </row>
    <row r="101" spans="26:26" x14ac:dyDescent="0.2">
      <c r="Z101" s="251"/>
    </row>
    <row r="102" spans="26:26" x14ac:dyDescent="0.2">
      <c r="Z102" s="251"/>
    </row>
    <row r="103" spans="26:26" x14ac:dyDescent="0.2">
      <c r="Z103" s="251"/>
    </row>
    <row r="104" spans="26:26" x14ac:dyDescent="0.2">
      <c r="Z104" s="251"/>
    </row>
    <row r="105" spans="26:26" x14ac:dyDescent="0.2">
      <c r="Z105" s="251"/>
    </row>
    <row r="106" spans="26:26" x14ac:dyDescent="0.2">
      <c r="Z106" s="251"/>
    </row>
    <row r="107" spans="26:26" x14ac:dyDescent="0.2">
      <c r="Z107" s="251"/>
    </row>
    <row r="108" spans="26:26" x14ac:dyDescent="0.2">
      <c r="Z108" s="251"/>
    </row>
    <row r="109" spans="26:26" x14ac:dyDescent="0.2">
      <c r="Z109" s="251"/>
    </row>
    <row r="110" spans="26:26" x14ac:dyDescent="0.2">
      <c r="Z110" s="251"/>
    </row>
    <row r="111" spans="26:26" x14ac:dyDescent="0.2">
      <c r="Z111" s="251"/>
    </row>
    <row r="112" spans="26:26" x14ac:dyDescent="0.2">
      <c r="Z112" s="251"/>
    </row>
    <row r="113" spans="26:26" x14ac:dyDescent="0.2">
      <c r="Z113" s="251"/>
    </row>
    <row r="114" spans="26:26" x14ac:dyDescent="0.2">
      <c r="Z114" s="251"/>
    </row>
    <row r="115" spans="26:26" x14ac:dyDescent="0.2">
      <c r="Z115" s="251"/>
    </row>
    <row r="116" spans="26:26" x14ac:dyDescent="0.2">
      <c r="Z116" s="251"/>
    </row>
    <row r="117" spans="26:26" x14ac:dyDescent="0.2">
      <c r="Z117" s="251"/>
    </row>
    <row r="118" spans="26:26" x14ac:dyDescent="0.2">
      <c r="Z118" s="251"/>
    </row>
    <row r="119" spans="26:26" x14ac:dyDescent="0.2">
      <c r="Z119" s="251"/>
    </row>
    <row r="120" spans="26:26" x14ac:dyDescent="0.2">
      <c r="Z120" s="251"/>
    </row>
    <row r="121" spans="26:26" x14ac:dyDescent="0.2">
      <c r="Z121" s="251"/>
    </row>
    <row r="122" spans="26:26" x14ac:dyDescent="0.2">
      <c r="Z122" s="251"/>
    </row>
    <row r="123" spans="26:26" x14ac:dyDescent="0.2">
      <c r="Z123" s="251"/>
    </row>
    <row r="124" spans="26:26" x14ac:dyDescent="0.2">
      <c r="Z124" s="251"/>
    </row>
    <row r="125" spans="26:26" x14ac:dyDescent="0.2">
      <c r="Z125" s="251"/>
    </row>
    <row r="126" spans="26:26" x14ac:dyDescent="0.2">
      <c r="Z126" s="251"/>
    </row>
    <row r="127" spans="26:26" x14ac:dyDescent="0.2">
      <c r="Z127" s="251"/>
    </row>
    <row r="128" spans="26:26" x14ac:dyDescent="0.2">
      <c r="Z128" s="251"/>
    </row>
    <row r="129" spans="26:26" x14ac:dyDescent="0.2">
      <c r="Z129" s="251"/>
    </row>
    <row r="130" spans="26:26" x14ac:dyDescent="0.2">
      <c r="Z130" s="251"/>
    </row>
    <row r="131" spans="26:26" x14ac:dyDescent="0.2">
      <c r="Z131" s="251"/>
    </row>
    <row r="132" spans="26:26" x14ac:dyDescent="0.2">
      <c r="Z132" s="251"/>
    </row>
    <row r="133" spans="26:26" x14ac:dyDescent="0.2">
      <c r="Z133" s="251"/>
    </row>
    <row r="134" spans="26:26" x14ac:dyDescent="0.2">
      <c r="Z134" s="251"/>
    </row>
    <row r="135" spans="26:26" x14ac:dyDescent="0.2">
      <c r="Z135" s="251"/>
    </row>
    <row r="136" spans="26:26" x14ac:dyDescent="0.2">
      <c r="Z136" s="251"/>
    </row>
    <row r="137" spans="26:26" x14ac:dyDescent="0.2">
      <c r="Z137" s="251"/>
    </row>
    <row r="138" spans="26:26" x14ac:dyDescent="0.2">
      <c r="Z138" s="251"/>
    </row>
    <row r="139" spans="26:26" x14ac:dyDescent="0.2">
      <c r="Z139" s="251"/>
    </row>
    <row r="140" spans="26:26" x14ac:dyDescent="0.2">
      <c r="Z140" s="251"/>
    </row>
    <row r="141" spans="26:26" x14ac:dyDescent="0.2">
      <c r="Z141" s="251"/>
    </row>
    <row r="142" spans="26:26" x14ac:dyDescent="0.2">
      <c r="Z142" s="251"/>
    </row>
    <row r="143" spans="26:26" x14ac:dyDescent="0.2">
      <c r="Z143" s="251"/>
    </row>
    <row r="144" spans="26:26" x14ac:dyDescent="0.2">
      <c r="Z144" s="251"/>
    </row>
    <row r="145" spans="26:26" x14ac:dyDescent="0.2">
      <c r="Z145" s="251"/>
    </row>
    <row r="146" spans="26:26" x14ac:dyDescent="0.2">
      <c r="Z146" s="251"/>
    </row>
    <row r="147" spans="26:26" x14ac:dyDescent="0.2">
      <c r="Z147" s="251"/>
    </row>
    <row r="148" spans="26:26" x14ac:dyDescent="0.2">
      <c r="Z148" s="251"/>
    </row>
    <row r="149" spans="26:26" x14ac:dyDescent="0.2">
      <c r="Z149" s="251"/>
    </row>
    <row r="150" spans="26:26" x14ac:dyDescent="0.2">
      <c r="Z150" s="251"/>
    </row>
    <row r="151" spans="26:26" x14ac:dyDescent="0.2">
      <c r="Z151" s="251"/>
    </row>
    <row r="152" spans="26:26" x14ac:dyDescent="0.2">
      <c r="Z152" s="251"/>
    </row>
    <row r="153" spans="26:26" x14ac:dyDescent="0.2">
      <c r="Z153" s="251"/>
    </row>
    <row r="154" spans="26:26" x14ac:dyDescent="0.2">
      <c r="Z154" s="251"/>
    </row>
    <row r="155" spans="26:26" x14ac:dyDescent="0.2">
      <c r="Z155" s="251"/>
    </row>
    <row r="156" spans="26:26" x14ac:dyDescent="0.2">
      <c r="Z156" s="251"/>
    </row>
    <row r="157" spans="26:26" x14ac:dyDescent="0.2">
      <c r="Z157" s="251"/>
    </row>
    <row r="158" spans="26:26" x14ac:dyDescent="0.2">
      <c r="Z158" s="251"/>
    </row>
    <row r="159" spans="26:26" x14ac:dyDescent="0.2">
      <c r="Z159" s="251"/>
    </row>
    <row r="160" spans="26:26" x14ac:dyDescent="0.2">
      <c r="Z160" s="251"/>
    </row>
    <row r="161" spans="26:26" x14ac:dyDescent="0.2">
      <c r="Z161" s="251"/>
    </row>
    <row r="162" spans="26:26" x14ac:dyDescent="0.2">
      <c r="Z162" s="251"/>
    </row>
    <row r="163" spans="26:26" x14ac:dyDescent="0.2">
      <c r="Z163" s="251"/>
    </row>
    <row r="164" spans="26:26" x14ac:dyDescent="0.2">
      <c r="Z164" s="251"/>
    </row>
    <row r="165" spans="26:26" x14ac:dyDescent="0.2">
      <c r="Z165" s="251"/>
    </row>
    <row r="166" spans="26:26" x14ac:dyDescent="0.2">
      <c r="Z166" s="251"/>
    </row>
    <row r="167" spans="26:26" x14ac:dyDescent="0.2">
      <c r="Z167" s="251"/>
    </row>
    <row r="168" spans="26:26" x14ac:dyDescent="0.2">
      <c r="Z168" s="251"/>
    </row>
    <row r="169" spans="26:26" x14ac:dyDescent="0.2">
      <c r="Z169" s="251"/>
    </row>
    <row r="170" spans="26:26" x14ac:dyDescent="0.2">
      <c r="Z170" s="251"/>
    </row>
    <row r="171" spans="26:26" x14ac:dyDescent="0.2">
      <c r="Z171" s="251"/>
    </row>
    <row r="172" spans="26:26" x14ac:dyDescent="0.2">
      <c r="Z172" s="251"/>
    </row>
    <row r="173" spans="26:26" x14ac:dyDescent="0.2">
      <c r="Z173" s="251"/>
    </row>
    <row r="174" spans="26:26" x14ac:dyDescent="0.2">
      <c r="Z174" s="251"/>
    </row>
    <row r="175" spans="26:26" x14ac:dyDescent="0.2">
      <c r="Z175" s="251"/>
    </row>
    <row r="176" spans="26:26" x14ac:dyDescent="0.2">
      <c r="Z176" s="251"/>
    </row>
    <row r="177" spans="26:26" x14ac:dyDescent="0.2">
      <c r="Z177" s="251"/>
    </row>
    <row r="178" spans="26:26" x14ac:dyDescent="0.2">
      <c r="Z178" s="251"/>
    </row>
    <row r="179" spans="26:26" x14ac:dyDescent="0.2">
      <c r="Z179" s="251"/>
    </row>
    <row r="180" spans="26:26" x14ac:dyDescent="0.2">
      <c r="Z180" s="251"/>
    </row>
    <row r="181" spans="26:26" x14ac:dyDescent="0.2">
      <c r="Z181" s="251"/>
    </row>
    <row r="182" spans="26:26" x14ac:dyDescent="0.2">
      <c r="Z182" s="251"/>
    </row>
    <row r="183" spans="26:26" x14ac:dyDescent="0.2">
      <c r="Z183" s="251"/>
    </row>
    <row r="184" spans="26:26" x14ac:dyDescent="0.2">
      <c r="Z184" s="251"/>
    </row>
    <row r="185" spans="26:26" x14ac:dyDescent="0.2">
      <c r="Z185" s="251"/>
    </row>
    <row r="186" spans="26:26" x14ac:dyDescent="0.2">
      <c r="Z186" s="251"/>
    </row>
    <row r="187" spans="26:26" x14ac:dyDescent="0.2">
      <c r="Z187" s="251"/>
    </row>
    <row r="188" spans="26:26" x14ac:dyDescent="0.2">
      <c r="Z188" s="251"/>
    </row>
    <row r="189" spans="26:26" x14ac:dyDescent="0.2">
      <c r="Z189" s="251"/>
    </row>
    <row r="190" spans="26:26" x14ac:dyDescent="0.2">
      <c r="Z190" s="251"/>
    </row>
    <row r="191" spans="26:26" x14ac:dyDescent="0.2">
      <c r="Z191" s="251"/>
    </row>
    <row r="192" spans="26:26" x14ac:dyDescent="0.2">
      <c r="Z192" s="251"/>
    </row>
    <row r="193" spans="26:26" x14ac:dyDescent="0.2">
      <c r="Z193" s="251"/>
    </row>
    <row r="194" spans="26:26" x14ac:dyDescent="0.2">
      <c r="Z194" s="251"/>
    </row>
    <row r="195" spans="26:26" x14ac:dyDescent="0.2">
      <c r="Z195" s="251"/>
    </row>
    <row r="196" spans="26:26" x14ac:dyDescent="0.2">
      <c r="Z196" s="251"/>
    </row>
    <row r="197" spans="26:26" x14ac:dyDescent="0.2">
      <c r="Z197" s="251"/>
    </row>
    <row r="198" spans="26:26" x14ac:dyDescent="0.2">
      <c r="Z198" s="251"/>
    </row>
    <row r="199" spans="26:26" x14ac:dyDescent="0.2">
      <c r="Z199" s="251"/>
    </row>
    <row r="200" spans="26:26" x14ac:dyDescent="0.2">
      <c r="Z200" s="251"/>
    </row>
    <row r="201" spans="26:26" x14ac:dyDescent="0.2">
      <c r="Z201" s="251"/>
    </row>
    <row r="202" spans="26:26" x14ac:dyDescent="0.2">
      <c r="Z202" s="251"/>
    </row>
    <row r="203" spans="26:26" x14ac:dyDescent="0.2">
      <c r="Z203" s="251"/>
    </row>
    <row r="204" spans="26:26" x14ac:dyDescent="0.2">
      <c r="Z204" s="251"/>
    </row>
    <row r="205" spans="26:26" x14ac:dyDescent="0.2">
      <c r="Z205" s="251"/>
    </row>
    <row r="206" spans="26:26" x14ac:dyDescent="0.2">
      <c r="Z206" s="251"/>
    </row>
    <row r="207" spans="26:26" x14ac:dyDescent="0.2">
      <c r="Z207" s="251"/>
    </row>
    <row r="208" spans="26:26" x14ac:dyDescent="0.2">
      <c r="Z208" s="251"/>
    </row>
    <row r="209" spans="26:26" x14ac:dyDescent="0.2">
      <c r="Z209" s="251"/>
    </row>
    <row r="210" spans="26:26" x14ac:dyDescent="0.2">
      <c r="Z210" s="251"/>
    </row>
    <row r="211" spans="26:26" x14ac:dyDescent="0.2">
      <c r="Z211" s="251"/>
    </row>
    <row r="212" spans="26:26" x14ac:dyDescent="0.2">
      <c r="Z212" s="251"/>
    </row>
    <row r="213" spans="26:26" x14ac:dyDescent="0.2">
      <c r="Z213" s="251"/>
    </row>
    <row r="214" spans="26:26" x14ac:dyDescent="0.2">
      <c r="Z214" s="251"/>
    </row>
    <row r="215" spans="26:26" x14ac:dyDescent="0.2">
      <c r="Z215" s="251"/>
    </row>
    <row r="216" spans="26:26" x14ac:dyDescent="0.2">
      <c r="Z216" s="251"/>
    </row>
    <row r="217" spans="26:26" x14ac:dyDescent="0.2">
      <c r="Z217" s="251"/>
    </row>
    <row r="218" spans="26:26" x14ac:dyDescent="0.2">
      <c r="Z218" s="251"/>
    </row>
    <row r="219" spans="26:26" x14ac:dyDescent="0.2">
      <c r="Z219" s="251"/>
    </row>
    <row r="220" spans="26:26" x14ac:dyDescent="0.2">
      <c r="Z220" s="251"/>
    </row>
    <row r="221" spans="26:26" x14ac:dyDescent="0.2">
      <c r="Z221" s="251"/>
    </row>
    <row r="222" spans="26:26" x14ac:dyDescent="0.2">
      <c r="Z222" s="251"/>
    </row>
    <row r="223" spans="26:26" x14ac:dyDescent="0.2">
      <c r="Z223" s="251"/>
    </row>
    <row r="224" spans="26:26" x14ac:dyDescent="0.2">
      <c r="Z224" s="251"/>
    </row>
    <row r="225" spans="26:26" x14ac:dyDescent="0.2">
      <c r="Z225" s="251"/>
    </row>
    <row r="226" spans="26:26" x14ac:dyDescent="0.2">
      <c r="Z226" s="251"/>
    </row>
    <row r="227" spans="26:26" x14ac:dyDescent="0.2">
      <c r="Z227" s="251"/>
    </row>
    <row r="228" spans="26:26" x14ac:dyDescent="0.2">
      <c r="Z228" s="251"/>
    </row>
    <row r="229" spans="26:26" x14ac:dyDescent="0.2">
      <c r="Z229" s="251"/>
    </row>
    <row r="230" spans="26:26" x14ac:dyDescent="0.2">
      <c r="Z230" s="251"/>
    </row>
    <row r="231" spans="26:26" x14ac:dyDescent="0.2">
      <c r="Z231" s="251"/>
    </row>
    <row r="232" spans="26:26" x14ac:dyDescent="0.2">
      <c r="Z232" s="251"/>
    </row>
    <row r="233" spans="26:26" x14ac:dyDescent="0.2">
      <c r="Z233" s="251"/>
    </row>
    <row r="234" spans="26:26" x14ac:dyDescent="0.2">
      <c r="Z234" s="251"/>
    </row>
    <row r="235" spans="26:26" x14ac:dyDescent="0.2">
      <c r="Z235" s="251"/>
    </row>
    <row r="236" spans="26:26" x14ac:dyDescent="0.2">
      <c r="Z236" s="251"/>
    </row>
    <row r="237" spans="26:26" x14ac:dyDescent="0.2">
      <c r="Z237" s="251"/>
    </row>
    <row r="238" spans="26:26" x14ac:dyDescent="0.2">
      <c r="Z238" s="251"/>
    </row>
    <row r="239" spans="26:26" x14ac:dyDescent="0.2">
      <c r="Z239" s="251"/>
    </row>
    <row r="240" spans="26:26" x14ac:dyDescent="0.2">
      <c r="Z240" s="251"/>
    </row>
    <row r="241" spans="26:26" x14ac:dyDescent="0.2">
      <c r="Z241" s="251"/>
    </row>
    <row r="242" spans="26:26" x14ac:dyDescent="0.2">
      <c r="Z242" s="251"/>
    </row>
    <row r="243" spans="26:26" x14ac:dyDescent="0.2">
      <c r="Z243" s="251"/>
    </row>
    <row r="244" spans="26:26" x14ac:dyDescent="0.2">
      <c r="Z244" s="251"/>
    </row>
    <row r="245" spans="26:26" x14ac:dyDescent="0.2">
      <c r="Z245" s="251"/>
    </row>
    <row r="246" spans="26:26" x14ac:dyDescent="0.2">
      <c r="Z246" s="251"/>
    </row>
    <row r="247" spans="26:26" x14ac:dyDescent="0.2">
      <c r="Z247" s="251"/>
    </row>
    <row r="248" spans="26:26" x14ac:dyDescent="0.2">
      <c r="Z248" s="251"/>
    </row>
    <row r="249" spans="26:26" x14ac:dyDescent="0.2">
      <c r="Z249" s="251"/>
    </row>
    <row r="250" spans="26:26" x14ac:dyDescent="0.2">
      <c r="Z250" s="251"/>
    </row>
    <row r="251" spans="26:26" x14ac:dyDescent="0.2">
      <c r="Z251" s="251"/>
    </row>
    <row r="252" spans="26:26" x14ac:dyDescent="0.2">
      <c r="Z252" s="251"/>
    </row>
    <row r="253" spans="26:26" x14ac:dyDescent="0.2">
      <c r="Z253" s="251"/>
    </row>
    <row r="254" spans="26:26" x14ac:dyDescent="0.2">
      <c r="Z254" s="251"/>
    </row>
    <row r="255" spans="26:26" x14ac:dyDescent="0.2">
      <c r="Z255" s="251"/>
    </row>
    <row r="256" spans="26:26" x14ac:dyDescent="0.2">
      <c r="Z256" s="251"/>
    </row>
    <row r="257" spans="26:26" x14ac:dyDescent="0.2">
      <c r="Z257" s="251"/>
    </row>
    <row r="258" spans="26:26" x14ac:dyDescent="0.2">
      <c r="Z258" s="251"/>
    </row>
    <row r="259" spans="26:26" x14ac:dyDescent="0.2">
      <c r="Z259" s="251"/>
    </row>
    <row r="260" spans="26:26" x14ac:dyDescent="0.2">
      <c r="Z260" s="251"/>
    </row>
    <row r="261" spans="26:26" x14ac:dyDescent="0.2">
      <c r="Z261" s="251"/>
    </row>
    <row r="262" spans="26:26" x14ac:dyDescent="0.2">
      <c r="Z262" s="251"/>
    </row>
    <row r="263" spans="26:26" x14ac:dyDescent="0.2">
      <c r="Z263" s="251"/>
    </row>
    <row r="264" spans="26:26" x14ac:dyDescent="0.2">
      <c r="Z264" s="251"/>
    </row>
    <row r="265" spans="26:26" x14ac:dyDescent="0.2">
      <c r="Z265" s="251"/>
    </row>
    <row r="266" spans="26:26" x14ac:dyDescent="0.2">
      <c r="Z266" s="251"/>
    </row>
    <row r="267" spans="26:26" x14ac:dyDescent="0.2">
      <c r="Z267" s="251"/>
    </row>
    <row r="268" spans="26:26" x14ac:dyDescent="0.2">
      <c r="Z268" s="251"/>
    </row>
    <row r="269" spans="26:26" x14ac:dyDescent="0.2">
      <c r="Z269" s="251"/>
    </row>
    <row r="270" spans="26:26" x14ac:dyDescent="0.2">
      <c r="Z270" s="251"/>
    </row>
    <row r="271" spans="26:26" x14ac:dyDescent="0.2">
      <c r="Z271" s="251"/>
    </row>
    <row r="272" spans="26:26" x14ac:dyDescent="0.2">
      <c r="Z272" s="251"/>
    </row>
    <row r="273" spans="26:26" x14ac:dyDescent="0.2">
      <c r="Z273" s="251"/>
    </row>
    <row r="274" spans="26:26" x14ac:dyDescent="0.2">
      <c r="Z274" s="251"/>
    </row>
    <row r="275" spans="26:26" x14ac:dyDescent="0.2">
      <c r="Z275" s="251"/>
    </row>
    <row r="276" spans="26:26" x14ac:dyDescent="0.2">
      <c r="Z276" s="251"/>
    </row>
    <row r="277" spans="26:26" x14ac:dyDescent="0.2">
      <c r="Z277" s="251"/>
    </row>
    <row r="278" spans="26:26" x14ac:dyDescent="0.2">
      <c r="Z278" s="251"/>
    </row>
    <row r="279" spans="26:26" x14ac:dyDescent="0.2">
      <c r="Z279" s="251"/>
    </row>
    <row r="280" spans="26:26" x14ac:dyDescent="0.2">
      <c r="Z280" s="251"/>
    </row>
    <row r="281" spans="26:26" x14ac:dyDescent="0.2">
      <c r="Z281" s="251"/>
    </row>
    <row r="282" spans="26:26" x14ac:dyDescent="0.2">
      <c r="Z282" s="251"/>
    </row>
    <row r="283" spans="26:26" x14ac:dyDescent="0.2">
      <c r="Z283" s="251"/>
    </row>
    <row r="284" spans="26:26" x14ac:dyDescent="0.2">
      <c r="Z284" s="251"/>
    </row>
    <row r="285" spans="26:26" x14ac:dyDescent="0.2">
      <c r="Z285" s="251"/>
    </row>
    <row r="286" spans="26:26" x14ac:dyDescent="0.2">
      <c r="Z286" s="251"/>
    </row>
    <row r="287" spans="26:26" x14ac:dyDescent="0.2">
      <c r="Z287" s="251"/>
    </row>
    <row r="288" spans="26:26" x14ac:dyDescent="0.2">
      <c r="Z288" s="251"/>
    </row>
    <row r="289" spans="26:26" x14ac:dyDescent="0.2">
      <c r="Z289" s="251"/>
    </row>
    <row r="290" spans="26:26" x14ac:dyDescent="0.2">
      <c r="Z290" s="251"/>
    </row>
    <row r="291" spans="26:26" x14ac:dyDescent="0.2">
      <c r="Z291" s="251"/>
    </row>
    <row r="292" spans="26:26" x14ac:dyDescent="0.2">
      <c r="Z292" s="251"/>
    </row>
    <row r="293" spans="26:26" x14ac:dyDescent="0.2">
      <c r="Z293" s="251"/>
    </row>
    <row r="294" spans="26:26" x14ac:dyDescent="0.2">
      <c r="Z294" s="251"/>
    </row>
    <row r="295" spans="26:26" x14ac:dyDescent="0.2">
      <c r="Z295" s="251"/>
    </row>
    <row r="296" spans="26:26" x14ac:dyDescent="0.2">
      <c r="Z296" s="251"/>
    </row>
    <row r="297" spans="26:26" x14ac:dyDescent="0.2">
      <c r="Z297" s="251"/>
    </row>
    <row r="298" spans="26:26" x14ac:dyDescent="0.2">
      <c r="Z298" s="251"/>
    </row>
    <row r="299" spans="26:26" x14ac:dyDescent="0.2">
      <c r="Z299" s="251"/>
    </row>
    <row r="300" spans="26:26" x14ac:dyDescent="0.2">
      <c r="Z300" s="251"/>
    </row>
    <row r="301" spans="26:26" x14ac:dyDescent="0.2">
      <c r="Z301" s="251"/>
    </row>
    <row r="302" spans="26:26" x14ac:dyDescent="0.2">
      <c r="Z302" s="251"/>
    </row>
    <row r="303" spans="26:26" x14ac:dyDescent="0.2">
      <c r="Z303" s="251"/>
    </row>
    <row r="304" spans="26:26" x14ac:dyDescent="0.2">
      <c r="Z304" s="251"/>
    </row>
    <row r="305" spans="26:26" x14ac:dyDescent="0.2">
      <c r="Z305" s="251"/>
    </row>
    <row r="306" spans="26:26" x14ac:dyDescent="0.2">
      <c r="Z306" s="251"/>
    </row>
    <row r="307" spans="26:26" x14ac:dyDescent="0.2">
      <c r="Z307" s="251"/>
    </row>
    <row r="308" spans="26:26" x14ac:dyDescent="0.2">
      <c r="Z308" s="251"/>
    </row>
    <row r="309" spans="26:26" x14ac:dyDescent="0.2">
      <c r="Z309" s="251"/>
    </row>
    <row r="310" spans="26:26" x14ac:dyDescent="0.2">
      <c r="Z310" s="251"/>
    </row>
    <row r="311" spans="26:26" x14ac:dyDescent="0.2">
      <c r="Z311" s="251"/>
    </row>
    <row r="312" spans="26:26" x14ac:dyDescent="0.2">
      <c r="Z312" s="251"/>
    </row>
    <row r="313" spans="26:26" x14ac:dyDescent="0.2">
      <c r="Z313" s="251"/>
    </row>
    <row r="314" spans="26:26" x14ac:dyDescent="0.2">
      <c r="Z314" s="251"/>
    </row>
    <row r="315" spans="26:26" x14ac:dyDescent="0.2">
      <c r="Z315" s="251"/>
    </row>
    <row r="316" spans="26:26" x14ac:dyDescent="0.2">
      <c r="Z316" s="251"/>
    </row>
    <row r="317" spans="26:26" x14ac:dyDescent="0.2">
      <c r="Z317" s="251"/>
    </row>
    <row r="318" spans="26:26" x14ac:dyDescent="0.2">
      <c r="Z318" s="251"/>
    </row>
    <row r="319" spans="26:26" x14ac:dyDescent="0.2">
      <c r="Z319" s="251"/>
    </row>
    <row r="320" spans="26:26" x14ac:dyDescent="0.2">
      <c r="Z320" s="251"/>
    </row>
    <row r="321" spans="26:26" x14ac:dyDescent="0.2">
      <c r="Z321" s="251"/>
    </row>
    <row r="322" spans="26:26" x14ac:dyDescent="0.2">
      <c r="Z322" s="251"/>
    </row>
    <row r="323" spans="26:26" x14ac:dyDescent="0.2">
      <c r="Z323" s="251"/>
    </row>
    <row r="324" spans="26:26" x14ac:dyDescent="0.2">
      <c r="Z324" s="251"/>
    </row>
    <row r="325" spans="26:26" x14ac:dyDescent="0.2">
      <c r="Z325" s="251"/>
    </row>
    <row r="326" spans="26:26" x14ac:dyDescent="0.2">
      <c r="Z326" s="251"/>
    </row>
    <row r="327" spans="26:26" x14ac:dyDescent="0.2">
      <c r="Z327" s="251"/>
    </row>
    <row r="328" spans="26:26" x14ac:dyDescent="0.2">
      <c r="Z328" s="251"/>
    </row>
    <row r="329" spans="26:26" x14ac:dyDescent="0.2">
      <c r="Z329" s="251"/>
    </row>
    <row r="330" spans="26:26" x14ac:dyDescent="0.2">
      <c r="Z330" s="251"/>
    </row>
    <row r="331" spans="26:26" x14ac:dyDescent="0.2">
      <c r="Z331" s="251"/>
    </row>
    <row r="332" spans="26:26" x14ac:dyDescent="0.2">
      <c r="Z332" s="251"/>
    </row>
    <row r="333" spans="26:26" x14ac:dyDescent="0.2">
      <c r="Z333" s="251"/>
    </row>
    <row r="334" spans="26:26" x14ac:dyDescent="0.2">
      <c r="Z334" s="251"/>
    </row>
    <row r="335" spans="26:26" x14ac:dyDescent="0.2">
      <c r="Z335" s="251"/>
    </row>
    <row r="336" spans="26:26" x14ac:dyDescent="0.2">
      <c r="Z336" s="251"/>
    </row>
    <row r="337" spans="26:26" x14ac:dyDescent="0.2">
      <c r="Z337" s="251"/>
    </row>
    <row r="338" spans="26:26" x14ac:dyDescent="0.2">
      <c r="Z338" s="251"/>
    </row>
    <row r="339" spans="26:26" x14ac:dyDescent="0.2">
      <c r="Z339" s="251"/>
    </row>
    <row r="340" spans="26:26" x14ac:dyDescent="0.2">
      <c r="Z340" s="251"/>
    </row>
    <row r="341" spans="26:26" x14ac:dyDescent="0.2">
      <c r="Z341" s="251"/>
    </row>
    <row r="342" spans="26:26" x14ac:dyDescent="0.2">
      <c r="Z342" s="251"/>
    </row>
    <row r="343" spans="26:26" x14ac:dyDescent="0.2">
      <c r="Z343" s="251"/>
    </row>
    <row r="344" spans="26:26" x14ac:dyDescent="0.2">
      <c r="Z344" s="251"/>
    </row>
    <row r="345" spans="26:26" x14ac:dyDescent="0.2">
      <c r="Z345" s="251"/>
    </row>
    <row r="346" spans="26:26" x14ac:dyDescent="0.2">
      <c r="Z346" s="251"/>
    </row>
    <row r="347" spans="26:26" x14ac:dyDescent="0.2">
      <c r="Z347" s="251"/>
    </row>
    <row r="348" spans="26:26" x14ac:dyDescent="0.2">
      <c r="Z348" s="251"/>
    </row>
    <row r="349" spans="26:26" x14ac:dyDescent="0.2">
      <c r="Z349" s="251"/>
    </row>
    <row r="350" spans="26:26" x14ac:dyDescent="0.2">
      <c r="Z350" s="251"/>
    </row>
    <row r="351" spans="26:26" x14ac:dyDescent="0.2">
      <c r="Z351" s="251"/>
    </row>
    <row r="352" spans="26:26" x14ac:dyDescent="0.2">
      <c r="Z352" s="251"/>
    </row>
    <row r="353" spans="26:26" x14ac:dyDescent="0.2">
      <c r="Z353" s="251"/>
    </row>
    <row r="354" spans="26:26" x14ac:dyDescent="0.2">
      <c r="Z354" s="251"/>
    </row>
    <row r="355" spans="26:26" x14ac:dyDescent="0.2">
      <c r="Z355" s="251"/>
    </row>
    <row r="356" spans="26:26" x14ac:dyDescent="0.2">
      <c r="Z356" s="251"/>
    </row>
    <row r="357" spans="26:26" x14ac:dyDescent="0.2">
      <c r="Z357" s="251"/>
    </row>
    <row r="358" spans="26:26" x14ac:dyDescent="0.2">
      <c r="Z358" s="251"/>
    </row>
    <row r="359" spans="26:26" x14ac:dyDescent="0.2">
      <c r="Z359" s="251"/>
    </row>
    <row r="360" spans="26:26" x14ac:dyDescent="0.2">
      <c r="Z360" s="251"/>
    </row>
    <row r="361" spans="26:26" x14ac:dyDescent="0.2">
      <c r="Z361" s="251"/>
    </row>
    <row r="362" spans="26:26" x14ac:dyDescent="0.2">
      <c r="Z362" s="251"/>
    </row>
    <row r="363" spans="26:26" x14ac:dyDescent="0.2">
      <c r="Z363" s="251"/>
    </row>
    <row r="364" spans="26:26" x14ac:dyDescent="0.2">
      <c r="Z364" s="251"/>
    </row>
    <row r="365" spans="26:26" x14ac:dyDescent="0.2">
      <c r="Z365" s="251"/>
    </row>
    <row r="366" spans="26:26" x14ac:dyDescent="0.2">
      <c r="Z366" s="251"/>
    </row>
    <row r="367" spans="26:26" x14ac:dyDescent="0.2">
      <c r="Z367" s="251"/>
    </row>
    <row r="368" spans="26:26" x14ac:dyDescent="0.2">
      <c r="Z368" s="251"/>
    </row>
    <row r="369" spans="26:26" x14ac:dyDescent="0.2">
      <c r="Z369" s="251"/>
    </row>
    <row r="370" spans="26:26" x14ac:dyDescent="0.2">
      <c r="Z370" s="251"/>
    </row>
    <row r="371" spans="26:26" x14ac:dyDescent="0.2">
      <c r="Z371" s="251"/>
    </row>
    <row r="372" spans="26:26" x14ac:dyDescent="0.2">
      <c r="Z372" s="251"/>
    </row>
    <row r="373" spans="26:26" x14ac:dyDescent="0.2">
      <c r="Z373" s="251"/>
    </row>
    <row r="374" spans="26:26" x14ac:dyDescent="0.2">
      <c r="Z374" s="251"/>
    </row>
    <row r="375" spans="26:26" x14ac:dyDescent="0.2">
      <c r="Z375" s="251"/>
    </row>
    <row r="376" spans="26:26" x14ac:dyDescent="0.2">
      <c r="Z376" s="251"/>
    </row>
    <row r="377" spans="26:26" x14ac:dyDescent="0.2">
      <c r="Z377" s="251"/>
    </row>
    <row r="378" spans="26:26" x14ac:dyDescent="0.2">
      <c r="Z378" s="251"/>
    </row>
    <row r="379" spans="26:26" x14ac:dyDescent="0.2">
      <c r="Z379" s="251"/>
    </row>
    <row r="380" spans="26:26" x14ac:dyDescent="0.2">
      <c r="Z380" s="251"/>
    </row>
    <row r="381" spans="26:26" x14ac:dyDescent="0.2">
      <c r="Z381" s="251"/>
    </row>
    <row r="382" spans="26:26" x14ac:dyDescent="0.2">
      <c r="Z382" s="251"/>
    </row>
    <row r="383" spans="26:26" x14ac:dyDescent="0.2">
      <c r="Z383" s="251"/>
    </row>
    <row r="384" spans="26:26" x14ac:dyDescent="0.2">
      <c r="Z384" s="251"/>
    </row>
    <row r="385" spans="26:26" x14ac:dyDescent="0.2">
      <c r="Z385" s="251"/>
    </row>
    <row r="386" spans="26:26" x14ac:dyDescent="0.2">
      <c r="Z386" s="251"/>
    </row>
    <row r="387" spans="26:26" x14ac:dyDescent="0.2">
      <c r="Z387" s="251"/>
    </row>
    <row r="388" spans="26:26" x14ac:dyDescent="0.2">
      <c r="Z388" s="251"/>
    </row>
    <row r="389" spans="26:26" x14ac:dyDescent="0.2">
      <c r="Z389" s="251"/>
    </row>
    <row r="390" spans="26:26" x14ac:dyDescent="0.2">
      <c r="Z390" s="251"/>
    </row>
    <row r="391" spans="26:26" x14ac:dyDescent="0.2">
      <c r="Z391" s="251"/>
    </row>
    <row r="392" spans="26:26" x14ac:dyDescent="0.2">
      <c r="Z392" s="251"/>
    </row>
    <row r="393" spans="26:26" x14ac:dyDescent="0.2">
      <c r="Z393" s="251"/>
    </row>
    <row r="394" spans="26:26" x14ac:dyDescent="0.2">
      <c r="Z394" s="251"/>
    </row>
    <row r="395" spans="26:26" x14ac:dyDescent="0.2">
      <c r="Z395" s="251"/>
    </row>
    <row r="396" spans="26:26" x14ac:dyDescent="0.2">
      <c r="Z396" s="251"/>
    </row>
    <row r="397" spans="26:26" x14ac:dyDescent="0.2">
      <c r="Z397" s="251"/>
    </row>
    <row r="398" spans="26:26" x14ac:dyDescent="0.2">
      <c r="Z398" s="251"/>
    </row>
    <row r="399" spans="26:26" x14ac:dyDescent="0.2">
      <c r="Z399" s="251"/>
    </row>
    <row r="400" spans="26:26" x14ac:dyDescent="0.2">
      <c r="Z400" s="251"/>
    </row>
    <row r="401" spans="26:26" x14ac:dyDescent="0.2">
      <c r="Z401" s="251"/>
    </row>
    <row r="402" spans="26:26" x14ac:dyDescent="0.2">
      <c r="Z402" s="251"/>
    </row>
    <row r="403" spans="26:26" x14ac:dyDescent="0.2">
      <c r="Z403" s="251"/>
    </row>
    <row r="404" spans="26:26" x14ac:dyDescent="0.2">
      <c r="Z404" s="251"/>
    </row>
    <row r="405" spans="26:26" x14ac:dyDescent="0.2">
      <c r="Z405" s="251"/>
    </row>
    <row r="406" spans="26:26" x14ac:dyDescent="0.2">
      <c r="Z406" s="251"/>
    </row>
    <row r="407" spans="26:26" x14ac:dyDescent="0.2">
      <c r="Z407" s="251"/>
    </row>
    <row r="408" spans="26:26" x14ac:dyDescent="0.2">
      <c r="Z408" s="251"/>
    </row>
    <row r="409" spans="26:26" x14ac:dyDescent="0.2">
      <c r="Z409" s="251"/>
    </row>
    <row r="410" spans="26:26" x14ac:dyDescent="0.2">
      <c r="Z410" s="251"/>
    </row>
    <row r="411" spans="26:26" x14ac:dyDescent="0.2">
      <c r="Z411" s="251"/>
    </row>
    <row r="412" spans="26:26" x14ac:dyDescent="0.2">
      <c r="Z412" s="251"/>
    </row>
    <row r="413" spans="26:26" x14ac:dyDescent="0.2">
      <c r="Z413" s="251"/>
    </row>
    <row r="414" spans="26:26" x14ac:dyDescent="0.2">
      <c r="Z414" s="251"/>
    </row>
    <row r="415" spans="26:26" x14ac:dyDescent="0.2">
      <c r="Z415" s="251"/>
    </row>
    <row r="416" spans="26:26" x14ac:dyDescent="0.2">
      <c r="Z416" s="251"/>
    </row>
    <row r="417" spans="26:26" x14ac:dyDescent="0.2">
      <c r="Z417" s="251"/>
    </row>
    <row r="418" spans="26:26" x14ac:dyDescent="0.2">
      <c r="Z418" s="251"/>
    </row>
    <row r="419" spans="26:26" x14ac:dyDescent="0.2">
      <c r="Z419" s="251"/>
    </row>
    <row r="420" spans="26:26" x14ac:dyDescent="0.2">
      <c r="Z420" s="251"/>
    </row>
    <row r="421" spans="26:26" x14ac:dyDescent="0.2">
      <c r="Z421" s="251"/>
    </row>
    <row r="422" spans="26:26" x14ac:dyDescent="0.2">
      <c r="Z422" s="251"/>
    </row>
    <row r="423" spans="26:26" x14ac:dyDescent="0.2">
      <c r="Z423" s="251"/>
    </row>
    <row r="424" spans="26:26" x14ac:dyDescent="0.2">
      <c r="Z424" s="251"/>
    </row>
    <row r="425" spans="26:26" x14ac:dyDescent="0.2">
      <c r="Z425" s="251"/>
    </row>
    <row r="426" spans="26:26" x14ac:dyDescent="0.2">
      <c r="Z426" s="251"/>
    </row>
    <row r="427" spans="26:26" x14ac:dyDescent="0.2">
      <c r="Z427" s="251"/>
    </row>
    <row r="428" spans="26:26" x14ac:dyDescent="0.2">
      <c r="Z428" s="251"/>
    </row>
    <row r="429" spans="26:26" x14ac:dyDescent="0.2">
      <c r="Z429" s="251"/>
    </row>
    <row r="430" spans="26:26" x14ac:dyDescent="0.2">
      <c r="Z430" s="251"/>
    </row>
    <row r="431" spans="26:26" x14ac:dyDescent="0.2">
      <c r="Z431" s="251"/>
    </row>
    <row r="432" spans="26:26" x14ac:dyDescent="0.2">
      <c r="Z432" s="251"/>
    </row>
    <row r="433" spans="26:26" x14ac:dyDescent="0.2">
      <c r="Z433" s="251"/>
    </row>
    <row r="434" spans="26:26" x14ac:dyDescent="0.2">
      <c r="Z434" s="251"/>
    </row>
    <row r="435" spans="26:26" x14ac:dyDescent="0.2">
      <c r="Z435" s="251"/>
    </row>
    <row r="436" spans="26:26" x14ac:dyDescent="0.2">
      <c r="Z436" s="251"/>
    </row>
    <row r="437" spans="26:26" x14ac:dyDescent="0.2">
      <c r="Z437" s="251"/>
    </row>
    <row r="438" spans="26:26" x14ac:dyDescent="0.2">
      <c r="Z438" s="251"/>
    </row>
    <row r="439" spans="26:26" x14ac:dyDescent="0.2">
      <c r="Z439" s="251"/>
    </row>
    <row r="440" spans="26:26" x14ac:dyDescent="0.2">
      <c r="Z440" s="251"/>
    </row>
    <row r="441" spans="26:26" x14ac:dyDescent="0.2">
      <c r="Z441" s="251"/>
    </row>
    <row r="442" spans="26:26" x14ac:dyDescent="0.2">
      <c r="Z442" s="251"/>
    </row>
    <row r="443" spans="26:26" x14ac:dyDescent="0.2">
      <c r="Z443" s="251"/>
    </row>
    <row r="444" spans="26:26" x14ac:dyDescent="0.2">
      <c r="Z444" s="251"/>
    </row>
    <row r="445" spans="26:26" x14ac:dyDescent="0.2">
      <c r="Z445" s="251"/>
    </row>
    <row r="446" spans="26:26" x14ac:dyDescent="0.2">
      <c r="Z446" s="251"/>
    </row>
    <row r="447" spans="26:26" x14ac:dyDescent="0.2">
      <c r="Z447" s="251"/>
    </row>
    <row r="448" spans="26:26" x14ac:dyDescent="0.2">
      <c r="Z448" s="251"/>
    </row>
    <row r="449" spans="26:26" x14ac:dyDescent="0.2">
      <c r="Z449" s="251"/>
    </row>
    <row r="450" spans="26:26" x14ac:dyDescent="0.2">
      <c r="Z450" s="251"/>
    </row>
    <row r="451" spans="26:26" x14ac:dyDescent="0.2">
      <c r="Z451" s="251"/>
    </row>
    <row r="452" spans="26:26" x14ac:dyDescent="0.2">
      <c r="Z452" s="251"/>
    </row>
    <row r="453" spans="26:26" x14ac:dyDescent="0.2">
      <c r="Z453" s="251"/>
    </row>
    <row r="454" spans="26:26" x14ac:dyDescent="0.2">
      <c r="Z454" s="251"/>
    </row>
    <row r="455" spans="26:26" x14ac:dyDescent="0.2">
      <c r="Z455" s="251"/>
    </row>
    <row r="456" spans="26:26" x14ac:dyDescent="0.2">
      <c r="Z456" s="251"/>
    </row>
    <row r="457" spans="26:26" x14ac:dyDescent="0.2">
      <c r="Z457" s="251"/>
    </row>
    <row r="458" spans="26:26" x14ac:dyDescent="0.2">
      <c r="Z458" s="251"/>
    </row>
    <row r="459" spans="26:26" x14ac:dyDescent="0.2">
      <c r="Z459" s="251"/>
    </row>
    <row r="460" spans="26:26" x14ac:dyDescent="0.2">
      <c r="Z460" s="251"/>
    </row>
    <row r="461" spans="26:26" x14ac:dyDescent="0.2">
      <c r="Z461" s="251"/>
    </row>
    <row r="462" spans="26:26" x14ac:dyDescent="0.2">
      <c r="Z462" s="251"/>
    </row>
    <row r="463" spans="26:26" x14ac:dyDescent="0.2">
      <c r="Z463" s="251"/>
    </row>
    <row r="464" spans="26:26" x14ac:dyDescent="0.2">
      <c r="Z464" s="251"/>
    </row>
    <row r="465" spans="26:26" x14ac:dyDescent="0.2">
      <c r="Z465" s="251"/>
    </row>
    <row r="466" spans="26:26" x14ac:dyDescent="0.2">
      <c r="Z466" s="251"/>
    </row>
    <row r="467" spans="26:26" x14ac:dyDescent="0.2">
      <c r="Z467" s="251"/>
    </row>
    <row r="468" spans="26:26" x14ac:dyDescent="0.2">
      <c r="Z468" s="251"/>
    </row>
    <row r="469" spans="26:26" x14ac:dyDescent="0.2">
      <c r="Z469" s="251"/>
    </row>
    <row r="470" spans="26:26" x14ac:dyDescent="0.2">
      <c r="Z470" s="251"/>
    </row>
    <row r="471" spans="26:26" x14ac:dyDescent="0.2">
      <c r="Z471" s="251"/>
    </row>
    <row r="472" spans="26:26" x14ac:dyDescent="0.2">
      <c r="Z472" s="251"/>
    </row>
    <row r="473" spans="26:26" x14ac:dyDescent="0.2">
      <c r="Z473" s="251"/>
    </row>
    <row r="474" spans="26:26" x14ac:dyDescent="0.2">
      <c r="Z474" s="251"/>
    </row>
    <row r="475" spans="26:26" x14ac:dyDescent="0.2">
      <c r="Z475" s="251"/>
    </row>
    <row r="476" spans="26:26" x14ac:dyDescent="0.2">
      <c r="Z476" s="251"/>
    </row>
    <row r="477" spans="26:26" x14ac:dyDescent="0.2">
      <c r="Z477" s="251"/>
    </row>
    <row r="478" spans="26:26" x14ac:dyDescent="0.2">
      <c r="Z478" s="251"/>
    </row>
    <row r="479" spans="26:26" x14ac:dyDescent="0.2">
      <c r="Z479" s="251"/>
    </row>
    <row r="480" spans="26:26" x14ac:dyDescent="0.2">
      <c r="Z480" s="251"/>
    </row>
    <row r="481" spans="26:26" x14ac:dyDescent="0.2">
      <c r="Z481" s="251"/>
    </row>
    <row r="482" spans="26:26" x14ac:dyDescent="0.2">
      <c r="Z482" s="251"/>
    </row>
    <row r="483" spans="26:26" x14ac:dyDescent="0.2">
      <c r="Z483" s="251"/>
    </row>
    <row r="484" spans="26:26" x14ac:dyDescent="0.2">
      <c r="Z484" s="251"/>
    </row>
    <row r="485" spans="26:26" x14ac:dyDescent="0.2">
      <c r="Z485" s="251"/>
    </row>
    <row r="486" spans="26:26" x14ac:dyDescent="0.2">
      <c r="Z486" s="251"/>
    </row>
    <row r="487" spans="26:26" x14ac:dyDescent="0.2">
      <c r="Z487" s="251"/>
    </row>
    <row r="488" spans="26:26" x14ac:dyDescent="0.2">
      <c r="Z488" s="251"/>
    </row>
    <row r="489" spans="26:26" x14ac:dyDescent="0.2">
      <c r="Z489" s="251"/>
    </row>
    <row r="490" spans="26:26" x14ac:dyDescent="0.2">
      <c r="Z490" s="251"/>
    </row>
    <row r="491" spans="26:26" x14ac:dyDescent="0.2">
      <c r="Z491" s="251"/>
    </row>
    <row r="492" spans="26:26" x14ac:dyDescent="0.2">
      <c r="Z492" s="251"/>
    </row>
    <row r="493" spans="26:26" x14ac:dyDescent="0.2">
      <c r="Z493" s="251"/>
    </row>
    <row r="494" spans="26:26" x14ac:dyDescent="0.2">
      <c r="Z494" s="251"/>
    </row>
    <row r="495" spans="26:26" x14ac:dyDescent="0.2">
      <c r="Z495" s="251"/>
    </row>
    <row r="496" spans="26:26" x14ac:dyDescent="0.2">
      <c r="Z496" s="251"/>
    </row>
    <row r="497" spans="26:26" x14ac:dyDescent="0.2">
      <c r="Z497" s="251"/>
    </row>
    <row r="498" spans="26:26" x14ac:dyDescent="0.2">
      <c r="Z498" s="251"/>
    </row>
    <row r="499" spans="26:26" x14ac:dyDescent="0.2">
      <c r="Z499" s="251"/>
    </row>
    <row r="500" spans="26:26" x14ac:dyDescent="0.2">
      <c r="Z500" s="251"/>
    </row>
    <row r="501" spans="26:26" x14ac:dyDescent="0.2">
      <c r="Z501" s="251"/>
    </row>
    <row r="502" spans="26:26" x14ac:dyDescent="0.2">
      <c r="Z502" s="251"/>
    </row>
    <row r="503" spans="26:26" x14ac:dyDescent="0.2">
      <c r="Z503" s="251"/>
    </row>
    <row r="504" spans="26:26" x14ac:dyDescent="0.2">
      <c r="Z504" s="251"/>
    </row>
    <row r="505" spans="26:26" x14ac:dyDescent="0.2">
      <c r="Z505" s="251"/>
    </row>
    <row r="506" spans="26:26" x14ac:dyDescent="0.2">
      <c r="Z506" s="251"/>
    </row>
    <row r="507" spans="26:26" x14ac:dyDescent="0.2">
      <c r="Z507" s="251"/>
    </row>
    <row r="508" spans="26:26" x14ac:dyDescent="0.2">
      <c r="Z508" s="251"/>
    </row>
    <row r="509" spans="26:26" x14ac:dyDescent="0.2">
      <c r="Z509" s="251"/>
    </row>
    <row r="510" spans="26:26" x14ac:dyDescent="0.2">
      <c r="Z510" s="251"/>
    </row>
    <row r="511" spans="26:26" x14ac:dyDescent="0.2">
      <c r="Z511" s="251"/>
    </row>
    <row r="512" spans="26:26" x14ac:dyDescent="0.2">
      <c r="Z512" s="251"/>
    </row>
    <row r="513" spans="26:26" x14ac:dyDescent="0.2">
      <c r="Z513" s="251"/>
    </row>
    <row r="514" spans="26:26" x14ac:dyDescent="0.2">
      <c r="Z514" s="251"/>
    </row>
    <row r="515" spans="26:26" x14ac:dyDescent="0.2">
      <c r="Z515" s="251"/>
    </row>
    <row r="516" spans="26:26" x14ac:dyDescent="0.2">
      <c r="Z516" s="251"/>
    </row>
    <row r="517" spans="26:26" x14ac:dyDescent="0.2">
      <c r="Z517" s="251"/>
    </row>
    <row r="518" spans="26:26" x14ac:dyDescent="0.2">
      <c r="Z518" s="251"/>
    </row>
    <row r="519" spans="26:26" x14ac:dyDescent="0.2">
      <c r="Z519" s="251"/>
    </row>
    <row r="520" spans="26:26" x14ac:dyDescent="0.2">
      <c r="Z520" s="251"/>
    </row>
    <row r="521" spans="26:26" x14ac:dyDescent="0.2">
      <c r="Z521" s="251"/>
    </row>
    <row r="522" spans="26:26" x14ac:dyDescent="0.2">
      <c r="Z522" s="251"/>
    </row>
    <row r="523" spans="26:26" x14ac:dyDescent="0.2">
      <c r="Z523" s="251"/>
    </row>
    <row r="524" spans="26:26" x14ac:dyDescent="0.2">
      <c r="Z524" s="251"/>
    </row>
    <row r="525" spans="26:26" x14ac:dyDescent="0.2">
      <c r="Z525" s="251"/>
    </row>
    <row r="526" spans="26:26" x14ac:dyDescent="0.2">
      <c r="Z526" s="251"/>
    </row>
    <row r="527" spans="26:26" x14ac:dyDescent="0.2">
      <c r="Z527" s="251"/>
    </row>
    <row r="528" spans="26:26" x14ac:dyDescent="0.2">
      <c r="Z528" s="251"/>
    </row>
    <row r="529" spans="26:26" x14ac:dyDescent="0.2">
      <c r="Z529" s="251"/>
    </row>
    <row r="530" spans="26:26" x14ac:dyDescent="0.2">
      <c r="Z530" s="251"/>
    </row>
    <row r="531" spans="26:26" x14ac:dyDescent="0.2">
      <c r="Z531" s="251"/>
    </row>
    <row r="532" spans="26:26" x14ac:dyDescent="0.2">
      <c r="Z532" s="251"/>
    </row>
    <row r="533" spans="26:26" x14ac:dyDescent="0.2">
      <c r="Z533" s="251"/>
    </row>
    <row r="534" spans="26:26" x14ac:dyDescent="0.2">
      <c r="Z534" s="251"/>
    </row>
    <row r="535" spans="26:26" x14ac:dyDescent="0.2">
      <c r="Z535" s="251"/>
    </row>
    <row r="536" spans="26:26" x14ac:dyDescent="0.2">
      <c r="Z536" s="251"/>
    </row>
    <row r="537" spans="26:26" x14ac:dyDescent="0.2">
      <c r="Z537" s="251"/>
    </row>
    <row r="538" spans="26:26" x14ac:dyDescent="0.2">
      <c r="Z538" s="251"/>
    </row>
    <row r="539" spans="26:26" x14ac:dyDescent="0.2">
      <c r="Z539" s="251"/>
    </row>
    <row r="540" spans="26:26" x14ac:dyDescent="0.2">
      <c r="Z540" s="251"/>
    </row>
    <row r="541" spans="26:26" x14ac:dyDescent="0.2">
      <c r="Z541" s="251"/>
    </row>
    <row r="542" spans="26:26" x14ac:dyDescent="0.2">
      <c r="Z542" s="251"/>
    </row>
    <row r="543" spans="26:26" x14ac:dyDescent="0.2">
      <c r="Z543" s="251"/>
    </row>
    <row r="544" spans="26:26" x14ac:dyDescent="0.2">
      <c r="Z544" s="251"/>
    </row>
    <row r="545" spans="26:26" x14ac:dyDescent="0.2">
      <c r="Z545" s="251"/>
    </row>
    <row r="546" spans="26:26" x14ac:dyDescent="0.2">
      <c r="Z546" s="251"/>
    </row>
    <row r="547" spans="26:26" x14ac:dyDescent="0.2">
      <c r="Z547" s="251"/>
    </row>
    <row r="548" spans="26:26" x14ac:dyDescent="0.2">
      <c r="Z548" s="251"/>
    </row>
    <row r="549" spans="26:26" x14ac:dyDescent="0.2">
      <c r="Z549" s="251"/>
    </row>
    <row r="550" spans="26:26" x14ac:dyDescent="0.2">
      <c r="Z550" s="251"/>
    </row>
    <row r="551" spans="26:26" x14ac:dyDescent="0.2">
      <c r="Z551" s="251"/>
    </row>
    <row r="552" spans="26:26" x14ac:dyDescent="0.2">
      <c r="Z552" s="251"/>
    </row>
    <row r="553" spans="26:26" x14ac:dyDescent="0.2">
      <c r="Z553" s="251"/>
    </row>
    <row r="554" spans="26:26" x14ac:dyDescent="0.2">
      <c r="Z554" s="251"/>
    </row>
    <row r="555" spans="26:26" x14ac:dyDescent="0.2">
      <c r="Z555" s="251"/>
    </row>
    <row r="556" spans="26:26" x14ac:dyDescent="0.2">
      <c r="Z556" s="251"/>
    </row>
    <row r="557" spans="26:26" x14ac:dyDescent="0.2">
      <c r="Z557" s="251"/>
    </row>
    <row r="558" spans="26:26" x14ac:dyDescent="0.2">
      <c r="Z558" s="251"/>
    </row>
    <row r="559" spans="26:26" x14ac:dyDescent="0.2">
      <c r="Z559" s="251"/>
    </row>
    <row r="560" spans="26:26" x14ac:dyDescent="0.2">
      <c r="Z560" s="251"/>
    </row>
    <row r="561" spans="26:26" x14ac:dyDescent="0.2">
      <c r="Z561" s="251"/>
    </row>
    <row r="562" spans="26:26" x14ac:dyDescent="0.2">
      <c r="Z562" s="251"/>
    </row>
    <row r="563" spans="26:26" x14ac:dyDescent="0.2">
      <c r="Z563" s="251"/>
    </row>
    <row r="564" spans="26:26" x14ac:dyDescent="0.2">
      <c r="Z564" s="251"/>
    </row>
    <row r="565" spans="26:26" x14ac:dyDescent="0.2">
      <c r="Z565" s="251"/>
    </row>
    <row r="566" spans="26:26" x14ac:dyDescent="0.2">
      <c r="Z566" s="251"/>
    </row>
    <row r="567" spans="26:26" x14ac:dyDescent="0.2">
      <c r="Z567" s="251"/>
    </row>
    <row r="568" spans="26:26" x14ac:dyDescent="0.2">
      <c r="Z568" s="251"/>
    </row>
    <row r="569" spans="26:26" x14ac:dyDescent="0.2">
      <c r="Z569" s="251"/>
    </row>
    <row r="570" spans="26:26" x14ac:dyDescent="0.2">
      <c r="Z570" s="251"/>
    </row>
    <row r="571" spans="26:26" x14ac:dyDescent="0.2">
      <c r="Z571" s="251"/>
    </row>
    <row r="572" spans="26:26" x14ac:dyDescent="0.2">
      <c r="Z572" s="251"/>
    </row>
    <row r="573" spans="26:26" x14ac:dyDescent="0.2">
      <c r="Z573" s="251"/>
    </row>
    <row r="574" spans="26:26" x14ac:dyDescent="0.2">
      <c r="Z574" s="251"/>
    </row>
    <row r="575" spans="26:26" x14ac:dyDescent="0.2">
      <c r="Z575" s="251"/>
    </row>
    <row r="576" spans="26:26" x14ac:dyDescent="0.2">
      <c r="Z576" s="251"/>
    </row>
    <row r="577" spans="26:26" x14ac:dyDescent="0.2">
      <c r="Z577" s="251"/>
    </row>
    <row r="578" spans="26:26" x14ac:dyDescent="0.2">
      <c r="Z578" s="251"/>
    </row>
    <row r="579" spans="26:26" x14ac:dyDescent="0.2">
      <c r="Z579" s="251"/>
    </row>
    <row r="580" spans="26:26" x14ac:dyDescent="0.2">
      <c r="Z580" s="251"/>
    </row>
    <row r="581" spans="26:26" x14ac:dyDescent="0.2">
      <c r="Z581" s="251"/>
    </row>
    <row r="582" spans="26:26" x14ac:dyDescent="0.2">
      <c r="Z582" s="251"/>
    </row>
    <row r="583" spans="26:26" x14ac:dyDescent="0.2">
      <c r="Z583" s="251"/>
    </row>
    <row r="584" spans="26:26" x14ac:dyDescent="0.2">
      <c r="Z584" s="251"/>
    </row>
    <row r="585" spans="26:26" x14ac:dyDescent="0.2">
      <c r="Z585" s="251"/>
    </row>
    <row r="586" spans="26:26" x14ac:dyDescent="0.2">
      <c r="Z586" s="251"/>
    </row>
    <row r="587" spans="26:26" x14ac:dyDescent="0.2">
      <c r="Z587" s="251"/>
    </row>
    <row r="588" spans="26:26" x14ac:dyDescent="0.2">
      <c r="Z588" s="251"/>
    </row>
    <row r="589" spans="26:26" x14ac:dyDescent="0.2">
      <c r="Z589" s="251"/>
    </row>
    <row r="590" spans="26:26" x14ac:dyDescent="0.2">
      <c r="Z590" s="251"/>
    </row>
    <row r="591" spans="26:26" x14ac:dyDescent="0.2">
      <c r="Z591" s="251"/>
    </row>
    <row r="592" spans="26:26" x14ac:dyDescent="0.2">
      <c r="Z592" s="251"/>
    </row>
    <row r="593" spans="26:26" x14ac:dyDescent="0.2">
      <c r="Z593" s="251"/>
    </row>
    <row r="594" spans="26:26" x14ac:dyDescent="0.2">
      <c r="Z594" s="251"/>
    </row>
    <row r="595" spans="26:26" x14ac:dyDescent="0.2">
      <c r="Z595" s="251"/>
    </row>
    <row r="596" spans="26:26" x14ac:dyDescent="0.2">
      <c r="Z596" s="251"/>
    </row>
    <row r="597" spans="26:26" x14ac:dyDescent="0.2">
      <c r="Z597" s="251"/>
    </row>
    <row r="598" spans="26:26" x14ac:dyDescent="0.2">
      <c r="Z598" s="251"/>
    </row>
    <row r="599" spans="26:26" x14ac:dyDescent="0.2">
      <c r="Z599" s="251"/>
    </row>
    <row r="600" spans="26:26" x14ac:dyDescent="0.2">
      <c r="Z600" s="251"/>
    </row>
    <row r="601" spans="26:26" x14ac:dyDescent="0.2">
      <c r="Z601" s="251"/>
    </row>
    <row r="602" spans="26:26" x14ac:dyDescent="0.2">
      <c r="Z602" s="251"/>
    </row>
    <row r="603" spans="26:26" x14ac:dyDescent="0.2">
      <c r="Z603" s="251"/>
    </row>
    <row r="604" spans="26:26" x14ac:dyDescent="0.2">
      <c r="Z604" s="251"/>
    </row>
    <row r="605" spans="26:26" x14ac:dyDescent="0.2">
      <c r="Z605" s="251"/>
    </row>
    <row r="606" spans="26:26" x14ac:dyDescent="0.2">
      <c r="Z606" s="251"/>
    </row>
    <row r="607" spans="26:26" x14ac:dyDescent="0.2">
      <c r="Z607" s="251"/>
    </row>
    <row r="608" spans="26:26" x14ac:dyDescent="0.2">
      <c r="Z608" s="251"/>
    </row>
    <row r="609" spans="26:26" x14ac:dyDescent="0.2">
      <c r="Z609" s="251"/>
    </row>
    <row r="610" spans="26:26" x14ac:dyDescent="0.2">
      <c r="Z610" s="251"/>
    </row>
    <row r="611" spans="26:26" x14ac:dyDescent="0.2">
      <c r="Z611" s="251"/>
    </row>
    <row r="612" spans="26:26" x14ac:dyDescent="0.2">
      <c r="Z612" s="251"/>
    </row>
    <row r="613" spans="26:26" x14ac:dyDescent="0.2">
      <c r="Z613" s="251"/>
    </row>
    <row r="614" spans="26:26" x14ac:dyDescent="0.2">
      <c r="Z614" s="251"/>
    </row>
    <row r="615" spans="26:26" x14ac:dyDescent="0.2">
      <c r="Z615" s="251"/>
    </row>
    <row r="616" spans="26:26" x14ac:dyDescent="0.2">
      <c r="Z616" s="251"/>
    </row>
    <row r="617" spans="26:26" x14ac:dyDescent="0.2">
      <c r="Z617" s="251"/>
    </row>
    <row r="618" spans="26:26" x14ac:dyDescent="0.2">
      <c r="Z618" s="251"/>
    </row>
    <row r="619" spans="26:26" x14ac:dyDescent="0.2">
      <c r="Z619" s="251"/>
    </row>
    <row r="620" spans="26:26" x14ac:dyDescent="0.2">
      <c r="Z620" s="251"/>
    </row>
    <row r="621" spans="26:26" x14ac:dyDescent="0.2">
      <c r="Z621" s="251"/>
    </row>
    <row r="622" spans="26:26" x14ac:dyDescent="0.2">
      <c r="Z622" s="251"/>
    </row>
    <row r="623" spans="26:26" x14ac:dyDescent="0.2">
      <c r="Z623" s="251"/>
    </row>
    <row r="624" spans="26:26" x14ac:dyDescent="0.2">
      <c r="Z624" s="251"/>
    </row>
    <row r="625" spans="26:26" x14ac:dyDescent="0.2">
      <c r="Z625" s="251"/>
    </row>
    <row r="626" spans="26:26" x14ac:dyDescent="0.2">
      <c r="Z626" s="251"/>
    </row>
    <row r="627" spans="26:26" x14ac:dyDescent="0.2">
      <c r="Z627" s="251"/>
    </row>
    <row r="628" spans="26:26" x14ac:dyDescent="0.2">
      <c r="Z628" s="251"/>
    </row>
    <row r="629" spans="26:26" x14ac:dyDescent="0.2">
      <c r="Z629" s="251"/>
    </row>
    <row r="630" spans="26:26" x14ac:dyDescent="0.2">
      <c r="Z630" s="251"/>
    </row>
    <row r="631" spans="26:26" x14ac:dyDescent="0.2">
      <c r="Z631" s="251"/>
    </row>
    <row r="632" spans="26:26" x14ac:dyDescent="0.2">
      <c r="Z632" s="251"/>
    </row>
    <row r="633" spans="26:26" x14ac:dyDescent="0.2">
      <c r="Z633" s="251"/>
    </row>
    <row r="634" spans="26:26" x14ac:dyDescent="0.2">
      <c r="Z634" s="251"/>
    </row>
    <row r="635" spans="26:26" x14ac:dyDescent="0.2">
      <c r="Z635" s="251"/>
    </row>
    <row r="636" spans="26:26" x14ac:dyDescent="0.2">
      <c r="Z636" s="251"/>
    </row>
    <row r="637" spans="26:26" x14ac:dyDescent="0.2">
      <c r="Z637" s="251"/>
    </row>
    <row r="638" spans="26:26" x14ac:dyDescent="0.2">
      <c r="Z638" s="251"/>
    </row>
    <row r="639" spans="26:26" x14ac:dyDescent="0.2">
      <c r="Z639" s="251"/>
    </row>
    <row r="640" spans="26:26" x14ac:dyDescent="0.2">
      <c r="Z640" s="251"/>
    </row>
    <row r="641" spans="26:26" x14ac:dyDescent="0.2">
      <c r="Z641" s="251"/>
    </row>
    <row r="642" spans="26:26" x14ac:dyDescent="0.2">
      <c r="Z642" s="251"/>
    </row>
    <row r="643" spans="26:26" x14ac:dyDescent="0.2">
      <c r="Z643" s="251"/>
    </row>
    <row r="644" spans="26:26" x14ac:dyDescent="0.2">
      <c r="Z644" s="251"/>
    </row>
    <row r="645" spans="26:26" x14ac:dyDescent="0.2">
      <c r="Z645" s="251"/>
    </row>
    <row r="646" spans="26:26" x14ac:dyDescent="0.2">
      <c r="Z646" s="251"/>
    </row>
    <row r="647" spans="26:26" x14ac:dyDescent="0.2">
      <c r="Z647" s="251"/>
    </row>
    <row r="648" spans="26:26" x14ac:dyDescent="0.2">
      <c r="Z648" s="251"/>
    </row>
    <row r="649" spans="26:26" x14ac:dyDescent="0.2">
      <c r="Z649" s="251"/>
    </row>
    <row r="650" spans="26:26" x14ac:dyDescent="0.2">
      <c r="Z650" s="251"/>
    </row>
    <row r="651" spans="26:26" x14ac:dyDescent="0.2">
      <c r="Z651" s="251"/>
    </row>
    <row r="652" spans="26:26" x14ac:dyDescent="0.2">
      <c r="Z652" s="251"/>
    </row>
    <row r="653" spans="26:26" x14ac:dyDescent="0.2">
      <c r="Z653" s="251"/>
    </row>
    <row r="654" spans="26:26" x14ac:dyDescent="0.2">
      <c r="Z654" s="251"/>
    </row>
    <row r="655" spans="26:26" x14ac:dyDescent="0.2">
      <c r="Z655" s="251"/>
    </row>
    <row r="656" spans="26:26" x14ac:dyDescent="0.2">
      <c r="Z656" s="251"/>
    </row>
    <row r="657" spans="26:26" x14ac:dyDescent="0.2">
      <c r="Z657" s="251"/>
    </row>
    <row r="658" spans="26:26" x14ac:dyDescent="0.2">
      <c r="Z658" s="251"/>
    </row>
    <row r="659" spans="26:26" x14ac:dyDescent="0.2">
      <c r="Z659" s="251"/>
    </row>
    <row r="660" spans="26:26" x14ac:dyDescent="0.2">
      <c r="Z660" s="251"/>
    </row>
    <row r="661" spans="26:26" x14ac:dyDescent="0.2">
      <c r="Z661" s="251"/>
    </row>
    <row r="662" spans="26:26" x14ac:dyDescent="0.2">
      <c r="Z662" s="251"/>
    </row>
    <row r="663" spans="26:26" x14ac:dyDescent="0.2">
      <c r="Z663" s="251"/>
    </row>
    <row r="664" spans="26:26" x14ac:dyDescent="0.2">
      <c r="Z664" s="251"/>
    </row>
    <row r="665" spans="26:26" x14ac:dyDescent="0.2">
      <c r="Z665" s="251"/>
    </row>
    <row r="666" spans="26:26" x14ac:dyDescent="0.2">
      <c r="Z666" s="251"/>
    </row>
    <row r="667" spans="26:26" x14ac:dyDescent="0.2">
      <c r="Z667" s="251"/>
    </row>
    <row r="668" spans="26:26" x14ac:dyDescent="0.2">
      <c r="Z668" s="251"/>
    </row>
    <row r="669" spans="26:26" x14ac:dyDescent="0.2">
      <c r="Z669" s="251"/>
    </row>
    <row r="670" spans="26:26" x14ac:dyDescent="0.2">
      <c r="Z670" s="251"/>
    </row>
    <row r="671" spans="26:26" x14ac:dyDescent="0.2">
      <c r="Z671" s="251"/>
    </row>
    <row r="672" spans="26:26" x14ac:dyDescent="0.2">
      <c r="Z672" s="251"/>
    </row>
    <row r="673" spans="26:26" x14ac:dyDescent="0.2">
      <c r="Z673" s="251"/>
    </row>
    <row r="674" spans="26:26" x14ac:dyDescent="0.2">
      <c r="Z674" s="251"/>
    </row>
    <row r="675" spans="26:26" x14ac:dyDescent="0.2">
      <c r="Z675" s="251"/>
    </row>
    <row r="676" spans="26:26" x14ac:dyDescent="0.2">
      <c r="Z676" s="251"/>
    </row>
    <row r="677" spans="26:26" x14ac:dyDescent="0.2">
      <c r="Z677" s="251"/>
    </row>
    <row r="678" spans="26:26" x14ac:dyDescent="0.2">
      <c r="Z678" s="251"/>
    </row>
    <row r="679" spans="26:26" x14ac:dyDescent="0.2">
      <c r="Z679" s="251"/>
    </row>
    <row r="680" spans="26:26" x14ac:dyDescent="0.2">
      <c r="Z680" s="251"/>
    </row>
    <row r="681" spans="26:26" x14ac:dyDescent="0.2">
      <c r="Z681" s="251"/>
    </row>
    <row r="682" spans="26:26" x14ac:dyDescent="0.2">
      <c r="Z682" s="251"/>
    </row>
    <row r="683" spans="26:26" x14ac:dyDescent="0.2">
      <c r="Z683" s="251"/>
    </row>
    <row r="684" spans="26:26" x14ac:dyDescent="0.2">
      <c r="Z684" s="251"/>
    </row>
    <row r="685" spans="26:26" x14ac:dyDescent="0.2">
      <c r="Z685" s="251"/>
    </row>
    <row r="686" spans="26:26" x14ac:dyDescent="0.2">
      <c r="Z686" s="251"/>
    </row>
    <row r="687" spans="26:26" x14ac:dyDescent="0.2">
      <c r="Z687" s="251"/>
    </row>
    <row r="688" spans="26:26" x14ac:dyDescent="0.2">
      <c r="Z688" s="251"/>
    </row>
    <row r="689" spans="26:26" x14ac:dyDescent="0.2">
      <c r="Z689" s="251"/>
    </row>
    <row r="690" spans="26:26" x14ac:dyDescent="0.2">
      <c r="Z690" s="251"/>
    </row>
    <row r="691" spans="26:26" x14ac:dyDescent="0.2">
      <c r="Z691" s="251"/>
    </row>
    <row r="692" spans="26:26" x14ac:dyDescent="0.2">
      <c r="Z692" s="251"/>
    </row>
    <row r="693" spans="26:26" x14ac:dyDescent="0.2">
      <c r="Z693" s="251"/>
    </row>
    <row r="694" spans="26:26" x14ac:dyDescent="0.2">
      <c r="Z694" s="251"/>
    </row>
    <row r="695" spans="26:26" x14ac:dyDescent="0.2">
      <c r="Z695" s="251"/>
    </row>
    <row r="696" spans="26:26" x14ac:dyDescent="0.2">
      <c r="Z696" s="251"/>
    </row>
    <row r="697" spans="26:26" x14ac:dyDescent="0.2">
      <c r="Z697" s="251"/>
    </row>
    <row r="698" spans="26:26" x14ac:dyDescent="0.2">
      <c r="Z698" s="251"/>
    </row>
    <row r="699" spans="26:26" x14ac:dyDescent="0.2">
      <c r="Z699" s="251"/>
    </row>
    <row r="700" spans="26:26" x14ac:dyDescent="0.2">
      <c r="Z700" s="251"/>
    </row>
    <row r="701" spans="26:26" x14ac:dyDescent="0.2">
      <c r="Z701" s="251"/>
    </row>
    <row r="702" spans="26:26" x14ac:dyDescent="0.2">
      <c r="Z702" s="251"/>
    </row>
    <row r="703" spans="26:26" x14ac:dyDescent="0.2">
      <c r="Z703" s="251"/>
    </row>
    <row r="704" spans="26:26" x14ac:dyDescent="0.2">
      <c r="Z704" s="251"/>
    </row>
    <row r="705" spans="26:26" x14ac:dyDescent="0.2">
      <c r="Z705" s="251"/>
    </row>
    <row r="706" spans="26:26" x14ac:dyDescent="0.2">
      <c r="Z706" s="251"/>
    </row>
    <row r="707" spans="26:26" x14ac:dyDescent="0.2">
      <c r="Z707" s="251"/>
    </row>
    <row r="708" spans="26:26" x14ac:dyDescent="0.2">
      <c r="Z708" s="251"/>
    </row>
    <row r="709" spans="26:26" x14ac:dyDescent="0.2">
      <c r="Z709" s="251"/>
    </row>
    <row r="710" spans="26:26" x14ac:dyDescent="0.2">
      <c r="Z710" s="251"/>
    </row>
    <row r="711" spans="26:26" x14ac:dyDescent="0.2">
      <c r="Z711" s="251"/>
    </row>
    <row r="712" spans="26:26" x14ac:dyDescent="0.2">
      <c r="Z712" s="251"/>
    </row>
    <row r="713" spans="26:26" x14ac:dyDescent="0.2">
      <c r="Z713" s="251"/>
    </row>
    <row r="714" spans="26:26" x14ac:dyDescent="0.2">
      <c r="Z714" s="251"/>
    </row>
    <row r="715" spans="26:26" x14ac:dyDescent="0.2">
      <c r="Z715" s="251"/>
    </row>
    <row r="716" spans="26:26" x14ac:dyDescent="0.2">
      <c r="Z716" s="251"/>
    </row>
    <row r="717" spans="26:26" x14ac:dyDescent="0.2">
      <c r="Z717" s="251"/>
    </row>
    <row r="718" spans="26:26" x14ac:dyDescent="0.2">
      <c r="Z718" s="251"/>
    </row>
    <row r="719" spans="26:26" x14ac:dyDescent="0.2">
      <c r="Z719" s="251"/>
    </row>
    <row r="720" spans="26:26" x14ac:dyDescent="0.2">
      <c r="Z720" s="251"/>
    </row>
    <row r="721" spans="26:26" x14ac:dyDescent="0.2">
      <c r="Z721" s="251"/>
    </row>
    <row r="722" spans="26:26" x14ac:dyDescent="0.2">
      <c r="Z722" s="251"/>
    </row>
    <row r="723" spans="26:26" x14ac:dyDescent="0.2">
      <c r="Z723" s="251"/>
    </row>
    <row r="724" spans="26:26" x14ac:dyDescent="0.2">
      <c r="Z724" s="251"/>
    </row>
    <row r="725" spans="26:26" x14ac:dyDescent="0.2">
      <c r="Z725" s="251"/>
    </row>
    <row r="726" spans="26:26" x14ac:dyDescent="0.2">
      <c r="Z726" s="251"/>
    </row>
    <row r="727" spans="26:26" x14ac:dyDescent="0.2">
      <c r="Z727" s="251"/>
    </row>
    <row r="728" spans="26:26" x14ac:dyDescent="0.2">
      <c r="Z728" s="251"/>
    </row>
    <row r="729" spans="26:26" x14ac:dyDescent="0.2">
      <c r="Z729" s="251"/>
    </row>
    <row r="730" spans="26:26" x14ac:dyDescent="0.2">
      <c r="Z730" s="251"/>
    </row>
    <row r="731" spans="26:26" x14ac:dyDescent="0.2">
      <c r="Z731" s="251"/>
    </row>
    <row r="732" spans="26:26" x14ac:dyDescent="0.2">
      <c r="Z732" s="251"/>
    </row>
    <row r="733" spans="26:26" x14ac:dyDescent="0.2">
      <c r="Z733" s="251"/>
    </row>
    <row r="734" spans="26:26" x14ac:dyDescent="0.2">
      <c r="Z734" s="251"/>
    </row>
    <row r="735" spans="26:26" x14ac:dyDescent="0.2">
      <c r="Z735" s="251"/>
    </row>
    <row r="736" spans="26:26" x14ac:dyDescent="0.2">
      <c r="Z736" s="251"/>
    </row>
    <row r="737" spans="26:26" x14ac:dyDescent="0.2">
      <c r="Z737" s="251"/>
    </row>
    <row r="738" spans="26:26" x14ac:dyDescent="0.2">
      <c r="Z738" s="251"/>
    </row>
    <row r="739" spans="26:26" x14ac:dyDescent="0.2">
      <c r="Z739" s="251"/>
    </row>
    <row r="740" spans="26:26" x14ac:dyDescent="0.2">
      <c r="Z740" s="251"/>
    </row>
    <row r="741" spans="26:26" x14ac:dyDescent="0.2">
      <c r="Z741" s="251"/>
    </row>
    <row r="742" spans="26:26" x14ac:dyDescent="0.2">
      <c r="Z742" s="251"/>
    </row>
    <row r="743" spans="26:26" x14ac:dyDescent="0.2">
      <c r="Z743" s="251"/>
    </row>
    <row r="744" spans="26:26" x14ac:dyDescent="0.2">
      <c r="Z744" s="251"/>
    </row>
    <row r="745" spans="26:26" x14ac:dyDescent="0.2">
      <c r="Z745" s="251"/>
    </row>
    <row r="746" spans="26:26" x14ac:dyDescent="0.2">
      <c r="Z746" s="251"/>
    </row>
    <row r="747" spans="26:26" x14ac:dyDescent="0.2">
      <c r="Z747" s="251"/>
    </row>
    <row r="748" spans="26:26" x14ac:dyDescent="0.2">
      <c r="Z748" s="251"/>
    </row>
    <row r="749" spans="26:26" x14ac:dyDescent="0.2">
      <c r="Z749" s="251"/>
    </row>
    <row r="750" spans="26:26" x14ac:dyDescent="0.2">
      <c r="Z750" s="251"/>
    </row>
    <row r="751" spans="26:26" x14ac:dyDescent="0.2">
      <c r="Z751" s="251"/>
    </row>
    <row r="752" spans="26:26" x14ac:dyDescent="0.2">
      <c r="Z752" s="251"/>
    </row>
    <row r="753" spans="26:26" x14ac:dyDescent="0.2">
      <c r="Z753" s="251"/>
    </row>
    <row r="754" spans="26:26" x14ac:dyDescent="0.2">
      <c r="Z754" s="251"/>
    </row>
    <row r="755" spans="26:26" x14ac:dyDescent="0.2">
      <c r="Z755" s="251"/>
    </row>
    <row r="756" spans="26:26" x14ac:dyDescent="0.2">
      <c r="Z756" s="251"/>
    </row>
    <row r="757" spans="26:26" x14ac:dyDescent="0.2">
      <c r="Z757" s="251"/>
    </row>
    <row r="758" spans="26:26" x14ac:dyDescent="0.2">
      <c r="Z758" s="251"/>
    </row>
    <row r="759" spans="26:26" x14ac:dyDescent="0.2">
      <c r="Z759" s="251"/>
    </row>
    <row r="760" spans="26:26" x14ac:dyDescent="0.2">
      <c r="Z760" s="251"/>
    </row>
    <row r="761" spans="26:26" x14ac:dyDescent="0.2">
      <c r="Z761" s="251"/>
    </row>
    <row r="762" spans="26:26" x14ac:dyDescent="0.2">
      <c r="Z762" s="251"/>
    </row>
    <row r="763" spans="26:26" x14ac:dyDescent="0.2">
      <c r="Z763" s="251"/>
    </row>
    <row r="764" spans="26:26" x14ac:dyDescent="0.2">
      <c r="Z764" s="251"/>
    </row>
    <row r="765" spans="26:26" x14ac:dyDescent="0.2">
      <c r="Z765" s="251"/>
    </row>
    <row r="766" spans="26:26" x14ac:dyDescent="0.2">
      <c r="Z766" s="251"/>
    </row>
    <row r="767" spans="26:26" x14ac:dyDescent="0.2">
      <c r="Z767" s="251"/>
    </row>
    <row r="768" spans="26:26" x14ac:dyDescent="0.2">
      <c r="Z768" s="251"/>
    </row>
    <row r="769" spans="26:26" x14ac:dyDescent="0.2">
      <c r="Z769" s="251"/>
    </row>
    <row r="770" spans="26:26" x14ac:dyDescent="0.2">
      <c r="Z770" s="251"/>
    </row>
    <row r="771" spans="26:26" x14ac:dyDescent="0.2">
      <c r="Z771" s="251"/>
    </row>
    <row r="772" spans="26:26" x14ac:dyDescent="0.2">
      <c r="Z772" s="251"/>
    </row>
    <row r="773" spans="26:26" x14ac:dyDescent="0.2">
      <c r="Z773" s="251"/>
    </row>
    <row r="774" spans="26:26" x14ac:dyDescent="0.2">
      <c r="Z774" s="251"/>
    </row>
    <row r="775" spans="26:26" x14ac:dyDescent="0.2">
      <c r="Z775" s="251"/>
    </row>
    <row r="776" spans="26:26" x14ac:dyDescent="0.2">
      <c r="Z776" s="251"/>
    </row>
    <row r="777" spans="26:26" x14ac:dyDescent="0.2">
      <c r="Z777" s="251"/>
    </row>
    <row r="778" spans="26:26" x14ac:dyDescent="0.2">
      <c r="Z778" s="251"/>
    </row>
    <row r="779" spans="26:26" x14ac:dyDescent="0.2">
      <c r="Z779" s="251"/>
    </row>
    <row r="780" spans="26:26" x14ac:dyDescent="0.2">
      <c r="Z780" s="251"/>
    </row>
    <row r="781" spans="26:26" x14ac:dyDescent="0.2">
      <c r="Z781" s="251"/>
    </row>
    <row r="782" spans="26:26" x14ac:dyDescent="0.2">
      <c r="Z782" s="251"/>
    </row>
    <row r="783" spans="26:26" x14ac:dyDescent="0.2">
      <c r="Z783" s="251"/>
    </row>
    <row r="784" spans="26:26" x14ac:dyDescent="0.2">
      <c r="Z784" s="251"/>
    </row>
    <row r="785" spans="26:26" x14ac:dyDescent="0.2">
      <c r="Z785" s="251"/>
    </row>
    <row r="786" spans="26:26" x14ac:dyDescent="0.2">
      <c r="Z786" s="251"/>
    </row>
    <row r="787" spans="26:26" x14ac:dyDescent="0.2">
      <c r="Z787" s="251"/>
    </row>
    <row r="788" spans="26:26" x14ac:dyDescent="0.2">
      <c r="Z788" s="251"/>
    </row>
    <row r="789" spans="26:26" x14ac:dyDescent="0.2">
      <c r="Z789" s="251"/>
    </row>
    <row r="790" spans="26:26" x14ac:dyDescent="0.2">
      <c r="Z790" s="251"/>
    </row>
    <row r="791" spans="26:26" x14ac:dyDescent="0.2">
      <c r="Z791" s="251"/>
    </row>
    <row r="792" spans="26:26" x14ac:dyDescent="0.2">
      <c r="Z792" s="251"/>
    </row>
    <row r="793" spans="26:26" x14ac:dyDescent="0.2">
      <c r="Z793" s="251"/>
    </row>
    <row r="794" spans="26:26" x14ac:dyDescent="0.2">
      <c r="Z794" s="251"/>
    </row>
    <row r="795" spans="26:26" x14ac:dyDescent="0.2">
      <c r="Z795" s="251"/>
    </row>
    <row r="796" spans="26:26" x14ac:dyDescent="0.2">
      <c r="Z796" s="251"/>
    </row>
    <row r="797" spans="26:26" x14ac:dyDescent="0.2">
      <c r="Z797" s="251"/>
    </row>
    <row r="798" spans="26:26" x14ac:dyDescent="0.2">
      <c r="Z798" s="251"/>
    </row>
    <row r="799" spans="26:26" x14ac:dyDescent="0.2">
      <c r="Z799" s="251"/>
    </row>
    <row r="800" spans="26:26" x14ac:dyDescent="0.2">
      <c r="Z800" s="251"/>
    </row>
    <row r="801" spans="26:26" x14ac:dyDescent="0.2">
      <c r="Z801" s="251"/>
    </row>
    <row r="802" spans="26:26" x14ac:dyDescent="0.2">
      <c r="Z802" s="251"/>
    </row>
    <row r="803" spans="26:26" x14ac:dyDescent="0.2">
      <c r="Z803" s="251"/>
    </row>
    <row r="804" spans="26:26" x14ac:dyDescent="0.2">
      <c r="Z804" s="251"/>
    </row>
    <row r="805" spans="26:26" x14ac:dyDescent="0.2">
      <c r="Z805" s="251"/>
    </row>
    <row r="806" spans="26:26" x14ac:dyDescent="0.2">
      <c r="Z806" s="251"/>
    </row>
    <row r="807" spans="26:26" x14ac:dyDescent="0.2">
      <c r="Z807" s="251"/>
    </row>
    <row r="808" spans="26:26" x14ac:dyDescent="0.2">
      <c r="Z808" s="251"/>
    </row>
    <row r="809" spans="26:26" x14ac:dyDescent="0.2">
      <c r="Z809" s="251"/>
    </row>
    <row r="810" spans="26:26" x14ac:dyDescent="0.2">
      <c r="Z810" s="251"/>
    </row>
    <row r="811" spans="26:26" x14ac:dyDescent="0.2">
      <c r="Z811" s="251"/>
    </row>
    <row r="812" spans="26:26" x14ac:dyDescent="0.2">
      <c r="Z812" s="251"/>
    </row>
    <row r="813" spans="26:26" x14ac:dyDescent="0.2">
      <c r="Z813" s="251"/>
    </row>
    <row r="814" spans="26:26" x14ac:dyDescent="0.2">
      <c r="Z814" s="251"/>
    </row>
    <row r="815" spans="26:26" x14ac:dyDescent="0.2">
      <c r="Z815" s="251"/>
    </row>
    <row r="816" spans="26:26" x14ac:dyDescent="0.2">
      <c r="Z816" s="251"/>
    </row>
    <row r="817" spans="26:26" x14ac:dyDescent="0.2">
      <c r="Z817" s="251"/>
    </row>
    <row r="818" spans="26:26" x14ac:dyDescent="0.2">
      <c r="Z818" s="251"/>
    </row>
    <row r="819" spans="26:26" x14ac:dyDescent="0.2">
      <c r="Z819" s="251"/>
    </row>
    <row r="820" spans="26:26" x14ac:dyDescent="0.2">
      <c r="Z820" s="251"/>
    </row>
    <row r="821" spans="26:26" x14ac:dyDescent="0.2">
      <c r="Z821" s="251"/>
    </row>
    <row r="822" spans="26:26" x14ac:dyDescent="0.2">
      <c r="Z822" s="251"/>
    </row>
    <row r="823" spans="26:26" x14ac:dyDescent="0.2">
      <c r="Z823" s="251"/>
    </row>
    <row r="824" spans="26:26" x14ac:dyDescent="0.2">
      <c r="Z824" s="251"/>
    </row>
    <row r="825" spans="26:26" x14ac:dyDescent="0.2">
      <c r="Z825" s="251"/>
    </row>
    <row r="826" spans="26:26" x14ac:dyDescent="0.2">
      <c r="Z826" s="251"/>
    </row>
    <row r="827" spans="26:26" x14ac:dyDescent="0.2">
      <c r="Z827" s="251"/>
    </row>
    <row r="828" spans="26:26" x14ac:dyDescent="0.2">
      <c r="Z828" s="251"/>
    </row>
    <row r="829" spans="26:26" x14ac:dyDescent="0.2">
      <c r="Z829" s="251"/>
    </row>
    <row r="830" spans="26:26" x14ac:dyDescent="0.2">
      <c r="Z830" s="251"/>
    </row>
    <row r="831" spans="26:26" x14ac:dyDescent="0.2">
      <c r="Z831" s="251"/>
    </row>
    <row r="832" spans="26:26" x14ac:dyDescent="0.2">
      <c r="Z832" s="251"/>
    </row>
    <row r="833" spans="26:26" x14ac:dyDescent="0.2">
      <c r="Z833" s="251"/>
    </row>
    <row r="834" spans="26:26" x14ac:dyDescent="0.2">
      <c r="Z834" s="251"/>
    </row>
    <row r="835" spans="26:26" x14ac:dyDescent="0.2">
      <c r="Z835" s="251"/>
    </row>
    <row r="836" spans="26:26" x14ac:dyDescent="0.2">
      <c r="Z836" s="251"/>
    </row>
    <row r="837" spans="26:26" x14ac:dyDescent="0.2">
      <c r="Z837" s="251"/>
    </row>
    <row r="838" spans="26:26" x14ac:dyDescent="0.2">
      <c r="Z838" s="251"/>
    </row>
    <row r="839" spans="26:26" x14ac:dyDescent="0.2">
      <c r="Z839" s="251"/>
    </row>
    <row r="840" spans="26:26" x14ac:dyDescent="0.2">
      <c r="Z840" s="251"/>
    </row>
    <row r="841" spans="26:26" x14ac:dyDescent="0.2">
      <c r="Z841" s="251"/>
    </row>
    <row r="842" spans="26:26" x14ac:dyDescent="0.2">
      <c r="Z842" s="251"/>
    </row>
    <row r="843" spans="26:26" x14ac:dyDescent="0.2">
      <c r="Z843" s="251"/>
    </row>
    <row r="844" spans="26:26" x14ac:dyDescent="0.2">
      <c r="Z844" s="251"/>
    </row>
    <row r="845" spans="26:26" x14ac:dyDescent="0.2">
      <c r="Z845" s="251"/>
    </row>
    <row r="846" spans="26:26" x14ac:dyDescent="0.2">
      <c r="Z846" s="251"/>
    </row>
    <row r="847" spans="26:26" x14ac:dyDescent="0.2">
      <c r="Z847" s="251"/>
    </row>
    <row r="848" spans="26:26" x14ac:dyDescent="0.2">
      <c r="Z848" s="251"/>
    </row>
    <row r="849" spans="26:26" x14ac:dyDescent="0.2">
      <c r="Z849" s="251"/>
    </row>
    <row r="850" spans="26:26" x14ac:dyDescent="0.2">
      <c r="Z850" s="251"/>
    </row>
    <row r="851" spans="26:26" x14ac:dyDescent="0.2">
      <c r="Z851" s="251"/>
    </row>
    <row r="852" spans="26:26" x14ac:dyDescent="0.2">
      <c r="Z852" s="251"/>
    </row>
    <row r="853" spans="26:26" x14ac:dyDescent="0.2">
      <c r="Z853" s="251"/>
    </row>
    <row r="854" spans="26:26" x14ac:dyDescent="0.2">
      <c r="Z854" s="251"/>
    </row>
    <row r="855" spans="26:26" x14ac:dyDescent="0.2">
      <c r="Z855" s="251"/>
    </row>
    <row r="856" spans="26:26" x14ac:dyDescent="0.2">
      <c r="Z856" s="251"/>
    </row>
    <row r="857" spans="26:26" x14ac:dyDescent="0.2">
      <c r="Z857" s="251"/>
    </row>
    <row r="858" spans="26:26" x14ac:dyDescent="0.2">
      <c r="Z858" s="251"/>
    </row>
    <row r="859" spans="26:26" x14ac:dyDescent="0.2">
      <c r="Z859" s="251"/>
    </row>
    <row r="860" spans="26:26" x14ac:dyDescent="0.2">
      <c r="Z860" s="251"/>
    </row>
    <row r="861" spans="26:26" x14ac:dyDescent="0.2">
      <c r="Z861" s="251"/>
    </row>
    <row r="862" spans="26:26" x14ac:dyDescent="0.2">
      <c r="Z862" s="251"/>
    </row>
    <row r="863" spans="26:26" x14ac:dyDescent="0.2">
      <c r="Z863" s="251"/>
    </row>
    <row r="864" spans="26:26" x14ac:dyDescent="0.2">
      <c r="Z864" s="251"/>
    </row>
    <row r="865" spans="26:26" x14ac:dyDescent="0.2">
      <c r="Z865" s="251"/>
    </row>
    <row r="866" spans="26:26" x14ac:dyDescent="0.2">
      <c r="Z866" s="251"/>
    </row>
    <row r="867" spans="26:26" x14ac:dyDescent="0.2">
      <c r="Z867" s="251"/>
    </row>
    <row r="868" spans="26:26" x14ac:dyDescent="0.2">
      <c r="Z868" s="251"/>
    </row>
    <row r="869" spans="26:26" x14ac:dyDescent="0.2">
      <c r="Z869" s="251"/>
    </row>
    <row r="870" spans="26:26" x14ac:dyDescent="0.2">
      <c r="Z870" s="251"/>
    </row>
    <row r="871" spans="26:26" x14ac:dyDescent="0.2">
      <c r="Z871" s="251"/>
    </row>
    <row r="872" spans="26:26" x14ac:dyDescent="0.2">
      <c r="Z872" s="251"/>
    </row>
    <row r="873" spans="26:26" x14ac:dyDescent="0.2">
      <c r="Z873" s="251"/>
    </row>
    <row r="874" spans="26:26" x14ac:dyDescent="0.2">
      <c r="Z874" s="251"/>
    </row>
    <row r="875" spans="26:26" x14ac:dyDescent="0.2">
      <c r="Z875" s="251"/>
    </row>
    <row r="876" spans="26:26" x14ac:dyDescent="0.2">
      <c r="Z876" s="251"/>
    </row>
    <row r="877" spans="26:26" x14ac:dyDescent="0.2">
      <c r="Z877" s="251"/>
    </row>
    <row r="878" spans="26:26" x14ac:dyDescent="0.2">
      <c r="Z878" s="251"/>
    </row>
    <row r="879" spans="26:26" x14ac:dyDescent="0.2">
      <c r="Z879" s="251"/>
    </row>
    <row r="880" spans="26:26" x14ac:dyDescent="0.2">
      <c r="Z880" s="251"/>
    </row>
    <row r="881" spans="26:26" x14ac:dyDescent="0.2">
      <c r="Z881" s="251"/>
    </row>
    <row r="882" spans="26:26" x14ac:dyDescent="0.2">
      <c r="Z882" s="251"/>
    </row>
    <row r="883" spans="26:26" x14ac:dyDescent="0.2">
      <c r="Z883" s="251"/>
    </row>
    <row r="884" spans="26:26" x14ac:dyDescent="0.2">
      <c r="Z884" s="251"/>
    </row>
    <row r="885" spans="26:26" x14ac:dyDescent="0.2">
      <c r="Z885" s="251"/>
    </row>
    <row r="886" spans="26:26" x14ac:dyDescent="0.2">
      <c r="Z886" s="251"/>
    </row>
    <row r="887" spans="26:26" x14ac:dyDescent="0.2">
      <c r="Z887" s="251"/>
    </row>
    <row r="888" spans="26:26" x14ac:dyDescent="0.2">
      <c r="Z888" s="251"/>
    </row>
    <row r="889" spans="26:26" x14ac:dyDescent="0.2">
      <c r="Z889" s="251"/>
    </row>
    <row r="890" spans="26:26" x14ac:dyDescent="0.2">
      <c r="Z890" s="251"/>
    </row>
    <row r="891" spans="26:26" x14ac:dyDescent="0.2">
      <c r="Z891" s="251"/>
    </row>
    <row r="892" spans="26:26" x14ac:dyDescent="0.2">
      <c r="Z892" s="251"/>
    </row>
    <row r="893" spans="26:26" x14ac:dyDescent="0.2">
      <c r="Z893" s="251"/>
    </row>
    <row r="894" spans="26:26" x14ac:dyDescent="0.2">
      <c r="Z894" s="251"/>
    </row>
    <row r="895" spans="26:26" x14ac:dyDescent="0.2">
      <c r="Z895" s="251"/>
    </row>
    <row r="896" spans="26:26" x14ac:dyDescent="0.2">
      <c r="Z896" s="251"/>
    </row>
    <row r="897" spans="26:26" x14ac:dyDescent="0.2">
      <c r="Z897" s="251"/>
    </row>
    <row r="898" spans="26:26" x14ac:dyDescent="0.2">
      <c r="Z898" s="251"/>
    </row>
    <row r="899" spans="26:26" x14ac:dyDescent="0.2">
      <c r="Z899" s="251"/>
    </row>
    <row r="900" spans="26:26" x14ac:dyDescent="0.2">
      <c r="Z900" s="251"/>
    </row>
    <row r="901" spans="26:26" x14ac:dyDescent="0.2">
      <c r="Z901" s="251"/>
    </row>
    <row r="902" spans="26:26" x14ac:dyDescent="0.2">
      <c r="Z902" s="251"/>
    </row>
    <row r="903" spans="26:26" x14ac:dyDescent="0.2">
      <c r="Z903" s="251"/>
    </row>
    <row r="904" spans="26:26" x14ac:dyDescent="0.2">
      <c r="Z904" s="251"/>
    </row>
    <row r="905" spans="26:26" x14ac:dyDescent="0.2">
      <c r="Z905" s="251"/>
    </row>
    <row r="906" spans="26:26" x14ac:dyDescent="0.2">
      <c r="Z906" s="251"/>
    </row>
    <row r="907" spans="26:26" x14ac:dyDescent="0.2">
      <c r="Z907" s="251"/>
    </row>
    <row r="908" spans="26:26" x14ac:dyDescent="0.2">
      <c r="Z908" s="251"/>
    </row>
    <row r="909" spans="26:26" x14ac:dyDescent="0.2">
      <c r="Z909" s="251"/>
    </row>
    <row r="910" spans="26:26" x14ac:dyDescent="0.2">
      <c r="Z910" s="251"/>
    </row>
    <row r="911" spans="26:26" x14ac:dyDescent="0.2">
      <c r="Z911" s="251"/>
    </row>
    <row r="912" spans="26:26" x14ac:dyDescent="0.2">
      <c r="Z912" s="251"/>
    </row>
    <row r="913" spans="26:26" x14ac:dyDescent="0.2">
      <c r="Z913" s="251"/>
    </row>
    <row r="914" spans="26:26" x14ac:dyDescent="0.2">
      <c r="Z914" s="251"/>
    </row>
    <row r="915" spans="26:26" x14ac:dyDescent="0.2">
      <c r="Z915" s="251"/>
    </row>
    <row r="916" spans="26:26" x14ac:dyDescent="0.2">
      <c r="Z916" s="251"/>
    </row>
    <row r="917" spans="26:26" x14ac:dyDescent="0.2">
      <c r="Z917" s="251"/>
    </row>
    <row r="918" spans="26:26" x14ac:dyDescent="0.2">
      <c r="Z918" s="251"/>
    </row>
    <row r="919" spans="26:26" x14ac:dyDescent="0.2">
      <c r="Z919" s="251"/>
    </row>
    <row r="920" spans="26:26" x14ac:dyDescent="0.2">
      <c r="Z920" s="251"/>
    </row>
    <row r="921" spans="26:26" x14ac:dyDescent="0.2">
      <c r="Z921" s="251"/>
    </row>
    <row r="922" spans="26:26" x14ac:dyDescent="0.2">
      <c r="Z922" s="251"/>
    </row>
    <row r="923" spans="26:26" x14ac:dyDescent="0.2">
      <c r="Z923" s="251"/>
    </row>
    <row r="924" spans="26:26" x14ac:dyDescent="0.2">
      <c r="Z924" s="251"/>
    </row>
    <row r="925" spans="26:26" x14ac:dyDescent="0.2">
      <c r="Z925" s="251"/>
    </row>
    <row r="926" spans="26:26" x14ac:dyDescent="0.2">
      <c r="Z926" s="251"/>
    </row>
    <row r="927" spans="26:26" x14ac:dyDescent="0.2">
      <c r="Z927" s="251"/>
    </row>
    <row r="928" spans="26:26" x14ac:dyDescent="0.2">
      <c r="Z928" s="251"/>
    </row>
    <row r="929" spans="26:26" x14ac:dyDescent="0.2">
      <c r="Z929" s="251"/>
    </row>
    <row r="930" spans="26:26" x14ac:dyDescent="0.2">
      <c r="Z930" s="251"/>
    </row>
    <row r="931" spans="26:26" x14ac:dyDescent="0.2">
      <c r="Z931" s="251"/>
    </row>
    <row r="932" spans="26:26" x14ac:dyDescent="0.2">
      <c r="Z932" s="251"/>
    </row>
    <row r="933" spans="26:26" x14ac:dyDescent="0.2">
      <c r="Z933" s="251"/>
    </row>
    <row r="934" spans="26:26" x14ac:dyDescent="0.2">
      <c r="Z934" s="251"/>
    </row>
    <row r="935" spans="26:26" x14ac:dyDescent="0.2">
      <c r="Z935" s="251"/>
    </row>
    <row r="936" spans="26:26" x14ac:dyDescent="0.2">
      <c r="Z936" s="251"/>
    </row>
    <row r="937" spans="26:26" x14ac:dyDescent="0.2">
      <c r="Z937" s="251"/>
    </row>
    <row r="938" spans="26:26" x14ac:dyDescent="0.2">
      <c r="Z938" s="251"/>
    </row>
    <row r="939" spans="26:26" x14ac:dyDescent="0.2">
      <c r="Z939" s="251"/>
    </row>
    <row r="940" spans="26:26" x14ac:dyDescent="0.2">
      <c r="Z940" s="251"/>
    </row>
    <row r="941" spans="26:26" x14ac:dyDescent="0.2">
      <c r="Z941" s="251"/>
    </row>
    <row r="942" spans="26:26" x14ac:dyDescent="0.2">
      <c r="Z942" s="251"/>
    </row>
    <row r="943" spans="26:26" x14ac:dyDescent="0.2">
      <c r="Z943" s="251"/>
    </row>
    <row r="944" spans="26:26" x14ac:dyDescent="0.2">
      <c r="Z944" s="251"/>
    </row>
    <row r="945" spans="26:26" x14ac:dyDescent="0.2">
      <c r="Z945" s="251"/>
    </row>
    <row r="946" spans="26:26" x14ac:dyDescent="0.2">
      <c r="Z946" s="251"/>
    </row>
    <row r="947" spans="26:26" x14ac:dyDescent="0.2">
      <c r="Z947" s="251"/>
    </row>
    <row r="948" spans="26:26" x14ac:dyDescent="0.2">
      <c r="Z948" s="251"/>
    </row>
    <row r="949" spans="26:26" x14ac:dyDescent="0.2">
      <c r="Z949" s="251"/>
    </row>
    <row r="950" spans="26:26" x14ac:dyDescent="0.2">
      <c r="Z950" s="251"/>
    </row>
    <row r="951" spans="26:26" x14ac:dyDescent="0.2">
      <c r="Z951" s="251"/>
    </row>
    <row r="952" spans="26:26" x14ac:dyDescent="0.2">
      <c r="Z952" s="251"/>
    </row>
    <row r="953" spans="26:26" x14ac:dyDescent="0.2">
      <c r="Z953" s="251"/>
    </row>
    <row r="954" spans="26:26" x14ac:dyDescent="0.2">
      <c r="Z954" s="251"/>
    </row>
    <row r="955" spans="26:26" x14ac:dyDescent="0.2">
      <c r="Z955" s="251"/>
    </row>
    <row r="956" spans="26:26" x14ac:dyDescent="0.2">
      <c r="Z956" s="251"/>
    </row>
    <row r="957" spans="26:26" x14ac:dyDescent="0.2">
      <c r="Z957" s="251"/>
    </row>
    <row r="958" spans="26:26" x14ac:dyDescent="0.2">
      <c r="Z958" s="251"/>
    </row>
    <row r="959" spans="26:26" x14ac:dyDescent="0.2">
      <c r="Z959" s="251"/>
    </row>
    <row r="960" spans="26:26" x14ac:dyDescent="0.2">
      <c r="Z960" s="251"/>
    </row>
    <row r="961" spans="26:26" x14ac:dyDescent="0.2">
      <c r="Z961" s="251"/>
    </row>
    <row r="962" spans="26:26" x14ac:dyDescent="0.2">
      <c r="Z962" s="251"/>
    </row>
    <row r="963" spans="26:26" x14ac:dyDescent="0.2">
      <c r="Z963" s="251"/>
    </row>
    <row r="964" spans="26:26" x14ac:dyDescent="0.2">
      <c r="Z964" s="251"/>
    </row>
    <row r="965" spans="26:26" x14ac:dyDescent="0.2">
      <c r="Z965" s="251"/>
    </row>
    <row r="966" spans="26:26" x14ac:dyDescent="0.2">
      <c r="Z966" s="251"/>
    </row>
    <row r="967" spans="26:26" x14ac:dyDescent="0.2">
      <c r="Z967" s="251"/>
    </row>
    <row r="968" spans="26:26" x14ac:dyDescent="0.2">
      <c r="Z968" s="251"/>
    </row>
    <row r="969" spans="26:26" x14ac:dyDescent="0.2">
      <c r="Z969" s="251"/>
    </row>
    <row r="970" spans="26:26" x14ac:dyDescent="0.2">
      <c r="Z970" s="251"/>
    </row>
    <row r="971" spans="26:26" x14ac:dyDescent="0.2">
      <c r="Z971" s="251"/>
    </row>
    <row r="972" spans="26:26" x14ac:dyDescent="0.2">
      <c r="Z972" s="251"/>
    </row>
    <row r="973" spans="26:26" x14ac:dyDescent="0.2">
      <c r="Z973" s="251"/>
    </row>
    <row r="974" spans="26:26" x14ac:dyDescent="0.2">
      <c r="Z974" s="251"/>
    </row>
    <row r="975" spans="26:26" x14ac:dyDescent="0.2">
      <c r="Z975" s="251"/>
    </row>
    <row r="976" spans="26:26" x14ac:dyDescent="0.2">
      <c r="Z976" s="251"/>
    </row>
    <row r="977" spans="26:26" x14ac:dyDescent="0.2">
      <c r="Z977" s="251"/>
    </row>
    <row r="978" spans="26:26" x14ac:dyDescent="0.2">
      <c r="Z978" s="251"/>
    </row>
    <row r="979" spans="26:26" x14ac:dyDescent="0.2">
      <c r="Z979" s="251"/>
    </row>
    <row r="980" spans="26:26" x14ac:dyDescent="0.2">
      <c r="Z980" s="251"/>
    </row>
    <row r="981" spans="26:26" x14ac:dyDescent="0.2">
      <c r="Z981" s="251"/>
    </row>
    <row r="982" spans="26:26" x14ac:dyDescent="0.2">
      <c r="Z982" s="251"/>
    </row>
    <row r="983" spans="26:26" x14ac:dyDescent="0.2">
      <c r="Z983" s="251"/>
    </row>
    <row r="984" spans="26:26" x14ac:dyDescent="0.2">
      <c r="Z984" s="251"/>
    </row>
    <row r="985" spans="26:26" x14ac:dyDescent="0.2">
      <c r="Z985" s="251"/>
    </row>
    <row r="986" spans="26:26" x14ac:dyDescent="0.2">
      <c r="Z986" s="251"/>
    </row>
  </sheetData>
  <autoFilter ref="A2:BA6" xr:uid="{00000000-0009-0000-0000-000004000000}">
    <sortState xmlns:xlrd2="http://schemas.microsoft.com/office/spreadsheetml/2017/richdata2" ref="A3:AX35">
      <sortCondition ref="A2:A34"/>
    </sortState>
  </autoFilter>
  <customSheetViews>
    <customSheetView guid="{21F37784-ACDF-4AA9-A8FA-2D6F1A2FCD6C}" scale="115" showAutoFilter="1">
      <pane xSplit="5" ySplit="2" topLeftCell="H3" activePane="bottomRight" state="frozen"/>
      <selection pane="bottomRight" activeCell="J8" sqref="J8"/>
      <pageMargins left="0.75" right="0.75" top="1" bottom="1" header="0.5" footer="0.5"/>
      <pageSetup orientation="portrait" r:id="rId1"/>
      <headerFooter alignWithMargins="0"/>
      <autoFilter ref="B1:BB1" xr:uid="{00000000-0000-0000-0000-000000000000}"/>
    </customSheetView>
    <customSheetView guid="{BD983C39-643B-49A4-A851-3C307533663B}" scale="115" showAutoFilter="1">
      <pane xSplit="5" ySplit="2" topLeftCell="H3" activePane="bottomRight" state="frozen"/>
      <selection pane="bottomRight" activeCell="J8" sqref="J8"/>
      <pageMargins left="0.75" right="0.75" top="1" bottom="1" header="0.5" footer="0.5"/>
      <pageSetup orientation="portrait" r:id="rId2"/>
      <headerFooter alignWithMargins="0"/>
      <autoFilter ref="B1:BB1" xr:uid="{00000000-0000-0000-0000-000000000000}"/>
    </customSheetView>
  </customSheetViews>
  <mergeCells count="8">
    <mergeCell ref="AU1:AV1"/>
    <mergeCell ref="AX1:AY1"/>
    <mergeCell ref="D1:H1"/>
    <mergeCell ref="I1:L1"/>
    <mergeCell ref="M1:AC1"/>
    <mergeCell ref="AE1:AG1"/>
    <mergeCell ref="AH1:AL1"/>
    <mergeCell ref="AM1:AT1"/>
  </mergeCells>
  <pageMargins left="0.75" right="0.75" top="1" bottom="1" header="0.5" footer="0.5"/>
  <pageSetup orientation="portrait" r:id="rId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N66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R12" sqref="R12"/>
    </sheetView>
  </sheetViews>
  <sheetFormatPr defaultColWidth="12.42578125" defaultRowHeight="11.25" x14ac:dyDescent="0.2"/>
  <cols>
    <col min="1" max="1" width="10.140625" style="13" bestFit="1" customWidth="1"/>
    <col min="2" max="2" width="10.140625" style="13" customWidth="1"/>
    <col min="3" max="3" width="28.42578125" style="13" bestFit="1" customWidth="1"/>
    <col min="4" max="4" width="13.42578125" style="13" bestFit="1" customWidth="1"/>
    <col min="5" max="6" width="11.42578125" style="9" customWidth="1"/>
    <col min="7" max="7" width="15.42578125" style="13" customWidth="1"/>
    <col min="8" max="8" width="14.42578125" style="13" customWidth="1"/>
    <col min="9" max="10" width="12.42578125" style="13" customWidth="1"/>
    <col min="11" max="13" width="14.85546875" style="13" customWidth="1"/>
    <col min="14" max="14" width="17.140625" style="13" bestFit="1" customWidth="1"/>
    <col min="15" max="15" width="12.42578125" style="9" customWidth="1"/>
    <col min="16" max="16" width="11.42578125" style="9" customWidth="1"/>
    <col min="17" max="17" width="7.42578125" style="9" customWidth="1"/>
    <col min="18" max="18" width="8.42578125" style="9" customWidth="1"/>
    <col min="19" max="20" width="11.42578125" style="9" customWidth="1"/>
    <col min="21" max="21" width="15.140625" style="9" customWidth="1"/>
    <col min="22" max="22" width="13.85546875" style="9" customWidth="1"/>
    <col min="23" max="23" width="20.42578125" style="9" customWidth="1"/>
    <col min="24" max="24" width="13.85546875" style="9" customWidth="1"/>
    <col min="25" max="16384" width="12.42578125" style="9"/>
  </cols>
  <sheetData>
    <row r="1" spans="1:24" ht="15.75" customHeight="1" thickBot="1" x14ac:dyDescent="0.25">
      <c r="A1" s="1063" t="s">
        <v>1071</v>
      </c>
      <c r="B1" s="1063"/>
      <c r="C1" s="1063"/>
      <c r="D1" s="1063"/>
      <c r="E1" s="365" t="s">
        <v>1072</v>
      </c>
      <c r="F1" s="383"/>
      <c r="G1" s="1065" t="s">
        <v>1393</v>
      </c>
      <c r="H1" s="1066"/>
      <c r="I1" s="1066"/>
      <c r="J1" s="1066"/>
      <c r="K1" s="1066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spans="1:24" ht="23.25" thickBot="1" x14ac:dyDescent="0.25">
      <c r="A2" s="370" t="s">
        <v>1401</v>
      </c>
      <c r="B2" s="370" t="s">
        <v>3011</v>
      </c>
      <c r="C2" s="363" t="s">
        <v>3084</v>
      </c>
      <c r="D2" s="371" t="s">
        <v>1076</v>
      </c>
      <c r="E2" s="370" t="s">
        <v>1190</v>
      </c>
      <c r="F2" s="370" t="s">
        <v>1077</v>
      </c>
      <c r="G2" s="370" t="s">
        <v>133</v>
      </c>
      <c r="H2" s="370" t="s">
        <v>1079</v>
      </c>
      <c r="I2" s="370" t="s">
        <v>3083</v>
      </c>
      <c r="J2" s="370" t="s">
        <v>3090</v>
      </c>
      <c r="K2" s="370" t="s">
        <v>3106</v>
      </c>
      <c r="L2" s="370" t="s">
        <v>3105</v>
      </c>
      <c r="M2" s="370" t="s">
        <v>3096</v>
      </c>
      <c r="N2" s="370" t="s">
        <v>1509</v>
      </c>
      <c r="O2" s="12" t="s">
        <v>3091</v>
      </c>
      <c r="P2" s="12"/>
      <c r="Q2" s="12"/>
      <c r="R2" s="12"/>
      <c r="S2" s="12"/>
      <c r="T2" s="12"/>
      <c r="U2" s="12"/>
      <c r="V2" s="12"/>
      <c r="W2" s="12"/>
      <c r="X2" s="12"/>
    </row>
    <row r="3" spans="1:24" ht="22.5" x14ac:dyDescent="0.2">
      <c r="A3" s="366" t="s">
        <v>2219</v>
      </c>
      <c r="B3" s="366" t="s">
        <v>1797</v>
      </c>
      <c r="C3" s="394" t="s">
        <v>3150</v>
      </c>
      <c r="D3" s="368" t="s">
        <v>4059</v>
      </c>
      <c r="E3" s="6" t="s">
        <v>681</v>
      </c>
      <c r="F3" s="366"/>
      <c r="G3" s="387" t="s">
        <v>3149</v>
      </c>
      <c r="H3" s="372" t="s">
        <v>4126</v>
      </c>
      <c r="I3" s="372">
        <v>13721401</v>
      </c>
      <c r="J3" s="389" t="s">
        <v>157</v>
      </c>
      <c r="K3" s="377">
        <v>14822802</v>
      </c>
      <c r="L3" s="372">
        <v>14821501</v>
      </c>
      <c r="M3" s="376">
        <v>13718602</v>
      </c>
      <c r="N3" s="366"/>
      <c r="O3" s="380">
        <v>42475</v>
      </c>
      <c r="P3" s="12"/>
      <c r="Q3" s="12"/>
      <c r="R3" s="12"/>
      <c r="S3" s="12"/>
      <c r="T3" s="12"/>
      <c r="U3" s="12"/>
      <c r="V3" s="12"/>
      <c r="W3" s="12"/>
      <c r="X3" s="12"/>
    </row>
    <row r="4" spans="1:24" ht="26.45" customHeight="1" x14ac:dyDescent="0.2">
      <c r="A4" s="366" t="s">
        <v>2219</v>
      </c>
      <c r="B4" s="366" t="s">
        <v>1797</v>
      </c>
      <c r="C4" s="394" t="s">
        <v>3148</v>
      </c>
      <c r="D4" s="368" t="s">
        <v>4059</v>
      </c>
      <c r="E4" s="6" t="s">
        <v>681</v>
      </c>
      <c r="F4" s="366"/>
      <c r="G4" s="369" t="s">
        <v>3147</v>
      </c>
      <c r="H4" s="372" t="s">
        <v>4127</v>
      </c>
      <c r="I4" s="372">
        <v>13721401</v>
      </c>
      <c r="J4" s="378" t="s">
        <v>157</v>
      </c>
      <c r="K4" s="377">
        <v>14513804</v>
      </c>
      <c r="L4" s="377">
        <v>14281101</v>
      </c>
      <c r="M4" s="376">
        <v>13718602</v>
      </c>
      <c r="N4" s="366"/>
      <c r="O4" s="380">
        <v>42475</v>
      </c>
      <c r="P4" s="12"/>
      <c r="Q4" s="12"/>
      <c r="R4" s="12"/>
      <c r="S4" s="12"/>
      <c r="T4" s="12"/>
      <c r="U4" s="12"/>
      <c r="V4" s="12"/>
      <c r="W4" s="12"/>
      <c r="X4" s="12"/>
    </row>
    <row r="5" spans="1:24" ht="23.85" customHeight="1" x14ac:dyDescent="0.2">
      <c r="A5" s="366" t="s">
        <v>2219</v>
      </c>
      <c r="B5" s="366" t="s">
        <v>1797</v>
      </c>
      <c r="C5" s="394" t="s">
        <v>3146</v>
      </c>
      <c r="D5" s="368" t="s">
        <v>4059</v>
      </c>
      <c r="E5" s="6" t="s">
        <v>681</v>
      </c>
      <c r="F5" s="366"/>
      <c r="G5" s="387" t="s">
        <v>3219</v>
      </c>
      <c r="H5" s="372" t="s">
        <v>4128</v>
      </c>
      <c r="I5" s="376">
        <v>13080102</v>
      </c>
      <c r="J5" s="378" t="s">
        <v>157</v>
      </c>
      <c r="K5" s="377">
        <v>14513804</v>
      </c>
      <c r="L5" s="377">
        <v>14281101</v>
      </c>
      <c r="M5" s="376" t="s">
        <v>157</v>
      </c>
      <c r="N5" s="366"/>
      <c r="O5" s="380">
        <v>42475</v>
      </c>
      <c r="P5" s="12"/>
      <c r="Q5" s="12"/>
      <c r="R5" s="12"/>
      <c r="S5" s="12"/>
      <c r="T5" s="12"/>
      <c r="U5" s="12"/>
      <c r="V5" s="12"/>
      <c r="W5" s="12"/>
      <c r="X5" s="12"/>
    </row>
    <row r="6" spans="1:24" ht="23.85" customHeight="1" x14ac:dyDescent="0.2">
      <c r="A6" s="366" t="s">
        <v>2219</v>
      </c>
      <c r="B6" s="366" t="s">
        <v>1797</v>
      </c>
      <c r="C6" s="394" t="s">
        <v>3151</v>
      </c>
      <c r="D6" s="368" t="s">
        <v>4059</v>
      </c>
      <c r="E6" s="6" t="s">
        <v>681</v>
      </c>
      <c r="F6" s="384">
        <v>2012</v>
      </c>
      <c r="G6" s="387" t="s">
        <v>3157</v>
      </c>
      <c r="H6" s="372" t="s">
        <v>4129</v>
      </c>
      <c r="I6" s="376">
        <v>17951302</v>
      </c>
      <c r="J6" s="377" t="s">
        <v>157</v>
      </c>
      <c r="K6" s="377">
        <v>14523204</v>
      </c>
      <c r="L6" s="377">
        <v>14279201</v>
      </c>
      <c r="M6" s="376" t="s">
        <v>157</v>
      </c>
      <c r="N6" s="366"/>
      <c r="O6" s="380">
        <v>42475</v>
      </c>
      <c r="P6" s="12"/>
      <c r="Q6" s="12"/>
      <c r="R6" s="12"/>
      <c r="S6" s="12"/>
      <c r="T6" s="12"/>
      <c r="U6" s="12"/>
      <c r="V6" s="12"/>
      <c r="W6" s="12"/>
      <c r="X6" s="12"/>
    </row>
    <row r="7" spans="1:24" ht="40.700000000000003" customHeight="1" x14ac:dyDescent="0.2">
      <c r="A7" s="366" t="s">
        <v>3263</v>
      </c>
      <c r="B7" s="366" t="s">
        <v>1797</v>
      </c>
      <c r="C7" s="394" t="s">
        <v>3152</v>
      </c>
      <c r="D7" s="368" t="s">
        <v>4059</v>
      </c>
      <c r="E7" s="6" t="s">
        <v>681</v>
      </c>
      <c r="F7" s="367"/>
      <c r="G7" s="387" t="s">
        <v>3158</v>
      </c>
      <c r="H7" s="418" t="s">
        <v>4130</v>
      </c>
      <c r="I7" s="376">
        <v>14139503</v>
      </c>
      <c r="J7" s="377" t="s">
        <v>157</v>
      </c>
      <c r="K7" s="377">
        <v>14513804</v>
      </c>
      <c r="L7" s="377">
        <v>14281101</v>
      </c>
      <c r="M7" s="376" t="s">
        <v>157</v>
      </c>
      <c r="N7" s="366"/>
      <c r="O7" s="380">
        <v>42475</v>
      </c>
      <c r="P7" s="12"/>
      <c r="Q7" s="12"/>
      <c r="R7" s="12"/>
      <c r="S7" s="12"/>
      <c r="T7" s="12"/>
      <c r="U7" s="12"/>
      <c r="V7" s="12"/>
      <c r="W7" s="12"/>
      <c r="X7" s="12"/>
    </row>
    <row r="8" spans="1:24" ht="23.85" customHeight="1" x14ac:dyDescent="0.2">
      <c r="A8" s="366" t="s">
        <v>2196</v>
      </c>
      <c r="B8" s="366" t="s">
        <v>1797</v>
      </c>
      <c r="C8" s="394" t="s">
        <v>3036</v>
      </c>
      <c r="D8" s="368" t="s">
        <v>4059</v>
      </c>
      <c r="E8" s="6" t="s">
        <v>681</v>
      </c>
      <c r="F8" s="367"/>
      <c r="G8" s="387" t="s">
        <v>3159</v>
      </c>
      <c r="H8" s="372" t="s">
        <v>3039</v>
      </c>
      <c r="I8" s="376">
        <v>14139508</v>
      </c>
      <c r="J8" s="377" t="s">
        <v>157</v>
      </c>
      <c r="K8" s="377">
        <v>14513805</v>
      </c>
      <c r="L8" s="377">
        <v>14281101</v>
      </c>
      <c r="M8" s="376" t="s">
        <v>157</v>
      </c>
      <c r="N8" s="366"/>
      <c r="O8" s="380">
        <v>42475</v>
      </c>
      <c r="P8" s="12"/>
      <c r="Q8" s="12"/>
      <c r="R8" s="12"/>
      <c r="S8" s="12"/>
      <c r="T8" s="12"/>
      <c r="U8" s="12"/>
      <c r="V8" s="12"/>
      <c r="W8" s="12"/>
      <c r="X8" s="12"/>
    </row>
    <row r="9" spans="1:24" ht="23.85" customHeight="1" x14ac:dyDescent="0.2">
      <c r="A9" s="366" t="s">
        <v>2219</v>
      </c>
      <c r="B9" s="366" t="s">
        <v>1797</v>
      </c>
      <c r="C9" s="394" t="s">
        <v>3153</v>
      </c>
      <c r="D9" s="368" t="s">
        <v>4059</v>
      </c>
      <c r="E9" s="6" t="s">
        <v>681</v>
      </c>
      <c r="F9" s="367"/>
      <c r="G9" s="387" t="s">
        <v>3160</v>
      </c>
      <c r="H9" s="372" t="s">
        <v>4126</v>
      </c>
      <c r="I9" s="376">
        <v>15852002</v>
      </c>
      <c r="J9" s="376" t="s">
        <v>157</v>
      </c>
      <c r="K9" s="376">
        <v>16089404</v>
      </c>
      <c r="L9" s="376">
        <v>13684301</v>
      </c>
      <c r="M9" s="376" t="s">
        <v>157</v>
      </c>
      <c r="N9" s="366"/>
      <c r="O9" s="380">
        <v>42475</v>
      </c>
      <c r="P9" s="12"/>
      <c r="Q9" s="12"/>
      <c r="R9" s="12"/>
      <c r="S9" s="12"/>
      <c r="T9" s="12"/>
      <c r="U9" s="12"/>
      <c r="V9" s="12"/>
      <c r="W9" s="12"/>
      <c r="X9" s="12"/>
    </row>
    <row r="10" spans="1:24" ht="23.85" customHeight="1" x14ac:dyDescent="0.2">
      <c r="A10" s="366" t="s">
        <v>2219</v>
      </c>
      <c r="B10" s="366" t="s">
        <v>1797</v>
      </c>
      <c r="C10" s="394" t="s">
        <v>3154</v>
      </c>
      <c r="D10" s="368" t="s">
        <v>4059</v>
      </c>
      <c r="E10" s="6" t="s">
        <v>681</v>
      </c>
      <c r="F10" s="367"/>
      <c r="G10" s="387" t="s">
        <v>3161</v>
      </c>
      <c r="H10" s="372" t="s">
        <v>4131</v>
      </c>
      <c r="I10" s="376">
        <v>15847402</v>
      </c>
      <c r="J10" s="376" t="s">
        <v>157</v>
      </c>
      <c r="K10" s="377">
        <v>16089404</v>
      </c>
      <c r="L10" s="376">
        <v>13684301</v>
      </c>
      <c r="M10" s="376" t="s">
        <v>157</v>
      </c>
      <c r="N10" s="366"/>
      <c r="O10" s="380">
        <v>42475</v>
      </c>
      <c r="P10" s="12"/>
      <c r="Q10" s="12"/>
      <c r="R10" s="12"/>
      <c r="S10" s="12"/>
      <c r="T10" s="12"/>
      <c r="U10" s="12"/>
      <c r="V10" s="12"/>
      <c r="W10" s="12"/>
      <c r="X10" s="12"/>
    </row>
    <row r="11" spans="1:24" ht="22.5" x14ac:dyDescent="0.2">
      <c r="A11" s="366" t="s">
        <v>2219</v>
      </c>
      <c r="B11" s="367" t="s">
        <v>1571</v>
      </c>
      <c r="C11" s="388" t="s">
        <v>3085</v>
      </c>
      <c r="D11" s="368" t="s">
        <v>4059</v>
      </c>
      <c r="E11" s="6" t="s">
        <v>681</v>
      </c>
      <c r="F11" s="384">
        <v>2012</v>
      </c>
      <c r="G11" s="387" t="s">
        <v>3162</v>
      </c>
      <c r="H11" s="372" t="s">
        <v>4132</v>
      </c>
      <c r="I11" s="376">
        <v>17941404</v>
      </c>
      <c r="J11" s="379" t="s">
        <v>157</v>
      </c>
      <c r="K11" s="377">
        <v>18477001</v>
      </c>
      <c r="L11" s="377" t="s">
        <v>157</v>
      </c>
      <c r="M11" s="376" t="s">
        <v>157</v>
      </c>
      <c r="N11" s="376"/>
      <c r="O11" s="380">
        <v>42475</v>
      </c>
      <c r="P11" s="12"/>
      <c r="Q11" s="12"/>
      <c r="R11" s="12"/>
      <c r="S11" s="12"/>
      <c r="T11" s="12"/>
      <c r="U11" s="12"/>
      <c r="V11" s="12"/>
      <c r="W11" s="12"/>
      <c r="X11" s="12"/>
    </row>
    <row r="12" spans="1:24" ht="22.5" x14ac:dyDescent="0.2">
      <c r="A12" s="1" t="s">
        <v>2219</v>
      </c>
      <c r="B12" s="367" t="s">
        <v>1571</v>
      </c>
      <c r="C12" s="374" t="s">
        <v>3086</v>
      </c>
      <c r="D12" s="368" t="s">
        <v>4059</v>
      </c>
      <c r="E12" s="6" t="s">
        <v>681</v>
      </c>
      <c r="F12" s="384">
        <v>2012</v>
      </c>
      <c r="G12" s="76" t="s">
        <v>3163</v>
      </c>
      <c r="H12" s="375" t="s">
        <v>4133</v>
      </c>
      <c r="I12" s="374">
        <v>17941404</v>
      </c>
      <c r="J12" s="373">
        <v>14432002</v>
      </c>
      <c r="K12" s="377">
        <v>18477101</v>
      </c>
      <c r="L12" s="377">
        <v>14281001</v>
      </c>
      <c r="M12" s="376" t="s">
        <v>157</v>
      </c>
      <c r="N12" s="376"/>
      <c r="O12" s="380">
        <v>42475</v>
      </c>
    </row>
    <row r="13" spans="1:24" ht="22.5" x14ac:dyDescent="0.2">
      <c r="A13" s="1" t="s">
        <v>2219</v>
      </c>
      <c r="B13" s="367" t="s">
        <v>1571</v>
      </c>
      <c r="C13" s="374" t="s">
        <v>3087</v>
      </c>
      <c r="D13" s="368" t="s">
        <v>4059</v>
      </c>
      <c r="E13" s="6" t="s">
        <v>681</v>
      </c>
      <c r="F13" s="384">
        <v>2012</v>
      </c>
      <c r="G13" s="76" t="s">
        <v>3164</v>
      </c>
      <c r="H13" s="364" t="s">
        <v>4134</v>
      </c>
      <c r="I13" s="374">
        <v>14139705</v>
      </c>
      <c r="J13" s="373">
        <v>14513502</v>
      </c>
      <c r="K13" s="377">
        <v>18477201</v>
      </c>
      <c r="L13" s="377">
        <v>14281001</v>
      </c>
      <c r="M13" s="376" t="s">
        <v>157</v>
      </c>
      <c r="N13" s="376"/>
      <c r="O13" s="380">
        <v>42475</v>
      </c>
    </row>
    <row r="14" spans="1:24" ht="22.5" x14ac:dyDescent="0.2">
      <c r="A14" s="1" t="s">
        <v>2219</v>
      </c>
      <c r="B14" s="367" t="s">
        <v>1571</v>
      </c>
      <c r="C14" s="374" t="s">
        <v>3088</v>
      </c>
      <c r="D14" s="368" t="s">
        <v>4059</v>
      </c>
      <c r="E14" s="6" t="s">
        <v>681</v>
      </c>
      <c r="F14" s="384">
        <v>2012</v>
      </c>
      <c r="G14" s="76" t="s">
        <v>3165</v>
      </c>
      <c r="H14" s="364" t="s">
        <v>4135</v>
      </c>
      <c r="I14" s="374">
        <v>14139705</v>
      </c>
      <c r="J14" s="373">
        <v>14513502</v>
      </c>
      <c r="K14" s="377">
        <v>18477301</v>
      </c>
      <c r="L14" s="377">
        <v>14281001</v>
      </c>
      <c r="M14" s="376" t="s">
        <v>157</v>
      </c>
      <c r="N14" s="376"/>
      <c r="O14" s="380">
        <v>42475</v>
      </c>
    </row>
    <row r="15" spans="1:24" s="10" customFormat="1" ht="23.25" customHeight="1" x14ac:dyDescent="0.2">
      <c r="A15" s="6" t="s">
        <v>2219</v>
      </c>
      <c r="B15" s="367" t="s">
        <v>1571</v>
      </c>
      <c r="C15" s="374" t="s">
        <v>3089</v>
      </c>
      <c r="D15" s="368" t="s">
        <v>4059</v>
      </c>
      <c r="E15" s="6" t="s">
        <v>681</v>
      </c>
      <c r="F15" s="384">
        <v>2012</v>
      </c>
      <c r="G15" s="76" t="s">
        <v>3166</v>
      </c>
      <c r="H15" s="375" t="s">
        <v>4136</v>
      </c>
      <c r="I15" s="376">
        <v>17941404</v>
      </c>
      <c r="J15" s="373">
        <v>14432002</v>
      </c>
      <c r="K15" s="378">
        <v>18477401</v>
      </c>
      <c r="L15" s="377">
        <v>14281001</v>
      </c>
      <c r="M15" s="376" t="s">
        <v>157</v>
      </c>
      <c r="N15" s="376"/>
      <c r="O15" s="380">
        <v>42475</v>
      </c>
    </row>
    <row r="16" spans="1:24" s="10" customFormat="1" ht="45" x14ac:dyDescent="0.2">
      <c r="A16" s="6" t="s">
        <v>1461</v>
      </c>
      <c r="B16" s="6" t="s">
        <v>1571</v>
      </c>
      <c r="C16" s="395" t="s">
        <v>3136</v>
      </c>
      <c r="D16" s="2" t="s">
        <v>2226</v>
      </c>
      <c r="E16" s="6" t="s">
        <v>1015</v>
      </c>
      <c r="F16" s="384">
        <v>2012</v>
      </c>
      <c r="G16" s="376" t="s">
        <v>3138</v>
      </c>
      <c r="H16" s="376" t="s">
        <v>3137</v>
      </c>
      <c r="I16" s="376">
        <v>16006004</v>
      </c>
      <c r="J16" s="373" t="s">
        <v>157</v>
      </c>
      <c r="K16" s="378">
        <v>18808502</v>
      </c>
      <c r="L16" s="385" t="s">
        <v>157</v>
      </c>
      <c r="M16" s="376" t="s">
        <v>157</v>
      </c>
      <c r="N16" s="376"/>
      <c r="O16" s="380">
        <v>41428</v>
      </c>
    </row>
    <row r="17" spans="1:248" s="10" customFormat="1" ht="45" x14ac:dyDescent="0.2">
      <c r="A17" s="6" t="s">
        <v>1461</v>
      </c>
      <c r="B17" s="6" t="s">
        <v>1571</v>
      </c>
      <c r="C17" s="395" t="s">
        <v>3118</v>
      </c>
      <c r="D17" s="2" t="s">
        <v>2226</v>
      </c>
      <c r="E17" s="6" t="s">
        <v>1015</v>
      </c>
      <c r="F17" s="384">
        <v>2012</v>
      </c>
      <c r="G17" s="376" t="s">
        <v>3126</v>
      </c>
      <c r="H17" s="376" t="s">
        <v>3127</v>
      </c>
      <c r="I17" s="376">
        <v>16006004</v>
      </c>
      <c r="J17" s="373">
        <v>18049902</v>
      </c>
      <c r="K17" s="378">
        <v>18052402</v>
      </c>
      <c r="L17" s="385">
        <v>18050301</v>
      </c>
      <c r="M17" s="376" t="s">
        <v>157</v>
      </c>
      <c r="N17" s="376"/>
      <c r="O17" s="380">
        <v>41428</v>
      </c>
    </row>
    <row r="18" spans="1:248" s="10" customFormat="1" ht="45" x14ac:dyDescent="0.2">
      <c r="A18" s="6" t="s">
        <v>1461</v>
      </c>
      <c r="B18" s="6" t="s">
        <v>1571</v>
      </c>
      <c r="C18" s="395" t="s">
        <v>3119</v>
      </c>
      <c r="D18" s="2" t="s">
        <v>2226</v>
      </c>
      <c r="E18" s="6" t="s">
        <v>1015</v>
      </c>
      <c r="F18" s="384">
        <v>2012</v>
      </c>
      <c r="G18" s="376" t="s">
        <v>3129</v>
      </c>
      <c r="H18" s="376" t="s">
        <v>3128</v>
      </c>
      <c r="I18" s="376">
        <v>16006004</v>
      </c>
      <c r="J18" s="373">
        <v>18049902</v>
      </c>
      <c r="K18" s="378">
        <v>18808502</v>
      </c>
      <c r="L18" s="385">
        <v>18050301</v>
      </c>
      <c r="M18" s="376" t="s">
        <v>157</v>
      </c>
      <c r="N18" s="376"/>
      <c r="O18" s="380">
        <v>41428</v>
      </c>
    </row>
    <row r="19" spans="1:248" s="10" customFormat="1" ht="45" x14ac:dyDescent="0.2">
      <c r="A19" s="6" t="s">
        <v>1461</v>
      </c>
      <c r="B19" s="6" t="s">
        <v>1797</v>
      </c>
      <c r="C19" s="396" t="s">
        <v>3130</v>
      </c>
      <c r="D19" s="2" t="s">
        <v>2226</v>
      </c>
      <c r="E19" s="6" t="s">
        <v>1015</v>
      </c>
      <c r="F19" s="384">
        <v>2013</v>
      </c>
      <c r="G19" s="364" t="s">
        <v>3220</v>
      </c>
      <c r="H19" s="375" t="s">
        <v>3108</v>
      </c>
      <c r="I19" s="376" t="s">
        <v>157</v>
      </c>
      <c r="J19" s="373">
        <v>18709102</v>
      </c>
      <c r="K19" s="378" t="s">
        <v>157</v>
      </c>
      <c r="L19" s="385" t="s">
        <v>157</v>
      </c>
      <c r="M19" s="376">
        <v>18709201</v>
      </c>
      <c r="N19" s="376" t="s">
        <v>3109</v>
      </c>
      <c r="O19" s="380">
        <v>41428</v>
      </c>
    </row>
    <row r="20" spans="1:248" s="3" customFormat="1" ht="33" customHeight="1" x14ac:dyDescent="0.2">
      <c r="A20" s="6" t="s">
        <v>1461</v>
      </c>
      <c r="B20" s="6" t="s">
        <v>1797</v>
      </c>
      <c r="C20" s="395" t="s">
        <v>3098</v>
      </c>
      <c r="D20" s="2" t="s">
        <v>2226</v>
      </c>
      <c r="E20" s="6" t="s">
        <v>1015</v>
      </c>
      <c r="F20" s="384">
        <v>2013</v>
      </c>
      <c r="G20" s="364" t="s">
        <v>3221</v>
      </c>
      <c r="H20" s="364" t="s">
        <v>3107</v>
      </c>
      <c r="I20" s="376">
        <v>18702703</v>
      </c>
      <c r="J20" s="376" t="s">
        <v>157</v>
      </c>
      <c r="K20" s="376">
        <v>18048802</v>
      </c>
      <c r="L20" s="382">
        <v>17172001</v>
      </c>
      <c r="M20" s="376" t="s">
        <v>157</v>
      </c>
      <c r="O20" s="380">
        <v>41428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</row>
    <row r="21" spans="1:248" s="10" customFormat="1" ht="33" customHeight="1" x14ac:dyDescent="0.2">
      <c r="A21" s="6" t="s">
        <v>1461</v>
      </c>
      <c r="B21" s="367" t="s">
        <v>1571</v>
      </c>
      <c r="C21" s="395" t="s">
        <v>3097</v>
      </c>
      <c r="D21" s="2" t="s">
        <v>2226</v>
      </c>
      <c r="E21" s="6" t="s">
        <v>1015</v>
      </c>
      <c r="F21" s="384">
        <v>2012</v>
      </c>
      <c r="G21" s="364" t="s">
        <v>3222</v>
      </c>
      <c r="H21" s="364" t="s">
        <v>3099</v>
      </c>
      <c r="I21" s="382">
        <v>15893102</v>
      </c>
      <c r="J21" s="382">
        <v>18088102</v>
      </c>
      <c r="K21" s="382">
        <v>16076002</v>
      </c>
      <c r="L21" s="382">
        <v>18050301</v>
      </c>
      <c r="M21" s="376" t="s">
        <v>157</v>
      </c>
      <c r="N21" s="376"/>
      <c r="O21" s="380">
        <v>41428</v>
      </c>
    </row>
    <row r="22" spans="1:248" s="10" customFormat="1" ht="35.450000000000003" customHeight="1" x14ac:dyDescent="0.2">
      <c r="A22" s="6" t="s">
        <v>1461</v>
      </c>
      <c r="B22" s="6" t="s">
        <v>1797</v>
      </c>
      <c r="C22" s="395" t="s">
        <v>3097</v>
      </c>
      <c r="D22" s="2" t="s">
        <v>2226</v>
      </c>
      <c r="E22" s="6" t="s">
        <v>1015</v>
      </c>
      <c r="F22" s="384">
        <v>2013</v>
      </c>
      <c r="G22" s="364" t="s">
        <v>3223</v>
      </c>
      <c r="H22" s="364" t="s">
        <v>3095</v>
      </c>
      <c r="I22" s="364">
        <v>18536903</v>
      </c>
      <c r="J22" s="364" t="s">
        <v>157</v>
      </c>
      <c r="K22" s="364">
        <v>18088402</v>
      </c>
      <c r="L22" s="382">
        <v>17172201</v>
      </c>
      <c r="M22" s="381">
        <v>18736501</v>
      </c>
      <c r="N22" s="381"/>
      <c r="O22" s="380">
        <v>41428</v>
      </c>
    </row>
    <row r="23" spans="1:248" x14ac:dyDescent="0.2">
      <c r="A23" s="9"/>
      <c r="B23" s="9"/>
      <c r="C23" s="9"/>
      <c r="D23" s="9"/>
      <c r="G23" s="9"/>
      <c r="H23" s="9"/>
      <c r="I23" s="9"/>
      <c r="J23" s="9"/>
      <c r="K23" s="9"/>
      <c r="L23" s="9"/>
      <c r="M23" s="9"/>
      <c r="N23" s="9"/>
    </row>
    <row r="27" spans="1:248" x14ac:dyDescent="0.2">
      <c r="A27" s="24" t="s">
        <v>1935</v>
      </c>
    </row>
    <row r="29" spans="1:248" ht="22.7" customHeight="1" x14ac:dyDescent="0.2">
      <c r="A29" s="6" t="s">
        <v>2877</v>
      </c>
      <c r="B29" s="6" t="s">
        <v>1797</v>
      </c>
      <c r="C29" s="395" t="s">
        <v>2903</v>
      </c>
      <c r="D29" s="2" t="s">
        <v>2848</v>
      </c>
      <c r="E29" s="6" t="s">
        <v>3172</v>
      </c>
      <c r="F29" s="384">
        <v>2004</v>
      </c>
      <c r="G29" s="386" t="s">
        <v>3224</v>
      </c>
      <c r="H29" s="382">
        <v>15083702</v>
      </c>
      <c r="I29" s="382">
        <v>14594102</v>
      </c>
      <c r="J29" s="382" t="s">
        <v>157</v>
      </c>
      <c r="K29" s="382" t="s">
        <v>157</v>
      </c>
      <c r="L29" s="382" t="s">
        <v>157</v>
      </c>
      <c r="M29" s="376">
        <v>14593901</v>
      </c>
      <c r="N29" s="376" t="s">
        <v>3173</v>
      </c>
      <c r="O29" s="390">
        <v>41429</v>
      </c>
    </row>
    <row r="30" spans="1:248" ht="22.7" customHeight="1" x14ac:dyDescent="0.2">
      <c r="A30" s="6" t="s">
        <v>2877</v>
      </c>
      <c r="B30" s="6" t="s">
        <v>1797</v>
      </c>
      <c r="C30" s="395" t="s">
        <v>3175</v>
      </c>
      <c r="D30" s="2" t="s">
        <v>2848</v>
      </c>
      <c r="E30" s="6" t="s">
        <v>3172</v>
      </c>
      <c r="F30" s="384">
        <v>1997</v>
      </c>
      <c r="G30" s="386" t="s">
        <v>3225</v>
      </c>
      <c r="H30" s="382">
        <v>15997231</v>
      </c>
      <c r="I30" s="382">
        <v>13027601</v>
      </c>
      <c r="J30" s="382" t="s">
        <v>157</v>
      </c>
      <c r="K30" s="382">
        <v>13027401</v>
      </c>
      <c r="L30" s="382">
        <v>13027701</v>
      </c>
      <c r="M30" s="376" t="s">
        <v>157</v>
      </c>
      <c r="N30" s="376"/>
      <c r="O30" s="390">
        <v>41429</v>
      </c>
    </row>
    <row r="31" spans="1:248" ht="25.5" x14ac:dyDescent="0.2">
      <c r="A31" s="6" t="s">
        <v>2877</v>
      </c>
      <c r="B31" s="6" t="s">
        <v>1571</v>
      </c>
      <c r="C31" s="396" t="s">
        <v>649</v>
      </c>
      <c r="D31" s="2"/>
      <c r="E31" s="6" t="s">
        <v>3172</v>
      </c>
      <c r="F31" s="384">
        <v>1997</v>
      </c>
      <c r="G31" s="386" t="s">
        <v>3226</v>
      </c>
      <c r="H31" s="382">
        <v>15024278</v>
      </c>
      <c r="I31" s="382">
        <v>13142201</v>
      </c>
      <c r="J31" s="382" t="s">
        <v>157</v>
      </c>
      <c r="K31" s="382">
        <v>13142501</v>
      </c>
      <c r="L31" s="382">
        <v>13142701</v>
      </c>
      <c r="M31" s="376">
        <v>13142801</v>
      </c>
      <c r="N31" s="376"/>
      <c r="O31" s="390"/>
    </row>
    <row r="32" spans="1:248" ht="32.1" customHeight="1" x14ac:dyDescent="0.2">
      <c r="A32" s="6" t="s">
        <v>1461</v>
      </c>
      <c r="B32" s="6" t="s">
        <v>1797</v>
      </c>
      <c r="C32" s="395" t="s">
        <v>3097</v>
      </c>
      <c r="D32" s="2" t="s">
        <v>2226</v>
      </c>
      <c r="E32" s="6" t="s">
        <v>1015</v>
      </c>
      <c r="F32" s="384">
        <v>2012</v>
      </c>
      <c r="G32" s="386" t="s">
        <v>3144</v>
      </c>
      <c r="H32" s="382" t="s">
        <v>3145</v>
      </c>
      <c r="I32" s="382">
        <v>15893403</v>
      </c>
      <c r="J32" s="382" t="s">
        <v>157</v>
      </c>
      <c r="K32" s="382">
        <v>18088402</v>
      </c>
      <c r="L32" s="382">
        <v>17172201</v>
      </c>
      <c r="M32" s="376" t="s">
        <v>157</v>
      </c>
      <c r="N32" s="376"/>
      <c r="O32" s="380">
        <v>41428</v>
      </c>
    </row>
    <row r="33" spans="1:248" ht="32.1" customHeight="1" x14ac:dyDescent="0.2">
      <c r="A33" s="6" t="s">
        <v>1461</v>
      </c>
      <c r="B33" s="6" t="s">
        <v>1797</v>
      </c>
      <c r="C33" s="395" t="s">
        <v>3131</v>
      </c>
      <c r="D33" s="2" t="s">
        <v>2226</v>
      </c>
      <c r="E33" s="6" t="s">
        <v>1015</v>
      </c>
      <c r="F33" s="384">
        <v>2010</v>
      </c>
      <c r="G33" s="386" t="s">
        <v>3142</v>
      </c>
      <c r="H33" s="382" t="s">
        <v>3143</v>
      </c>
      <c r="I33" s="382">
        <v>15893403</v>
      </c>
      <c r="J33" s="382" t="s">
        <v>157</v>
      </c>
      <c r="K33" s="382">
        <v>17269002</v>
      </c>
      <c r="L33" s="382">
        <v>17269301</v>
      </c>
      <c r="M33" s="376" t="s">
        <v>157</v>
      </c>
      <c r="N33" s="376"/>
      <c r="O33" s="380">
        <v>41428</v>
      </c>
    </row>
    <row r="34" spans="1:248" ht="32.1" customHeight="1" x14ac:dyDescent="0.2">
      <c r="A34" s="6" t="s">
        <v>1461</v>
      </c>
      <c r="B34" s="6" t="s">
        <v>1797</v>
      </c>
      <c r="C34" s="395" t="s">
        <v>3131</v>
      </c>
      <c r="D34" s="2" t="s">
        <v>2226</v>
      </c>
      <c r="E34" s="6" t="s">
        <v>1015</v>
      </c>
      <c r="F34" s="384">
        <v>2008</v>
      </c>
      <c r="G34" s="364" t="s">
        <v>3140</v>
      </c>
      <c r="H34" s="382" t="s">
        <v>3141</v>
      </c>
      <c r="I34" s="382">
        <v>15893403</v>
      </c>
      <c r="J34" s="382" t="s">
        <v>157</v>
      </c>
      <c r="K34" s="382">
        <v>16376402</v>
      </c>
      <c r="L34" s="382">
        <v>16788701</v>
      </c>
      <c r="M34" s="376" t="s">
        <v>157</v>
      </c>
      <c r="N34" s="376"/>
      <c r="O34" s="380">
        <v>41428</v>
      </c>
    </row>
    <row r="35" spans="1:248" s="10" customFormat="1" ht="33" customHeight="1" x14ac:dyDescent="0.2">
      <c r="A35" s="6" t="s">
        <v>1461</v>
      </c>
      <c r="B35" s="6" t="s">
        <v>1571</v>
      </c>
      <c r="C35" s="395" t="s">
        <v>3131</v>
      </c>
      <c r="D35" s="2" t="s">
        <v>2226</v>
      </c>
      <c r="E35" s="6" t="s">
        <v>1015</v>
      </c>
      <c r="F35" s="384"/>
      <c r="G35" s="364" t="s">
        <v>3227</v>
      </c>
      <c r="H35" s="382" t="s">
        <v>3132</v>
      </c>
      <c r="I35" s="382">
        <v>15893102</v>
      </c>
      <c r="J35" s="382">
        <v>15895402</v>
      </c>
      <c r="K35" s="382">
        <v>16076001</v>
      </c>
      <c r="L35" s="382">
        <v>16503602</v>
      </c>
      <c r="M35" s="376" t="s">
        <v>157</v>
      </c>
      <c r="N35" s="376"/>
      <c r="O35" s="380">
        <v>41428</v>
      </c>
    </row>
    <row r="36" spans="1:248" s="3" customFormat="1" ht="33" customHeight="1" x14ac:dyDescent="0.2">
      <c r="A36" s="6" t="s">
        <v>1461</v>
      </c>
      <c r="B36" s="6" t="s">
        <v>1797</v>
      </c>
      <c r="C36" s="395" t="s">
        <v>3098</v>
      </c>
      <c r="D36" s="2" t="s">
        <v>2226</v>
      </c>
      <c r="E36" s="6" t="s">
        <v>1015</v>
      </c>
      <c r="F36" s="384">
        <v>2012</v>
      </c>
      <c r="G36" s="364" t="s">
        <v>3228</v>
      </c>
      <c r="H36" s="382" t="s">
        <v>3104</v>
      </c>
      <c r="I36" s="376">
        <v>16304007</v>
      </c>
      <c r="J36" s="376" t="s">
        <v>157</v>
      </c>
      <c r="K36" s="376">
        <v>18048802</v>
      </c>
      <c r="L36" s="382">
        <v>17172001</v>
      </c>
      <c r="M36" s="376" t="s">
        <v>157</v>
      </c>
      <c r="N36" s="376"/>
      <c r="O36" s="380">
        <v>41428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</row>
    <row r="37" spans="1:248" s="3" customFormat="1" ht="33" customHeight="1" x14ac:dyDescent="0.2">
      <c r="A37" s="6" t="s">
        <v>1461</v>
      </c>
      <c r="B37" s="6" t="s">
        <v>1797</v>
      </c>
      <c r="C37" s="395" t="s">
        <v>3098</v>
      </c>
      <c r="D37" s="2" t="s">
        <v>2226</v>
      </c>
      <c r="E37" s="6" t="s">
        <v>1015</v>
      </c>
      <c r="F37" s="384">
        <v>2011</v>
      </c>
      <c r="G37" s="364" t="s">
        <v>3229</v>
      </c>
      <c r="H37" s="364" t="s">
        <v>3092</v>
      </c>
      <c r="I37" s="376">
        <v>16304007</v>
      </c>
      <c r="J37" s="376" t="s">
        <v>157</v>
      </c>
      <c r="K37" s="376">
        <v>15907402</v>
      </c>
      <c r="L37" s="376">
        <v>15919501</v>
      </c>
      <c r="M37" s="376" t="s">
        <v>157</v>
      </c>
      <c r="N37" s="376"/>
      <c r="O37" s="380">
        <v>41428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</row>
    <row r="38" spans="1:248" s="3" customFormat="1" ht="33" customHeight="1" x14ac:dyDescent="0.2">
      <c r="A38" s="6" t="s">
        <v>1461</v>
      </c>
      <c r="B38" s="6" t="s">
        <v>1797</v>
      </c>
      <c r="C38" s="395" t="s">
        <v>3098</v>
      </c>
      <c r="D38" s="2" t="s">
        <v>2226</v>
      </c>
      <c r="E38" s="6" t="s">
        <v>1015</v>
      </c>
      <c r="F38" s="384">
        <v>2011</v>
      </c>
      <c r="G38" s="364" t="s">
        <v>3230</v>
      </c>
      <c r="H38" s="364" t="s">
        <v>3139</v>
      </c>
      <c r="I38" s="376">
        <v>16304007</v>
      </c>
      <c r="J38" s="376" t="s">
        <v>157</v>
      </c>
      <c r="K38" s="376">
        <v>15907404</v>
      </c>
      <c r="L38" s="376">
        <v>17930501</v>
      </c>
      <c r="M38" s="376" t="s">
        <v>157</v>
      </c>
      <c r="N38" s="376"/>
      <c r="O38" s="380">
        <v>41428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</row>
    <row r="39" spans="1:248" s="10" customFormat="1" ht="45" x14ac:dyDescent="0.2">
      <c r="A39" s="6" t="s">
        <v>1461</v>
      </c>
      <c r="B39" s="6" t="s">
        <v>1571</v>
      </c>
      <c r="C39" s="395" t="s">
        <v>3133</v>
      </c>
      <c r="D39" s="2" t="s">
        <v>2226</v>
      </c>
      <c r="E39" s="6" t="s">
        <v>1015</v>
      </c>
      <c r="F39" s="384">
        <v>2012</v>
      </c>
      <c r="G39" s="364" t="s">
        <v>3134</v>
      </c>
      <c r="H39" s="364" t="s">
        <v>3135</v>
      </c>
      <c r="I39" s="376">
        <v>16006004</v>
      </c>
      <c r="J39" s="373" t="s">
        <v>157</v>
      </c>
      <c r="K39" s="378">
        <v>18052502</v>
      </c>
      <c r="L39" s="385" t="s">
        <v>157</v>
      </c>
      <c r="M39" s="376" t="s">
        <v>157</v>
      </c>
      <c r="N39" s="376"/>
      <c r="O39" s="380">
        <v>41428</v>
      </c>
    </row>
    <row r="40" spans="1:248" s="10" customFormat="1" ht="45" x14ac:dyDescent="0.2">
      <c r="A40" s="6" t="s">
        <v>1461</v>
      </c>
      <c r="B40" s="6" t="s">
        <v>1571</v>
      </c>
      <c r="C40" s="395" t="s">
        <v>3119</v>
      </c>
      <c r="D40" s="2" t="s">
        <v>2226</v>
      </c>
      <c r="E40" s="6" t="s">
        <v>1015</v>
      </c>
      <c r="F40" s="384">
        <v>2012</v>
      </c>
      <c r="G40" s="364" t="s">
        <v>3124</v>
      </c>
      <c r="H40" s="364" t="s">
        <v>3125</v>
      </c>
      <c r="I40" s="376">
        <v>16006004</v>
      </c>
      <c r="J40" s="373">
        <v>18049902</v>
      </c>
      <c r="K40" s="378">
        <v>18052502</v>
      </c>
      <c r="L40" s="378">
        <v>18050301</v>
      </c>
      <c r="M40" s="376" t="s">
        <v>157</v>
      </c>
      <c r="N40" s="376"/>
      <c r="O40" s="380">
        <v>41428</v>
      </c>
    </row>
    <row r="41" spans="1:248" s="10" customFormat="1" ht="45" x14ac:dyDescent="0.2">
      <c r="A41" s="6" t="s">
        <v>1461</v>
      </c>
      <c r="B41" s="6" t="s">
        <v>1571</v>
      </c>
      <c r="C41" s="395" t="s">
        <v>3119</v>
      </c>
      <c r="D41" s="2" t="s">
        <v>2226</v>
      </c>
      <c r="E41" s="6" t="s">
        <v>1015</v>
      </c>
      <c r="F41" s="384">
        <v>2011</v>
      </c>
      <c r="G41" s="364" t="s">
        <v>3122</v>
      </c>
      <c r="H41" s="364" t="s">
        <v>3123</v>
      </c>
      <c r="I41" s="376">
        <v>16006004</v>
      </c>
      <c r="J41" s="373">
        <v>15907103</v>
      </c>
      <c r="K41" s="378">
        <v>16750201</v>
      </c>
      <c r="L41" s="378">
        <v>17930601</v>
      </c>
      <c r="M41" s="376" t="s">
        <v>157</v>
      </c>
      <c r="N41" s="376"/>
      <c r="O41" s="380">
        <v>41428</v>
      </c>
    </row>
    <row r="42" spans="1:248" s="10" customFormat="1" ht="45" x14ac:dyDescent="0.2">
      <c r="A42" s="6" t="s">
        <v>1461</v>
      </c>
      <c r="B42" s="6" t="s">
        <v>1571</v>
      </c>
      <c r="C42" s="395" t="s">
        <v>3118</v>
      </c>
      <c r="D42" s="2" t="s">
        <v>2226</v>
      </c>
      <c r="E42" s="6" t="s">
        <v>1015</v>
      </c>
      <c r="F42" s="384">
        <v>2009</v>
      </c>
      <c r="G42" s="364" t="s">
        <v>3155</v>
      </c>
      <c r="H42" s="364" t="s">
        <v>3156</v>
      </c>
      <c r="I42" s="376">
        <v>16006004</v>
      </c>
      <c r="J42" s="373">
        <v>15907103</v>
      </c>
      <c r="K42" s="378">
        <v>16750101</v>
      </c>
      <c r="L42" s="378">
        <v>17930601</v>
      </c>
      <c r="M42" s="376" t="s">
        <v>157</v>
      </c>
      <c r="N42" s="376"/>
      <c r="O42" s="380">
        <v>41428</v>
      </c>
    </row>
    <row r="43" spans="1:248" s="10" customFormat="1" ht="45" x14ac:dyDescent="0.2">
      <c r="A43" s="6" t="s">
        <v>1461</v>
      </c>
      <c r="B43" s="6" t="s">
        <v>1571</v>
      </c>
      <c r="C43" s="395" t="s">
        <v>3118</v>
      </c>
      <c r="D43" s="2" t="s">
        <v>2226</v>
      </c>
      <c r="E43" s="6" t="s">
        <v>1015</v>
      </c>
      <c r="F43" s="384">
        <v>2009</v>
      </c>
      <c r="G43" s="364" t="s">
        <v>3120</v>
      </c>
      <c r="H43" s="364" t="s">
        <v>3121</v>
      </c>
      <c r="I43" s="376">
        <v>16006004</v>
      </c>
      <c r="J43" s="373">
        <v>15907102</v>
      </c>
      <c r="K43" s="378">
        <v>16750101</v>
      </c>
      <c r="L43" s="378">
        <v>15918401</v>
      </c>
      <c r="M43" s="376" t="s">
        <v>157</v>
      </c>
      <c r="N43" s="376"/>
      <c r="O43" s="380">
        <v>41428</v>
      </c>
    </row>
    <row r="44" spans="1:248" s="10" customFormat="1" ht="45" x14ac:dyDescent="0.2">
      <c r="A44" s="6" t="s">
        <v>1461</v>
      </c>
      <c r="B44" s="6" t="s">
        <v>1571</v>
      </c>
      <c r="C44" s="395" t="s">
        <v>3190</v>
      </c>
      <c r="D44" s="2" t="s">
        <v>2226</v>
      </c>
      <c r="E44" s="6" t="s">
        <v>1015</v>
      </c>
      <c r="F44" s="384">
        <v>2009</v>
      </c>
      <c r="G44" s="76" t="s">
        <v>3191</v>
      </c>
      <c r="H44" s="76" t="s">
        <v>3192</v>
      </c>
      <c r="I44" s="376">
        <v>16006004</v>
      </c>
      <c r="J44" s="392" t="s">
        <v>157</v>
      </c>
      <c r="K44" s="378">
        <v>16750201</v>
      </c>
      <c r="L44" s="378" t="s">
        <v>157</v>
      </c>
      <c r="M44" s="376" t="s">
        <v>157</v>
      </c>
      <c r="N44" s="376"/>
      <c r="O44" s="380"/>
    </row>
    <row r="45" spans="1:248" ht="25.5" x14ac:dyDescent="0.2">
      <c r="A45" s="6" t="s">
        <v>2219</v>
      </c>
      <c r="B45" s="6" t="s">
        <v>1797</v>
      </c>
      <c r="C45" s="396" t="s">
        <v>1464</v>
      </c>
      <c r="D45" s="2" t="s">
        <v>1714</v>
      </c>
      <c r="E45" s="6" t="s">
        <v>189</v>
      </c>
      <c r="F45" s="384">
        <v>1998</v>
      </c>
      <c r="G45" s="364" t="s">
        <v>3231</v>
      </c>
      <c r="H45" s="364" t="s">
        <v>1920</v>
      </c>
      <c r="I45" s="376">
        <v>13076102</v>
      </c>
      <c r="J45" s="373" t="s">
        <v>157</v>
      </c>
      <c r="K45" s="378">
        <v>13177701</v>
      </c>
      <c r="L45" s="378">
        <v>13535101</v>
      </c>
      <c r="M45" s="376" t="s">
        <v>157</v>
      </c>
      <c r="N45" s="376"/>
      <c r="O45" s="380">
        <v>41429</v>
      </c>
    </row>
    <row r="46" spans="1:248" ht="25.5" x14ac:dyDescent="0.2">
      <c r="A46" s="6" t="s">
        <v>2219</v>
      </c>
      <c r="B46" s="6" t="s">
        <v>1797</v>
      </c>
      <c r="C46" s="396" t="s">
        <v>919</v>
      </c>
      <c r="D46" s="2" t="s">
        <v>1714</v>
      </c>
      <c r="E46" s="6" t="s">
        <v>3172</v>
      </c>
      <c r="F46" s="384">
        <v>1999</v>
      </c>
      <c r="G46" s="364" t="s">
        <v>3232</v>
      </c>
      <c r="H46" s="364" t="s">
        <v>920</v>
      </c>
      <c r="I46" s="376">
        <v>13078202</v>
      </c>
      <c r="J46" s="373" t="s">
        <v>157</v>
      </c>
      <c r="K46" s="378">
        <v>14278701</v>
      </c>
      <c r="L46" s="378">
        <v>13078401</v>
      </c>
      <c r="M46" s="376" t="s">
        <v>157</v>
      </c>
      <c r="N46" s="376"/>
      <c r="O46" s="380">
        <v>41429</v>
      </c>
    </row>
    <row r="47" spans="1:248" ht="27.95" customHeight="1" x14ac:dyDescent="0.2">
      <c r="A47" s="6" t="s">
        <v>2219</v>
      </c>
      <c r="B47" s="6" t="s">
        <v>1797</v>
      </c>
      <c r="C47" s="396" t="s">
        <v>1037</v>
      </c>
      <c r="D47" s="2" t="s">
        <v>1714</v>
      </c>
      <c r="E47" s="6" t="s">
        <v>2763</v>
      </c>
      <c r="F47" s="384">
        <v>1996</v>
      </c>
      <c r="G47" s="364" t="s">
        <v>3233</v>
      </c>
      <c r="H47" s="364" t="s">
        <v>2079</v>
      </c>
      <c r="I47" s="376">
        <v>12997802</v>
      </c>
      <c r="J47" s="373" t="s">
        <v>157</v>
      </c>
      <c r="K47" s="378">
        <v>12997604</v>
      </c>
      <c r="L47" s="378">
        <v>13684301</v>
      </c>
      <c r="M47" s="376" t="s">
        <v>157</v>
      </c>
      <c r="N47" s="376"/>
      <c r="O47" s="380">
        <v>41429</v>
      </c>
    </row>
    <row r="48" spans="1:248" ht="27.95" customHeight="1" x14ac:dyDescent="0.2">
      <c r="A48" s="6" t="s">
        <v>2219</v>
      </c>
      <c r="B48" s="6" t="s">
        <v>1797</v>
      </c>
      <c r="C48" s="396" t="s">
        <v>1912</v>
      </c>
      <c r="D48" s="2" t="s">
        <v>1714</v>
      </c>
      <c r="E48" s="6" t="s">
        <v>3172</v>
      </c>
      <c r="F48" s="384">
        <v>1999</v>
      </c>
      <c r="G48" s="364" t="s">
        <v>3234</v>
      </c>
      <c r="H48" s="364" t="s">
        <v>1913</v>
      </c>
      <c r="I48" s="376">
        <v>13721401</v>
      </c>
      <c r="J48" s="373" t="s">
        <v>157</v>
      </c>
      <c r="K48" s="378">
        <v>14839701</v>
      </c>
      <c r="L48" s="378">
        <v>14281101</v>
      </c>
      <c r="M48" s="376">
        <v>13718601</v>
      </c>
      <c r="N48" s="376"/>
      <c r="O48" s="380">
        <v>41429</v>
      </c>
    </row>
    <row r="49" spans="1:15" ht="27.95" customHeight="1" x14ac:dyDescent="0.2">
      <c r="A49" s="6" t="s">
        <v>2219</v>
      </c>
      <c r="B49" s="6" t="s">
        <v>1797</v>
      </c>
      <c r="C49" s="396" t="s">
        <v>2135</v>
      </c>
      <c r="D49" s="2" t="s">
        <v>1714</v>
      </c>
      <c r="E49" s="6" t="s">
        <v>3172</v>
      </c>
      <c r="F49" s="384">
        <v>1999</v>
      </c>
      <c r="G49" s="364" t="s">
        <v>3235</v>
      </c>
      <c r="H49" s="364" t="s">
        <v>923</v>
      </c>
      <c r="I49" s="376">
        <v>13080102</v>
      </c>
      <c r="J49" s="373" t="s">
        <v>157</v>
      </c>
      <c r="K49" s="378">
        <v>14839701</v>
      </c>
      <c r="L49" s="378">
        <v>14281101</v>
      </c>
      <c r="M49" s="376" t="s">
        <v>157</v>
      </c>
      <c r="N49" s="376"/>
      <c r="O49" s="380">
        <v>41429</v>
      </c>
    </row>
    <row r="50" spans="1:15" ht="25.5" x14ac:dyDescent="0.2">
      <c r="A50" s="6" t="s">
        <v>2219</v>
      </c>
      <c r="B50" s="6" t="s">
        <v>1797</v>
      </c>
      <c r="C50" s="396" t="s">
        <v>3177</v>
      </c>
      <c r="D50" s="2" t="s">
        <v>1714</v>
      </c>
      <c r="E50" s="6" t="s">
        <v>2763</v>
      </c>
      <c r="F50" s="384">
        <v>1999</v>
      </c>
      <c r="G50" s="364" t="s">
        <v>3236</v>
      </c>
      <c r="H50" s="364" t="s">
        <v>3176</v>
      </c>
      <c r="I50" s="376">
        <v>13999002</v>
      </c>
      <c r="J50" s="373" t="s">
        <v>157</v>
      </c>
      <c r="K50" s="378">
        <v>12997604</v>
      </c>
      <c r="L50" s="378">
        <v>13684301</v>
      </c>
      <c r="M50" s="376" t="s">
        <v>157</v>
      </c>
      <c r="N50" s="376"/>
      <c r="O50" s="380">
        <v>41429</v>
      </c>
    </row>
    <row r="51" spans="1:15" ht="25.5" x14ac:dyDescent="0.2">
      <c r="A51" s="6" t="s">
        <v>2219</v>
      </c>
      <c r="B51" s="6" t="s">
        <v>1571</v>
      </c>
      <c r="C51" s="396" t="s">
        <v>2628</v>
      </c>
      <c r="D51" s="2" t="s">
        <v>1714</v>
      </c>
      <c r="E51" s="6" t="s">
        <v>2379</v>
      </c>
      <c r="F51" s="384">
        <v>1997</v>
      </c>
      <c r="G51" s="364" t="s">
        <v>3237</v>
      </c>
      <c r="H51" s="364" t="s">
        <v>2629</v>
      </c>
      <c r="I51" s="376">
        <v>13269701</v>
      </c>
      <c r="J51" s="373" t="s">
        <v>157</v>
      </c>
      <c r="K51" s="378">
        <v>13296502</v>
      </c>
      <c r="L51" s="378">
        <v>13477301</v>
      </c>
      <c r="M51" s="376" t="s">
        <v>157</v>
      </c>
      <c r="N51" s="376"/>
      <c r="O51" s="380"/>
    </row>
    <row r="52" spans="1:15" ht="12.75" x14ac:dyDescent="0.2">
      <c r="A52" s="6"/>
      <c r="B52" s="6"/>
      <c r="C52" s="396"/>
      <c r="D52" s="2"/>
      <c r="E52" s="6"/>
      <c r="F52" s="384"/>
      <c r="G52" s="364"/>
      <c r="H52" s="364"/>
      <c r="I52" s="376"/>
      <c r="J52" s="373"/>
      <c r="K52" s="378"/>
      <c r="L52" s="378"/>
      <c r="M52" s="376"/>
      <c r="N52" s="376"/>
      <c r="O52" s="380"/>
    </row>
    <row r="53" spans="1:15" ht="22.5" x14ac:dyDescent="0.2">
      <c r="A53" s="6" t="s">
        <v>2219</v>
      </c>
      <c r="B53" s="6" t="s">
        <v>1571</v>
      </c>
      <c r="C53" s="340" t="s">
        <v>3212</v>
      </c>
      <c r="D53" s="2" t="s">
        <v>1714</v>
      </c>
      <c r="E53" s="6" t="s">
        <v>3172</v>
      </c>
      <c r="F53" s="384">
        <v>1998</v>
      </c>
      <c r="G53" s="364" t="s">
        <v>3238</v>
      </c>
      <c r="H53" s="76" t="s">
        <v>636</v>
      </c>
      <c r="I53" s="376">
        <v>13590405</v>
      </c>
      <c r="J53" s="373">
        <v>14659502</v>
      </c>
      <c r="K53" s="378">
        <v>14277713</v>
      </c>
      <c r="L53" s="378">
        <v>13591501</v>
      </c>
      <c r="M53" s="376" t="s">
        <v>157</v>
      </c>
      <c r="N53" s="9"/>
      <c r="O53" s="380"/>
    </row>
    <row r="54" spans="1:15" ht="22.5" x14ac:dyDescent="0.2">
      <c r="A54" s="6" t="s">
        <v>2219</v>
      </c>
      <c r="B54" s="6" t="s">
        <v>1571</v>
      </c>
      <c r="C54" s="340" t="s">
        <v>3212</v>
      </c>
      <c r="D54" s="2" t="s">
        <v>1714</v>
      </c>
      <c r="E54" s="6" t="s">
        <v>3172</v>
      </c>
      <c r="F54" s="384">
        <v>1998</v>
      </c>
      <c r="G54" s="364" t="s">
        <v>3239</v>
      </c>
      <c r="H54" s="76" t="s">
        <v>1946</v>
      </c>
      <c r="I54" s="376">
        <v>13590405</v>
      </c>
      <c r="J54" s="373">
        <v>14659502</v>
      </c>
      <c r="K54" s="378">
        <v>14277710</v>
      </c>
      <c r="L54" s="378">
        <v>13591501</v>
      </c>
      <c r="M54" s="376" t="s">
        <v>157</v>
      </c>
      <c r="N54" s="376" t="s">
        <v>3207</v>
      </c>
      <c r="O54" s="380"/>
    </row>
    <row r="55" spans="1:15" ht="22.5" x14ac:dyDescent="0.2">
      <c r="A55" s="6" t="s">
        <v>2219</v>
      </c>
      <c r="B55" s="6" t="s">
        <v>1571</v>
      </c>
      <c r="C55" s="340" t="s">
        <v>3210</v>
      </c>
      <c r="D55" s="2" t="s">
        <v>1714</v>
      </c>
      <c r="E55" s="6" t="s">
        <v>3172</v>
      </c>
      <c r="F55" s="384">
        <v>1998</v>
      </c>
      <c r="G55" s="364" t="s">
        <v>3240</v>
      </c>
      <c r="H55" s="76" t="s">
        <v>3208</v>
      </c>
      <c r="I55" s="376">
        <v>13590405</v>
      </c>
      <c r="J55" s="373" t="s">
        <v>157</v>
      </c>
      <c r="K55" s="378">
        <v>13590202</v>
      </c>
      <c r="L55" s="378">
        <v>13277801</v>
      </c>
      <c r="M55" s="376" t="s">
        <v>157</v>
      </c>
      <c r="N55" s="376" t="s">
        <v>3207</v>
      </c>
      <c r="O55" s="380"/>
    </row>
    <row r="56" spans="1:15" ht="22.5" x14ac:dyDescent="0.2">
      <c r="A56" s="6" t="s">
        <v>2219</v>
      </c>
      <c r="B56" s="6" t="s">
        <v>1571</v>
      </c>
      <c r="C56" s="340" t="s">
        <v>3210</v>
      </c>
      <c r="D56" s="2" t="s">
        <v>1714</v>
      </c>
      <c r="E56" s="6" t="s">
        <v>3172</v>
      </c>
      <c r="F56" s="384">
        <v>1998</v>
      </c>
      <c r="G56" s="364" t="s">
        <v>3241</v>
      </c>
      <c r="H56" s="76" t="s">
        <v>3209</v>
      </c>
      <c r="I56" s="376">
        <v>13590405</v>
      </c>
      <c r="J56" s="373" t="s">
        <v>157</v>
      </c>
      <c r="K56" s="378">
        <v>13590206</v>
      </c>
      <c r="L56" s="378">
        <v>13277801</v>
      </c>
      <c r="M56" s="376" t="s">
        <v>157</v>
      </c>
      <c r="N56" s="376"/>
      <c r="O56" s="380"/>
    </row>
    <row r="57" spans="1:15" ht="22.5" x14ac:dyDescent="0.2">
      <c r="A57" s="6" t="s">
        <v>2219</v>
      </c>
      <c r="B57" s="6" t="s">
        <v>1571</v>
      </c>
      <c r="C57" s="340" t="s">
        <v>3206</v>
      </c>
      <c r="D57" s="2" t="s">
        <v>1714</v>
      </c>
      <c r="E57" s="6" t="s">
        <v>3172</v>
      </c>
      <c r="F57" s="384">
        <v>1998</v>
      </c>
      <c r="G57" s="364" t="s">
        <v>3242</v>
      </c>
      <c r="H57" s="76" t="s">
        <v>3205</v>
      </c>
      <c r="I57" s="376">
        <v>13590405</v>
      </c>
      <c r="J57" s="373">
        <v>13076402</v>
      </c>
      <c r="K57" s="378">
        <v>13590213</v>
      </c>
      <c r="L57" s="378">
        <v>13275401</v>
      </c>
      <c r="M57" s="376" t="s">
        <v>157</v>
      </c>
      <c r="N57" s="376" t="s">
        <v>3207</v>
      </c>
      <c r="O57" s="380"/>
    </row>
    <row r="58" spans="1:15" ht="22.5" x14ac:dyDescent="0.2">
      <c r="A58" s="6" t="s">
        <v>2219</v>
      </c>
      <c r="B58" s="6" t="s">
        <v>1571</v>
      </c>
      <c r="C58" s="340" t="s">
        <v>3206</v>
      </c>
      <c r="D58" s="2" t="s">
        <v>1714</v>
      </c>
      <c r="E58" s="6" t="s">
        <v>3172</v>
      </c>
      <c r="F58" s="384">
        <v>1998</v>
      </c>
      <c r="G58" s="364" t="s">
        <v>3243</v>
      </c>
      <c r="H58" s="76" t="s">
        <v>3204</v>
      </c>
      <c r="I58" s="376">
        <v>13590405</v>
      </c>
      <c r="J58" s="373">
        <v>13076402</v>
      </c>
      <c r="K58" s="378">
        <v>13590210</v>
      </c>
      <c r="L58" s="378">
        <v>13275401</v>
      </c>
      <c r="M58" s="376" t="s">
        <v>157</v>
      </c>
      <c r="N58" s="376"/>
      <c r="O58" s="380"/>
    </row>
    <row r="59" spans="1:15" ht="27.95" customHeight="1" x14ac:dyDescent="0.2">
      <c r="A59" s="6" t="s">
        <v>2219</v>
      </c>
      <c r="B59" s="6" t="s">
        <v>1571</v>
      </c>
      <c r="C59" s="217" t="s">
        <v>2004</v>
      </c>
      <c r="D59" s="2" t="s">
        <v>1714</v>
      </c>
      <c r="E59" s="6" t="s">
        <v>3172</v>
      </c>
      <c r="F59" s="384">
        <v>1997</v>
      </c>
      <c r="G59" s="364" t="s">
        <v>3244</v>
      </c>
      <c r="H59" s="76" t="s">
        <v>2005</v>
      </c>
      <c r="I59" s="376">
        <v>12892202</v>
      </c>
      <c r="J59" s="392" t="s">
        <v>157</v>
      </c>
      <c r="K59" s="378">
        <v>12967201</v>
      </c>
      <c r="L59" s="378">
        <v>13477301</v>
      </c>
      <c r="M59" s="376" t="s">
        <v>157</v>
      </c>
      <c r="N59" s="376"/>
      <c r="O59" s="380"/>
    </row>
    <row r="60" spans="1:15" ht="27.95" customHeight="1" x14ac:dyDescent="0.2">
      <c r="A60" s="6" t="s">
        <v>2219</v>
      </c>
      <c r="B60" s="6" t="s">
        <v>1571</v>
      </c>
      <c r="C60" s="217" t="s">
        <v>2138</v>
      </c>
      <c r="D60" s="2" t="s">
        <v>1714</v>
      </c>
      <c r="E60" s="6" t="s">
        <v>3172</v>
      </c>
      <c r="F60" s="384">
        <v>1998</v>
      </c>
      <c r="G60" s="364" t="s">
        <v>3245</v>
      </c>
      <c r="H60" s="76" t="s">
        <v>2139</v>
      </c>
      <c r="I60" s="376">
        <v>13591005</v>
      </c>
      <c r="J60" s="392">
        <v>13078902</v>
      </c>
      <c r="K60" s="378">
        <v>13590210</v>
      </c>
      <c r="L60" s="378">
        <v>13275401</v>
      </c>
      <c r="M60" s="376" t="s">
        <v>157</v>
      </c>
      <c r="N60" s="376"/>
      <c r="O60" s="380"/>
    </row>
    <row r="61" spans="1:15" ht="27.95" customHeight="1" x14ac:dyDescent="0.2">
      <c r="A61" s="6" t="s">
        <v>2219</v>
      </c>
      <c r="B61" s="6" t="s">
        <v>1571</v>
      </c>
      <c r="C61" s="217" t="s">
        <v>2141</v>
      </c>
      <c r="D61" s="2" t="s">
        <v>1714</v>
      </c>
      <c r="E61" s="6" t="s">
        <v>3172</v>
      </c>
      <c r="F61" s="384">
        <v>1998</v>
      </c>
      <c r="G61" s="364" t="s">
        <v>3246</v>
      </c>
      <c r="H61" s="76" t="s">
        <v>2142</v>
      </c>
      <c r="I61" s="376">
        <v>13591005</v>
      </c>
      <c r="J61" s="392">
        <v>13078902</v>
      </c>
      <c r="K61" s="378">
        <v>13590802</v>
      </c>
      <c r="L61" s="378">
        <v>13275401</v>
      </c>
      <c r="M61" s="376" t="s">
        <v>157</v>
      </c>
      <c r="N61" s="376"/>
      <c r="O61" s="380"/>
    </row>
    <row r="62" spans="1:15" ht="27.95" customHeight="1" x14ac:dyDescent="0.2">
      <c r="A62" s="6" t="s">
        <v>2219</v>
      </c>
      <c r="B62" s="6" t="s">
        <v>1571</v>
      </c>
      <c r="C62" s="340" t="s">
        <v>2138</v>
      </c>
      <c r="D62" s="2" t="s">
        <v>1714</v>
      </c>
      <c r="E62" s="6" t="s">
        <v>3172</v>
      </c>
      <c r="F62" s="384">
        <v>1998</v>
      </c>
      <c r="G62" s="364" t="s">
        <v>3247</v>
      </c>
      <c r="H62" s="76" t="s">
        <v>1949</v>
      </c>
      <c r="I62" s="376">
        <v>13591005</v>
      </c>
      <c r="J62" s="392">
        <v>14278102</v>
      </c>
      <c r="K62" s="378">
        <v>14277710</v>
      </c>
      <c r="L62" s="378">
        <v>14281001</v>
      </c>
      <c r="M62" s="376" t="s">
        <v>157</v>
      </c>
      <c r="N62" s="376"/>
      <c r="O62" s="380"/>
    </row>
    <row r="63" spans="1:15" ht="27.95" customHeight="1" x14ac:dyDescent="0.2">
      <c r="A63" s="6" t="s">
        <v>2219</v>
      </c>
      <c r="B63" s="6" t="s">
        <v>1571</v>
      </c>
      <c r="C63" s="340" t="s">
        <v>3215</v>
      </c>
      <c r="D63" s="2" t="s">
        <v>1714</v>
      </c>
      <c r="E63" s="6" t="s">
        <v>3172</v>
      </c>
      <c r="F63" s="384">
        <v>1998</v>
      </c>
      <c r="G63" s="364" t="s">
        <v>3248</v>
      </c>
      <c r="H63" s="76" t="s">
        <v>1189</v>
      </c>
      <c r="I63" s="376">
        <v>13591005</v>
      </c>
      <c r="J63" s="392">
        <v>14278102</v>
      </c>
      <c r="K63" s="378">
        <v>13590802</v>
      </c>
      <c r="L63" s="378">
        <v>14281001</v>
      </c>
      <c r="M63" s="376" t="s">
        <v>157</v>
      </c>
      <c r="N63" s="376"/>
      <c r="O63" s="380"/>
    </row>
    <row r="64" spans="1:15" ht="25.5" x14ac:dyDescent="0.2">
      <c r="A64" s="6" t="s">
        <v>2219</v>
      </c>
      <c r="B64" s="6" t="s">
        <v>1571</v>
      </c>
      <c r="C64" s="396" t="s">
        <v>1999</v>
      </c>
      <c r="D64" s="2" t="s">
        <v>1714</v>
      </c>
      <c r="E64" s="6" t="s">
        <v>3172</v>
      </c>
      <c r="F64" s="384">
        <v>1997</v>
      </c>
      <c r="G64" s="364" t="s">
        <v>3249</v>
      </c>
      <c r="H64" s="364" t="s">
        <v>3200</v>
      </c>
      <c r="I64" s="376">
        <v>12908002</v>
      </c>
      <c r="J64" s="392" t="s">
        <v>157</v>
      </c>
      <c r="K64" s="378">
        <v>12967101</v>
      </c>
      <c r="L64" s="378">
        <v>13477301</v>
      </c>
      <c r="M64" s="376" t="s">
        <v>157</v>
      </c>
      <c r="N64" s="376"/>
      <c r="O64" s="380"/>
    </row>
    <row r="65" spans="1:15" ht="25.5" x14ac:dyDescent="0.2">
      <c r="A65" s="6" t="s">
        <v>2219</v>
      </c>
      <c r="B65" s="6" t="s">
        <v>1571</v>
      </c>
      <c r="C65" s="396" t="s">
        <v>1044</v>
      </c>
      <c r="D65" s="2" t="s">
        <v>1714</v>
      </c>
      <c r="E65" s="6" t="s">
        <v>2379</v>
      </c>
      <c r="F65" s="384">
        <v>1997</v>
      </c>
      <c r="G65" s="364" t="s">
        <v>3250</v>
      </c>
      <c r="H65" s="364" t="s">
        <v>172</v>
      </c>
      <c r="I65" s="376">
        <v>13622901</v>
      </c>
      <c r="J65" s="373" t="s">
        <v>157</v>
      </c>
      <c r="K65" s="378">
        <v>13622701</v>
      </c>
      <c r="L65" s="378">
        <v>13619601</v>
      </c>
      <c r="M65" s="376" t="s">
        <v>157</v>
      </c>
      <c r="N65" s="376"/>
      <c r="O65" s="380"/>
    </row>
    <row r="66" spans="1:15" ht="36.6" customHeight="1" x14ac:dyDescent="0.2">
      <c r="A66" s="6" t="s">
        <v>3196</v>
      </c>
      <c r="B66" s="6" t="s">
        <v>1571</v>
      </c>
      <c r="C66" s="396" t="s">
        <v>2051</v>
      </c>
      <c r="D66" s="2"/>
      <c r="E66" s="6" t="s">
        <v>2763</v>
      </c>
      <c r="F66" s="384"/>
      <c r="G66" s="364" t="s">
        <v>3251</v>
      </c>
      <c r="H66" s="364" t="s">
        <v>3195</v>
      </c>
      <c r="I66" s="376">
        <v>12674504</v>
      </c>
      <c r="J66" s="373" t="s">
        <v>157</v>
      </c>
      <c r="K66" s="378">
        <v>12998401</v>
      </c>
      <c r="L66" s="378">
        <v>12367302</v>
      </c>
      <c r="M66" s="376" t="s">
        <v>157</v>
      </c>
      <c r="N66" s="376"/>
    </row>
  </sheetData>
  <autoFilter ref="A2:N22" xr:uid="{00000000-0009-0000-0000-000005000000}"/>
  <customSheetViews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pageSetup orientation="portrait" horizontalDpi="1200" verticalDpi="1200" r:id="rId1"/>
      <headerFooter alignWithMargins="0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pageSetup orientation="portrait" horizontalDpi="1200" verticalDpi="1200" r:id="rId2"/>
      <headerFooter alignWithMargins="0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pageSetup orientation="portrait" horizontalDpi="1200" verticalDpi="1200" r:id="rId3"/>
      <headerFooter alignWithMargins="0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pageSetup orientation="portrait" horizontalDpi="1200" verticalDpi="1200" r:id="rId4"/>
      <headerFooter alignWithMargins="0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pageSetup orientation="portrait" horizontalDpi="1200" verticalDpi="1200" r:id="rId5"/>
      <headerFooter alignWithMargins="0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pageSetup orientation="portrait" horizontalDpi="1200" verticalDpi="1200" r:id="rId6"/>
      <headerFooter alignWithMargins="0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cale="115" showAutoFilter="1">
      <pane xSplit="5" ySplit="2" topLeftCell="H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21F37784-ACDF-4AA9-A8FA-2D6F1A2FCD6C}" showAutoFilter="1">
      <pane xSplit="3" ySplit="2" topLeftCell="D3" activePane="bottomRight" state="frozen"/>
      <selection pane="bottomRight" activeCell="G8" sqref="G8"/>
      <pageMargins left="0.75" right="0.75" top="1" bottom="1" header="0.5" footer="0.5"/>
      <autoFilter ref="B1:O1" xr:uid="{00000000-0000-0000-0000-000000000000}"/>
    </customSheetView>
    <customSheetView guid="{BD983C39-643B-49A4-A851-3C307533663B}" showAutoFilter="1">
      <pane xSplit="3" ySplit="2" topLeftCell="D3" activePane="bottomRight" state="frozen"/>
      <selection pane="bottomRight" activeCell="G8" sqref="G8"/>
      <pageMargins left="0.75" right="0.75" top="1" bottom="1" header="0.5" footer="0.5"/>
      <pageSetup orientation="portrait" horizontalDpi="1200" verticalDpi="1200" r:id="rId7"/>
      <headerFooter alignWithMargins="0"/>
      <autoFilter ref="B1:O1" xr:uid="{00000000-0000-0000-0000-000000000000}"/>
    </customSheetView>
  </customSheetViews>
  <mergeCells count="2">
    <mergeCell ref="A1:D1"/>
    <mergeCell ref="G1:K1"/>
  </mergeCells>
  <pageMargins left="0.75" right="0.75" top="1" bottom="1" header="0.5" footer="0.5"/>
  <pageSetup orientation="portrait" horizontalDpi="1200" verticalDpi="1200" r:id="rId8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transitionEvaluation="1">
    <pageSetUpPr fitToPage="1"/>
  </sheetPr>
  <dimension ref="A1:IT4458"/>
  <sheetViews>
    <sheetView showGridLines="0" defaultGridColor="0" colorId="22" zoomScaleNormal="100" zoomScaleSheetLayoutView="70" workbookViewId="0">
      <pane ySplit="6" topLeftCell="A7" activePane="bottomLeft" state="frozen"/>
      <selection pane="bottomLeft" activeCell="F112" sqref="F112"/>
    </sheetView>
  </sheetViews>
  <sheetFormatPr defaultColWidth="12" defaultRowHeight="15" x14ac:dyDescent="0.2"/>
  <cols>
    <col min="1" max="1" width="6.42578125" style="290" bestFit="1" customWidth="1"/>
    <col min="2" max="2" width="2.85546875" style="290" bestFit="1" customWidth="1"/>
    <col min="3" max="3" width="6.42578125" style="290" bestFit="1" customWidth="1"/>
    <col min="4" max="4" width="12.42578125" style="290" customWidth="1"/>
    <col min="5" max="5" width="11.42578125" style="290" bestFit="1" customWidth="1"/>
    <col min="6" max="6" width="35.42578125" style="290" bestFit="1" customWidth="1"/>
    <col min="7" max="7" width="18.85546875" style="290" bestFit="1" customWidth="1"/>
    <col min="8" max="8" width="18.85546875" style="290" customWidth="1"/>
    <col min="9" max="9" width="6.42578125" style="290" bestFit="1" customWidth="1"/>
    <col min="10" max="10" width="7.42578125" style="290" bestFit="1" customWidth="1"/>
    <col min="11" max="11" width="5.42578125" style="290" bestFit="1" customWidth="1"/>
    <col min="12" max="12" width="6.42578125" style="290" bestFit="1" customWidth="1"/>
    <col min="13" max="13" width="10.42578125" style="290" bestFit="1" customWidth="1"/>
    <col min="14" max="15" width="8.42578125" style="290" customWidth="1"/>
    <col min="16" max="16" width="9.42578125" style="290" customWidth="1"/>
    <col min="17" max="17" width="12.42578125" style="290" customWidth="1"/>
    <col min="18" max="18" width="13.85546875" style="290" customWidth="1"/>
    <col min="19" max="19" width="13.42578125" style="290" bestFit="1" customWidth="1"/>
    <col min="20" max="20" width="18" style="290" customWidth="1"/>
    <col min="21" max="21" width="13.140625" style="290" bestFit="1" customWidth="1"/>
    <col min="22" max="22" width="6.42578125" style="290" customWidth="1"/>
    <col min="23" max="23" width="6" style="290" customWidth="1"/>
    <col min="24" max="24" width="9.42578125" style="291" bestFit="1" customWidth="1"/>
    <col min="25" max="25" width="10.42578125" style="290" customWidth="1"/>
    <col min="26" max="26" width="16.42578125" style="290" bestFit="1" customWidth="1"/>
    <col min="27" max="27" width="11.42578125" style="290" customWidth="1"/>
    <col min="28" max="28" width="9.140625" style="290" customWidth="1"/>
    <col min="29" max="29" width="10" style="290" customWidth="1"/>
    <col min="30" max="30" width="7.42578125" style="290" customWidth="1"/>
    <col min="31" max="31" width="21.42578125" style="290" customWidth="1"/>
    <col min="32" max="32" width="9.42578125" style="290" customWidth="1"/>
    <col min="33" max="33" width="13.42578125" style="289" customWidth="1"/>
    <col min="34" max="34" width="12" style="289" customWidth="1"/>
    <col min="35" max="16384" width="12" style="289"/>
  </cols>
  <sheetData>
    <row r="1" spans="1:40" x14ac:dyDescent="0.2">
      <c r="A1" s="110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22"/>
      <c r="Y1" s="110"/>
      <c r="Z1" s="110"/>
      <c r="AA1" s="110"/>
      <c r="AB1" s="110"/>
      <c r="AC1" s="110"/>
      <c r="AD1" s="110"/>
      <c r="AE1" s="110"/>
      <c r="AF1" s="110"/>
      <c r="AG1" s="88"/>
      <c r="AI1" s="88"/>
      <c r="AJ1" s="88"/>
      <c r="AK1" s="88"/>
      <c r="AL1" s="88"/>
      <c r="AM1" s="88"/>
      <c r="AN1" s="88"/>
    </row>
    <row r="2" spans="1:40" ht="23.25" x14ac:dyDescent="0.2">
      <c r="A2" s="123" t="s">
        <v>1446</v>
      </c>
      <c r="B2" s="124"/>
      <c r="C2" s="124"/>
      <c r="D2" s="124"/>
      <c r="F2" s="110"/>
      <c r="G2" s="110"/>
      <c r="H2" s="110"/>
      <c r="I2" s="110"/>
      <c r="J2" s="110"/>
      <c r="K2" s="110"/>
      <c r="L2" s="110"/>
      <c r="N2" s="125"/>
      <c r="O2" s="125"/>
      <c r="P2" s="125"/>
      <c r="Q2" s="125"/>
      <c r="R2" s="125"/>
      <c r="S2" s="110"/>
      <c r="T2" s="110"/>
      <c r="U2" s="110"/>
      <c r="V2" s="110"/>
      <c r="W2" s="110"/>
      <c r="X2" s="122"/>
      <c r="Y2" s="110"/>
      <c r="Z2" s="110"/>
      <c r="AA2" s="110"/>
      <c r="AB2" s="110"/>
      <c r="AC2" s="110"/>
      <c r="AD2" s="110"/>
      <c r="AE2" s="110"/>
      <c r="AF2" s="110"/>
      <c r="AG2" s="126"/>
      <c r="AI2" s="88"/>
      <c r="AJ2" s="88"/>
      <c r="AK2" s="88"/>
      <c r="AL2" s="88"/>
      <c r="AM2" s="88"/>
      <c r="AN2" s="88"/>
    </row>
    <row r="3" spans="1:40" ht="15.75" thickBot="1" x14ac:dyDescent="0.25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22"/>
      <c r="Y3" s="127"/>
      <c r="Z3" s="110"/>
      <c r="AA3" s="110"/>
      <c r="AB3" s="110"/>
      <c r="AC3" s="110"/>
      <c r="AD3" s="110"/>
      <c r="AE3" s="110"/>
      <c r="AF3" s="110"/>
      <c r="AG3" s="88"/>
      <c r="AI3" s="88"/>
      <c r="AJ3" s="88"/>
      <c r="AK3" s="88"/>
      <c r="AL3" s="88"/>
      <c r="AM3" s="88"/>
      <c r="AN3" s="88"/>
    </row>
    <row r="4" spans="1:40" ht="33" customHeight="1" x14ac:dyDescent="0.2">
      <c r="A4" s="128" t="s">
        <v>415</v>
      </c>
      <c r="B4" s="129"/>
      <c r="C4" s="129"/>
      <c r="D4" s="130"/>
      <c r="E4" s="128" t="s">
        <v>1071</v>
      </c>
      <c r="F4" s="131"/>
      <c r="G4" s="128" t="s">
        <v>875</v>
      </c>
      <c r="H4" s="132"/>
      <c r="I4" s="128" t="s">
        <v>416</v>
      </c>
      <c r="J4" s="131"/>
      <c r="K4" s="131"/>
      <c r="L4" s="132"/>
      <c r="M4" s="128" t="s">
        <v>417</v>
      </c>
      <c r="N4" s="131"/>
      <c r="O4" s="131"/>
      <c r="P4" s="131"/>
      <c r="Q4" s="131"/>
      <c r="R4" s="132"/>
      <c r="S4" s="128" t="s">
        <v>873</v>
      </c>
      <c r="T4" s="131"/>
      <c r="U4" s="132"/>
      <c r="V4" s="131"/>
      <c r="W4" s="132"/>
      <c r="X4" s="128" t="s">
        <v>418</v>
      </c>
      <c r="Y4" s="300"/>
      <c r="Z4" s="307"/>
      <c r="AA4" s="133" t="s">
        <v>419</v>
      </c>
      <c r="AB4" s="134"/>
      <c r="AC4" s="132"/>
      <c r="AD4" s="135" t="s">
        <v>420</v>
      </c>
      <c r="AE4" s="136"/>
      <c r="AF4" s="137"/>
      <c r="AG4" s="1067" t="s">
        <v>3010</v>
      </c>
    </row>
    <row r="5" spans="1:40" ht="25.5" x14ac:dyDescent="0.2">
      <c r="A5" s="138" t="s">
        <v>421</v>
      </c>
      <c r="B5" s="139" t="s">
        <v>1784</v>
      </c>
      <c r="C5" s="139" t="s">
        <v>422</v>
      </c>
      <c r="D5" s="31" t="s">
        <v>423</v>
      </c>
      <c r="E5" s="138" t="s">
        <v>2728</v>
      </c>
      <c r="F5" s="32" t="s">
        <v>2731</v>
      </c>
      <c r="G5" s="144" t="s">
        <v>1401</v>
      </c>
      <c r="H5" s="141" t="s">
        <v>435</v>
      </c>
      <c r="I5" s="138" t="s">
        <v>421</v>
      </c>
      <c r="J5" s="140" t="s">
        <v>423</v>
      </c>
      <c r="K5" s="140" t="s">
        <v>424</v>
      </c>
      <c r="L5" s="141" t="s">
        <v>425</v>
      </c>
      <c r="M5" s="138" t="s">
        <v>272</v>
      </c>
      <c r="N5" s="32" t="s">
        <v>426</v>
      </c>
      <c r="O5" s="32" t="s">
        <v>427</v>
      </c>
      <c r="P5" s="32" t="s">
        <v>428</v>
      </c>
      <c r="Q5" s="32" t="s">
        <v>271</v>
      </c>
      <c r="R5" s="142" t="s">
        <v>1545</v>
      </c>
      <c r="S5" s="138" t="s">
        <v>429</v>
      </c>
      <c r="T5" s="140" t="s">
        <v>430</v>
      </c>
      <c r="U5" s="142" t="s">
        <v>1592</v>
      </c>
      <c r="V5" s="32" t="s">
        <v>431</v>
      </c>
      <c r="W5" s="141" t="s">
        <v>432</v>
      </c>
      <c r="X5" s="143" t="s">
        <v>433</v>
      </c>
      <c r="Y5" s="140" t="s">
        <v>1190</v>
      </c>
      <c r="Z5" s="33" t="s">
        <v>434</v>
      </c>
      <c r="AA5" s="145" t="s">
        <v>436</v>
      </c>
      <c r="AB5" s="146" t="s">
        <v>437</v>
      </c>
      <c r="AC5" s="141" t="s">
        <v>438</v>
      </c>
      <c r="AD5" s="145" t="s">
        <v>439</v>
      </c>
      <c r="AE5" s="146" t="s">
        <v>440</v>
      </c>
      <c r="AF5" s="147" t="s">
        <v>441</v>
      </c>
      <c r="AG5" s="1067"/>
    </row>
    <row r="6" spans="1:40" ht="22.7" customHeight="1" thickBot="1" x14ac:dyDescent="0.25">
      <c r="A6" s="148" t="s">
        <v>442</v>
      </c>
      <c r="B6" s="149"/>
      <c r="C6" s="149" t="s">
        <v>442</v>
      </c>
      <c r="D6" s="150" t="s">
        <v>442</v>
      </c>
      <c r="E6" s="148"/>
      <c r="F6" s="151"/>
      <c r="G6" s="148"/>
      <c r="H6" s="152"/>
      <c r="I6" s="148" t="s">
        <v>442</v>
      </c>
      <c r="J6" s="151" t="s">
        <v>442</v>
      </c>
      <c r="K6" s="151"/>
      <c r="L6" s="152"/>
      <c r="M6" s="148"/>
      <c r="N6" s="151"/>
      <c r="O6" s="151" t="s">
        <v>443</v>
      </c>
      <c r="P6" s="151"/>
      <c r="Q6" s="151"/>
      <c r="R6" s="152"/>
      <c r="S6" s="148"/>
      <c r="T6" s="151"/>
      <c r="U6" s="152"/>
      <c r="V6" s="151" t="s">
        <v>443</v>
      </c>
      <c r="W6" s="152" t="s">
        <v>442</v>
      </c>
      <c r="X6" s="153"/>
      <c r="Y6" s="151"/>
      <c r="Z6" s="152" t="s">
        <v>444</v>
      </c>
      <c r="AA6" s="154"/>
      <c r="AB6" s="155"/>
      <c r="AC6" s="152" t="s">
        <v>442</v>
      </c>
      <c r="AD6" s="154"/>
      <c r="AE6" s="155" t="s">
        <v>244</v>
      </c>
      <c r="AF6" s="152" t="s">
        <v>442</v>
      </c>
      <c r="AG6" s="1067"/>
    </row>
    <row r="7" spans="1:40" ht="15.75" x14ac:dyDescent="0.2">
      <c r="A7" s="156" t="s">
        <v>245</v>
      </c>
      <c r="B7" s="81"/>
      <c r="C7" s="81"/>
      <c r="D7" s="40"/>
      <c r="E7" s="37"/>
      <c r="F7" s="35"/>
      <c r="G7" s="37"/>
      <c r="H7" s="38"/>
      <c r="I7" s="37"/>
      <c r="J7" s="157"/>
      <c r="K7" s="35"/>
      <c r="L7" s="38"/>
      <c r="M7" s="37"/>
      <c r="N7" s="34"/>
      <c r="O7" s="35"/>
      <c r="P7" s="35"/>
      <c r="Q7" s="35"/>
      <c r="R7" s="36"/>
      <c r="S7" s="37"/>
      <c r="T7" s="35"/>
      <c r="U7" s="38"/>
      <c r="V7" s="35"/>
      <c r="W7" s="38"/>
      <c r="X7" s="107"/>
      <c r="Y7" s="39"/>
      <c r="Z7" s="36"/>
      <c r="AA7" s="43"/>
      <c r="AB7" s="44"/>
      <c r="AC7" s="38"/>
      <c r="AD7" s="43"/>
      <c r="AE7" s="44"/>
      <c r="AF7" s="36"/>
      <c r="AG7" s="79"/>
    </row>
    <row r="8" spans="1:40" ht="33.75" customHeight="1" x14ac:dyDescent="0.2">
      <c r="A8" s="37">
        <v>206</v>
      </c>
      <c r="B8" s="81" t="s">
        <v>1784</v>
      </c>
      <c r="C8" s="81">
        <v>42</v>
      </c>
      <c r="D8" s="158"/>
      <c r="E8" s="37" t="s">
        <v>638</v>
      </c>
      <c r="F8" s="35" t="s">
        <v>350</v>
      </c>
      <c r="G8" s="37">
        <v>25904962</v>
      </c>
      <c r="H8" s="38">
        <v>16993901</v>
      </c>
      <c r="I8" s="47" t="s">
        <v>1035</v>
      </c>
      <c r="J8" s="48" t="s">
        <v>1035</v>
      </c>
      <c r="K8" s="48" t="s">
        <v>1035</v>
      </c>
      <c r="L8" s="49" t="s">
        <v>1035</v>
      </c>
      <c r="M8" s="37" t="s">
        <v>246</v>
      </c>
      <c r="N8" s="34">
        <v>6.32</v>
      </c>
      <c r="O8" s="34"/>
      <c r="P8" s="35" t="s">
        <v>802</v>
      </c>
      <c r="Q8" s="35" t="s">
        <v>114</v>
      </c>
      <c r="R8" s="76" t="s">
        <v>2848</v>
      </c>
      <c r="S8" s="37" t="s">
        <v>249</v>
      </c>
      <c r="T8" s="35" t="s">
        <v>250</v>
      </c>
      <c r="U8" s="38" t="s">
        <v>251</v>
      </c>
      <c r="V8" s="35"/>
      <c r="W8" s="38"/>
      <c r="X8" s="107" t="s">
        <v>1789</v>
      </c>
      <c r="Y8" s="39" t="s">
        <v>1206</v>
      </c>
      <c r="Z8" s="36"/>
      <c r="AA8" s="43" t="s">
        <v>256</v>
      </c>
      <c r="AB8" s="44" t="s">
        <v>1205</v>
      </c>
      <c r="AC8" s="38">
        <v>0.75</v>
      </c>
      <c r="AD8" s="163">
        <v>4.0999999999999996</v>
      </c>
      <c r="AE8" s="44">
        <v>4300</v>
      </c>
      <c r="AF8" s="36">
        <v>26</v>
      </c>
      <c r="AG8" s="79"/>
    </row>
    <row r="9" spans="1:40" ht="33.75" customHeight="1" x14ac:dyDescent="0.2">
      <c r="A9" s="37">
        <v>242</v>
      </c>
      <c r="B9" s="81" t="s">
        <v>1784</v>
      </c>
      <c r="C9" s="81">
        <v>62</v>
      </c>
      <c r="D9" s="158">
        <v>84.5</v>
      </c>
      <c r="E9" s="37" t="s">
        <v>702</v>
      </c>
      <c r="F9" s="35" t="s">
        <v>720</v>
      </c>
      <c r="G9" s="37" t="s">
        <v>721</v>
      </c>
      <c r="H9" s="38">
        <v>130345</v>
      </c>
      <c r="I9" s="47"/>
      <c r="J9" s="48"/>
      <c r="K9" s="48"/>
      <c r="L9" s="49"/>
      <c r="M9" s="37" t="s">
        <v>246</v>
      </c>
      <c r="N9" s="34">
        <v>6.7</v>
      </c>
      <c r="O9" s="34">
        <v>7.6</v>
      </c>
      <c r="P9" s="35" t="s">
        <v>157</v>
      </c>
      <c r="Q9" s="35" t="s">
        <v>114</v>
      </c>
      <c r="R9" s="581" t="s">
        <v>4059</v>
      </c>
      <c r="S9" s="37" t="s">
        <v>249</v>
      </c>
      <c r="T9" s="35" t="s">
        <v>250</v>
      </c>
      <c r="U9" s="38" t="s">
        <v>251</v>
      </c>
      <c r="V9" s="35">
        <v>17.5</v>
      </c>
      <c r="W9" s="38">
        <v>378</v>
      </c>
      <c r="X9" s="107" t="s">
        <v>1789</v>
      </c>
      <c r="Y9" s="39" t="s">
        <v>2695</v>
      </c>
      <c r="Z9" s="36">
        <v>30</v>
      </c>
      <c r="AA9" s="43" t="s">
        <v>256</v>
      </c>
      <c r="AB9" s="44" t="s">
        <v>1205</v>
      </c>
      <c r="AC9" s="38">
        <v>0.75</v>
      </c>
      <c r="AD9" s="163">
        <v>4.0999999999999996</v>
      </c>
      <c r="AE9" s="44">
        <v>3314</v>
      </c>
      <c r="AF9" s="36">
        <v>25.4</v>
      </c>
      <c r="AG9" s="79"/>
    </row>
    <row r="10" spans="1:40" ht="38.25" x14ac:dyDescent="0.2">
      <c r="A10" s="37">
        <v>242</v>
      </c>
      <c r="B10" s="81" t="s">
        <v>1784</v>
      </c>
      <c r="C10" s="81">
        <v>62</v>
      </c>
      <c r="D10" s="40">
        <v>84.5</v>
      </c>
      <c r="E10" s="108" t="s">
        <v>3080</v>
      </c>
      <c r="F10" s="35" t="s">
        <v>3079</v>
      </c>
      <c r="G10" s="108" t="s">
        <v>3081</v>
      </c>
      <c r="H10" s="38">
        <v>17607702</v>
      </c>
      <c r="I10" s="47" t="s">
        <v>1035</v>
      </c>
      <c r="J10" s="48" t="s">
        <v>1035</v>
      </c>
      <c r="K10" s="48" t="s">
        <v>1035</v>
      </c>
      <c r="L10" s="49" t="s">
        <v>1035</v>
      </c>
      <c r="M10" s="37" t="s">
        <v>246</v>
      </c>
      <c r="N10" s="34">
        <v>6.7</v>
      </c>
      <c r="O10" s="34">
        <f>16.7/2.204</f>
        <v>7.5771324863883835</v>
      </c>
      <c r="P10" s="35" t="s">
        <v>1210</v>
      </c>
      <c r="Q10" s="35" t="s">
        <v>114</v>
      </c>
      <c r="R10" s="581" t="s">
        <v>4059</v>
      </c>
      <c r="S10" s="37" t="s">
        <v>2190</v>
      </c>
      <c r="T10" s="35" t="s">
        <v>2189</v>
      </c>
      <c r="U10" s="38" t="s">
        <v>251</v>
      </c>
      <c r="V10" s="35" t="s">
        <v>2201</v>
      </c>
      <c r="W10" s="41">
        <v>378.46</v>
      </c>
      <c r="X10" s="107" t="s">
        <v>1789</v>
      </c>
      <c r="Y10" s="39" t="s">
        <v>2695</v>
      </c>
      <c r="Z10" s="109">
        <v>30</v>
      </c>
      <c r="AA10" s="43" t="s">
        <v>256</v>
      </c>
      <c r="AB10" s="44" t="s">
        <v>1205</v>
      </c>
      <c r="AC10" s="38">
        <v>0.75</v>
      </c>
      <c r="AD10" s="163">
        <v>4</v>
      </c>
      <c r="AE10" s="44">
        <v>3314</v>
      </c>
      <c r="AF10" s="36">
        <v>25.4</v>
      </c>
      <c r="AG10" s="79"/>
    </row>
    <row r="11" spans="1:40" ht="33.75" customHeight="1" x14ac:dyDescent="0.2">
      <c r="A11" s="50">
        <v>242</v>
      </c>
      <c r="B11" s="80" t="s">
        <v>1784</v>
      </c>
      <c r="C11" s="80">
        <v>62</v>
      </c>
      <c r="D11" s="96" t="s">
        <v>1814</v>
      </c>
      <c r="E11" s="50" t="s">
        <v>702</v>
      </c>
      <c r="F11" s="51" t="s">
        <v>726</v>
      </c>
      <c r="G11" s="50" t="s">
        <v>728</v>
      </c>
      <c r="H11" s="55">
        <v>136586</v>
      </c>
      <c r="I11" s="47" t="s">
        <v>1035</v>
      </c>
      <c r="J11" s="48" t="s">
        <v>1035</v>
      </c>
      <c r="K11" s="48" t="s">
        <v>1035</v>
      </c>
      <c r="L11" s="49" t="s">
        <v>1035</v>
      </c>
      <c r="M11" s="50" t="s">
        <v>246</v>
      </c>
      <c r="N11" s="45" t="s">
        <v>1210</v>
      </c>
      <c r="O11" s="51">
        <v>10</v>
      </c>
      <c r="P11" s="51" t="s">
        <v>247</v>
      </c>
      <c r="Q11" s="35" t="s">
        <v>114</v>
      </c>
      <c r="R11" s="581" t="s">
        <v>4059</v>
      </c>
      <c r="S11" s="47" t="s">
        <v>1035</v>
      </c>
      <c r="T11" s="48" t="s">
        <v>1035</v>
      </c>
      <c r="U11" s="49" t="s">
        <v>1035</v>
      </c>
      <c r="V11" s="51" t="s">
        <v>727</v>
      </c>
      <c r="W11" s="159">
        <v>378.46</v>
      </c>
      <c r="X11" s="107" t="s">
        <v>1789</v>
      </c>
      <c r="Y11" s="39" t="s">
        <v>2695</v>
      </c>
      <c r="Z11" s="46">
        <v>30</v>
      </c>
      <c r="AA11" s="58" t="s">
        <v>2205</v>
      </c>
      <c r="AB11" s="59" t="s">
        <v>2205</v>
      </c>
      <c r="AC11" s="55" t="s">
        <v>2205</v>
      </c>
      <c r="AD11" s="164" t="s">
        <v>2205</v>
      </c>
      <c r="AE11" s="44" t="s">
        <v>2205</v>
      </c>
      <c r="AF11" s="36" t="s">
        <v>2205</v>
      </c>
      <c r="AG11" s="79"/>
    </row>
    <row r="12" spans="1:40" s="110" customFormat="1" ht="33.75" customHeight="1" x14ac:dyDescent="0.2">
      <c r="A12" s="50">
        <v>206</v>
      </c>
      <c r="B12" s="80" t="s">
        <v>1784</v>
      </c>
      <c r="C12" s="80">
        <v>42</v>
      </c>
      <c r="D12" s="60">
        <v>82</v>
      </c>
      <c r="E12" s="37" t="s">
        <v>702</v>
      </c>
      <c r="F12" s="64" t="s">
        <v>775</v>
      </c>
      <c r="G12" s="50" t="s">
        <v>776</v>
      </c>
      <c r="H12" s="55">
        <v>14589403</v>
      </c>
      <c r="I12" s="47" t="s">
        <v>1035</v>
      </c>
      <c r="J12" s="61"/>
      <c r="K12" s="61"/>
      <c r="L12" s="62"/>
      <c r="M12" s="50" t="s">
        <v>246</v>
      </c>
      <c r="N12" s="45">
        <v>6.3</v>
      </c>
      <c r="O12" s="45">
        <v>10</v>
      </c>
      <c r="P12" s="51"/>
      <c r="Q12" s="39" t="s">
        <v>114</v>
      </c>
      <c r="R12" s="581" t="s">
        <v>4059</v>
      </c>
      <c r="S12" s="63" t="s">
        <v>249</v>
      </c>
      <c r="T12" s="51" t="s">
        <v>250</v>
      </c>
      <c r="U12" s="38" t="s">
        <v>251</v>
      </c>
      <c r="V12" s="35" t="s">
        <v>723</v>
      </c>
      <c r="W12" s="41">
        <v>378.46</v>
      </c>
      <c r="X12" s="65">
        <v>2004</v>
      </c>
      <c r="Y12" s="39" t="s">
        <v>1206</v>
      </c>
      <c r="Z12" s="109">
        <v>30</v>
      </c>
      <c r="AA12" s="58" t="s">
        <v>256</v>
      </c>
      <c r="AB12" s="59"/>
      <c r="AC12" s="38">
        <v>0.75</v>
      </c>
      <c r="AD12" s="164"/>
      <c r="AE12" s="59"/>
      <c r="AF12" s="42"/>
      <c r="AG12" s="79"/>
    </row>
    <row r="13" spans="1:40" ht="33.75" customHeight="1" x14ac:dyDescent="0.2">
      <c r="A13" s="50">
        <v>242</v>
      </c>
      <c r="B13" s="80" t="s">
        <v>1784</v>
      </c>
      <c r="C13" s="80">
        <v>62</v>
      </c>
      <c r="D13" s="60">
        <v>82</v>
      </c>
      <c r="E13" s="37" t="s">
        <v>638</v>
      </c>
      <c r="F13" s="51" t="s">
        <v>777</v>
      </c>
      <c r="G13" s="50">
        <v>15083679</v>
      </c>
      <c r="H13" s="55">
        <v>146470</v>
      </c>
      <c r="I13" s="82" t="s">
        <v>1035</v>
      </c>
      <c r="J13" s="61" t="s">
        <v>1035</v>
      </c>
      <c r="K13" s="61" t="s">
        <v>1035</v>
      </c>
      <c r="L13" s="62" t="s">
        <v>1035</v>
      </c>
      <c r="M13" s="50" t="s">
        <v>246</v>
      </c>
      <c r="N13" s="45">
        <v>6.7</v>
      </c>
      <c r="O13" s="45">
        <v>10</v>
      </c>
      <c r="P13" s="51" t="s">
        <v>1205</v>
      </c>
      <c r="Q13" s="39" t="s">
        <v>114</v>
      </c>
      <c r="R13" s="293" t="s">
        <v>2848</v>
      </c>
      <c r="S13" s="37" t="s">
        <v>249</v>
      </c>
      <c r="T13" s="35" t="s">
        <v>250</v>
      </c>
      <c r="U13" s="38" t="s">
        <v>251</v>
      </c>
      <c r="V13" s="51">
        <v>8845</v>
      </c>
      <c r="W13" s="55">
        <v>391</v>
      </c>
      <c r="X13" s="101">
        <v>2004</v>
      </c>
      <c r="Y13" s="66" t="s">
        <v>2695</v>
      </c>
      <c r="Z13" s="46">
        <v>66</v>
      </c>
      <c r="AA13" s="58" t="s">
        <v>256</v>
      </c>
      <c r="AB13" s="59" t="s">
        <v>1205</v>
      </c>
      <c r="AC13" s="38">
        <v>0.75</v>
      </c>
      <c r="AD13" s="164">
        <v>4</v>
      </c>
      <c r="AE13" s="59" t="s">
        <v>778</v>
      </c>
      <c r="AF13" s="46">
        <v>25.4</v>
      </c>
      <c r="AG13" s="79"/>
    </row>
    <row r="14" spans="1:40" ht="33.75" customHeight="1" x14ac:dyDescent="0.2">
      <c r="A14" s="37">
        <v>295</v>
      </c>
      <c r="B14" s="81" t="s">
        <v>1784</v>
      </c>
      <c r="C14" s="81">
        <v>60</v>
      </c>
      <c r="D14" s="74">
        <v>67</v>
      </c>
      <c r="E14" s="37" t="s">
        <v>812</v>
      </c>
      <c r="F14" s="39" t="s">
        <v>813</v>
      </c>
      <c r="G14" s="63" t="s">
        <v>814</v>
      </c>
      <c r="H14" s="36" t="s">
        <v>815</v>
      </c>
      <c r="I14" s="68">
        <f>7/8*25.4</f>
        <v>22.224999999999998</v>
      </c>
      <c r="J14" s="61" t="s">
        <v>1035</v>
      </c>
      <c r="K14" s="39" t="s">
        <v>1683</v>
      </c>
      <c r="L14" s="36" t="s">
        <v>730</v>
      </c>
      <c r="M14" s="71" t="s">
        <v>1684</v>
      </c>
      <c r="N14" s="69">
        <v>2.5</v>
      </c>
      <c r="O14" s="39">
        <v>7.1289999999999996</v>
      </c>
      <c r="P14" s="39" t="s">
        <v>1205</v>
      </c>
      <c r="Q14" s="39" t="s">
        <v>114</v>
      </c>
      <c r="R14" s="46" t="s">
        <v>1324</v>
      </c>
      <c r="S14" s="63" t="s">
        <v>249</v>
      </c>
      <c r="T14" s="39" t="s">
        <v>811</v>
      </c>
      <c r="U14" s="38" t="s">
        <v>251</v>
      </c>
      <c r="V14" s="39">
        <v>2790</v>
      </c>
      <c r="W14" s="36">
        <v>373</v>
      </c>
      <c r="X14" s="63">
        <v>2004</v>
      </c>
      <c r="Y14" s="39" t="s">
        <v>1239</v>
      </c>
      <c r="Z14" s="36">
        <v>300</v>
      </c>
      <c r="AA14" s="75" t="s">
        <v>742</v>
      </c>
      <c r="AB14" s="76" t="s">
        <v>718</v>
      </c>
      <c r="AC14" s="36">
        <v>0.6</v>
      </c>
      <c r="AD14" s="166">
        <v>7.1</v>
      </c>
      <c r="AE14" s="76"/>
      <c r="AF14" s="36"/>
      <c r="AG14" s="79"/>
    </row>
    <row r="15" spans="1:40" ht="33.75" customHeight="1" thickBot="1" x14ac:dyDescent="0.25">
      <c r="A15" s="50">
        <v>206</v>
      </c>
      <c r="B15" s="80" t="s">
        <v>1784</v>
      </c>
      <c r="C15" s="80">
        <v>30</v>
      </c>
      <c r="D15" s="60"/>
      <c r="E15" s="37" t="s">
        <v>312</v>
      </c>
      <c r="F15" s="51" t="s">
        <v>1754</v>
      </c>
      <c r="G15" s="51" t="s">
        <v>619</v>
      </c>
      <c r="H15" s="51">
        <v>16607602</v>
      </c>
      <c r="I15" s="82" t="s">
        <v>1035</v>
      </c>
      <c r="J15" s="61" t="s">
        <v>1035</v>
      </c>
      <c r="K15" s="61" t="s">
        <v>1035</v>
      </c>
      <c r="L15" s="62" t="s">
        <v>1035</v>
      </c>
      <c r="M15" s="50" t="s">
        <v>246</v>
      </c>
      <c r="N15" s="45">
        <v>6.3</v>
      </c>
      <c r="O15" s="45"/>
      <c r="P15" s="51" t="s">
        <v>718</v>
      </c>
      <c r="Q15" s="39" t="s">
        <v>114</v>
      </c>
      <c r="R15" s="293" t="s">
        <v>669</v>
      </c>
      <c r="S15" s="37" t="s">
        <v>817</v>
      </c>
      <c r="T15" s="35" t="s">
        <v>2189</v>
      </c>
      <c r="U15" s="38" t="s">
        <v>251</v>
      </c>
      <c r="V15" s="51">
        <v>2625</v>
      </c>
      <c r="W15" s="51">
        <v>358.1</v>
      </c>
      <c r="X15" s="101">
        <v>2005</v>
      </c>
      <c r="Y15" s="66" t="s">
        <v>783</v>
      </c>
      <c r="Z15" s="51"/>
      <c r="AA15" s="58" t="s">
        <v>256</v>
      </c>
      <c r="AB15" s="59" t="s">
        <v>1205</v>
      </c>
      <c r="AC15" s="38">
        <v>0.75</v>
      </c>
      <c r="AD15" s="167"/>
      <c r="AE15" s="78"/>
      <c r="AF15" s="77"/>
      <c r="AG15" s="79">
        <f>2.15442*2.2</f>
        <v>4.7397240000000007</v>
      </c>
    </row>
    <row r="16" spans="1:40" ht="33.75" customHeight="1" thickBot="1" x14ac:dyDescent="0.25">
      <c r="A16" s="50">
        <v>242</v>
      </c>
      <c r="B16" s="80" t="s">
        <v>1784</v>
      </c>
      <c r="C16" s="80">
        <v>62</v>
      </c>
      <c r="D16" s="60">
        <v>82</v>
      </c>
      <c r="E16" s="37" t="s">
        <v>312</v>
      </c>
      <c r="F16" s="51" t="s">
        <v>3009</v>
      </c>
      <c r="G16" s="50" t="s">
        <v>3066</v>
      </c>
      <c r="H16" s="50">
        <v>18537001</v>
      </c>
      <c r="I16" s="82" t="s">
        <v>1035</v>
      </c>
      <c r="J16" s="61" t="s">
        <v>1035</v>
      </c>
      <c r="K16" s="61" t="s">
        <v>1035</v>
      </c>
      <c r="L16" s="62" t="s">
        <v>1035</v>
      </c>
      <c r="M16" s="50" t="s">
        <v>246</v>
      </c>
      <c r="N16" s="45">
        <v>6.7</v>
      </c>
      <c r="O16" s="106" t="s">
        <v>2953</v>
      </c>
      <c r="P16" s="51" t="s">
        <v>2797</v>
      </c>
      <c r="Q16" s="39" t="s">
        <v>114</v>
      </c>
      <c r="R16" s="293" t="s">
        <v>2226</v>
      </c>
      <c r="S16" s="37" t="s">
        <v>817</v>
      </c>
      <c r="T16" s="35" t="s">
        <v>2189</v>
      </c>
      <c r="U16" s="38" t="s">
        <v>251</v>
      </c>
      <c r="V16" s="51">
        <v>8845</v>
      </c>
      <c r="W16" s="55">
        <v>391</v>
      </c>
      <c r="X16" s="103" t="s">
        <v>1589</v>
      </c>
      <c r="Y16" s="66" t="s">
        <v>1206</v>
      </c>
      <c r="Z16" s="46">
        <v>50</v>
      </c>
      <c r="AA16" s="58" t="s">
        <v>256</v>
      </c>
      <c r="AB16" s="59" t="s">
        <v>1205</v>
      </c>
      <c r="AC16" s="38">
        <v>0.75</v>
      </c>
      <c r="AD16" s="167"/>
      <c r="AE16" s="78"/>
      <c r="AF16" s="77"/>
      <c r="AG16" s="79">
        <v>18.399999999999999</v>
      </c>
    </row>
    <row r="17" spans="1:254" ht="33.75" customHeight="1" thickBot="1" x14ac:dyDescent="0.25">
      <c r="A17" s="50">
        <v>206</v>
      </c>
      <c r="B17" s="80" t="s">
        <v>1784</v>
      </c>
      <c r="C17" s="80">
        <v>42</v>
      </c>
      <c r="D17" s="60">
        <v>82</v>
      </c>
      <c r="E17" s="37" t="s">
        <v>312</v>
      </c>
      <c r="F17" s="51" t="s">
        <v>3078</v>
      </c>
      <c r="G17" s="55" t="s">
        <v>3100</v>
      </c>
      <c r="H17" s="55" t="s">
        <v>3101</v>
      </c>
      <c r="I17" s="97" t="s">
        <v>1035</v>
      </c>
      <c r="J17" s="98" t="s">
        <v>1035</v>
      </c>
      <c r="K17" s="98" t="s">
        <v>1035</v>
      </c>
      <c r="L17" s="99" t="s">
        <v>1035</v>
      </c>
      <c r="M17" s="50" t="s">
        <v>246</v>
      </c>
      <c r="N17" s="45">
        <v>6.2</v>
      </c>
      <c r="O17" s="45">
        <v>5.3</v>
      </c>
      <c r="P17" s="51" t="s">
        <v>2797</v>
      </c>
      <c r="Q17" s="66" t="s">
        <v>114</v>
      </c>
      <c r="R17" s="38" t="s">
        <v>2226</v>
      </c>
      <c r="S17" s="50" t="s">
        <v>817</v>
      </c>
      <c r="T17" s="35" t="s">
        <v>2189</v>
      </c>
      <c r="U17" s="55" t="s">
        <v>251</v>
      </c>
      <c r="V17" s="51">
        <v>5670</v>
      </c>
      <c r="W17" s="55">
        <v>377.4</v>
      </c>
      <c r="X17" s="101">
        <v>2012</v>
      </c>
      <c r="Y17" s="66" t="s">
        <v>1206</v>
      </c>
      <c r="Z17" s="46">
        <v>300</v>
      </c>
      <c r="AA17" s="58" t="s">
        <v>256</v>
      </c>
      <c r="AB17" s="59" t="s">
        <v>1205</v>
      </c>
      <c r="AC17" s="55">
        <v>0.75</v>
      </c>
      <c r="AD17" s="167"/>
      <c r="AE17" s="78"/>
      <c r="AF17" s="77"/>
      <c r="AG17" s="79">
        <v>7.9</v>
      </c>
    </row>
    <row r="18" spans="1:254" ht="33.75" customHeight="1" thickBot="1" x14ac:dyDescent="0.25">
      <c r="A18" s="50">
        <v>206</v>
      </c>
      <c r="B18" s="80" t="s">
        <v>1784</v>
      </c>
      <c r="C18" s="80">
        <v>30</v>
      </c>
      <c r="D18" s="96" t="s">
        <v>1588</v>
      </c>
      <c r="E18" s="37" t="s">
        <v>312</v>
      </c>
      <c r="F18" s="51" t="s">
        <v>1198</v>
      </c>
      <c r="G18" s="50" t="s">
        <v>2227</v>
      </c>
      <c r="H18" s="55" t="s">
        <v>1727</v>
      </c>
      <c r="I18" s="97" t="s">
        <v>1035</v>
      </c>
      <c r="J18" s="98" t="s">
        <v>1035</v>
      </c>
      <c r="K18" s="98" t="s">
        <v>1035</v>
      </c>
      <c r="L18" s="99" t="s">
        <v>1035</v>
      </c>
      <c r="M18" s="100" t="s">
        <v>246</v>
      </c>
      <c r="N18" s="45" t="s">
        <v>1786</v>
      </c>
      <c r="O18" s="95">
        <v>1.43</v>
      </c>
      <c r="P18" s="51" t="s">
        <v>257</v>
      </c>
      <c r="Q18" s="66" t="s">
        <v>114</v>
      </c>
      <c r="R18" s="293" t="s">
        <v>2226</v>
      </c>
      <c r="S18" s="50" t="s">
        <v>817</v>
      </c>
      <c r="T18" s="35" t="s">
        <v>2189</v>
      </c>
      <c r="U18" s="55" t="s">
        <v>251</v>
      </c>
      <c r="V18" s="51">
        <v>3265</v>
      </c>
      <c r="W18" s="55">
        <v>359</v>
      </c>
      <c r="X18" s="101">
        <v>2011</v>
      </c>
      <c r="Y18" s="66" t="s">
        <v>1206</v>
      </c>
      <c r="Z18" s="46">
        <v>150</v>
      </c>
      <c r="AA18" s="58" t="s">
        <v>256</v>
      </c>
      <c r="AB18" s="59" t="s">
        <v>1205</v>
      </c>
      <c r="AC18" s="55">
        <v>0.75</v>
      </c>
      <c r="AD18" s="167">
        <v>4.2</v>
      </c>
      <c r="AE18" s="78"/>
      <c r="AF18" s="77"/>
      <c r="AG18" s="79"/>
    </row>
    <row r="19" spans="1:254" ht="33.75" customHeight="1" x14ac:dyDescent="0.2">
      <c r="A19" s="700">
        <v>206</v>
      </c>
      <c r="B19" s="709" t="s">
        <v>1784</v>
      </c>
      <c r="C19" s="709">
        <v>34</v>
      </c>
      <c r="D19" s="715"/>
      <c r="E19" s="700" t="s">
        <v>702</v>
      </c>
      <c r="F19" s="703" t="s">
        <v>4226</v>
      </c>
      <c r="G19" s="714" t="s">
        <v>4227</v>
      </c>
      <c r="H19" s="710" t="s">
        <v>4228</v>
      </c>
      <c r="I19" s="712" t="s">
        <v>1229</v>
      </c>
      <c r="J19" s="704" t="s">
        <v>1229</v>
      </c>
      <c r="K19" s="703" t="s">
        <v>1229</v>
      </c>
      <c r="L19" s="699" t="s">
        <v>1229</v>
      </c>
      <c r="M19" s="713" t="s">
        <v>246</v>
      </c>
      <c r="N19" s="698">
        <v>6.3</v>
      </c>
      <c r="O19" s="716">
        <v>5.83</v>
      </c>
      <c r="P19" s="701" t="s">
        <v>718</v>
      </c>
      <c r="Q19" s="703" t="s">
        <v>114</v>
      </c>
      <c r="R19" s="703" t="s">
        <v>2908</v>
      </c>
      <c r="S19" s="705" t="s">
        <v>817</v>
      </c>
      <c r="T19" s="697" t="s">
        <v>2189</v>
      </c>
      <c r="U19" s="702" t="s">
        <v>251</v>
      </c>
      <c r="V19" s="701">
        <v>3719</v>
      </c>
      <c r="W19" s="702">
        <v>375.9</v>
      </c>
      <c r="X19" s="705">
        <v>2012</v>
      </c>
      <c r="Y19" s="703" t="s">
        <v>1206</v>
      </c>
      <c r="Z19" s="703"/>
      <c r="AA19" s="706" t="s">
        <v>256</v>
      </c>
      <c r="AB19" s="707" t="s">
        <v>1205</v>
      </c>
      <c r="AC19" s="699">
        <v>0.75</v>
      </c>
      <c r="AD19" s="711">
        <v>4</v>
      </c>
      <c r="AE19" s="707"/>
      <c r="AF19" s="699"/>
      <c r="AG19" s="708">
        <v>8.15</v>
      </c>
      <c r="AH19" s="696"/>
      <c r="AI19" s="696"/>
      <c r="AJ19" s="696"/>
      <c r="AK19" s="696"/>
      <c r="AL19" s="696"/>
      <c r="AM19" s="696"/>
      <c r="AN19" s="696"/>
      <c r="AO19" s="696"/>
      <c r="AP19" s="696"/>
      <c r="AQ19" s="696"/>
      <c r="AR19" s="696"/>
      <c r="AS19" s="696"/>
      <c r="AT19" s="696"/>
      <c r="AU19" s="696"/>
      <c r="AV19" s="696"/>
      <c r="AW19" s="696"/>
      <c r="AX19" s="696"/>
      <c r="AY19" s="696"/>
      <c r="AZ19" s="696"/>
      <c r="BA19" s="696"/>
      <c r="BB19" s="696"/>
      <c r="BC19" s="696"/>
      <c r="BD19" s="696"/>
      <c r="BE19" s="696"/>
      <c r="BF19" s="696"/>
      <c r="BG19" s="696"/>
      <c r="BH19" s="696"/>
      <c r="BI19" s="696"/>
      <c r="BJ19" s="696"/>
      <c r="BK19" s="696"/>
      <c r="BL19" s="696"/>
      <c r="BM19" s="696"/>
      <c r="BN19" s="696"/>
      <c r="BO19" s="696"/>
      <c r="BP19" s="696"/>
      <c r="BQ19" s="696"/>
      <c r="BR19" s="696"/>
      <c r="BS19" s="696"/>
      <c r="BT19" s="696"/>
      <c r="BU19" s="696"/>
      <c r="BV19" s="696"/>
      <c r="BW19" s="696"/>
      <c r="BX19" s="696"/>
      <c r="BY19" s="696"/>
      <c r="BZ19" s="696"/>
      <c r="CA19" s="696"/>
      <c r="CB19" s="696"/>
      <c r="CC19" s="696"/>
      <c r="CD19" s="696"/>
      <c r="CE19" s="696"/>
      <c r="CF19" s="696"/>
      <c r="CG19" s="696"/>
      <c r="CH19" s="696"/>
      <c r="CI19" s="696"/>
      <c r="CJ19" s="696"/>
      <c r="CK19" s="696"/>
      <c r="CL19" s="696"/>
      <c r="CM19" s="696"/>
      <c r="CN19" s="696"/>
      <c r="CO19" s="696"/>
      <c r="CP19" s="696"/>
      <c r="CQ19" s="696"/>
      <c r="CR19" s="696"/>
      <c r="CS19" s="696"/>
      <c r="CT19" s="696"/>
      <c r="CU19" s="696"/>
      <c r="CV19" s="696"/>
      <c r="CW19" s="696"/>
      <c r="CX19" s="696"/>
      <c r="CY19" s="696"/>
      <c r="CZ19" s="696"/>
      <c r="DA19" s="696"/>
      <c r="DB19" s="696"/>
      <c r="DC19" s="696"/>
      <c r="DD19" s="696"/>
      <c r="DE19" s="696"/>
      <c r="DF19" s="696"/>
      <c r="DG19" s="696"/>
      <c r="DH19" s="696"/>
      <c r="DI19" s="696"/>
      <c r="DJ19" s="696"/>
      <c r="DK19" s="696"/>
      <c r="DL19" s="696"/>
      <c r="DM19" s="696"/>
      <c r="DN19" s="696"/>
      <c r="DO19" s="696"/>
      <c r="DP19" s="696"/>
      <c r="DQ19" s="696"/>
      <c r="DR19" s="696"/>
      <c r="DS19" s="696"/>
      <c r="DT19" s="696"/>
      <c r="DU19" s="696"/>
      <c r="DV19" s="696"/>
      <c r="DW19" s="696"/>
      <c r="DX19" s="696"/>
      <c r="DY19" s="696"/>
      <c r="DZ19" s="696"/>
      <c r="EA19" s="696"/>
      <c r="EB19" s="696"/>
      <c r="EC19" s="696"/>
      <c r="ED19" s="696"/>
      <c r="EE19" s="696"/>
      <c r="EF19" s="696"/>
      <c r="EG19" s="696"/>
      <c r="EH19" s="696"/>
      <c r="EI19" s="696"/>
      <c r="EJ19" s="696"/>
      <c r="EK19" s="696"/>
      <c r="EL19" s="696"/>
      <c r="EM19" s="696"/>
      <c r="EN19" s="696"/>
      <c r="EO19" s="696"/>
      <c r="EP19" s="696"/>
      <c r="EQ19" s="696"/>
      <c r="ER19" s="696"/>
      <c r="ES19" s="696"/>
      <c r="ET19" s="696"/>
      <c r="EU19" s="696"/>
      <c r="EV19" s="696"/>
      <c r="EW19" s="696"/>
      <c r="EX19" s="696"/>
      <c r="EY19" s="696"/>
      <c r="EZ19" s="696"/>
      <c r="FA19" s="696"/>
      <c r="FB19" s="696"/>
      <c r="FC19" s="696"/>
      <c r="FD19" s="696"/>
      <c r="FE19" s="696"/>
      <c r="FF19" s="696"/>
      <c r="FG19" s="696"/>
      <c r="FH19" s="696"/>
      <c r="FI19" s="696"/>
      <c r="FJ19" s="696"/>
      <c r="FK19" s="696"/>
      <c r="FL19" s="696"/>
      <c r="FM19" s="696"/>
      <c r="FN19" s="696"/>
      <c r="FO19" s="696"/>
      <c r="FP19" s="696"/>
      <c r="FQ19" s="696"/>
      <c r="FR19" s="696"/>
      <c r="FS19" s="696"/>
      <c r="FT19" s="696"/>
      <c r="FU19" s="696"/>
      <c r="FV19" s="696"/>
      <c r="FW19" s="696"/>
      <c r="FX19" s="696"/>
      <c r="FY19" s="696"/>
      <c r="FZ19" s="696"/>
      <c r="GA19" s="696"/>
      <c r="GB19" s="696"/>
      <c r="GC19" s="696"/>
      <c r="GD19" s="696"/>
      <c r="GE19" s="696"/>
      <c r="GF19" s="696"/>
      <c r="GG19" s="696"/>
      <c r="GH19" s="696"/>
      <c r="GI19" s="696"/>
      <c r="GJ19" s="696"/>
      <c r="GK19" s="696"/>
      <c r="GL19" s="696"/>
      <c r="GM19" s="696"/>
      <c r="GN19" s="696"/>
      <c r="GO19" s="696"/>
      <c r="GP19" s="696"/>
      <c r="GQ19" s="696"/>
      <c r="GR19" s="696"/>
      <c r="GS19" s="696"/>
      <c r="GT19" s="696"/>
      <c r="GU19" s="696"/>
      <c r="GV19" s="696"/>
      <c r="GW19" s="696"/>
      <c r="GX19" s="696"/>
      <c r="GY19" s="696"/>
      <c r="GZ19" s="696"/>
      <c r="HA19" s="696"/>
      <c r="HB19" s="696"/>
      <c r="HC19" s="696"/>
      <c r="HD19" s="696"/>
      <c r="HE19" s="696"/>
      <c r="HF19" s="696"/>
      <c r="HG19" s="696"/>
      <c r="HH19" s="696"/>
      <c r="HI19" s="696"/>
      <c r="HJ19" s="696"/>
      <c r="HK19" s="696"/>
      <c r="HL19" s="696"/>
      <c r="HM19" s="696"/>
      <c r="HN19" s="696"/>
      <c r="HO19" s="696"/>
      <c r="HP19" s="696"/>
      <c r="HQ19" s="696"/>
      <c r="HR19" s="696"/>
      <c r="HS19" s="696"/>
      <c r="HT19" s="696"/>
      <c r="HU19" s="696"/>
      <c r="HV19" s="696"/>
      <c r="HW19" s="696"/>
      <c r="HX19" s="696"/>
      <c r="HY19" s="696"/>
      <c r="HZ19" s="696"/>
      <c r="IA19" s="696"/>
      <c r="IB19" s="696"/>
      <c r="IC19" s="696"/>
      <c r="ID19" s="696"/>
      <c r="IE19" s="696"/>
      <c r="IF19" s="696"/>
      <c r="IG19" s="696"/>
      <c r="IH19" s="696"/>
      <c r="II19" s="696"/>
      <c r="IJ19" s="696"/>
      <c r="IK19" s="696"/>
      <c r="IL19" s="696"/>
      <c r="IM19" s="696"/>
      <c r="IN19" s="696"/>
      <c r="IO19" s="696"/>
      <c r="IP19" s="696"/>
      <c r="IQ19" s="696"/>
      <c r="IR19" s="696"/>
      <c r="IS19" s="696"/>
      <c r="IT19" s="696"/>
    </row>
    <row r="20" spans="1:254" ht="33.75" customHeight="1" x14ac:dyDescent="0.2">
      <c r="A20" s="50">
        <v>230</v>
      </c>
      <c r="B20" s="80" t="s">
        <v>1784</v>
      </c>
      <c r="C20" s="80">
        <v>35</v>
      </c>
      <c r="D20" s="298">
        <v>60.55</v>
      </c>
      <c r="E20" s="50" t="s">
        <v>702</v>
      </c>
      <c r="F20" s="66" t="s">
        <v>1724</v>
      </c>
      <c r="G20" s="174" t="s">
        <v>2200</v>
      </c>
      <c r="H20" s="84" t="s">
        <v>1514</v>
      </c>
      <c r="I20" s="68" t="s">
        <v>1035</v>
      </c>
      <c r="J20" s="69" t="s">
        <v>1035</v>
      </c>
      <c r="K20" s="39" t="s">
        <v>1035</v>
      </c>
      <c r="L20" s="36" t="s">
        <v>1035</v>
      </c>
      <c r="M20" s="100" t="s">
        <v>246</v>
      </c>
      <c r="N20" s="45">
        <v>6.7</v>
      </c>
      <c r="O20" s="95">
        <v>6.47</v>
      </c>
      <c r="P20" s="51" t="s">
        <v>718</v>
      </c>
      <c r="Q20" s="66" t="s">
        <v>114</v>
      </c>
      <c r="R20" s="581" t="s">
        <v>4059</v>
      </c>
      <c r="S20" s="71" t="s">
        <v>817</v>
      </c>
      <c r="T20" s="35" t="s">
        <v>2199</v>
      </c>
      <c r="U20" s="55" t="s">
        <v>251</v>
      </c>
      <c r="V20" s="51">
        <v>5216</v>
      </c>
      <c r="W20" s="55">
        <v>417</v>
      </c>
      <c r="X20" s="65">
        <v>2013</v>
      </c>
      <c r="Y20" s="66" t="s">
        <v>1206</v>
      </c>
      <c r="Z20" s="66">
        <v>350</v>
      </c>
      <c r="AA20" s="72" t="s">
        <v>256</v>
      </c>
      <c r="AB20" s="73" t="s">
        <v>1205</v>
      </c>
      <c r="AC20" s="46">
        <v>0.48</v>
      </c>
      <c r="AD20" s="175">
        <v>4</v>
      </c>
      <c r="AE20" s="73">
        <v>4300</v>
      </c>
      <c r="AF20" s="46">
        <v>19</v>
      </c>
      <c r="AG20" s="79">
        <f>4.2499*2.2</f>
        <v>9.3497800000000009</v>
      </c>
      <c r="AH20" s="289">
        <f>AG20-AG21</f>
        <v>0.36025000000000063</v>
      </c>
    </row>
    <row r="21" spans="1:254" ht="33.75" customHeight="1" x14ac:dyDescent="0.2">
      <c r="A21" s="37">
        <v>230</v>
      </c>
      <c r="B21" s="81" t="s">
        <v>1784</v>
      </c>
      <c r="C21" s="81">
        <v>35</v>
      </c>
      <c r="D21" s="176">
        <v>60.55</v>
      </c>
      <c r="E21" s="37" t="s">
        <v>702</v>
      </c>
      <c r="F21" s="39" t="s">
        <v>2198</v>
      </c>
      <c r="G21" s="178" t="s">
        <v>2197</v>
      </c>
      <c r="H21" s="308" t="s">
        <v>1515</v>
      </c>
      <c r="I21" s="68" t="s">
        <v>1035</v>
      </c>
      <c r="J21" s="69" t="s">
        <v>1035</v>
      </c>
      <c r="K21" s="39" t="s">
        <v>1035</v>
      </c>
      <c r="L21" s="36" t="s">
        <v>1035</v>
      </c>
      <c r="M21" s="177" t="s">
        <v>246</v>
      </c>
      <c r="N21" s="34">
        <v>6.7</v>
      </c>
      <c r="O21" s="297">
        <v>6.38</v>
      </c>
      <c r="P21" s="35" t="s">
        <v>1205</v>
      </c>
      <c r="Q21" s="39" t="s">
        <v>114</v>
      </c>
      <c r="R21" s="581" t="s">
        <v>4059</v>
      </c>
      <c r="S21" s="63" t="s">
        <v>817</v>
      </c>
      <c r="T21" s="35" t="s">
        <v>2199</v>
      </c>
      <c r="U21" s="38" t="s">
        <v>251</v>
      </c>
      <c r="V21" s="35">
        <v>6350</v>
      </c>
      <c r="W21" s="38">
        <v>371</v>
      </c>
      <c r="X21" s="63">
        <v>2013</v>
      </c>
      <c r="Y21" s="39" t="s">
        <v>1206</v>
      </c>
      <c r="Z21" s="39">
        <v>95</v>
      </c>
      <c r="AA21" s="75" t="s">
        <v>256</v>
      </c>
      <c r="AB21" s="76" t="s">
        <v>1205</v>
      </c>
      <c r="AC21" s="36">
        <v>0.48</v>
      </c>
      <c r="AD21" s="166">
        <v>4</v>
      </c>
      <c r="AE21" s="76">
        <v>4300</v>
      </c>
      <c r="AF21" s="36">
        <v>19</v>
      </c>
      <c r="AG21" s="79">
        <f>4.08615*2.2</f>
        <v>8.9895300000000002</v>
      </c>
    </row>
    <row r="22" spans="1:254" ht="33.75" customHeight="1" x14ac:dyDescent="0.2">
      <c r="A22" s="50">
        <v>230</v>
      </c>
      <c r="B22" s="80" t="s">
        <v>1784</v>
      </c>
      <c r="C22" s="80">
        <v>35</v>
      </c>
      <c r="D22" s="298">
        <v>60.55</v>
      </c>
      <c r="E22" s="50" t="s">
        <v>702</v>
      </c>
      <c r="F22" s="544" t="s">
        <v>3952</v>
      </c>
      <c r="G22" s="545" t="s">
        <v>3955</v>
      </c>
      <c r="H22" s="546" t="s">
        <v>3956</v>
      </c>
      <c r="I22" s="68" t="s">
        <v>1035</v>
      </c>
      <c r="J22" s="69" t="s">
        <v>1035</v>
      </c>
      <c r="K22" s="39" t="s">
        <v>1035</v>
      </c>
      <c r="L22" s="36" t="s">
        <v>1035</v>
      </c>
      <c r="M22" s="100" t="s">
        <v>246</v>
      </c>
      <c r="N22" s="45">
        <v>6.7</v>
      </c>
      <c r="O22" s="95">
        <v>6.47</v>
      </c>
      <c r="P22" s="51" t="s">
        <v>718</v>
      </c>
      <c r="Q22" s="66" t="s">
        <v>114</v>
      </c>
      <c r="R22" s="581" t="s">
        <v>4059</v>
      </c>
      <c r="S22" s="71" t="s">
        <v>817</v>
      </c>
      <c r="T22" s="35" t="s">
        <v>2199</v>
      </c>
      <c r="U22" s="55" t="s">
        <v>251</v>
      </c>
      <c r="V22" s="51">
        <v>5216</v>
      </c>
      <c r="W22" s="55">
        <v>417</v>
      </c>
      <c r="X22" s="547" t="s">
        <v>3954</v>
      </c>
      <c r="Y22" s="66" t="s">
        <v>1206</v>
      </c>
      <c r="Z22" s="66">
        <v>350</v>
      </c>
      <c r="AA22" s="72" t="s">
        <v>256</v>
      </c>
      <c r="AB22" s="73" t="s">
        <v>1205</v>
      </c>
      <c r="AC22" s="46">
        <v>0.48</v>
      </c>
      <c r="AD22" s="175">
        <v>4</v>
      </c>
      <c r="AE22" s="73">
        <v>4300</v>
      </c>
      <c r="AF22" s="46">
        <v>19</v>
      </c>
      <c r="AG22" s="79"/>
      <c r="AH22" s="289">
        <f>AG22-AG23</f>
        <v>0</v>
      </c>
    </row>
    <row r="23" spans="1:254" ht="33.75" customHeight="1" x14ac:dyDescent="0.2">
      <c r="A23" s="37">
        <v>230</v>
      </c>
      <c r="B23" s="81" t="s">
        <v>1784</v>
      </c>
      <c r="C23" s="81">
        <v>35</v>
      </c>
      <c r="D23" s="176">
        <v>60.55</v>
      </c>
      <c r="E23" s="37" t="s">
        <v>702</v>
      </c>
      <c r="F23" s="548" t="s">
        <v>3953</v>
      </c>
      <c r="G23" s="549" t="s">
        <v>3957</v>
      </c>
      <c r="H23" s="550" t="s">
        <v>3958</v>
      </c>
      <c r="I23" s="68" t="s">
        <v>1035</v>
      </c>
      <c r="J23" s="69" t="s">
        <v>1035</v>
      </c>
      <c r="K23" s="39" t="s">
        <v>1035</v>
      </c>
      <c r="L23" s="36" t="s">
        <v>1035</v>
      </c>
      <c r="M23" s="177" t="s">
        <v>246</v>
      </c>
      <c r="N23" s="34">
        <v>6.7</v>
      </c>
      <c r="O23" s="297">
        <v>6.38</v>
      </c>
      <c r="P23" s="35" t="s">
        <v>1205</v>
      </c>
      <c r="Q23" s="39" t="s">
        <v>114</v>
      </c>
      <c r="R23" s="581" t="s">
        <v>4059</v>
      </c>
      <c r="S23" s="63" t="s">
        <v>817</v>
      </c>
      <c r="T23" s="35" t="s">
        <v>2199</v>
      </c>
      <c r="U23" s="38" t="s">
        <v>251</v>
      </c>
      <c r="V23" s="35">
        <v>6350</v>
      </c>
      <c r="W23" s="38">
        <v>371</v>
      </c>
      <c r="X23" s="547" t="s">
        <v>3954</v>
      </c>
      <c r="Y23" s="39" t="s">
        <v>1206</v>
      </c>
      <c r="Z23" s="39">
        <v>95</v>
      </c>
      <c r="AA23" s="75" t="s">
        <v>256</v>
      </c>
      <c r="AB23" s="76" t="s">
        <v>1205</v>
      </c>
      <c r="AC23" s="36">
        <v>0.48</v>
      </c>
      <c r="AD23" s="166">
        <v>4</v>
      </c>
      <c r="AE23" s="76">
        <v>4300</v>
      </c>
      <c r="AF23" s="36">
        <v>19</v>
      </c>
      <c r="AG23" s="79"/>
    </row>
    <row r="24" spans="1:254" ht="33.75" customHeight="1" x14ac:dyDescent="0.2">
      <c r="A24" s="37">
        <v>206</v>
      </c>
      <c r="B24" s="81" t="s">
        <v>1784</v>
      </c>
      <c r="C24" s="81">
        <v>42</v>
      </c>
      <c r="D24" s="158"/>
      <c r="E24" s="37" t="s">
        <v>638</v>
      </c>
      <c r="F24" s="39" t="s">
        <v>2202</v>
      </c>
      <c r="G24" s="178">
        <v>20965472</v>
      </c>
      <c r="H24" s="76">
        <v>17777901</v>
      </c>
      <c r="I24" s="47" t="s">
        <v>1035</v>
      </c>
      <c r="J24" s="48" t="s">
        <v>1035</v>
      </c>
      <c r="K24" s="48" t="s">
        <v>1035</v>
      </c>
      <c r="L24" s="49" t="s">
        <v>1035</v>
      </c>
      <c r="M24" s="37" t="s">
        <v>246</v>
      </c>
      <c r="N24" s="34">
        <v>6.32</v>
      </c>
      <c r="O24" s="34"/>
      <c r="P24" s="35" t="s">
        <v>802</v>
      </c>
      <c r="Q24" s="35" t="s">
        <v>114</v>
      </c>
      <c r="R24" s="76" t="s">
        <v>2848</v>
      </c>
      <c r="S24" s="37" t="s">
        <v>249</v>
      </c>
      <c r="T24" s="35" t="s">
        <v>250</v>
      </c>
      <c r="U24" s="38" t="s">
        <v>251</v>
      </c>
      <c r="V24" s="39"/>
      <c r="W24" s="76"/>
      <c r="X24" s="101">
        <v>2011</v>
      </c>
      <c r="Y24" s="39" t="s">
        <v>1206</v>
      </c>
      <c r="Z24" s="76"/>
      <c r="AA24" s="75" t="s">
        <v>256</v>
      </c>
      <c r="AB24" s="76" t="s">
        <v>1205</v>
      </c>
      <c r="AC24" s="38">
        <v>0.75</v>
      </c>
      <c r="AD24" s="163">
        <v>4.0999999999999996</v>
      </c>
      <c r="AE24" s="76"/>
      <c r="AF24" s="36"/>
      <c r="AG24" s="79"/>
    </row>
    <row r="25" spans="1:254" ht="33.75" customHeight="1" x14ac:dyDescent="0.2">
      <c r="A25" s="37">
        <v>206</v>
      </c>
      <c r="B25" s="81" t="s">
        <v>1784</v>
      </c>
      <c r="C25" s="81">
        <v>34</v>
      </c>
      <c r="D25" s="40">
        <v>61</v>
      </c>
      <c r="E25" s="37" t="s">
        <v>312</v>
      </c>
      <c r="F25" s="39" t="s">
        <v>731</v>
      </c>
      <c r="G25" s="178" t="s">
        <v>3082</v>
      </c>
      <c r="H25" s="308">
        <v>18221301</v>
      </c>
      <c r="I25" s="68" t="s">
        <v>1035</v>
      </c>
      <c r="J25" s="69" t="s">
        <v>1035</v>
      </c>
      <c r="K25" s="39" t="s">
        <v>1035</v>
      </c>
      <c r="L25" s="36" t="s">
        <v>1035</v>
      </c>
      <c r="M25" s="158" t="s">
        <v>246</v>
      </c>
      <c r="N25" s="34">
        <v>6.32</v>
      </c>
      <c r="O25" s="35">
        <v>4.3</v>
      </c>
      <c r="P25" s="35" t="s">
        <v>718</v>
      </c>
      <c r="Q25" s="39" t="s">
        <v>114</v>
      </c>
      <c r="R25" s="39" t="s">
        <v>2226</v>
      </c>
      <c r="S25" s="63" t="s">
        <v>817</v>
      </c>
      <c r="T25" s="35" t="s">
        <v>2189</v>
      </c>
      <c r="U25" s="38" t="s">
        <v>251</v>
      </c>
      <c r="V25" s="301"/>
      <c r="W25" s="38"/>
      <c r="X25" s="101">
        <v>2013</v>
      </c>
      <c r="Y25" s="39" t="s">
        <v>3077</v>
      </c>
      <c r="Z25" s="39"/>
      <c r="AA25" s="75" t="s">
        <v>256</v>
      </c>
      <c r="AB25" s="76" t="s">
        <v>1205</v>
      </c>
      <c r="AC25" s="36">
        <v>0.75</v>
      </c>
      <c r="AD25" s="179">
        <v>4</v>
      </c>
      <c r="AE25" s="76"/>
      <c r="AF25" s="36"/>
      <c r="AG25" s="79">
        <f>3.13*2.2</f>
        <v>6.8860000000000001</v>
      </c>
    </row>
    <row r="26" spans="1:254" ht="33.75" customHeight="1" x14ac:dyDescent="0.2">
      <c r="A26" s="37">
        <v>242</v>
      </c>
      <c r="B26" s="81" t="s">
        <v>1784</v>
      </c>
      <c r="C26" s="81">
        <v>62</v>
      </c>
      <c r="D26" s="40">
        <v>84.5</v>
      </c>
      <c r="E26" s="37" t="s">
        <v>2196</v>
      </c>
      <c r="F26" s="35" t="s">
        <v>3036</v>
      </c>
      <c r="G26" s="37" t="s">
        <v>2194</v>
      </c>
      <c r="H26" s="38">
        <v>18202301</v>
      </c>
      <c r="I26" s="47" t="s">
        <v>1035</v>
      </c>
      <c r="J26" s="48" t="s">
        <v>1035</v>
      </c>
      <c r="K26" s="48" t="s">
        <v>1035</v>
      </c>
      <c r="L26" s="49" t="s">
        <v>1035</v>
      </c>
      <c r="M26" s="37" t="s">
        <v>246</v>
      </c>
      <c r="N26" s="34">
        <v>6.7</v>
      </c>
      <c r="O26" s="34">
        <f>16.7/2.204</f>
        <v>7.5771324863883835</v>
      </c>
      <c r="P26" s="35" t="s">
        <v>1210</v>
      </c>
      <c r="Q26" s="35" t="s">
        <v>114</v>
      </c>
      <c r="R26" s="293" t="s">
        <v>1714</v>
      </c>
      <c r="S26" s="37" t="s">
        <v>249</v>
      </c>
      <c r="T26" s="35" t="s">
        <v>250</v>
      </c>
      <c r="U26" s="38" t="s">
        <v>251</v>
      </c>
      <c r="V26" s="35" t="s">
        <v>727</v>
      </c>
      <c r="W26" s="41">
        <v>378.46</v>
      </c>
      <c r="X26" s="107" t="s">
        <v>1789</v>
      </c>
      <c r="Y26" s="39" t="s">
        <v>2695</v>
      </c>
      <c r="Z26" s="109" t="s">
        <v>2195</v>
      </c>
      <c r="AA26" s="43" t="s">
        <v>256</v>
      </c>
      <c r="AB26" s="44" t="s">
        <v>1205</v>
      </c>
      <c r="AC26" s="38">
        <v>0.75</v>
      </c>
      <c r="AD26" s="163">
        <v>4</v>
      </c>
      <c r="AE26" s="44">
        <v>3314</v>
      </c>
      <c r="AF26" s="36">
        <v>25.4</v>
      </c>
      <c r="AG26" s="85"/>
      <c r="AH26" s="85"/>
      <c r="AI26" s="85"/>
      <c r="AJ26" s="85"/>
      <c r="AK26" s="296"/>
      <c r="AL26" s="296"/>
      <c r="AM26" s="296"/>
      <c r="AN26" s="296"/>
      <c r="AO26" s="85"/>
      <c r="AP26" s="161"/>
      <c r="AQ26" s="161"/>
      <c r="AR26" s="85"/>
      <c r="AS26" s="85"/>
      <c r="AT26" s="295"/>
      <c r="AU26" s="85"/>
      <c r="AV26" s="85"/>
      <c r="AW26" s="85"/>
      <c r="AX26" s="85"/>
      <c r="AY26" s="85"/>
      <c r="AZ26" s="85"/>
      <c r="BA26" s="169"/>
      <c r="BB26" s="162"/>
      <c r="BC26" s="79"/>
      <c r="BD26" s="294"/>
      <c r="BE26" s="85"/>
      <c r="BF26" s="85"/>
      <c r="BG26" s="85"/>
      <c r="BH26" s="85"/>
      <c r="BI26" s="85"/>
      <c r="BJ26" s="161"/>
      <c r="BK26" s="85"/>
      <c r="BL26" s="79"/>
      <c r="BM26" s="85"/>
      <c r="BN26" s="85"/>
      <c r="BO26" s="85"/>
      <c r="BP26" s="85"/>
      <c r="BQ26" s="296"/>
      <c r="BR26" s="296"/>
      <c r="BS26" s="296"/>
      <c r="BT26" s="296"/>
      <c r="BU26" s="85"/>
      <c r="BV26" s="161"/>
      <c r="BW26" s="161"/>
      <c r="BX26" s="85"/>
      <c r="BY26" s="85"/>
      <c r="BZ26" s="295"/>
      <c r="CA26" s="85"/>
      <c r="CB26" s="85"/>
      <c r="CC26" s="85"/>
      <c r="CD26" s="85"/>
      <c r="CE26" s="85"/>
      <c r="CF26" s="85"/>
      <c r="CG26" s="169"/>
      <c r="CH26" s="162"/>
      <c r="CI26" s="79"/>
      <c r="CJ26" s="294"/>
      <c r="CK26" s="85"/>
      <c r="CL26" s="85"/>
      <c r="CM26" s="85"/>
      <c r="CN26" s="85"/>
      <c r="CO26" s="85"/>
      <c r="CP26" s="161"/>
      <c r="CQ26" s="85"/>
      <c r="CR26" s="79"/>
      <c r="CS26" s="85"/>
      <c r="CT26" s="85"/>
      <c r="CU26" s="85"/>
      <c r="CV26" s="85"/>
      <c r="CW26" s="296"/>
      <c r="CX26" s="296"/>
      <c r="CY26" s="296"/>
      <c r="CZ26" s="296"/>
      <c r="DA26" s="85"/>
      <c r="DB26" s="161"/>
      <c r="DC26" s="161"/>
      <c r="DD26" s="85"/>
      <c r="DE26" s="85"/>
      <c r="DF26" s="295"/>
      <c r="DG26" s="85"/>
      <c r="DH26" s="85"/>
      <c r="DI26" s="85"/>
      <c r="DJ26" s="85"/>
      <c r="DK26" s="85"/>
      <c r="DL26" s="85"/>
      <c r="DM26" s="169"/>
      <c r="DN26" s="162"/>
      <c r="DO26" s="79"/>
      <c r="DP26" s="294"/>
      <c r="DQ26" s="85"/>
      <c r="DR26" s="85"/>
      <c r="DS26" s="85"/>
      <c r="DT26" s="85"/>
      <c r="DU26" s="85"/>
      <c r="DV26" s="161"/>
      <c r="DW26" s="85"/>
      <c r="DX26" s="79"/>
      <c r="DY26" s="85"/>
      <c r="DZ26" s="85"/>
      <c r="EA26" s="85"/>
      <c r="EB26" s="85"/>
      <c r="EC26" s="296"/>
      <c r="ED26" s="296"/>
      <c r="EE26" s="296"/>
      <c r="EF26" s="296"/>
      <c r="EG26" s="85"/>
      <c r="EH26" s="161"/>
      <c r="EI26" s="161"/>
      <c r="EJ26" s="85"/>
      <c r="EK26" s="85"/>
      <c r="EL26" s="295"/>
      <c r="EM26" s="85"/>
      <c r="EN26" s="85"/>
      <c r="EO26" s="85"/>
      <c r="EP26" s="85"/>
      <c r="EQ26" s="85"/>
      <c r="ER26" s="85"/>
      <c r="ES26" s="169"/>
      <c r="ET26" s="162"/>
      <c r="EU26" s="79"/>
      <c r="EV26" s="294"/>
      <c r="EW26" s="85"/>
      <c r="EX26" s="85"/>
      <c r="EY26" s="85"/>
      <c r="EZ26" s="85"/>
      <c r="FA26" s="85"/>
      <c r="FB26" s="161"/>
      <c r="FC26" s="85"/>
      <c r="FD26" s="79"/>
      <c r="FE26" s="85"/>
      <c r="FF26" s="85"/>
      <c r="FG26" s="85"/>
      <c r="FH26" s="85"/>
      <c r="FI26" s="296"/>
      <c r="FJ26" s="296"/>
      <c r="FK26" s="296"/>
      <c r="FL26" s="296"/>
      <c r="FM26" s="85"/>
      <c r="FN26" s="161"/>
      <c r="FO26" s="161"/>
      <c r="FP26" s="85"/>
      <c r="FQ26" s="85"/>
      <c r="FR26" s="295"/>
      <c r="FS26" s="85"/>
      <c r="FT26" s="85"/>
      <c r="FU26" s="85"/>
      <c r="FV26" s="85"/>
      <c r="FW26" s="85"/>
      <c r="FX26" s="85"/>
      <c r="FY26" s="169"/>
      <c r="FZ26" s="162"/>
      <c r="GA26" s="79"/>
      <c r="GB26" s="294"/>
      <c r="GC26" s="85"/>
      <c r="GD26" s="85"/>
      <c r="GE26" s="85"/>
      <c r="GF26" s="85"/>
      <c r="GG26" s="85"/>
      <c r="GH26" s="161"/>
      <c r="GI26" s="85"/>
      <c r="GJ26" s="79"/>
      <c r="GK26" s="85"/>
      <c r="GL26" s="85"/>
      <c r="GM26" s="85"/>
      <c r="GN26" s="85"/>
      <c r="GO26" s="296"/>
      <c r="GP26" s="296"/>
      <c r="GQ26" s="296"/>
      <c r="GR26" s="296"/>
      <c r="GS26" s="85"/>
      <c r="GT26" s="161"/>
      <c r="GU26" s="161"/>
      <c r="GV26" s="85"/>
      <c r="GW26" s="85"/>
      <c r="GX26" s="295"/>
      <c r="GY26" s="85"/>
      <c r="GZ26" s="85"/>
      <c r="HA26" s="85"/>
      <c r="HB26" s="85"/>
      <c r="HC26" s="85"/>
      <c r="HD26" s="85"/>
      <c r="HE26" s="169"/>
      <c r="HF26" s="162"/>
      <c r="HG26" s="79"/>
      <c r="HH26" s="294"/>
      <c r="HI26" s="85"/>
      <c r="HJ26" s="85"/>
      <c r="HK26" s="85"/>
      <c r="HL26" s="85"/>
      <c r="HM26" s="85"/>
      <c r="HN26" s="161"/>
      <c r="HO26" s="85"/>
      <c r="HP26" s="79"/>
      <c r="HQ26" s="85"/>
      <c r="HR26" s="85"/>
      <c r="HS26" s="85"/>
      <c r="HT26" s="85"/>
      <c r="HU26" s="296"/>
      <c r="HV26" s="296"/>
      <c r="HW26" s="296"/>
      <c r="HX26" s="296"/>
      <c r="HY26" s="85"/>
      <c r="HZ26" s="161"/>
      <c r="IA26" s="161"/>
      <c r="IB26" s="85"/>
      <c r="IC26" s="85"/>
      <c r="ID26" s="295"/>
      <c r="IE26" s="85"/>
      <c r="IF26" s="85"/>
      <c r="IG26" s="85"/>
      <c r="IH26" s="85"/>
      <c r="II26" s="85"/>
      <c r="IJ26" s="85"/>
      <c r="IK26" s="169"/>
      <c r="IL26" s="162"/>
      <c r="IM26" s="79"/>
      <c r="IN26" s="294"/>
      <c r="IO26" s="85"/>
      <c r="IP26" s="85"/>
      <c r="IQ26" s="85"/>
      <c r="IR26" s="85"/>
      <c r="IS26" s="85"/>
      <c r="IT26" s="161"/>
    </row>
    <row r="27" spans="1:254" ht="25.5" x14ac:dyDescent="0.2">
      <c r="A27" s="37">
        <v>242</v>
      </c>
      <c r="B27" s="81" t="s">
        <v>1784</v>
      </c>
      <c r="C27" s="81">
        <v>62</v>
      </c>
      <c r="D27" s="40">
        <v>84.5</v>
      </c>
      <c r="E27" s="535" t="s">
        <v>702</v>
      </c>
      <c r="F27" s="536" t="s">
        <v>3932</v>
      </c>
      <c r="G27" s="535" t="s">
        <v>3951</v>
      </c>
      <c r="H27" s="537" t="s">
        <v>3950</v>
      </c>
      <c r="I27" s="47" t="s">
        <v>1035</v>
      </c>
      <c r="J27" s="48" t="s">
        <v>1035</v>
      </c>
      <c r="K27" s="48" t="s">
        <v>1035</v>
      </c>
      <c r="L27" s="49" t="s">
        <v>1035</v>
      </c>
      <c r="M27" s="37" t="s">
        <v>246</v>
      </c>
      <c r="N27" s="34">
        <v>6.7</v>
      </c>
      <c r="O27" s="34">
        <v>13</v>
      </c>
      <c r="P27" s="35" t="s">
        <v>1210</v>
      </c>
      <c r="Q27" s="35" t="s">
        <v>114</v>
      </c>
      <c r="R27" s="293" t="s">
        <v>1714</v>
      </c>
      <c r="S27" s="37" t="s">
        <v>2190</v>
      </c>
      <c r="T27" s="35" t="s">
        <v>2189</v>
      </c>
      <c r="U27" s="38" t="s">
        <v>251</v>
      </c>
      <c r="V27" s="35" t="s">
        <v>2201</v>
      </c>
      <c r="W27" s="41">
        <v>400</v>
      </c>
      <c r="X27" s="547" t="s">
        <v>3954</v>
      </c>
      <c r="Y27" s="39" t="s">
        <v>2695</v>
      </c>
      <c r="Z27" s="109">
        <v>110</v>
      </c>
      <c r="AA27" s="43" t="s">
        <v>256</v>
      </c>
      <c r="AB27" s="44" t="s">
        <v>1205</v>
      </c>
      <c r="AC27" s="38">
        <v>0.75</v>
      </c>
      <c r="AD27" s="163">
        <v>4</v>
      </c>
      <c r="AE27" s="44"/>
      <c r="AF27" s="36"/>
      <c r="AG27" s="79"/>
    </row>
    <row r="28" spans="1:254" x14ac:dyDescent="0.2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110"/>
      <c r="AA28" s="88"/>
      <c r="AB28" s="88"/>
      <c r="AC28" s="88"/>
      <c r="AD28" s="88"/>
      <c r="AE28" s="88"/>
      <c r="AF28" s="88"/>
      <c r="AG28" s="88"/>
    </row>
    <row r="29" spans="1:254" ht="15.75" x14ac:dyDescent="0.2">
      <c r="A29" s="160" t="s">
        <v>1824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110"/>
      <c r="AA29" s="88"/>
      <c r="AB29" s="88"/>
      <c r="AC29" s="88"/>
      <c r="AD29" s="88"/>
      <c r="AE29" s="88"/>
      <c r="AF29" s="88"/>
      <c r="AG29" s="88"/>
      <c r="AH29" s="88"/>
    </row>
    <row r="30" spans="1:254" ht="33.75" customHeight="1" thickBot="1" x14ac:dyDescent="0.25">
      <c r="A30" s="50">
        <v>206</v>
      </c>
      <c r="B30" s="80" t="s">
        <v>1784</v>
      </c>
      <c r="C30" s="80">
        <v>42</v>
      </c>
      <c r="D30" s="60">
        <v>82</v>
      </c>
      <c r="E30" s="37" t="s">
        <v>312</v>
      </c>
      <c r="F30" s="51" t="s">
        <v>3078</v>
      </c>
      <c r="G30" s="50" t="s">
        <v>2985</v>
      </c>
      <c r="H30" s="55">
        <v>16281301</v>
      </c>
      <c r="I30" s="97" t="s">
        <v>1035</v>
      </c>
      <c r="J30" s="98" t="s">
        <v>1035</v>
      </c>
      <c r="K30" s="98" t="s">
        <v>1035</v>
      </c>
      <c r="L30" s="99" t="s">
        <v>1035</v>
      </c>
      <c r="M30" s="50" t="s">
        <v>246</v>
      </c>
      <c r="N30" s="45">
        <v>6.2</v>
      </c>
      <c r="O30" s="45">
        <v>5.3</v>
      </c>
      <c r="P30" s="51" t="s">
        <v>1205</v>
      </c>
      <c r="Q30" s="66" t="s">
        <v>114</v>
      </c>
      <c r="R30" s="38" t="s">
        <v>2226</v>
      </c>
      <c r="S30" s="50" t="s">
        <v>817</v>
      </c>
      <c r="T30" s="35" t="s">
        <v>2189</v>
      </c>
      <c r="U30" s="55" t="s">
        <v>251</v>
      </c>
      <c r="V30" s="51">
        <v>5670</v>
      </c>
      <c r="W30" s="55">
        <v>377.4</v>
      </c>
      <c r="X30" s="101">
        <v>2009</v>
      </c>
      <c r="Y30" s="66" t="s">
        <v>1206</v>
      </c>
      <c r="Z30" s="46">
        <v>300</v>
      </c>
      <c r="AA30" s="58" t="s">
        <v>256</v>
      </c>
      <c r="AB30" s="59" t="s">
        <v>1205</v>
      </c>
      <c r="AC30" s="55">
        <v>0.75</v>
      </c>
      <c r="AD30" s="167"/>
      <c r="AE30" s="78"/>
      <c r="AF30" s="77"/>
      <c r="AG30" s="79">
        <v>7.9</v>
      </c>
    </row>
    <row r="31" spans="1:254" ht="33.75" customHeight="1" thickBot="1" x14ac:dyDescent="0.25">
      <c r="A31" s="50">
        <v>242</v>
      </c>
      <c r="B31" s="80" t="s">
        <v>1784</v>
      </c>
      <c r="C31" s="80">
        <v>62</v>
      </c>
      <c r="D31" s="60">
        <v>82</v>
      </c>
      <c r="E31" s="37" t="s">
        <v>312</v>
      </c>
      <c r="F31" s="51" t="s">
        <v>3009</v>
      </c>
      <c r="G31" s="55" t="s">
        <v>3103</v>
      </c>
      <c r="H31" s="55" t="s">
        <v>3102</v>
      </c>
      <c r="I31" s="82" t="s">
        <v>1035</v>
      </c>
      <c r="J31" s="61" t="s">
        <v>1035</v>
      </c>
      <c r="K31" s="61" t="s">
        <v>1035</v>
      </c>
      <c r="L31" s="62" t="s">
        <v>1035</v>
      </c>
      <c r="M31" s="50" t="s">
        <v>246</v>
      </c>
      <c r="N31" s="45">
        <v>6.7</v>
      </c>
      <c r="O31" s="106" t="s">
        <v>2953</v>
      </c>
      <c r="P31" s="51" t="s">
        <v>1205</v>
      </c>
      <c r="Q31" s="39" t="s">
        <v>114</v>
      </c>
      <c r="R31" s="293" t="s">
        <v>2226</v>
      </c>
      <c r="S31" s="37" t="s">
        <v>817</v>
      </c>
      <c r="T31" s="35" t="s">
        <v>2189</v>
      </c>
      <c r="U31" s="38" t="s">
        <v>251</v>
      </c>
      <c r="V31" s="51">
        <v>8845</v>
      </c>
      <c r="W31" s="55">
        <v>391</v>
      </c>
      <c r="X31" s="103" t="s">
        <v>1589</v>
      </c>
      <c r="Y31" s="66" t="s">
        <v>1206</v>
      </c>
      <c r="Z31" s="46">
        <v>50</v>
      </c>
      <c r="AA31" s="58" t="s">
        <v>256</v>
      </c>
      <c r="AB31" s="59" t="s">
        <v>1205</v>
      </c>
      <c r="AC31" s="38">
        <v>0.75</v>
      </c>
      <c r="AD31" s="167"/>
      <c r="AE31" s="78"/>
      <c r="AF31" s="77"/>
      <c r="AG31" s="79">
        <v>18.399999999999999</v>
      </c>
    </row>
    <row r="32" spans="1:254" ht="33.75" customHeight="1" x14ac:dyDescent="0.2">
      <c r="A32" s="37">
        <v>206</v>
      </c>
      <c r="B32" s="81" t="s">
        <v>1784</v>
      </c>
      <c r="C32" s="81">
        <v>42</v>
      </c>
      <c r="D32" s="40">
        <v>63.8</v>
      </c>
      <c r="E32" s="37" t="s">
        <v>702</v>
      </c>
      <c r="F32" s="35" t="s">
        <v>64</v>
      </c>
      <c r="G32" s="108" t="s">
        <v>65</v>
      </c>
      <c r="H32" s="104" t="s">
        <v>1728</v>
      </c>
      <c r="I32" s="47" t="s">
        <v>1035</v>
      </c>
      <c r="J32" s="48" t="s">
        <v>1035</v>
      </c>
      <c r="K32" s="48" t="s">
        <v>1035</v>
      </c>
      <c r="L32" s="49" t="s">
        <v>1035</v>
      </c>
      <c r="M32" s="37" t="s">
        <v>246</v>
      </c>
      <c r="N32" s="34">
        <v>6.2</v>
      </c>
      <c r="O32" s="170" t="s">
        <v>1732</v>
      </c>
      <c r="P32" s="35" t="s">
        <v>1205</v>
      </c>
      <c r="Q32" s="35" t="s">
        <v>114</v>
      </c>
      <c r="R32" s="36" t="s">
        <v>1714</v>
      </c>
      <c r="S32" s="37" t="s">
        <v>63</v>
      </c>
      <c r="T32" s="35" t="s">
        <v>2189</v>
      </c>
      <c r="U32" s="38" t="s">
        <v>251</v>
      </c>
      <c r="V32" s="35">
        <v>5897</v>
      </c>
      <c r="W32" s="38">
        <v>371</v>
      </c>
      <c r="X32" s="107" t="s">
        <v>1789</v>
      </c>
      <c r="Y32" s="39" t="s">
        <v>1206</v>
      </c>
      <c r="Z32" s="109">
        <v>95</v>
      </c>
      <c r="AA32" s="43" t="s">
        <v>256</v>
      </c>
      <c r="AB32" s="44" t="s">
        <v>1205</v>
      </c>
      <c r="AC32" s="38">
        <v>0.48</v>
      </c>
      <c r="AD32" s="163">
        <v>4</v>
      </c>
      <c r="AE32" s="44">
        <v>3870</v>
      </c>
      <c r="AF32" s="36">
        <v>22.5</v>
      </c>
      <c r="AG32" s="79"/>
    </row>
    <row r="33" spans="1:34" ht="33.75" customHeight="1" x14ac:dyDescent="0.2">
      <c r="A33" s="37">
        <v>206</v>
      </c>
      <c r="B33" s="81" t="s">
        <v>1784</v>
      </c>
      <c r="C33" s="81">
        <v>34</v>
      </c>
      <c r="D33" s="40">
        <v>61</v>
      </c>
      <c r="E33" s="37" t="s">
        <v>1787</v>
      </c>
      <c r="F33" s="35" t="s">
        <v>2992</v>
      </c>
      <c r="G33" s="35" t="s">
        <v>1095</v>
      </c>
      <c r="H33" s="38" t="s">
        <v>1093</v>
      </c>
      <c r="I33" s="47" t="s">
        <v>1035</v>
      </c>
      <c r="J33" s="48" t="s">
        <v>1035</v>
      </c>
      <c r="K33" s="48" t="s">
        <v>1035</v>
      </c>
      <c r="L33" s="49" t="s">
        <v>1035</v>
      </c>
      <c r="M33" s="37" t="s">
        <v>246</v>
      </c>
      <c r="N33" s="34">
        <v>6.32</v>
      </c>
      <c r="O33" s="35">
        <v>4.3</v>
      </c>
      <c r="P33" s="35" t="s">
        <v>718</v>
      </c>
      <c r="Q33" s="35" t="s">
        <v>114</v>
      </c>
      <c r="R33" s="36" t="s">
        <v>2226</v>
      </c>
      <c r="S33" s="37" t="s">
        <v>817</v>
      </c>
      <c r="T33" s="35" t="s">
        <v>2189</v>
      </c>
      <c r="U33" s="38" t="s">
        <v>251</v>
      </c>
      <c r="V33" s="35">
        <v>3084</v>
      </c>
      <c r="W33" s="41">
        <v>403</v>
      </c>
      <c r="X33" s="103">
        <v>2208</v>
      </c>
      <c r="Y33" s="39" t="s">
        <v>2093</v>
      </c>
      <c r="Z33" s="76" t="s">
        <v>1097</v>
      </c>
      <c r="AA33" s="37" t="s">
        <v>256</v>
      </c>
      <c r="AB33" s="35" t="s">
        <v>1205</v>
      </c>
      <c r="AC33" s="38">
        <v>0.75</v>
      </c>
      <c r="AD33" s="92">
        <v>4.0999999999999996</v>
      </c>
      <c r="AE33" s="35">
        <v>906</v>
      </c>
      <c r="AF33" s="42">
        <v>19.2</v>
      </c>
      <c r="AG33" s="79"/>
    </row>
    <row r="34" spans="1:34" ht="25.5" x14ac:dyDescent="0.2">
      <c r="A34" s="50">
        <v>206</v>
      </c>
      <c r="B34" s="80" t="s">
        <v>1784</v>
      </c>
      <c r="C34" s="80">
        <v>42</v>
      </c>
      <c r="D34" s="171">
        <v>63.5</v>
      </c>
      <c r="E34" s="50" t="s">
        <v>702</v>
      </c>
      <c r="F34" s="66" t="s">
        <v>1724</v>
      </c>
      <c r="G34" s="174" t="s">
        <v>1726</v>
      </c>
      <c r="H34" s="84" t="s">
        <v>1725</v>
      </c>
      <c r="I34" s="172" t="s">
        <v>1035</v>
      </c>
      <c r="J34" s="70" t="s">
        <v>1035</v>
      </c>
      <c r="K34" s="66" t="s">
        <v>1035</v>
      </c>
      <c r="L34" s="46" t="s">
        <v>1035</v>
      </c>
      <c r="M34" s="173" t="s">
        <v>246</v>
      </c>
      <c r="N34" s="45">
        <v>7</v>
      </c>
      <c r="O34" s="106" t="s">
        <v>1733</v>
      </c>
      <c r="P34" s="51" t="s">
        <v>718</v>
      </c>
      <c r="Q34" s="66" t="s">
        <v>114</v>
      </c>
      <c r="R34" s="66" t="s">
        <v>1714</v>
      </c>
      <c r="S34" s="71" t="s">
        <v>817</v>
      </c>
      <c r="T34" s="35" t="s">
        <v>2189</v>
      </c>
      <c r="U34" s="55" t="s">
        <v>251</v>
      </c>
      <c r="V34" s="51">
        <v>5216</v>
      </c>
      <c r="W34" s="55">
        <v>425</v>
      </c>
      <c r="X34" s="71">
        <v>2011</v>
      </c>
      <c r="Y34" s="66" t="s">
        <v>1206</v>
      </c>
      <c r="Z34" s="66">
        <v>350</v>
      </c>
      <c r="AA34" s="72" t="s">
        <v>256</v>
      </c>
      <c r="AB34" s="73" t="s">
        <v>1205</v>
      </c>
      <c r="AC34" s="46">
        <v>0.48</v>
      </c>
      <c r="AD34" s="165">
        <v>4</v>
      </c>
      <c r="AE34" s="73">
        <v>3740</v>
      </c>
      <c r="AF34" s="46">
        <v>22.5</v>
      </c>
      <c r="AG34" s="79"/>
      <c r="AH34" s="88"/>
    </row>
    <row r="35" spans="1:34" ht="33.75" customHeight="1" x14ac:dyDescent="0.2">
      <c r="A35" s="50">
        <v>242</v>
      </c>
      <c r="B35" s="80" t="s">
        <v>1784</v>
      </c>
      <c r="C35" s="80">
        <v>62</v>
      </c>
      <c r="D35" s="96" t="s">
        <v>1814</v>
      </c>
      <c r="E35" s="50" t="s">
        <v>702</v>
      </c>
      <c r="F35" s="51" t="s">
        <v>726</v>
      </c>
      <c r="G35" s="50" t="s">
        <v>2204</v>
      </c>
      <c r="H35" s="55">
        <v>13215501</v>
      </c>
      <c r="I35" s="47" t="s">
        <v>1035</v>
      </c>
      <c r="J35" s="48" t="s">
        <v>1035</v>
      </c>
      <c r="K35" s="48" t="s">
        <v>1035</v>
      </c>
      <c r="L35" s="49" t="s">
        <v>1035</v>
      </c>
      <c r="M35" s="50" t="s">
        <v>246</v>
      </c>
      <c r="N35" s="45" t="s">
        <v>1210</v>
      </c>
      <c r="O35" s="51">
        <v>10</v>
      </c>
      <c r="P35" s="51" t="s">
        <v>247</v>
      </c>
      <c r="Q35" s="35" t="s">
        <v>114</v>
      </c>
      <c r="R35" s="293" t="s">
        <v>1714</v>
      </c>
      <c r="S35" s="47" t="s">
        <v>1035</v>
      </c>
      <c r="T35" s="48" t="s">
        <v>1035</v>
      </c>
      <c r="U35" s="49" t="s">
        <v>1035</v>
      </c>
      <c r="V35" s="51" t="s">
        <v>727</v>
      </c>
      <c r="W35" s="159">
        <v>378.46</v>
      </c>
      <c r="X35" s="309" t="s">
        <v>2203</v>
      </c>
      <c r="Y35" s="39" t="s">
        <v>2695</v>
      </c>
      <c r="Z35" s="46">
        <v>30</v>
      </c>
      <c r="AA35" s="58" t="s">
        <v>256</v>
      </c>
      <c r="AB35" s="59" t="s">
        <v>1205</v>
      </c>
      <c r="AC35" s="55" t="s">
        <v>1210</v>
      </c>
      <c r="AD35" s="164">
        <v>4</v>
      </c>
      <c r="AE35" s="44">
        <v>3314</v>
      </c>
      <c r="AF35" s="36">
        <v>25.4</v>
      </c>
      <c r="AG35" s="79"/>
    </row>
    <row r="36" spans="1:34" x14ac:dyDescent="0.2">
      <c r="A36" s="37">
        <v>172</v>
      </c>
      <c r="B36" s="81" t="s">
        <v>1784</v>
      </c>
      <c r="C36" s="81">
        <v>22</v>
      </c>
      <c r="D36" s="40">
        <v>55</v>
      </c>
      <c r="E36" s="37" t="s">
        <v>1787</v>
      </c>
      <c r="F36" s="303" t="s">
        <v>264</v>
      </c>
      <c r="G36" s="37" t="s">
        <v>265</v>
      </c>
      <c r="H36" s="38" t="s">
        <v>266</v>
      </c>
      <c r="I36" s="47" t="s">
        <v>1035</v>
      </c>
      <c r="J36" s="48" t="s">
        <v>1035</v>
      </c>
      <c r="K36" s="48" t="s">
        <v>1035</v>
      </c>
      <c r="L36" s="49" t="s">
        <v>1035</v>
      </c>
      <c r="M36" s="37" t="s">
        <v>246</v>
      </c>
      <c r="N36" s="34">
        <v>7.64</v>
      </c>
      <c r="O36" s="35">
        <v>2.9</v>
      </c>
      <c r="P36" s="35" t="s">
        <v>247</v>
      </c>
      <c r="Q36" s="35" t="s">
        <v>114</v>
      </c>
      <c r="R36" s="293" t="s">
        <v>669</v>
      </c>
      <c r="S36" s="37" t="s">
        <v>249</v>
      </c>
      <c r="T36" s="35" t="s">
        <v>250</v>
      </c>
      <c r="U36" s="38" t="s">
        <v>251</v>
      </c>
      <c r="V36" s="35">
        <v>1925</v>
      </c>
      <c r="W36" s="38">
        <v>300</v>
      </c>
      <c r="X36" s="107" t="s">
        <v>1789</v>
      </c>
      <c r="Y36" s="39" t="s">
        <v>1206</v>
      </c>
      <c r="Z36" s="36">
        <v>220</v>
      </c>
      <c r="AA36" s="43" t="s">
        <v>256</v>
      </c>
      <c r="AB36" s="44" t="s">
        <v>1205</v>
      </c>
      <c r="AC36" s="38">
        <v>0.75</v>
      </c>
      <c r="AD36" s="163">
        <v>2.5</v>
      </c>
      <c r="AE36" s="44"/>
      <c r="AF36" s="36"/>
      <c r="AG36" s="79"/>
    </row>
    <row r="37" spans="1:34" x14ac:dyDescent="0.2">
      <c r="A37" s="37">
        <v>172</v>
      </c>
      <c r="B37" s="81" t="s">
        <v>1784</v>
      </c>
      <c r="C37" s="81">
        <v>22</v>
      </c>
      <c r="D37" s="40">
        <v>55</v>
      </c>
      <c r="E37" s="37" t="s">
        <v>1787</v>
      </c>
      <c r="F37" s="303" t="s">
        <v>267</v>
      </c>
      <c r="G37" s="37" t="s">
        <v>268</v>
      </c>
      <c r="H37" s="38" t="s">
        <v>1587</v>
      </c>
      <c r="I37" s="47" t="s">
        <v>1035</v>
      </c>
      <c r="J37" s="48" t="s">
        <v>1035</v>
      </c>
      <c r="K37" s="48" t="s">
        <v>1035</v>
      </c>
      <c r="L37" s="49" t="s">
        <v>1035</v>
      </c>
      <c r="M37" s="37" t="s">
        <v>246</v>
      </c>
      <c r="N37" s="34">
        <v>7.64</v>
      </c>
      <c r="O37" s="35">
        <v>2.9</v>
      </c>
      <c r="P37" s="35" t="s">
        <v>257</v>
      </c>
      <c r="Q37" s="35" t="s">
        <v>114</v>
      </c>
      <c r="R37" s="293" t="s">
        <v>669</v>
      </c>
      <c r="S37" s="37" t="s">
        <v>249</v>
      </c>
      <c r="T37" s="35" t="s">
        <v>250</v>
      </c>
      <c r="U37" s="38" t="s">
        <v>251</v>
      </c>
      <c r="V37" s="35">
        <v>1947</v>
      </c>
      <c r="W37" s="38">
        <v>300</v>
      </c>
      <c r="X37" s="299" t="s">
        <v>1789</v>
      </c>
      <c r="Y37" s="39" t="s">
        <v>1206</v>
      </c>
      <c r="Z37" s="36">
        <v>60</v>
      </c>
      <c r="AA37" s="43" t="s">
        <v>256</v>
      </c>
      <c r="AB37" s="44" t="s">
        <v>1205</v>
      </c>
      <c r="AC37" s="38">
        <v>0.75</v>
      </c>
      <c r="AD37" s="163">
        <v>2.5</v>
      </c>
      <c r="AE37" s="44"/>
      <c r="AF37" s="36"/>
      <c r="AG37" s="79"/>
    </row>
    <row r="38" spans="1:34" x14ac:dyDescent="0.2">
      <c r="A38" s="37">
        <v>206</v>
      </c>
      <c r="B38" s="81" t="s">
        <v>1784</v>
      </c>
      <c r="C38" s="81">
        <v>42</v>
      </c>
      <c r="D38" s="40">
        <v>63.5</v>
      </c>
      <c r="E38" s="37" t="s">
        <v>638</v>
      </c>
      <c r="F38" s="303" t="s">
        <v>2994</v>
      </c>
      <c r="G38" s="37">
        <v>15177077</v>
      </c>
      <c r="H38" s="38">
        <v>146605</v>
      </c>
      <c r="I38" s="47" t="s">
        <v>1035</v>
      </c>
      <c r="J38" s="48" t="s">
        <v>1035</v>
      </c>
      <c r="K38" s="48" t="s">
        <v>1035</v>
      </c>
      <c r="L38" s="49" t="s">
        <v>1035</v>
      </c>
      <c r="M38" s="37" t="s">
        <v>246</v>
      </c>
      <c r="N38" s="34">
        <v>6.3</v>
      </c>
      <c r="O38" s="34">
        <f>11.5/2.204</f>
        <v>5.2177858439201446</v>
      </c>
      <c r="P38" s="35" t="s">
        <v>1205</v>
      </c>
      <c r="Q38" s="35" t="s">
        <v>114</v>
      </c>
      <c r="R38" s="36" t="s">
        <v>2848</v>
      </c>
      <c r="S38" s="37" t="s">
        <v>249</v>
      </c>
      <c r="T38" s="35" t="s">
        <v>250</v>
      </c>
      <c r="U38" s="38" t="s">
        <v>251</v>
      </c>
      <c r="V38" s="35">
        <v>4182</v>
      </c>
      <c r="W38" s="38">
        <v>386</v>
      </c>
      <c r="X38" s="107" t="s">
        <v>1789</v>
      </c>
      <c r="Y38" s="39" t="s">
        <v>1206</v>
      </c>
      <c r="Z38" s="36">
        <v>939</v>
      </c>
      <c r="AA38" s="43" t="s">
        <v>256</v>
      </c>
      <c r="AB38" s="44" t="s">
        <v>1205</v>
      </c>
      <c r="AC38" s="38">
        <v>0.75</v>
      </c>
      <c r="AD38" s="163">
        <v>4.0999999999999996</v>
      </c>
      <c r="AE38" s="44">
        <v>4300</v>
      </c>
      <c r="AF38" s="36">
        <v>26</v>
      </c>
      <c r="AG38" s="79"/>
    </row>
    <row r="39" spans="1:34" x14ac:dyDescent="0.2">
      <c r="A39" s="37">
        <v>206</v>
      </c>
      <c r="B39" s="81" t="s">
        <v>1784</v>
      </c>
      <c r="C39" s="81">
        <v>42</v>
      </c>
      <c r="D39" s="40">
        <v>63.5</v>
      </c>
      <c r="E39" s="37" t="s">
        <v>638</v>
      </c>
      <c r="F39" s="303" t="s">
        <v>2995</v>
      </c>
      <c r="G39" s="37">
        <v>15177078</v>
      </c>
      <c r="H39" s="38">
        <v>146606</v>
      </c>
      <c r="I39" s="47" t="s">
        <v>1035</v>
      </c>
      <c r="J39" s="48" t="s">
        <v>1035</v>
      </c>
      <c r="K39" s="48" t="s">
        <v>1035</v>
      </c>
      <c r="L39" s="49" t="s">
        <v>1035</v>
      </c>
      <c r="M39" s="37" t="s">
        <v>246</v>
      </c>
      <c r="N39" s="34">
        <v>6.32</v>
      </c>
      <c r="O39" s="34">
        <f>14.2/2.204</f>
        <v>6.4428312159709611</v>
      </c>
      <c r="P39" s="35" t="s">
        <v>1205</v>
      </c>
      <c r="Q39" s="35" t="s">
        <v>114</v>
      </c>
      <c r="R39" s="36" t="s">
        <v>2848</v>
      </c>
      <c r="S39" s="37" t="s">
        <v>249</v>
      </c>
      <c r="T39" s="35" t="s">
        <v>250</v>
      </c>
      <c r="U39" s="38" t="s">
        <v>251</v>
      </c>
      <c r="V39" s="35">
        <v>5455</v>
      </c>
      <c r="W39" s="38">
        <v>376</v>
      </c>
      <c r="X39" s="107" t="s">
        <v>1789</v>
      </c>
      <c r="Y39" s="39" t="s">
        <v>1206</v>
      </c>
      <c r="Z39" s="36">
        <v>386</v>
      </c>
      <c r="AA39" s="43" t="s">
        <v>256</v>
      </c>
      <c r="AB39" s="44" t="s">
        <v>1205</v>
      </c>
      <c r="AC39" s="38">
        <v>0.75</v>
      </c>
      <c r="AD39" s="163">
        <v>4.0999999999999996</v>
      </c>
      <c r="AE39" s="44">
        <v>4300</v>
      </c>
      <c r="AF39" s="36">
        <v>26</v>
      </c>
      <c r="AG39" s="79"/>
    </row>
    <row r="40" spans="1:34" x14ac:dyDescent="0.2">
      <c r="A40" s="37">
        <v>206</v>
      </c>
      <c r="B40" s="81" t="s">
        <v>1784</v>
      </c>
      <c r="C40" s="81">
        <v>42</v>
      </c>
      <c r="D40" s="81">
        <v>42</v>
      </c>
      <c r="E40" s="37" t="s">
        <v>638</v>
      </c>
      <c r="F40" s="303" t="s">
        <v>717</v>
      </c>
      <c r="G40" s="37">
        <v>15065925</v>
      </c>
      <c r="H40" s="38">
        <v>140620</v>
      </c>
      <c r="I40" s="47" t="s">
        <v>1035</v>
      </c>
      <c r="J40" s="48" t="s">
        <v>1035</v>
      </c>
      <c r="K40" s="48" t="s">
        <v>1035</v>
      </c>
      <c r="L40" s="49" t="s">
        <v>1035</v>
      </c>
      <c r="M40" s="37" t="s">
        <v>246</v>
      </c>
      <c r="N40" s="34">
        <v>6.32</v>
      </c>
      <c r="O40" s="34">
        <f>12.2/2.204</f>
        <v>5.5353901996370229</v>
      </c>
      <c r="P40" s="35" t="s">
        <v>802</v>
      </c>
      <c r="Q40" s="35" t="s">
        <v>114</v>
      </c>
      <c r="R40" s="36" t="s">
        <v>2848</v>
      </c>
      <c r="S40" s="37" t="s">
        <v>249</v>
      </c>
      <c r="T40" s="35" t="s">
        <v>250</v>
      </c>
      <c r="U40" s="38" t="s">
        <v>251</v>
      </c>
      <c r="V40" s="35">
        <v>3909</v>
      </c>
      <c r="W40" s="38">
        <v>411</v>
      </c>
      <c r="X40" s="107" t="s">
        <v>1789</v>
      </c>
      <c r="Y40" s="39" t="s">
        <v>1206</v>
      </c>
      <c r="Z40" s="36">
        <v>80</v>
      </c>
      <c r="AA40" s="43" t="s">
        <v>256</v>
      </c>
      <c r="AB40" s="44" t="s">
        <v>1205</v>
      </c>
      <c r="AC40" s="38">
        <v>0.75</v>
      </c>
      <c r="AD40" s="163">
        <v>4.0999999999999996</v>
      </c>
      <c r="AE40" s="44">
        <v>4300</v>
      </c>
      <c r="AF40" s="36">
        <v>26</v>
      </c>
      <c r="AG40" s="79"/>
    </row>
    <row r="41" spans="1:34" x14ac:dyDescent="0.2">
      <c r="A41" s="37">
        <v>203</v>
      </c>
      <c r="B41" s="81" t="s">
        <v>1784</v>
      </c>
      <c r="C41" s="81">
        <v>38</v>
      </c>
      <c r="D41" s="40">
        <v>65.5</v>
      </c>
      <c r="E41" s="37" t="s">
        <v>702</v>
      </c>
      <c r="F41" s="303" t="s">
        <v>769</v>
      </c>
      <c r="G41" s="37" t="s">
        <v>1535</v>
      </c>
      <c r="H41" s="38" t="s">
        <v>1536</v>
      </c>
      <c r="I41" s="92">
        <v>20.6</v>
      </c>
      <c r="J41" s="34">
        <v>25.4</v>
      </c>
      <c r="K41" s="35" t="s">
        <v>1683</v>
      </c>
      <c r="L41" s="38" t="s">
        <v>730</v>
      </c>
      <c r="M41" s="37" t="s">
        <v>1684</v>
      </c>
      <c r="N41" s="34">
        <v>2.4</v>
      </c>
      <c r="O41" s="35">
        <v>2.29</v>
      </c>
      <c r="P41" s="35" t="s">
        <v>247</v>
      </c>
      <c r="Q41" s="35" t="s">
        <v>1690</v>
      </c>
      <c r="R41" s="293" t="s">
        <v>2518</v>
      </c>
      <c r="S41" s="37" t="s">
        <v>1692</v>
      </c>
      <c r="T41" s="35">
        <v>3438</v>
      </c>
      <c r="U41" s="38" t="s">
        <v>251</v>
      </c>
      <c r="V41" s="35">
        <v>1690</v>
      </c>
      <c r="W41" s="38">
        <v>282</v>
      </c>
      <c r="X41" s="107" t="s">
        <v>1789</v>
      </c>
      <c r="Y41" s="39" t="s">
        <v>1206</v>
      </c>
      <c r="Z41" s="36">
        <v>750</v>
      </c>
      <c r="AA41" s="43" t="s">
        <v>770</v>
      </c>
      <c r="AB41" s="44" t="s">
        <v>1205</v>
      </c>
      <c r="AC41" s="38" t="s">
        <v>771</v>
      </c>
      <c r="AD41" s="163">
        <v>7</v>
      </c>
      <c r="AE41" s="39">
        <v>710</v>
      </c>
      <c r="AF41" s="38">
        <v>25</v>
      </c>
      <c r="AG41" s="79"/>
    </row>
    <row r="42" spans="1:34" s="110" customFormat="1" ht="51" x14ac:dyDescent="0.2">
      <c r="A42" s="50">
        <v>206</v>
      </c>
      <c r="B42" s="80" t="s">
        <v>1784</v>
      </c>
      <c r="C42" s="80">
        <v>34</v>
      </c>
      <c r="D42" s="38">
        <v>61</v>
      </c>
      <c r="E42" s="37" t="s">
        <v>1787</v>
      </c>
      <c r="F42" s="304" t="s">
        <v>1092</v>
      </c>
      <c r="G42" s="54" t="s">
        <v>1094</v>
      </c>
      <c r="H42" s="104" t="s">
        <v>1098</v>
      </c>
      <c r="I42" s="82" t="s">
        <v>1035</v>
      </c>
      <c r="J42" s="61" t="s">
        <v>1035</v>
      </c>
      <c r="K42" s="61" t="s">
        <v>1035</v>
      </c>
      <c r="L42" s="62" t="s">
        <v>1035</v>
      </c>
      <c r="M42" s="37" t="s">
        <v>246</v>
      </c>
      <c r="N42" s="34">
        <v>6.32</v>
      </c>
      <c r="O42" s="34">
        <v>4.3</v>
      </c>
      <c r="P42" s="53" t="s">
        <v>1205</v>
      </c>
      <c r="Q42" s="39" t="s">
        <v>114</v>
      </c>
      <c r="R42" s="38" t="s">
        <v>2226</v>
      </c>
      <c r="S42" s="37" t="s">
        <v>817</v>
      </c>
      <c r="T42" s="35" t="s">
        <v>2091</v>
      </c>
      <c r="U42" s="38" t="s">
        <v>251</v>
      </c>
      <c r="V42" s="53" t="s">
        <v>2096</v>
      </c>
      <c r="W42" s="104" t="s">
        <v>2095</v>
      </c>
      <c r="X42" s="105">
        <v>2008</v>
      </c>
      <c r="Y42" s="39" t="s">
        <v>2093</v>
      </c>
      <c r="Z42" s="308" t="s">
        <v>1096</v>
      </c>
      <c r="AA42" s="37" t="s">
        <v>256</v>
      </c>
      <c r="AB42" s="35" t="s">
        <v>1205</v>
      </c>
      <c r="AC42" s="38">
        <v>0.75</v>
      </c>
      <c r="AD42" s="92">
        <v>4.0999999999999996</v>
      </c>
      <c r="AE42" s="35">
        <v>906</v>
      </c>
      <c r="AF42" s="36">
        <v>19.2</v>
      </c>
      <c r="AG42" s="79"/>
    </row>
    <row r="43" spans="1:34" x14ac:dyDescent="0.2">
      <c r="A43" s="50">
        <v>228</v>
      </c>
      <c r="B43" s="80" t="s">
        <v>1784</v>
      </c>
      <c r="C43" s="80">
        <v>40</v>
      </c>
      <c r="D43" s="67">
        <v>55</v>
      </c>
      <c r="E43" s="37" t="s">
        <v>1591</v>
      </c>
      <c r="F43" s="305" t="s">
        <v>782</v>
      </c>
      <c r="G43" s="71" t="s">
        <v>785</v>
      </c>
      <c r="H43" s="46" t="s">
        <v>786</v>
      </c>
      <c r="I43" s="68">
        <v>17.78</v>
      </c>
      <c r="J43" s="69">
        <v>24</v>
      </c>
      <c r="K43" s="39" t="s">
        <v>1683</v>
      </c>
      <c r="L43" s="36" t="s">
        <v>779</v>
      </c>
      <c r="M43" s="71" t="s">
        <v>1684</v>
      </c>
      <c r="N43" s="70">
        <v>2.4</v>
      </c>
      <c r="O43" s="66">
        <v>2.75</v>
      </c>
      <c r="P43" s="66" t="s">
        <v>257</v>
      </c>
      <c r="Q43" s="39" t="s">
        <v>114</v>
      </c>
      <c r="R43" s="293" t="s">
        <v>669</v>
      </c>
      <c r="S43" s="63" t="s">
        <v>780</v>
      </c>
      <c r="T43" s="39" t="s">
        <v>781</v>
      </c>
      <c r="U43" s="38" t="s">
        <v>251</v>
      </c>
      <c r="V43" s="66">
        <v>1925</v>
      </c>
      <c r="W43" s="46">
        <v>300</v>
      </c>
      <c r="X43" s="107" t="s">
        <v>1789</v>
      </c>
      <c r="Y43" s="66" t="s">
        <v>783</v>
      </c>
      <c r="Z43" s="46" t="s">
        <v>784</v>
      </c>
      <c r="AA43" s="72" t="s">
        <v>742</v>
      </c>
      <c r="AB43" s="73" t="s">
        <v>1205</v>
      </c>
      <c r="AC43" s="46">
        <v>0.6</v>
      </c>
      <c r="AD43" s="165"/>
      <c r="AE43" s="73"/>
      <c r="AF43" s="46"/>
      <c r="AG43" s="79"/>
    </row>
    <row r="44" spans="1:34" x14ac:dyDescent="0.2">
      <c r="A44" s="50">
        <v>228</v>
      </c>
      <c r="B44" s="80" t="s">
        <v>1784</v>
      </c>
      <c r="C44" s="80">
        <v>40</v>
      </c>
      <c r="D44" s="67">
        <v>55</v>
      </c>
      <c r="E44" s="37" t="s">
        <v>1591</v>
      </c>
      <c r="F44" s="305" t="s">
        <v>782</v>
      </c>
      <c r="G44" s="71" t="s">
        <v>808</v>
      </c>
      <c r="H44" s="46" t="s">
        <v>809</v>
      </c>
      <c r="I44" s="68">
        <v>17.78</v>
      </c>
      <c r="J44" s="69">
        <v>24</v>
      </c>
      <c r="K44" s="39" t="s">
        <v>1683</v>
      </c>
      <c r="L44" s="36" t="s">
        <v>779</v>
      </c>
      <c r="M44" s="71" t="s">
        <v>1684</v>
      </c>
      <c r="N44" s="70">
        <v>2.4</v>
      </c>
      <c r="O44" s="66">
        <v>2.75</v>
      </c>
      <c r="P44" s="66" t="s">
        <v>802</v>
      </c>
      <c r="Q44" s="39" t="s">
        <v>114</v>
      </c>
      <c r="R44" s="293" t="s">
        <v>669</v>
      </c>
      <c r="S44" s="63" t="s">
        <v>780</v>
      </c>
      <c r="T44" s="39" t="s">
        <v>781</v>
      </c>
      <c r="U44" s="38" t="s">
        <v>251</v>
      </c>
      <c r="V44" s="66">
        <v>1925</v>
      </c>
      <c r="W44" s="46">
        <v>300</v>
      </c>
      <c r="X44" s="107" t="s">
        <v>1789</v>
      </c>
      <c r="Y44" s="66" t="s">
        <v>783</v>
      </c>
      <c r="Z44" s="46" t="s">
        <v>787</v>
      </c>
      <c r="AA44" s="72" t="s">
        <v>742</v>
      </c>
      <c r="AB44" s="73" t="s">
        <v>718</v>
      </c>
      <c r="AC44" s="46">
        <v>0.6</v>
      </c>
      <c r="AD44" s="165"/>
      <c r="AE44" s="73"/>
      <c r="AF44" s="46"/>
      <c r="AG44" s="79"/>
    </row>
    <row r="45" spans="1:34" ht="15.75" thickBot="1" x14ac:dyDescent="0.25">
      <c r="A45" s="50">
        <v>295</v>
      </c>
      <c r="B45" s="80" t="s">
        <v>1784</v>
      </c>
      <c r="C45" s="80">
        <v>60</v>
      </c>
      <c r="D45" s="60">
        <v>39.799999999999997</v>
      </c>
      <c r="E45" s="37" t="s">
        <v>1787</v>
      </c>
      <c r="F45" s="306" t="s">
        <v>1197</v>
      </c>
      <c r="G45" s="50" t="s">
        <v>2097</v>
      </c>
      <c r="H45" s="302">
        <v>161888.5</v>
      </c>
      <c r="I45" s="82">
        <v>27</v>
      </c>
      <c r="J45" s="61">
        <v>25.4</v>
      </c>
      <c r="K45" s="61" t="s">
        <v>1683</v>
      </c>
      <c r="L45" s="62" t="s">
        <v>730</v>
      </c>
      <c r="M45" s="50" t="s">
        <v>1684</v>
      </c>
      <c r="N45" s="45">
        <v>2.2000000000000002</v>
      </c>
      <c r="O45" s="45">
        <v>5.7</v>
      </c>
      <c r="P45" s="51" t="s">
        <v>1205</v>
      </c>
      <c r="Q45" s="39" t="s">
        <v>114</v>
      </c>
      <c r="R45" s="38" t="s">
        <v>2226</v>
      </c>
      <c r="S45" s="37" t="s">
        <v>249</v>
      </c>
      <c r="T45" s="35" t="s">
        <v>816</v>
      </c>
      <c r="U45" s="38" t="s">
        <v>251</v>
      </c>
      <c r="V45" s="51">
        <v>2727</v>
      </c>
      <c r="W45" s="55">
        <v>353</v>
      </c>
      <c r="X45" s="105">
        <v>2008</v>
      </c>
      <c r="Y45" s="66" t="s">
        <v>1206</v>
      </c>
      <c r="Z45" s="46">
        <v>48</v>
      </c>
      <c r="AA45" s="58" t="s">
        <v>742</v>
      </c>
      <c r="AB45" s="59" t="s">
        <v>718</v>
      </c>
      <c r="AC45" s="38">
        <v>0.6</v>
      </c>
      <c r="AD45" s="167">
        <v>6</v>
      </c>
      <c r="AE45" s="78"/>
      <c r="AF45" s="77"/>
      <c r="AG45" s="79"/>
    </row>
    <row r="46" spans="1:34" ht="15.75" thickBot="1" x14ac:dyDescent="0.25">
      <c r="A46" s="50">
        <v>206</v>
      </c>
      <c r="B46" s="80" t="s">
        <v>1784</v>
      </c>
      <c r="C46" s="80">
        <v>30</v>
      </c>
      <c r="D46" s="60" t="s">
        <v>2562</v>
      </c>
      <c r="E46" s="37" t="s">
        <v>1591</v>
      </c>
      <c r="F46" s="51" t="s">
        <v>2563</v>
      </c>
      <c r="G46" s="50" t="s">
        <v>2561</v>
      </c>
      <c r="H46" s="55" t="s">
        <v>2560</v>
      </c>
      <c r="I46" s="97" t="s">
        <v>1035</v>
      </c>
      <c r="J46" s="98" t="s">
        <v>1035</v>
      </c>
      <c r="K46" s="98" t="s">
        <v>1035</v>
      </c>
      <c r="L46" s="99" t="s">
        <v>1035</v>
      </c>
      <c r="M46" s="100" t="s">
        <v>246</v>
      </c>
      <c r="N46" s="45">
        <v>6.3</v>
      </c>
      <c r="O46" s="95">
        <v>1.65</v>
      </c>
      <c r="P46" s="51" t="s">
        <v>718</v>
      </c>
      <c r="Q46" s="66" t="s">
        <v>114</v>
      </c>
      <c r="R46" s="38" t="s">
        <v>2226</v>
      </c>
      <c r="S46" s="50" t="s">
        <v>817</v>
      </c>
      <c r="T46" s="51" t="s">
        <v>1753</v>
      </c>
      <c r="U46" s="55" t="s">
        <v>251</v>
      </c>
      <c r="V46" s="51">
        <v>1720</v>
      </c>
      <c r="W46" s="55">
        <v>403</v>
      </c>
      <c r="X46" s="65">
        <v>2009</v>
      </c>
      <c r="Y46" s="66" t="s">
        <v>1206</v>
      </c>
      <c r="Z46" s="46"/>
      <c r="AA46" s="58" t="s">
        <v>256</v>
      </c>
      <c r="AB46" s="59" t="s">
        <v>1205</v>
      </c>
      <c r="AC46" s="55">
        <v>0.75</v>
      </c>
      <c r="AD46" s="167"/>
      <c r="AE46" s="78"/>
      <c r="AF46" s="77"/>
      <c r="AG46" s="79"/>
    </row>
    <row r="47" spans="1:34" x14ac:dyDescent="0.2">
      <c r="A47" s="50">
        <v>206</v>
      </c>
      <c r="B47" s="80" t="s">
        <v>1784</v>
      </c>
      <c r="C47" s="80">
        <v>42</v>
      </c>
      <c r="D47" s="60"/>
      <c r="E47" s="37" t="s">
        <v>702</v>
      </c>
      <c r="F47" s="51" t="s">
        <v>719</v>
      </c>
      <c r="G47" s="50" t="s">
        <v>1731</v>
      </c>
      <c r="H47" s="55">
        <v>15182601</v>
      </c>
      <c r="I47" s="82" t="s">
        <v>1035</v>
      </c>
      <c r="J47" s="61" t="s">
        <v>1035</v>
      </c>
      <c r="K47" s="61" t="s">
        <v>1035</v>
      </c>
      <c r="L47" s="62" t="s">
        <v>1035</v>
      </c>
      <c r="M47" s="50" t="s">
        <v>246</v>
      </c>
      <c r="N47" s="45">
        <v>6.3</v>
      </c>
      <c r="O47" s="45"/>
      <c r="P47" s="51" t="s">
        <v>718</v>
      </c>
      <c r="Q47" s="39" t="s">
        <v>114</v>
      </c>
      <c r="R47" s="36" t="s">
        <v>2906</v>
      </c>
      <c r="S47" s="37" t="s">
        <v>249</v>
      </c>
      <c r="T47" s="35" t="s">
        <v>250</v>
      </c>
      <c r="U47" s="38" t="s">
        <v>251</v>
      </c>
      <c r="V47" s="51">
        <v>5898</v>
      </c>
      <c r="W47" s="55">
        <v>376</v>
      </c>
      <c r="X47" s="101">
        <v>2006</v>
      </c>
      <c r="Y47" s="66" t="s">
        <v>1206</v>
      </c>
      <c r="Z47" s="46">
        <v>50</v>
      </c>
      <c r="AA47" s="58" t="s">
        <v>256</v>
      </c>
      <c r="AB47" s="59" t="s">
        <v>1205</v>
      </c>
      <c r="AC47" s="38">
        <v>0.75</v>
      </c>
      <c r="AD47" s="163">
        <v>4</v>
      </c>
      <c r="AE47" s="44">
        <v>3870</v>
      </c>
      <c r="AF47" s="36">
        <v>22.5</v>
      </c>
      <c r="AG47" s="79"/>
    </row>
    <row r="48" spans="1:34" s="110" customFormat="1" ht="25.5" x14ac:dyDescent="0.2">
      <c r="A48" s="50">
        <v>206</v>
      </c>
      <c r="B48" s="80" t="s">
        <v>1784</v>
      </c>
      <c r="C48" s="80">
        <v>42</v>
      </c>
      <c r="D48" s="60"/>
      <c r="E48" s="37" t="s">
        <v>702</v>
      </c>
      <c r="F48" s="35" t="s">
        <v>1590</v>
      </c>
      <c r="G48" s="56" t="s">
        <v>1538</v>
      </c>
      <c r="H48" s="57" t="s">
        <v>1539</v>
      </c>
      <c r="I48" s="82" t="s">
        <v>1035</v>
      </c>
      <c r="J48" s="61" t="s">
        <v>1035</v>
      </c>
      <c r="K48" s="61" t="s">
        <v>1035</v>
      </c>
      <c r="L48" s="62" t="s">
        <v>1035</v>
      </c>
      <c r="M48" s="50" t="s">
        <v>246</v>
      </c>
      <c r="N48" s="45">
        <v>6.32</v>
      </c>
      <c r="O48" s="45"/>
      <c r="P48" s="51" t="s">
        <v>1205</v>
      </c>
      <c r="Q48" s="39" t="s">
        <v>114</v>
      </c>
      <c r="R48" s="36" t="s">
        <v>2906</v>
      </c>
      <c r="S48" s="50" t="s">
        <v>249</v>
      </c>
      <c r="T48" s="51" t="s">
        <v>250</v>
      </c>
      <c r="U48" s="38" t="s">
        <v>251</v>
      </c>
      <c r="V48" s="51">
        <v>5898</v>
      </c>
      <c r="W48" s="55">
        <v>376</v>
      </c>
      <c r="X48" s="65">
        <v>2005</v>
      </c>
      <c r="Y48" s="39" t="s">
        <v>1206</v>
      </c>
      <c r="Z48" s="109">
        <v>445</v>
      </c>
      <c r="AA48" s="58" t="s">
        <v>256</v>
      </c>
      <c r="AB48" s="59" t="s">
        <v>1205</v>
      </c>
      <c r="AC48" s="38">
        <v>0.75</v>
      </c>
      <c r="AD48" s="58"/>
      <c r="AE48" s="35"/>
      <c r="AF48" s="42"/>
      <c r="AG48" s="79"/>
    </row>
    <row r="49" spans="1:33" x14ac:dyDescent="0.2">
      <c r="A49" s="37">
        <v>206</v>
      </c>
      <c r="B49" s="81" t="s">
        <v>1784</v>
      </c>
      <c r="C49" s="81">
        <v>42</v>
      </c>
      <c r="D49" s="40">
        <v>64.5</v>
      </c>
      <c r="E49" s="37" t="s">
        <v>702</v>
      </c>
      <c r="F49" s="35" t="s">
        <v>2996</v>
      </c>
      <c r="G49" s="37" t="s">
        <v>801</v>
      </c>
      <c r="H49" s="37">
        <v>13903201</v>
      </c>
      <c r="I49" s="47" t="s">
        <v>1035</v>
      </c>
      <c r="J49" s="48" t="s">
        <v>1035</v>
      </c>
      <c r="K49" s="48" t="s">
        <v>1035</v>
      </c>
      <c r="L49" s="49" t="s">
        <v>1035</v>
      </c>
      <c r="M49" s="37" t="s">
        <v>246</v>
      </c>
      <c r="N49" s="34">
        <v>6.32</v>
      </c>
      <c r="O49" s="34">
        <v>5.5</v>
      </c>
      <c r="P49" s="35" t="s">
        <v>1205</v>
      </c>
      <c r="Q49" s="35" t="s">
        <v>114</v>
      </c>
      <c r="R49" s="36" t="s">
        <v>2906</v>
      </c>
      <c r="S49" s="37" t="s">
        <v>249</v>
      </c>
      <c r="T49" s="35" t="s">
        <v>250</v>
      </c>
      <c r="U49" s="38" t="s">
        <v>251</v>
      </c>
      <c r="V49" s="35">
        <v>5670</v>
      </c>
      <c r="W49" s="38">
        <v>376</v>
      </c>
      <c r="X49" s="107" t="s">
        <v>1789</v>
      </c>
      <c r="Y49" s="39" t="s">
        <v>1206</v>
      </c>
      <c r="Z49" s="36"/>
      <c r="AA49" s="43" t="s">
        <v>256</v>
      </c>
      <c r="AB49" s="44" t="s">
        <v>1205</v>
      </c>
      <c r="AC49" s="38">
        <v>0.75</v>
      </c>
      <c r="AD49" s="43">
        <v>4</v>
      </c>
      <c r="AE49" s="44">
        <v>4000</v>
      </c>
      <c r="AF49" s="36">
        <v>23</v>
      </c>
      <c r="AG49" s="79"/>
    </row>
    <row r="50" spans="1:33" x14ac:dyDescent="0.2">
      <c r="A50" s="111">
        <v>195</v>
      </c>
      <c r="B50" s="114" t="s">
        <v>1784</v>
      </c>
      <c r="C50" s="114">
        <v>28</v>
      </c>
      <c r="D50" s="115"/>
      <c r="E50" s="111" t="s">
        <v>1787</v>
      </c>
      <c r="F50" s="112" t="s">
        <v>313</v>
      </c>
      <c r="G50" s="111" t="s">
        <v>1826</v>
      </c>
      <c r="H50" s="113" t="s">
        <v>1827</v>
      </c>
      <c r="I50" s="116" t="s">
        <v>1035</v>
      </c>
      <c r="J50" s="117" t="s">
        <v>1035</v>
      </c>
      <c r="K50" s="117" t="s">
        <v>1035</v>
      </c>
      <c r="L50" s="118" t="s">
        <v>1035</v>
      </c>
      <c r="M50" s="111" t="s">
        <v>246</v>
      </c>
      <c r="N50" s="119">
        <v>7.64</v>
      </c>
      <c r="O50" s="112">
        <v>7</v>
      </c>
      <c r="P50" s="112" t="s">
        <v>1205</v>
      </c>
      <c r="Q50" s="112" t="s">
        <v>114</v>
      </c>
      <c r="R50" s="91" t="s">
        <v>248</v>
      </c>
      <c r="S50" s="111" t="s">
        <v>746</v>
      </c>
      <c r="T50" s="112" t="s">
        <v>1825</v>
      </c>
      <c r="U50" s="113" t="s">
        <v>251</v>
      </c>
      <c r="V50" s="112"/>
      <c r="W50" s="113"/>
      <c r="X50" s="120"/>
      <c r="Y50" s="121" t="s">
        <v>1500</v>
      </c>
      <c r="Z50" s="91">
        <v>20</v>
      </c>
      <c r="AA50" s="89" t="s">
        <v>256</v>
      </c>
      <c r="AB50" s="90" t="s">
        <v>1205</v>
      </c>
      <c r="AC50" s="113">
        <v>0.75</v>
      </c>
      <c r="AD50" s="89"/>
      <c r="AE50" s="90"/>
      <c r="AF50" s="91"/>
      <c r="AG50" s="79"/>
    </row>
    <row r="51" spans="1:33" x14ac:dyDescent="0.2">
      <c r="A51" s="37">
        <v>206</v>
      </c>
      <c r="B51" s="81" t="s">
        <v>1784</v>
      </c>
      <c r="C51" s="81">
        <v>42</v>
      </c>
      <c r="D51" s="40">
        <v>66.5</v>
      </c>
      <c r="E51" s="37" t="s">
        <v>1787</v>
      </c>
      <c r="F51" s="35" t="s">
        <v>1828</v>
      </c>
      <c r="G51" s="37" t="s">
        <v>1830</v>
      </c>
      <c r="H51" s="38">
        <v>135947</v>
      </c>
      <c r="I51" s="82" t="s">
        <v>1035</v>
      </c>
      <c r="J51" s="61" t="s">
        <v>1035</v>
      </c>
      <c r="K51" s="61" t="s">
        <v>1035</v>
      </c>
      <c r="L51" s="62" t="s">
        <v>1035</v>
      </c>
      <c r="M51" s="37" t="s">
        <v>246</v>
      </c>
      <c r="N51" s="34">
        <v>6.32</v>
      </c>
      <c r="O51" s="35">
        <v>5.26</v>
      </c>
      <c r="P51" s="35" t="s">
        <v>1205</v>
      </c>
      <c r="Q51" s="35" t="s">
        <v>114</v>
      </c>
      <c r="R51" s="36" t="s">
        <v>810</v>
      </c>
      <c r="S51" s="37" t="s">
        <v>249</v>
      </c>
      <c r="T51" s="35" t="s">
        <v>250</v>
      </c>
      <c r="U51" s="38" t="s">
        <v>251</v>
      </c>
      <c r="V51" s="35" t="s">
        <v>1829</v>
      </c>
      <c r="W51" s="41">
        <v>388.62</v>
      </c>
      <c r="X51" s="102"/>
      <c r="Y51" s="39" t="s">
        <v>253</v>
      </c>
      <c r="Z51" s="36">
        <v>300</v>
      </c>
      <c r="AA51" s="43" t="s">
        <v>256</v>
      </c>
      <c r="AB51" s="44" t="s">
        <v>1205</v>
      </c>
      <c r="AC51" s="38">
        <v>0.75</v>
      </c>
      <c r="AD51" s="43">
        <v>4.0999999999999996</v>
      </c>
      <c r="AE51" s="44">
        <v>2100</v>
      </c>
      <c r="AF51" s="36">
        <v>25.4</v>
      </c>
      <c r="AG51" s="79"/>
    </row>
    <row r="52" spans="1:33" x14ac:dyDescent="0.2">
      <c r="A52" s="37">
        <v>229</v>
      </c>
      <c r="B52" s="81" t="s">
        <v>1784</v>
      </c>
      <c r="C52" s="81">
        <v>64</v>
      </c>
      <c r="D52" s="40">
        <v>51</v>
      </c>
      <c r="E52" s="37" t="s">
        <v>1787</v>
      </c>
      <c r="F52" s="35" t="s">
        <v>1832</v>
      </c>
      <c r="G52" s="37" t="s">
        <v>1833</v>
      </c>
      <c r="H52" s="38" t="s">
        <v>123</v>
      </c>
      <c r="I52" s="92">
        <v>19.05</v>
      </c>
      <c r="J52" s="34"/>
      <c r="K52" s="35" t="s">
        <v>729</v>
      </c>
      <c r="L52" s="38" t="s">
        <v>730</v>
      </c>
      <c r="M52" s="37" t="s">
        <v>731</v>
      </c>
      <c r="N52" s="34">
        <v>3.12</v>
      </c>
      <c r="O52" s="35">
        <v>7.7</v>
      </c>
      <c r="P52" s="35" t="s">
        <v>247</v>
      </c>
      <c r="Q52" s="35" t="s">
        <v>114</v>
      </c>
      <c r="R52" s="36" t="s">
        <v>1831</v>
      </c>
      <c r="S52" s="37" t="s">
        <v>733</v>
      </c>
      <c r="T52" s="35" t="s">
        <v>734</v>
      </c>
      <c r="U52" s="38" t="s">
        <v>748</v>
      </c>
      <c r="V52" s="35"/>
      <c r="W52" s="38"/>
      <c r="X52" s="102"/>
      <c r="Y52" s="39" t="s">
        <v>1500</v>
      </c>
      <c r="Z52" s="36">
        <v>280</v>
      </c>
      <c r="AA52" s="43" t="s">
        <v>742</v>
      </c>
      <c r="AB52" s="44" t="s">
        <v>1205</v>
      </c>
      <c r="AC52" s="38"/>
      <c r="AD52" s="43"/>
      <c r="AE52" s="44"/>
      <c r="AF52" s="36"/>
      <c r="AG52" s="79"/>
    </row>
    <row r="53" spans="1:33" x14ac:dyDescent="0.2">
      <c r="A53" s="37">
        <v>228</v>
      </c>
      <c r="B53" s="81" t="s">
        <v>1784</v>
      </c>
      <c r="C53" s="81">
        <v>40</v>
      </c>
      <c r="D53" s="40">
        <v>51.5</v>
      </c>
      <c r="E53" s="37" t="s">
        <v>128</v>
      </c>
      <c r="F53" s="35" t="s">
        <v>129</v>
      </c>
      <c r="G53" s="37" t="s">
        <v>282</v>
      </c>
      <c r="H53" s="38" t="s">
        <v>283</v>
      </c>
      <c r="I53" s="92">
        <v>22.22</v>
      </c>
      <c r="J53" s="34">
        <v>25.4</v>
      </c>
      <c r="K53" s="35" t="s">
        <v>1683</v>
      </c>
      <c r="L53" s="38" t="s">
        <v>730</v>
      </c>
      <c r="M53" s="37" t="s">
        <v>745</v>
      </c>
      <c r="N53" s="34">
        <v>2</v>
      </c>
      <c r="O53" s="35"/>
      <c r="P53" s="35" t="s">
        <v>1205</v>
      </c>
      <c r="Q53" s="35" t="s">
        <v>124</v>
      </c>
      <c r="R53" s="36" t="s">
        <v>125</v>
      </c>
      <c r="S53" s="37" t="s">
        <v>126</v>
      </c>
      <c r="T53" s="35" t="s">
        <v>127</v>
      </c>
      <c r="U53" s="38" t="s">
        <v>251</v>
      </c>
      <c r="V53" s="35">
        <f>4300/2.204</f>
        <v>1950.9981851179671</v>
      </c>
      <c r="W53" s="38">
        <v>315</v>
      </c>
      <c r="X53" s="102"/>
      <c r="Y53" s="39" t="s">
        <v>1206</v>
      </c>
      <c r="Z53" s="36">
        <v>100</v>
      </c>
      <c r="AA53" s="43" t="s">
        <v>742</v>
      </c>
      <c r="AB53" s="44" t="s">
        <v>1205</v>
      </c>
      <c r="AC53" s="38">
        <v>0.6</v>
      </c>
      <c r="AD53" s="43"/>
      <c r="AE53" s="39"/>
      <c r="AF53" s="38"/>
      <c r="AG53" s="79"/>
    </row>
    <row r="54" spans="1:33" x14ac:dyDescent="0.2">
      <c r="A54" s="37">
        <v>250</v>
      </c>
      <c r="B54" s="81" t="s">
        <v>1784</v>
      </c>
      <c r="C54" s="81">
        <v>55</v>
      </c>
      <c r="D54" s="40">
        <v>44.3</v>
      </c>
      <c r="E54" s="37" t="s">
        <v>1787</v>
      </c>
      <c r="F54" s="35" t="s">
        <v>285</v>
      </c>
      <c r="G54" s="37" t="s">
        <v>286</v>
      </c>
      <c r="H54" s="38">
        <v>136755</v>
      </c>
      <c r="I54" s="92">
        <v>19.05</v>
      </c>
      <c r="J54" s="34">
        <v>20.6</v>
      </c>
      <c r="K54" s="35" t="s">
        <v>729</v>
      </c>
      <c r="L54" s="38" t="s">
        <v>730</v>
      </c>
      <c r="M54" s="37" t="s">
        <v>745</v>
      </c>
      <c r="N54" s="93"/>
      <c r="O54" s="35">
        <v>3.8</v>
      </c>
      <c r="P54" s="35" t="s">
        <v>247</v>
      </c>
      <c r="Q54" s="35" t="s">
        <v>114</v>
      </c>
      <c r="R54" s="36" t="s">
        <v>1831</v>
      </c>
      <c r="S54" s="37" t="s">
        <v>746</v>
      </c>
      <c r="T54" s="35" t="s">
        <v>284</v>
      </c>
      <c r="U54" s="38" t="s">
        <v>748</v>
      </c>
      <c r="V54" s="35"/>
      <c r="W54" s="38"/>
      <c r="X54" s="102"/>
      <c r="Y54" s="39" t="s">
        <v>1500</v>
      </c>
      <c r="Z54" s="36"/>
      <c r="AA54" s="43" t="s">
        <v>742</v>
      </c>
      <c r="AB54" s="44" t="s">
        <v>1205</v>
      </c>
      <c r="AC54" s="38">
        <v>0.55000000000000004</v>
      </c>
      <c r="AD54" s="43">
        <v>4.2</v>
      </c>
      <c r="AE54" s="35">
        <v>1355</v>
      </c>
      <c r="AF54" s="36"/>
      <c r="AG54" s="79"/>
    </row>
    <row r="55" spans="1:33" x14ac:dyDescent="0.2">
      <c r="A55" s="37">
        <v>200</v>
      </c>
      <c r="B55" s="81" t="s">
        <v>1784</v>
      </c>
      <c r="C55" s="81">
        <v>30</v>
      </c>
      <c r="D55" s="40"/>
      <c r="E55" s="37" t="s">
        <v>2760</v>
      </c>
      <c r="F55" s="35" t="s">
        <v>289</v>
      </c>
      <c r="G55" s="37" t="s">
        <v>290</v>
      </c>
      <c r="H55" s="38" t="s">
        <v>291</v>
      </c>
      <c r="I55" s="92">
        <v>17.46</v>
      </c>
      <c r="J55" s="34"/>
      <c r="K55" s="35" t="s">
        <v>1683</v>
      </c>
      <c r="L55" s="38" t="s">
        <v>730</v>
      </c>
      <c r="M55" s="37" t="s">
        <v>1684</v>
      </c>
      <c r="N55" s="34">
        <v>2.7</v>
      </c>
      <c r="O55" s="35"/>
      <c r="P55" s="35" t="s">
        <v>257</v>
      </c>
      <c r="Q55" s="35" t="s">
        <v>124</v>
      </c>
      <c r="R55" s="36" t="s">
        <v>125</v>
      </c>
      <c r="S55" s="37" t="s">
        <v>287</v>
      </c>
      <c r="T55" s="35" t="s">
        <v>288</v>
      </c>
      <c r="U55" s="38" t="s">
        <v>251</v>
      </c>
      <c r="V55" s="35"/>
      <c r="W55" s="38">
        <v>272</v>
      </c>
      <c r="X55" s="102"/>
      <c r="Y55" s="39" t="s">
        <v>1206</v>
      </c>
      <c r="Z55" s="36">
        <v>390</v>
      </c>
      <c r="AA55" s="43" t="s">
        <v>292</v>
      </c>
      <c r="AB55" s="44" t="s">
        <v>1205</v>
      </c>
      <c r="AC55" s="38" t="s">
        <v>771</v>
      </c>
      <c r="AD55" s="43">
        <v>6.4</v>
      </c>
      <c r="AE55" s="39">
        <v>1288</v>
      </c>
      <c r="AF55" s="38">
        <v>14</v>
      </c>
      <c r="AG55" s="79"/>
    </row>
    <row r="56" spans="1:33" x14ac:dyDescent="0.2">
      <c r="A56" s="37">
        <v>200</v>
      </c>
      <c r="B56" s="81" t="s">
        <v>1784</v>
      </c>
      <c r="C56" s="81">
        <v>30</v>
      </c>
      <c r="D56" s="40"/>
      <c r="E56" s="37" t="s">
        <v>2760</v>
      </c>
      <c r="F56" s="35" t="s">
        <v>289</v>
      </c>
      <c r="G56" s="37" t="s">
        <v>293</v>
      </c>
      <c r="H56" s="38" t="s">
        <v>294</v>
      </c>
      <c r="I56" s="92">
        <v>17.46</v>
      </c>
      <c r="J56" s="34"/>
      <c r="K56" s="35" t="s">
        <v>1683</v>
      </c>
      <c r="L56" s="38" t="s">
        <v>730</v>
      </c>
      <c r="M56" s="37" t="s">
        <v>1684</v>
      </c>
      <c r="N56" s="34">
        <v>2.7</v>
      </c>
      <c r="O56" s="35"/>
      <c r="P56" s="35" t="s">
        <v>802</v>
      </c>
      <c r="Q56" s="35" t="s">
        <v>124</v>
      </c>
      <c r="R56" s="36" t="s">
        <v>125</v>
      </c>
      <c r="S56" s="37" t="s">
        <v>287</v>
      </c>
      <c r="T56" s="35" t="s">
        <v>288</v>
      </c>
      <c r="U56" s="38" t="s">
        <v>251</v>
      </c>
      <c r="V56" s="35"/>
      <c r="W56" s="38">
        <v>272</v>
      </c>
      <c r="X56" s="102"/>
      <c r="Y56" s="39" t="s">
        <v>1206</v>
      </c>
      <c r="Z56" s="36">
        <v>390</v>
      </c>
      <c r="AA56" s="43" t="s">
        <v>292</v>
      </c>
      <c r="AB56" s="44" t="s">
        <v>1205</v>
      </c>
      <c r="AC56" s="38" t="s">
        <v>771</v>
      </c>
      <c r="AD56" s="43">
        <v>6.4</v>
      </c>
      <c r="AE56" s="76">
        <v>1288</v>
      </c>
      <c r="AF56" s="38">
        <v>14</v>
      </c>
    </row>
    <row r="57" spans="1:33" x14ac:dyDescent="0.2">
      <c r="A57" s="37">
        <v>228</v>
      </c>
      <c r="B57" s="81" t="s">
        <v>1784</v>
      </c>
      <c r="C57" s="81">
        <v>30</v>
      </c>
      <c r="D57" s="40">
        <v>53.3</v>
      </c>
      <c r="E57" s="37" t="s">
        <v>296</v>
      </c>
      <c r="F57" s="35" t="s">
        <v>297</v>
      </c>
      <c r="G57" s="37" t="s">
        <v>298</v>
      </c>
      <c r="H57" s="38" t="s">
        <v>299</v>
      </c>
      <c r="I57" s="92">
        <v>17.46</v>
      </c>
      <c r="J57" s="34">
        <v>20</v>
      </c>
      <c r="K57" s="35" t="s">
        <v>1683</v>
      </c>
      <c r="L57" s="38" t="s">
        <v>730</v>
      </c>
      <c r="M57" s="37" t="s">
        <v>1684</v>
      </c>
      <c r="N57" s="34">
        <v>1.9</v>
      </c>
      <c r="O57" s="35">
        <v>2.9</v>
      </c>
      <c r="P57" s="35" t="s">
        <v>257</v>
      </c>
      <c r="Q57" s="35" t="s">
        <v>124</v>
      </c>
      <c r="R57" s="36" t="s">
        <v>1691</v>
      </c>
      <c r="S57" s="37" t="s">
        <v>249</v>
      </c>
      <c r="T57" s="35" t="s">
        <v>295</v>
      </c>
      <c r="U57" s="38" t="s">
        <v>251</v>
      </c>
      <c r="V57" s="35"/>
      <c r="W57" s="38">
        <v>279</v>
      </c>
      <c r="X57" s="102"/>
      <c r="Y57" s="39" t="s">
        <v>1206</v>
      </c>
      <c r="Z57" s="36">
        <v>80</v>
      </c>
      <c r="AA57" s="43" t="s">
        <v>292</v>
      </c>
      <c r="AB57" s="44" t="s">
        <v>1205</v>
      </c>
      <c r="AC57" s="38" t="s">
        <v>771</v>
      </c>
      <c r="AD57" s="43">
        <v>5.9</v>
      </c>
      <c r="AE57" s="44" t="s">
        <v>1210</v>
      </c>
      <c r="AF57" s="36">
        <v>568</v>
      </c>
    </row>
    <row r="58" spans="1:33" x14ac:dyDescent="0.2">
      <c r="A58" s="50">
        <v>228</v>
      </c>
      <c r="B58" s="80" t="s">
        <v>1784</v>
      </c>
      <c r="C58" s="80">
        <v>35</v>
      </c>
      <c r="D58" s="60">
        <v>42.5</v>
      </c>
      <c r="E58" s="50" t="s">
        <v>2760</v>
      </c>
      <c r="F58" s="51" t="s">
        <v>301</v>
      </c>
      <c r="G58" s="50" t="s">
        <v>302</v>
      </c>
      <c r="H58" s="55" t="s">
        <v>303</v>
      </c>
      <c r="I58" s="94">
        <v>20.64</v>
      </c>
      <c r="J58" s="45">
        <v>22.5</v>
      </c>
      <c r="K58" s="51" t="s">
        <v>1683</v>
      </c>
      <c r="L58" s="55" t="s">
        <v>730</v>
      </c>
      <c r="M58" s="37" t="s">
        <v>1684</v>
      </c>
      <c r="N58" s="45">
        <v>2.4</v>
      </c>
      <c r="O58" s="45">
        <v>3</v>
      </c>
      <c r="P58" s="51" t="s">
        <v>1205</v>
      </c>
      <c r="Q58" s="51" t="s">
        <v>114</v>
      </c>
      <c r="R58" s="46" t="s">
        <v>125</v>
      </c>
      <c r="S58" s="50" t="s">
        <v>287</v>
      </c>
      <c r="T58" s="51" t="s">
        <v>300</v>
      </c>
      <c r="U58" s="55" t="s">
        <v>251</v>
      </c>
      <c r="V58" s="51">
        <v>1833</v>
      </c>
      <c r="W58" s="55">
        <v>300</v>
      </c>
      <c r="X58" s="102"/>
      <c r="Y58" s="66" t="s">
        <v>1206</v>
      </c>
      <c r="Z58" s="46">
        <v>288</v>
      </c>
      <c r="AA58" s="58" t="s">
        <v>742</v>
      </c>
      <c r="AB58" s="59" t="s">
        <v>1205</v>
      </c>
      <c r="AC58" s="55">
        <v>0.5</v>
      </c>
      <c r="AD58" s="58">
        <v>6.6</v>
      </c>
      <c r="AE58" s="59" t="s">
        <v>1210</v>
      </c>
      <c r="AF58" s="46">
        <v>1369</v>
      </c>
    </row>
    <row r="59" spans="1:33" x14ac:dyDescent="0.2">
      <c r="A59" s="37">
        <v>254</v>
      </c>
      <c r="B59" s="81" t="s">
        <v>1784</v>
      </c>
      <c r="C59" s="81">
        <v>45</v>
      </c>
      <c r="D59" s="40">
        <v>45.5</v>
      </c>
      <c r="E59" s="37" t="s">
        <v>1315</v>
      </c>
      <c r="F59" s="35" t="s">
        <v>1316</v>
      </c>
      <c r="G59" s="37" t="s">
        <v>1317</v>
      </c>
      <c r="H59" s="38" t="s">
        <v>1318</v>
      </c>
      <c r="I59" s="92">
        <v>22.22</v>
      </c>
      <c r="J59" s="34">
        <v>25.4</v>
      </c>
      <c r="K59" s="35" t="s">
        <v>1683</v>
      </c>
      <c r="L59" s="38" t="s">
        <v>730</v>
      </c>
      <c r="M59" s="37" t="s">
        <v>1684</v>
      </c>
      <c r="N59" s="34">
        <v>2.2000000000000002</v>
      </c>
      <c r="O59" s="34">
        <v>4.5</v>
      </c>
      <c r="P59" s="35" t="s">
        <v>1205</v>
      </c>
      <c r="Q59" s="35" t="s">
        <v>124</v>
      </c>
      <c r="R59" s="36" t="s">
        <v>1757</v>
      </c>
      <c r="S59" s="37" t="s">
        <v>249</v>
      </c>
      <c r="T59" s="35" t="s">
        <v>1758</v>
      </c>
      <c r="U59" s="38" t="s">
        <v>251</v>
      </c>
      <c r="V59" s="35">
        <v>2550</v>
      </c>
      <c r="W59" s="38">
        <v>325</v>
      </c>
      <c r="X59" s="102"/>
      <c r="Y59" s="39" t="s">
        <v>1206</v>
      </c>
      <c r="Z59" s="36">
        <v>140</v>
      </c>
      <c r="AA59" s="43" t="s">
        <v>742</v>
      </c>
      <c r="AB59" s="44" t="s">
        <v>718</v>
      </c>
      <c r="AC59" s="38">
        <v>0.6</v>
      </c>
      <c r="AD59" s="43">
        <v>8.1999999999999993</v>
      </c>
      <c r="AE59" s="44" t="s">
        <v>1210</v>
      </c>
      <c r="AF59" s="36">
        <v>2000</v>
      </c>
    </row>
    <row r="60" spans="1:33" x14ac:dyDescent="0.2">
      <c r="A60" s="50">
        <v>203</v>
      </c>
      <c r="B60" s="80" t="s">
        <v>1784</v>
      </c>
      <c r="C60" s="80">
        <v>38</v>
      </c>
      <c r="D60" s="60">
        <v>51.2</v>
      </c>
      <c r="E60" s="50" t="s">
        <v>702</v>
      </c>
      <c r="F60" s="51" t="s">
        <v>1322</v>
      </c>
      <c r="G60" s="50" t="s">
        <v>1874</v>
      </c>
      <c r="H60" s="55" t="s">
        <v>1323</v>
      </c>
      <c r="I60" s="94">
        <f>7/8*25.4</f>
        <v>22.224999999999998</v>
      </c>
      <c r="J60" s="45">
        <v>22.5</v>
      </c>
      <c r="K60" s="51" t="s">
        <v>1683</v>
      </c>
      <c r="L60" s="55" t="s">
        <v>730</v>
      </c>
      <c r="M60" s="50" t="s">
        <v>1684</v>
      </c>
      <c r="N60" s="45">
        <v>2.4</v>
      </c>
      <c r="O60" s="45">
        <v>2.69</v>
      </c>
      <c r="P60" s="51" t="s">
        <v>1205</v>
      </c>
      <c r="Q60" s="51" t="s">
        <v>1319</v>
      </c>
      <c r="R60" s="46" t="s">
        <v>1691</v>
      </c>
      <c r="S60" s="50" t="s">
        <v>1320</v>
      </c>
      <c r="T60" s="51" t="s">
        <v>1321</v>
      </c>
      <c r="U60" s="55" t="s">
        <v>251</v>
      </c>
      <c r="V60" s="51">
        <v>1690</v>
      </c>
      <c r="W60" s="55">
        <v>280</v>
      </c>
      <c r="X60" s="102"/>
      <c r="Y60" s="66" t="s">
        <v>1206</v>
      </c>
      <c r="Z60" s="46">
        <v>600</v>
      </c>
      <c r="AA60" s="58" t="s">
        <v>292</v>
      </c>
      <c r="AB60" s="59" t="s">
        <v>1205</v>
      </c>
      <c r="AC60" s="55"/>
      <c r="AD60" s="58"/>
      <c r="AE60" s="59"/>
      <c r="AF60" s="46"/>
    </row>
    <row r="61" spans="1:33" x14ac:dyDescent="0.2">
      <c r="A61" s="50">
        <v>250</v>
      </c>
      <c r="B61" s="80" t="s">
        <v>1784</v>
      </c>
      <c r="C61" s="80">
        <v>55</v>
      </c>
      <c r="D61" s="60">
        <f>13/16*25.4</f>
        <v>20.637499999999999</v>
      </c>
      <c r="E61" s="50" t="s">
        <v>1325</v>
      </c>
      <c r="F61" s="51" t="s">
        <v>1326</v>
      </c>
      <c r="G61" s="50" t="s">
        <v>1874</v>
      </c>
      <c r="H61" s="55">
        <v>130903</v>
      </c>
      <c r="I61" s="94"/>
      <c r="J61" s="45"/>
      <c r="K61" s="51" t="s">
        <v>729</v>
      </c>
      <c r="L61" s="55" t="s">
        <v>730</v>
      </c>
      <c r="M61" s="50" t="s">
        <v>745</v>
      </c>
      <c r="N61" s="45"/>
      <c r="O61" s="45"/>
      <c r="P61" s="51" t="s">
        <v>247</v>
      </c>
      <c r="Q61" s="51" t="s">
        <v>114</v>
      </c>
      <c r="R61" s="46" t="s">
        <v>1324</v>
      </c>
      <c r="S61" s="50" t="s">
        <v>746</v>
      </c>
      <c r="T61" s="51" t="s">
        <v>284</v>
      </c>
      <c r="U61" s="55" t="s">
        <v>748</v>
      </c>
      <c r="V61" s="51"/>
      <c r="W61" s="55"/>
      <c r="X61" s="102"/>
      <c r="Y61" s="66" t="s">
        <v>1500</v>
      </c>
      <c r="Z61" s="46">
        <v>50</v>
      </c>
      <c r="AA61" s="58" t="s">
        <v>742</v>
      </c>
      <c r="AB61" s="59" t="s">
        <v>1205</v>
      </c>
      <c r="AC61" s="55"/>
      <c r="AD61" s="58"/>
      <c r="AE61" s="59"/>
      <c r="AF61" s="46"/>
    </row>
    <row r="62" spans="1:33" x14ac:dyDescent="0.2">
      <c r="A62" s="50">
        <v>250</v>
      </c>
      <c r="B62" s="80" t="s">
        <v>1784</v>
      </c>
      <c r="C62" s="80">
        <v>55</v>
      </c>
      <c r="D62" s="60">
        <f>13/16*25.4</f>
        <v>20.637499999999999</v>
      </c>
      <c r="E62" s="50" t="s">
        <v>1325</v>
      </c>
      <c r="F62" s="51" t="s">
        <v>1329</v>
      </c>
      <c r="G62" s="50" t="s">
        <v>1330</v>
      </c>
      <c r="H62" s="55">
        <v>125401</v>
      </c>
      <c r="I62" s="94"/>
      <c r="J62" s="45"/>
      <c r="K62" s="51" t="s">
        <v>729</v>
      </c>
      <c r="L62" s="55" t="s">
        <v>730</v>
      </c>
      <c r="M62" s="50" t="s">
        <v>1684</v>
      </c>
      <c r="N62" s="45"/>
      <c r="O62" s="45"/>
      <c r="P62" s="51" t="s">
        <v>1205</v>
      </c>
      <c r="Q62" s="51" t="s">
        <v>114</v>
      </c>
      <c r="R62" s="46" t="s">
        <v>1324</v>
      </c>
      <c r="S62" s="50" t="s">
        <v>1327</v>
      </c>
      <c r="T62" s="51" t="s">
        <v>1328</v>
      </c>
      <c r="U62" s="55" t="s">
        <v>251</v>
      </c>
      <c r="V62" s="51"/>
      <c r="W62" s="55"/>
      <c r="X62" s="102"/>
      <c r="Y62" s="66" t="s">
        <v>1500</v>
      </c>
      <c r="Z62" s="46">
        <v>50</v>
      </c>
      <c r="AA62" s="58" t="s">
        <v>742</v>
      </c>
      <c r="AB62" s="59" t="s">
        <v>1205</v>
      </c>
      <c r="AC62" s="55"/>
      <c r="AD62" s="58"/>
      <c r="AE62" s="59"/>
      <c r="AF62" s="46"/>
    </row>
    <row r="63" spans="1:33" x14ac:dyDescent="0.2">
      <c r="A63" s="50">
        <v>220</v>
      </c>
      <c r="B63" s="80" t="s">
        <v>1784</v>
      </c>
      <c r="C63" s="80">
        <v>40</v>
      </c>
      <c r="D63" s="60">
        <f>5/8*25.4</f>
        <v>15.875</v>
      </c>
      <c r="E63" s="50" t="s">
        <v>1787</v>
      </c>
      <c r="F63" s="51" t="s">
        <v>1332</v>
      </c>
      <c r="G63" s="50" t="s">
        <v>1333</v>
      </c>
      <c r="H63" s="55" t="s">
        <v>1334</v>
      </c>
      <c r="I63" s="94"/>
      <c r="J63" s="45"/>
      <c r="K63" s="51" t="s">
        <v>729</v>
      </c>
      <c r="L63" s="55" t="s">
        <v>730</v>
      </c>
      <c r="M63" s="50" t="s">
        <v>1684</v>
      </c>
      <c r="N63" s="45"/>
      <c r="O63" s="45"/>
      <c r="P63" s="51" t="s">
        <v>247</v>
      </c>
      <c r="Q63" s="51" t="s">
        <v>114</v>
      </c>
      <c r="R63" s="46" t="s">
        <v>2991</v>
      </c>
      <c r="S63" s="50" t="s">
        <v>733</v>
      </c>
      <c r="T63" s="51" t="s">
        <v>1331</v>
      </c>
      <c r="U63" s="55" t="s">
        <v>251</v>
      </c>
      <c r="V63" s="51"/>
      <c r="W63" s="55"/>
      <c r="X63" s="102"/>
      <c r="Y63" s="66" t="s">
        <v>1500</v>
      </c>
      <c r="Z63" s="46"/>
      <c r="AA63" s="58" t="s">
        <v>742</v>
      </c>
      <c r="AB63" s="59" t="s">
        <v>1205</v>
      </c>
      <c r="AC63" s="55"/>
      <c r="AD63" s="58"/>
      <c r="AE63" s="59"/>
      <c r="AF63" s="46"/>
    </row>
    <row r="64" spans="1:33" x14ac:dyDescent="0.2">
      <c r="A64" s="37">
        <v>220</v>
      </c>
      <c r="B64" s="81" t="s">
        <v>1784</v>
      </c>
      <c r="C64" s="81">
        <v>40</v>
      </c>
      <c r="D64" s="40">
        <v>55</v>
      </c>
      <c r="E64" s="37" t="s">
        <v>1787</v>
      </c>
      <c r="F64" s="35" t="s">
        <v>1336</v>
      </c>
      <c r="G64" s="37" t="s">
        <v>1337</v>
      </c>
      <c r="H64" s="38" t="s">
        <v>1338</v>
      </c>
      <c r="I64" s="92">
        <v>19.05</v>
      </c>
      <c r="J64" s="34">
        <v>20.6</v>
      </c>
      <c r="K64" s="35" t="s">
        <v>729</v>
      </c>
      <c r="L64" s="38" t="s">
        <v>730</v>
      </c>
      <c r="M64" s="37" t="s">
        <v>1684</v>
      </c>
      <c r="N64" s="34">
        <v>2.2000000000000002</v>
      </c>
      <c r="O64" s="34">
        <f>6.1/2.204</f>
        <v>2.7676950998185115</v>
      </c>
      <c r="P64" s="35" t="s">
        <v>257</v>
      </c>
      <c r="Q64" s="35" t="s">
        <v>114</v>
      </c>
      <c r="R64" s="36" t="s">
        <v>1685</v>
      </c>
      <c r="S64" s="37" t="s">
        <v>733</v>
      </c>
      <c r="T64" s="35" t="s">
        <v>1335</v>
      </c>
      <c r="U64" s="38" t="s">
        <v>251</v>
      </c>
      <c r="V64" s="35">
        <v>1925</v>
      </c>
      <c r="W64" s="38">
        <v>300</v>
      </c>
      <c r="X64" s="102"/>
      <c r="Y64" s="39" t="s">
        <v>1206</v>
      </c>
      <c r="Z64" s="36"/>
      <c r="AA64" s="43" t="s">
        <v>742</v>
      </c>
      <c r="AB64" s="44" t="s">
        <v>1205</v>
      </c>
      <c r="AC64" s="38">
        <v>0.65</v>
      </c>
      <c r="AD64" s="43">
        <v>5.3</v>
      </c>
      <c r="AE64" s="39">
        <v>766</v>
      </c>
      <c r="AF64" s="38">
        <v>26</v>
      </c>
      <c r="AG64" s="79"/>
    </row>
    <row r="65" spans="1:33" x14ac:dyDescent="0.2">
      <c r="A65" s="47" t="s">
        <v>1035</v>
      </c>
      <c r="B65" s="81" t="s">
        <v>1784</v>
      </c>
      <c r="C65" s="48" t="s">
        <v>1035</v>
      </c>
      <c r="D65" s="49" t="s">
        <v>1035</v>
      </c>
      <c r="E65" s="37" t="s">
        <v>1340</v>
      </c>
      <c r="F65" s="35" t="s">
        <v>1341</v>
      </c>
      <c r="G65" s="37" t="s">
        <v>1342</v>
      </c>
      <c r="H65" s="38" t="s">
        <v>1343</v>
      </c>
      <c r="I65" s="47" t="s">
        <v>1035</v>
      </c>
      <c r="J65" s="48" t="s">
        <v>1035</v>
      </c>
      <c r="K65" s="48" t="s">
        <v>1035</v>
      </c>
      <c r="L65" s="49" t="s">
        <v>1035</v>
      </c>
      <c r="M65" s="37" t="s">
        <v>1339</v>
      </c>
      <c r="N65" s="61" t="s">
        <v>1035</v>
      </c>
      <c r="O65" s="61" t="s">
        <v>1035</v>
      </c>
      <c r="P65" s="61" t="s">
        <v>1035</v>
      </c>
      <c r="Q65" s="35" t="s">
        <v>114</v>
      </c>
      <c r="R65" s="36" t="s">
        <v>1691</v>
      </c>
      <c r="S65" s="82" t="s">
        <v>1035</v>
      </c>
      <c r="T65" s="61" t="s">
        <v>1035</v>
      </c>
      <c r="U65" s="62" t="s">
        <v>1035</v>
      </c>
      <c r="V65" s="61" t="s">
        <v>1035</v>
      </c>
      <c r="W65" s="62" t="s">
        <v>1035</v>
      </c>
      <c r="X65" s="102"/>
      <c r="Y65" s="39" t="s">
        <v>1206</v>
      </c>
      <c r="Z65" s="36">
        <v>600</v>
      </c>
      <c r="AA65" s="43" t="s">
        <v>742</v>
      </c>
      <c r="AB65" s="44" t="s">
        <v>718</v>
      </c>
      <c r="AC65" s="62" t="s">
        <v>1035</v>
      </c>
      <c r="AD65" s="82" t="s">
        <v>1035</v>
      </c>
      <c r="AE65" s="61" t="s">
        <v>1035</v>
      </c>
      <c r="AF65" s="62" t="s">
        <v>1035</v>
      </c>
      <c r="AG65" s="79"/>
    </row>
    <row r="66" spans="1:33" x14ac:dyDescent="0.2">
      <c r="A66" s="47" t="s">
        <v>1035</v>
      </c>
      <c r="B66" s="81" t="s">
        <v>1784</v>
      </c>
      <c r="C66" s="48" t="s">
        <v>1035</v>
      </c>
      <c r="D66" s="49" t="s">
        <v>1035</v>
      </c>
      <c r="E66" s="37" t="s">
        <v>1345</v>
      </c>
      <c r="F66" s="35" t="s">
        <v>1346</v>
      </c>
      <c r="G66" s="37" t="s">
        <v>1347</v>
      </c>
      <c r="H66" s="38" t="s">
        <v>1348</v>
      </c>
      <c r="I66" s="47" t="s">
        <v>1035</v>
      </c>
      <c r="J66" s="48" t="s">
        <v>1035</v>
      </c>
      <c r="K66" s="48" t="s">
        <v>1035</v>
      </c>
      <c r="L66" s="49" t="s">
        <v>1035</v>
      </c>
      <c r="M66" s="37" t="s">
        <v>1344</v>
      </c>
      <c r="N66" s="61" t="s">
        <v>1035</v>
      </c>
      <c r="O66" s="61" t="s">
        <v>1035</v>
      </c>
      <c r="P66" s="61" t="s">
        <v>1035</v>
      </c>
      <c r="Q66" s="35" t="s">
        <v>114</v>
      </c>
      <c r="R66" s="36" t="s">
        <v>1691</v>
      </c>
      <c r="S66" s="82" t="s">
        <v>1035</v>
      </c>
      <c r="T66" s="61" t="s">
        <v>1035</v>
      </c>
      <c r="U66" s="62" t="s">
        <v>1035</v>
      </c>
      <c r="V66" s="61" t="s">
        <v>1035</v>
      </c>
      <c r="W66" s="62" t="s">
        <v>1035</v>
      </c>
      <c r="X66" s="102"/>
      <c r="Y66" s="39" t="s">
        <v>1206</v>
      </c>
      <c r="Z66" s="36">
        <v>1000</v>
      </c>
      <c r="AA66" s="43" t="s">
        <v>742</v>
      </c>
      <c r="AB66" s="44" t="s">
        <v>718</v>
      </c>
      <c r="AC66" s="62" t="s">
        <v>1035</v>
      </c>
      <c r="AD66" s="82" t="s">
        <v>1035</v>
      </c>
      <c r="AE66" s="61" t="s">
        <v>1035</v>
      </c>
      <c r="AF66" s="62" t="s">
        <v>1035</v>
      </c>
      <c r="AG66" s="79"/>
    </row>
    <row r="67" spans="1:33" x14ac:dyDescent="0.2">
      <c r="A67" s="37">
        <v>203</v>
      </c>
      <c r="B67" s="81" t="s">
        <v>1784</v>
      </c>
      <c r="C67" s="81">
        <v>38</v>
      </c>
      <c r="D67" s="40">
        <v>51.2</v>
      </c>
      <c r="E67" s="37" t="s">
        <v>702</v>
      </c>
      <c r="F67" s="35" t="s">
        <v>1264</v>
      </c>
      <c r="G67" s="37"/>
      <c r="H67" s="38" t="s">
        <v>1265</v>
      </c>
      <c r="I67" s="92">
        <v>22.2</v>
      </c>
      <c r="J67" s="34">
        <v>22.5</v>
      </c>
      <c r="K67" s="35" t="s">
        <v>1683</v>
      </c>
      <c r="L67" s="38" t="s">
        <v>730</v>
      </c>
      <c r="M67" s="37" t="s">
        <v>1684</v>
      </c>
      <c r="N67" s="34">
        <v>2.4</v>
      </c>
      <c r="O67" s="35">
        <v>2.69</v>
      </c>
      <c r="P67" s="35" t="s">
        <v>1205</v>
      </c>
      <c r="Q67" s="35" t="s">
        <v>1690</v>
      </c>
      <c r="R67" s="36" t="s">
        <v>1691</v>
      </c>
      <c r="S67" s="37" t="s">
        <v>1349</v>
      </c>
      <c r="T67" s="35">
        <v>8266</v>
      </c>
      <c r="U67" s="38" t="s">
        <v>251</v>
      </c>
      <c r="V67" s="35">
        <v>1690</v>
      </c>
      <c r="W67" s="38">
        <v>280</v>
      </c>
      <c r="X67" s="102"/>
      <c r="Y67" s="39" t="s">
        <v>1206</v>
      </c>
      <c r="Z67" s="36">
        <v>0</v>
      </c>
      <c r="AA67" s="43" t="s">
        <v>770</v>
      </c>
      <c r="AB67" s="44" t="s">
        <v>1205</v>
      </c>
      <c r="AC67" s="38" t="s">
        <v>771</v>
      </c>
      <c r="AD67" s="43">
        <v>7</v>
      </c>
      <c r="AE67" s="39">
        <v>900</v>
      </c>
      <c r="AF67" s="38">
        <v>25</v>
      </c>
      <c r="AG67" s="79"/>
    </row>
    <row r="68" spans="1:33" x14ac:dyDescent="0.2">
      <c r="A68" s="37">
        <v>228</v>
      </c>
      <c r="B68" s="81" t="s">
        <v>1784</v>
      </c>
      <c r="C68" s="81">
        <v>30</v>
      </c>
      <c r="D68" s="40">
        <v>53.3</v>
      </c>
      <c r="E68" s="37" t="s">
        <v>296</v>
      </c>
      <c r="F68" s="35" t="s">
        <v>1266</v>
      </c>
      <c r="G68" s="37" t="s">
        <v>1267</v>
      </c>
      <c r="H68" s="38" t="s">
        <v>1268</v>
      </c>
      <c r="I68" s="92">
        <v>17.46</v>
      </c>
      <c r="J68" s="34">
        <v>20</v>
      </c>
      <c r="K68" s="35" t="s">
        <v>1683</v>
      </c>
      <c r="L68" s="38" t="s">
        <v>730</v>
      </c>
      <c r="M68" s="37" t="s">
        <v>1684</v>
      </c>
      <c r="N68" s="34">
        <v>1.9</v>
      </c>
      <c r="O68" s="35">
        <v>2.6</v>
      </c>
      <c r="P68" s="35" t="s">
        <v>247</v>
      </c>
      <c r="Q68" s="35" t="s">
        <v>124</v>
      </c>
      <c r="R68" s="36" t="s">
        <v>1691</v>
      </c>
      <c r="S68" s="37" t="s">
        <v>249</v>
      </c>
      <c r="T68" s="35" t="s">
        <v>295</v>
      </c>
      <c r="U68" s="38" t="s">
        <v>251</v>
      </c>
      <c r="V68" s="35">
        <v>1542</v>
      </c>
      <c r="W68" s="38">
        <v>279</v>
      </c>
      <c r="X68" s="102"/>
      <c r="Y68" s="39" t="s">
        <v>1206</v>
      </c>
      <c r="Z68" s="36">
        <v>80</v>
      </c>
      <c r="AA68" s="43" t="s">
        <v>292</v>
      </c>
      <c r="AB68" s="44" t="s">
        <v>1205</v>
      </c>
      <c r="AC68" s="38" t="s">
        <v>771</v>
      </c>
      <c r="AD68" s="43">
        <v>5.9</v>
      </c>
      <c r="AE68" s="44" t="s">
        <v>1210</v>
      </c>
      <c r="AF68" s="36">
        <v>568</v>
      </c>
      <c r="AG68" s="79"/>
    </row>
    <row r="69" spans="1:33" x14ac:dyDescent="0.2">
      <c r="A69" s="37">
        <v>228</v>
      </c>
      <c r="B69" s="81" t="s">
        <v>1784</v>
      </c>
      <c r="C69" s="81">
        <v>35</v>
      </c>
      <c r="D69" s="40">
        <v>52</v>
      </c>
      <c r="E69" s="37" t="s">
        <v>702</v>
      </c>
      <c r="F69" s="35" t="s">
        <v>1270</v>
      </c>
      <c r="G69" s="37" t="s">
        <v>1271</v>
      </c>
      <c r="H69" s="38" t="s">
        <v>1272</v>
      </c>
      <c r="I69" s="92">
        <v>17.46</v>
      </c>
      <c r="J69" s="34">
        <v>20</v>
      </c>
      <c r="K69" s="35" t="s">
        <v>1683</v>
      </c>
      <c r="L69" s="38" t="s">
        <v>730</v>
      </c>
      <c r="M69" s="37" t="s">
        <v>1684</v>
      </c>
      <c r="N69" s="34">
        <v>2</v>
      </c>
      <c r="O69" s="35">
        <v>2.8</v>
      </c>
      <c r="P69" s="35" t="s">
        <v>257</v>
      </c>
      <c r="Q69" s="35" t="s">
        <v>124</v>
      </c>
      <c r="R69" s="36" t="s">
        <v>1691</v>
      </c>
      <c r="S69" s="37" t="s">
        <v>249</v>
      </c>
      <c r="T69" s="35" t="s">
        <v>1269</v>
      </c>
      <c r="U69" s="38" t="s">
        <v>251</v>
      </c>
      <c r="V69" s="35">
        <v>1500</v>
      </c>
      <c r="W69" s="38">
        <v>287</v>
      </c>
      <c r="X69" s="102"/>
      <c r="Y69" s="39" t="s">
        <v>1206</v>
      </c>
      <c r="Z69" s="36">
        <v>450</v>
      </c>
      <c r="AA69" s="43" t="s">
        <v>292</v>
      </c>
      <c r="AB69" s="44" t="s">
        <v>1205</v>
      </c>
      <c r="AC69" s="38" t="s">
        <v>771</v>
      </c>
      <c r="AD69" s="43">
        <v>3.9</v>
      </c>
      <c r="AE69" s="44">
        <v>24</v>
      </c>
      <c r="AF69" s="36">
        <v>773</v>
      </c>
      <c r="AG69" s="79"/>
    </row>
    <row r="70" spans="1:33" x14ac:dyDescent="0.2">
      <c r="A70" s="37">
        <v>228</v>
      </c>
      <c r="B70" s="81" t="s">
        <v>1784</v>
      </c>
      <c r="C70" s="81">
        <v>35</v>
      </c>
      <c r="D70" s="40">
        <v>52</v>
      </c>
      <c r="E70" s="37" t="s">
        <v>702</v>
      </c>
      <c r="F70" s="35" t="s">
        <v>1270</v>
      </c>
      <c r="G70" s="37" t="s">
        <v>1273</v>
      </c>
      <c r="H70" s="38" t="s">
        <v>1274</v>
      </c>
      <c r="I70" s="92">
        <v>17.46</v>
      </c>
      <c r="J70" s="34">
        <v>20</v>
      </c>
      <c r="K70" s="35" t="s">
        <v>1683</v>
      </c>
      <c r="L70" s="38" t="s">
        <v>730</v>
      </c>
      <c r="M70" s="37" t="s">
        <v>1684</v>
      </c>
      <c r="N70" s="34">
        <v>2</v>
      </c>
      <c r="O70" s="35">
        <v>2.8</v>
      </c>
      <c r="P70" s="35" t="s">
        <v>247</v>
      </c>
      <c r="Q70" s="35" t="s">
        <v>124</v>
      </c>
      <c r="R70" s="36" t="s">
        <v>1691</v>
      </c>
      <c r="S70" s="37" t="s">
        <v>249</v>
      </c>
      <c r="T70" s="35" t="s">
        <v>1269</v>
      </c>
      <c r="U70" s="38" t="s">
        <v>251</v>
      </c>
      <c r="V70" s="35">
        <v>1500</v>
      </c>
      <c r="W70" s="38">
        <v>287</v>
      </c>
      <c r="X70" s="102"/>
      <c r="Y70" s="39" t="s">
        <v>1206</v>
      </c>
      <c r="Z70" s="36">
        <v>450</v>
      </c>
      <c r="AA70" s="43" t="s">
        <v>292</v>
      </c>
      <c r="AB70" s="44" t="s">
        <v>1205</v>
      </c>
      <c r="AC70" s="38" t="s">
        <v>771</v>
      </c>
      <c r="AD70" s="43">
        <v>3.9</v>
      </c>
      <c r="AE70" s="44">
        <v>24</v>
      </c>
      <c r="AF70" s="36">
        <v>773</v>
      </c>
      <c r="AG70" s="79"/>
    </row>
    <row r="71" spans="1:33" x14ac:dyDescent="0.2">
      <c r="A71" s="37">
        <v>172</v>
      </c>
      <c r="B71" s="81" t="s">
        <v>1784</v>
      </c>
      <c r="C71" s="81">
        <v>22</v>
      </c>
      <c r="D71" s="40">
        <v>54.7</v>
      </c>
      <c r="E71" s="37" t="s">
        <v>1787</v>
      </c>
      <c r="F71" s="35" t="s">
        <v>1275</v>
      </c>
      <c r="G71" s="37" t="s">
        <v>1276</v>
      </c>
      <c r="H71" s="38" t="s">
        <v>1277</v>
      </c>
      <c r="I71" s="47" t="s">
        <v>1035</v>
      </c>
      <c r="J71" s="48" t="s">
        <v>1035</v>
      </c>
      <c r="K71" s="48" t="s">
        <v>1035</v>
      </c>
      <c r="L71" s="49" t="s">
        <v>1035</v>
      </c>
      <c r="M71" s="37" t="s">
        <v>246</v>
      </c>
      <c r="N71" s="34">
        <v>7.64</v>
      </c>
      <c r="O71" s="35">
        <v>3.1</v>
      </c>
      <c r="P71" s="35" t="s">
        <v>247</v>
      </c>
      <c r="Q71" s="35" t="s">
        <v>114</v>
      </c>
      <c r="R71" s="36" t="s">
        <v>248</v>
      </c>
      <c r="S71" s="37" t="s">
        <v>249</v>
      </c>
      <c r="T71" s="35" t="s">
        <v>250</v>
      </c>
      <c r="U71" s="38" t="s">
        <v>251</v>
      </c>
      <c r="V71" s="35">
        <v>2130</v>
      </c>
      <c r="W71" s="38">
        <v>318</v>
      </c>
      <c r="X71" s="102"/>
      <c r="Y71" s="39" t="s">
        <v>253</v>
      </c>
      <c r="Z71" s="36">
        <v>413</v>
      </c>
      <c r="AA71" s="43" t="s">
        <v>256</v>
      </c>
      <c r="AB71" s="44" t="s">
        <v>1205</v>
      </c>
      <c r="AC71" s="38">
        <v>0.75</v>
      </c>
      <c r="AD71" s="43">
        <v>2.5</v>
      </c>
      <c r="AE71" s="44"/>
      <c r="AF71" s="36"/>
      <c r="AG71" s="79"/>
    </row>
    <row r="72" spans="1:33" x14ac:dyDescent="0.2">
      <c r="A72" s="50">
        <v>206</v>
      </c>
      <c r="B72" s="80" t="s">
        <v>1784</v>
      </c>
      <c r="C72" s="80">
        <v>34</v>
      </c>
      <c r="D72" s="60">
        <v>61</v>
      </c>
      <c r="E72" s="37" t="s">
        <v>1787</v>
      </c>
      <c r="F72" s="51" t="s">
        <v>1279</v>
      </c>
      <c r="G72" s="50" t="s">
        <v>1280</v>
      </c>
      <c r="H72" s="55">
        <v>14035904</v>
      </c>
      <c r="I72" s="47" t="s">
        <v>1035</v>
      </c>
      <c r="J72" s="48" t="s">
        <v>1035</v>
      </c>
      <c r="K72" s="48" t="s">
        <v>1035</v>
      </c>
      <c r="L72" s="49" t="s">
        <v>1035</v>
      </c>
      <c r="M72" s="50" t="s">
        <v>246</v>
      </c>
      <c r="N72" s="34">
        <v>6.32</v>
      </c>
      <c r="O72" s="45">
        <v>4.2</v>
      </c>
      <c r="P72" s="51" t="s">
        <v>1205</v>
      </c>
      <c r="Q72" s="35" t="s">
        <v>114</v>
      </c>
      <c r="R72" s="55" t="s">
        <v>2991</v>
      </c>
      <c r="S72" s="37" t="s">
        <v>249</v>
      </c>
      <c r="T72" s="35" t="s">
        <v>1278</v>
      </c>
      <c r="U72" s="38" t="s">
        <v>251</v>
      </c>
      <c r="V72" s="51">
        <v>2903</v>
      </c>
      <c r="W72" s="55">
        <v>381</v>
      </c>
      <c r="X72" s="102"/>
      <c r="Y72" s="66" t="s">
        <v>1500</v>
      </c>
      <c r="Z72" s="46">
        <v>400</v>
      </c>
      <c r="AA72" s="58" t="s">
        <v>256</v>
      </c>
      <c r="AB72" s="59" t="s">
        <v>1205</v>
      </c>
      <c r="AC72" s="55">
        <v>0.75</v>
      </c>
      <c r="AD72" s="58">
        <v>4.0999999999999996</v>
      </c>
      <c r="AE72" s="83" t="s">
        <v>1281</v>
      </c>
      <c r="AF72" s="84" t="s">
        <v>1282</v>
      </c>
      <c r="AG72" s="79"/>
    </row>
    <row r="73" spans="1:33" x14ac:dyDescent="0.2">
      <c r="A73" s="37">
        <v>172</v>
      </c>
      <c r="B73" s="81" t="s">
        <v>1784</v>
      </c>
      <c r="C73" s="81">
        <v>22</v>
      </c>
      <c r="D73" s="40">
        <v>57</v>
      </c>
      <c r="E73" s="37" t="s">
        <v>1787</v>
      </c>
      <c r="F73" s="35" t="s">
        <v>252</v>
      </c>
      <c r="G73" s="37" t="s">
        <v>254</v>
      </c>
      <c r="H73" s="38" t="s">
        <v>255</v>
      </c>
      <c r="I73" s="47" t="s">
        <v>1035</v>
      </c>
      <c r="J73" s="48" t="s">
        <v>1035</v>
      </c>
      <c r="K73" s="48" t="s">
        <v>1035</v>
      </c>
      <c r="L73" s="49" t="s">
        <v>1035</v>
      </c>
      <c r="M73" s="37" t="s">
        <v>246</v>
      </c>
      <c r="N73" s="34">
        <v>7.64</v>
      </c>
      <c r="O73" s="35">
        <v>2.9</v>
      </c>
      <c r="P73" s="35" t="s">
        <v>247</v>
      </c>
      <c r="Q73" s="35" t="s">
        <v>114</v>
      </c>
      <c r="R73" s="36" t="s">
        <v>248</v>
      </c>
      <c r="S73" s="37" t="s">
        <v>249</v>
      </c>
      <c r="T73" s="35" t="s">
        <v>250</v>
      </c>
      <c r="U73" s="38" t="s">
        <v>251</v>
      </c>
      <c r="V73" s="35">
        <v>1830</v>
      </c>
      <c r="W73" s="38">
        <v>298</v>
      </c>
      <c r="X73" s="102"/>
      <c r="Y73" s="39" t="s">
        <v>253</v>
      </c>
      <c r="Z73" s="36">
        <v>25</v>
      </c>
      <c r="AA73" s="43" t="s">
        <v>256</v>
      </c>
      <c r="AB73" s="44" t="s">
        <v>1205</v>
      </c>
      <c r="AC73" s="38">
        <v>0.75</v>
      </c>
      <c r="AD73" s="43">
        <v>2.2000000000000002</v>
      </c>
      <c r="AE73" s="44"/>
      <c r="AF73" s="36"/>
      <c r="AG73" s="79"/>
    </row>
    <row r="74" spans="1:33" x14ac:dyDescent="0.2">
      <c r="A74" s="37">
        <v>172</v>
      </c>
      <c r="B74" s="81" t="s">
        <v>1784</v>
      </c>
      <c r="C74" s="81">
        <v>22</v>
      </c>
      <c r="D74" s="40">
        <v>57</v>
      </c>
      <c r="E74" s="37" t="s">
        <v>1787</v>
      </c>
      <c r="F74" s="35" t="s">
        <v>252</v>
      </c>
      <c r="G74" s="37" t="s">
        <v>258</v>
      </c>
      <c r="H74" s="38" t="s">
        <v>259</v>
      </c>
      <c r="I74" s="47" t="s">
        <v>1035</v>
      </c>
      <c r="J74" s="48" t="s">
        <v>1035</v>
      </c>
      <c r="K74" s="48" t="s">
        <v>1035</v>
      </c>
      <c r="L74" s="49" t="s">
        <v>1035</v>
      </c>
      <c r="M74" s="37" t="s">
        <v>246</v>
      </c>
      <c r="N74" s="34">
        <v>7.64</v>
      </c>
      <c r="O74" s="35">
        <v>2.9</v>
      </c>
      <c r="P74" s="35" t="s">
        <v>257</v>
      </c>
      <c r="Q74" s="35" t="s">
        <v>114</v>
      </c>
      <c r="R74" s="36" t="s">
        <v>248</v>
      </c>
      <c r="S74" s="37" t="s">
        <v>249</v>
      </c>
      <c r="T74" s="35" t="s">
        <v>250</v>
      </c>
      <c r="U74" s="38" t="s">
        <v>251</v>
      </c>
      <c r="V74" s="35">
        <v>1830</v>
      </c>
      <c r="W74" s="38">
        <v>298</v>
      </c>
      <c r="X74" s="102"/>
      <c r="Y74" s="39" t="s">
        <v>253</v>
      </c>
      <c r="Z74" s="36">
        <v>25</v>
      </c>
      <c r="AA74" s="43" t="s">
        <v>256</v>
      </c>
      <c r="AB74" s="44" t="s">
        <v>1205</v>
      </c>
      <c r="AC74" s="38">
        <v>0.75</v>
      </c>
      <c r="AD74" s="43">
        <v>2.2000000000000002</v>
      </c>
      <c r="AE74" s="44"/>
      <c r="AF74" s="36"/>
      <c r="AG74" s="79"/>
    </row>
    <row r="75" spans="1:33" x14ac:dyDescent="0.2">
      <c r="A75" s="37">
        <v>172</v>
      </c>
      <c r="B75" s="81" t="s">
        <v>1784</v>
      </c>
      <c r="C75" s="81">
        <v>22</v>
      </c>
      <c r="D75" s="40">
        <v>55</v>
      </c>
      <c r="E75" s="37" t="s">
        <v>1787</v>
      </c>
      <c r="F75" s="35" t="s">
        <v>1652</v>
      </c>
      <c r="G75" s="37" t="s">
        <v>260</v>
      </c>
      <c r="H75" s="38" t="s">
        <v>261</v>
      </c>
      <c r="I75" s="47" t="s">
        <v>1035</v>
      </c>
      <c r="J75" s="48" t="s">
        <v>1035</v>
      </c>
      <c r="K75" s="48" t="s">
        <v>1035</v>
      </c>
      <c r="L75" s="49" t="s">
        <v>1035</v>
      </c>
      <c r="M75" s="37" t="s">
        <v>246</v>
      </c>
      <c r="N75" s="34">
        <v>7.64</v>
      </c>
      <c r="O75" s="35">
        <v>2.9</v>
      </c>
      <c r="P75" s="35" t="s">
        <v>247</v>
      </c>
      <c r="Q75" s="35" t="s">
        <v>114</v>
      </c>
      <c r="R75" s="36" t="s">
        <v>248</v>
      </c>
      <c r="S75" s="37" t="s">
        <v>249</v>
      </c>
      <c r="T75" s="35" t="s">
        <v>250</v>
      </c>
      <c r="U75" s="38" t="s">
        <v>251</v>
      </c>
      <c r="V75" s="35">
        <v>1696</v>
      </c>
      <c r="W75" s="38">
        <v>282</v>
      </c>
      <c r="X75" s="102"/>
      <c r="Y75" s="39" t="s">
        <v>253</v>
      </c>
      <c r="Z75" s="36">
        <v>72</v>
      </c>
      <c r="AA75" s="43" t="s">
        <v>256</v>
      </c>
      <c r="AB75" s="44" t="s">
        <v>1205</v>
      </c>
      <c r="AC75" s="38">
        <v>0.75</v>
      </c>
      <c r="AD75" s="43">
        <v>2.5</v>
      </c>
      <c r="AE75" s="44"/>
      <c r="AF75" s="36"/>
      <c r="AG75" s="79"/>
    </row>
    <row r="76" spans="1:33" x14ac:dyDescent="0.2">
      <c r="A76" s="37">
        <v>172</v>
      </c>
      <c r="B76" s="81" t="s">
        <v>1784</v>
      </c>
      <c r="C76" s="81">
        <v>22</v>
      </c>
      <c r="D76" s="40">
        <v>55</v>
      </c>
      <c r="E76" s="37" t="s">
        <v>1787</v>
      </c>
      <c r="F76" s="35" t="s">
        <v>1652</v>
      </c>
      <c r="G76" s="37" t="s">
        <v>262</v>
      </c>
      <c r="H76" s="38" t="s">
        <v>263</v>
      </c>
      <c r="I76" s="47" t="s">
        <v>1035</v>
      </c>
      <c r="J76" s="48" t="s">
        <v>1035</v>
      </c>
      <c r="K76" s="48" t="s">
        <v>1035</v>
      </c>
      <c r="L76" s="49" t="s">
        <v>1035</v>
      </c>
      <c r="M76" s="37" t="s">
        <v>246</v>
      </c>
      <c r="N76" s="34">
        <v>7.64</v>
      </c>
      <c r="O76" s="35">
        <v>2.9</v>
      </c>
      <c r="P76" s="35" t="s">
        <v>257</v>
      </c>
      <c r="Q76" s="35" t="s">
        <v>114</v>
      </c>
      <c r="R76" s="36" t="s">
        <v>248</v>
      </c>
      <c r="S76" s="37" t="s">
        <v>249</v>
      </c>
      <c r="T76" s="35" t="s">
        <v>250</v>
      </c>
      <c r="U76" s="38" t="s">
        <v>251</v>
      </c>
      <c r="V76" s="35">
        <v>1696</v>
      </c>
      <c r="W76" s="38">
        <v>282</v>
      </c>
      <c r="X76" s="102"/>
      <c r="Y76" s="39" t="s">
        <v>253</v>
      </c>
      <c r="Z76" s="36">
        <v>72</v>
      </c>
      <c r="AA76" s="43" t="s">
        <v>256</v>
      </c>
      <c r="AB76" s="44" t="s">
        <v>1205</v>
      </c>
      <c r="AC76" s="38">
        <v>0.75</v>
      </c>
      <c r="AD76" s="43">
        <v>2.5</v>
      </c>
      <c r="AE76" s="44"/>
      <c r="AF76" s="36"/>
      <c r="AG76" s="79"/>
    </row>
    <row r="77" spans="1:33" x14ac:dyDescent="0.2">
      <c r="A77" s="37">
        <v>229</v>
      </c>
      <c r="B77" s="81" t="s">
        <v>1784</v>
      </c>
      <c r="C77" s="81">
        <v>64</v>
      </c>
      <c r="D77" s="40">
        <v>51</v>
      </c>
      <c r="E77" s="37" t="s">
        <v>1787</v>
      </c>
      <c r="F77" s="35" t="s">
        <v>739</v>
      </c>
      <c r="G77" s="37" t="s">
        <v>740</v>
      </c>
      <c r="H77" s="38" t="s">
        <v>741</v>
      </c>
      <c r="I77" s="92">
        <v>19.05</v>
      </c>
      <c r="J77" s="34"/>
      <c r="K77" s="35" t="s">
        <v>729</v>
      </c>
      <c r="L77" s="38" t="s">
        <v>730</v>
      </c>
      <c r="M77" s="37" t="s">
        <v>731</v>
      </c>
      <c r="N77" s="34">
        <v>3.12</v>
      </c>
      <c r="O77" s="34">
        <f>7.7/2.204</f>
        <v>3.4936479128856623</v>
      </c>
      <c r="P77" s="35" t="s">
        <v>257</v>
      </c>
      <c r="Q77" s="35" t="s">
        <v>114</v>
      </c>
      <c r="R77" s="36" t="s">
        <v>732</v>
      </c>
      <c r="S77" s="37" t="s">
        <v>733</v>
      </c>
      <c r="T77" s="35" t="s">
        <v>734</v>
      </c>
      <c r="U77" s="38" t="s">
        <v>251</v>
      </c>
      <c r="V77" s="52">
        <f>5500/2.204</f>
        <v>2495.46279491833</v>
      </c>
      <c r="W77" s="38"/>
      <c r="X77" s="102"/>
      <c r="Y77" s="39" t="s">
        <v>1500</v>
      </c>
      <c r="Z77" s="36">
        <v>120</v>
      </c>
      <c r="AA77" s="43" t="s">
        <v>742</v>
      </c>
      <c r="AB77" s="44" t="s">
        <v>1205</v>
      </c>
      <c r="AC77" s="38"/>
      <c r="AD77" s="43"/>
      <c r="AE77" s="44"/>
      <c r="AF77" s="36"/>
      <c r="AG77" s="79"/>
    </row>
    <row r="78" spans="1:33" x14ac:dyDescent="0.2">
      <c r="A78" s="37">
        <v>229</v>
      </c>
      <c r="B78" s="81" t="s">
        <v>1784</v>
      </c>
      <c r="C78" s="81">
        <v>64</v>
      </c>
      <c r="D78" s="40">
        <v>51</v>
      </c>
      <c r="E78" s="37" t="s">
        <v>1787</v>
      </c>
      <c r="F78" s="35" t="s">
        <v>739</v>
      </c>
      <c r="G78" s="37" t="s">
        <v>743</v>
      </c>
      <c r="H78" s="38" t="s">
        <v>744</v>
      </c>
      <c r="I78" s="92">
        <v>19.05</v>
      </c>
      <c r="J78" s="34"/>
      <c r="K78" s="35" t="s">
        <v>729</v>
      </c>
      <c r="L78" s="38" t="s">
        <v>730</v>
      </c>
      <c r="M78" s="37" t="s">
        <v>731</v>
      </c>
      <c r="N78" s="34">
        <v>3.12</v>
      </c>
      <c r="O78" s="34">
        <f>7.7/2.204</f>
        <v>3.4936479128856623</v>
      </c>
      <c r="P78" s="35" t="s">
        <v>247</v>
      </c>
      <c r="Q78" s="35" t="s">
        <v>114</v>
      </c>
      <c r="R78" s="36" t="s">
        <v>732</v>
      </c>
      <c r="S78" s="37" t="s">
        <v>733</v>
      </c>
      <c r="T78" s="35" t="s">
        <v>734</v>
      </c>
      <c r="U78" s="38" t="s">
        <v>251</v>
      </c>
      <c r="V78" s="52">
        <f>5500/2.204</f>
        <v>2495.46279491833</v>
      </c>
      <c r="W78" s="38"/>
      <c r="X78" s="102"/>
      <c r="Y78" s="39" t="s">
        <v>1500</v>
      </c>
      <c r="Z78" s="36">
        <v>30</v>
      </c>
      <c r="AA78" s="43" t="s">
        <v>742</v>
      </c>
      <c r="AB78" s="44" t="s">
        <v>1205</v>
      </c>
      <c r="AC78" s="38"/>
      <c r="AD78" s="43"/>
      <c r="AE78" s="44"/>
      <c r="AF78" s="36"/>
      <c r="AG78" s="79"/>
    </row>
    <row r="79" spans="1:33" x14ac:dyDescent="0.2">
      <c r="A79" s="37">
        <v>250</v>
      </c>
      <c r="B79" s="81" t="s">
        <v>1784</v>
      </c>
      <c r="C79" s="81">
        <v>55</v>
      </c>
      <c r="D79" s="40">
        <v>44.3</v>
      </c>
      <c r="E79" s="37" t="s">
        <v>1787</v>
      </c>
      <c r="F79" s="35" t="s">
        <v>1681</v>
      </c>
      <c r="G79" s="37" t="s">
        <v>1682</v>
      </c>
      <c r="H79" s="38">
        <v>136756</v>
      </c>
      <c r="I79" s="92">
        <v>20.64</v>
      </c>
      <c r="J79" s="34">
        <v>20.6</v>
      </c>
      <c r="K79" s="35" t="s">
        <v>729</v>
      </c>
      <c r="L79" s="38" t="s">
        <v>730</v>
      </c>
      <c r="M79" s="37" t="s">
        <v>745</v>
      </c>
      <c r="N79" s="34">
        <v>1.7</v>
      </c>
      <c r="O79" s="35">
        <v>3.8</v>
      </c>
      <c r="P79" s="35" t="s">
        <v>247</v>
      </c>
      <c r="Q79" s="35" t="s">
        <v>114</v>
      </c>
      <c r="R79" s="36" t="s">
        <v>732</v>
      </c>
      <c r="S79" s="37" t="s">
        <v>746</v>
      </c>
      <c r="T79" s="35" t="s">
        <v>747</v>
      </c>
      <c r="U79" s="38" t="s">
        <v>748</v>
      </c>
      <c r="V79" s="52">
        <f>5300/2.204</f>
        <v>2404.7186932849363</v>
      </c>
      <c r="W79" s="41">
        <f>12.9*25.4</f>
        <v>327.65999999999997</v>
      </c>
      <c r="X79" s="102"/>
      <c r="Y79" s="39" t="s">
        <v>1500</v>
      </c>
      <c r="Z79" s="36">
        <v>440</v>
      </c>
      <c r="AA79" s="43" t="s">
        <v>742</v>
      </c>
      <c r="AB79" s="44" t="s">
        <v>1205</v>
      </c>
      <c r="AC79" s="38">
        <v>0.55000000000000004</v>
      </c>
      <c r="AD79" s="43">
        <v>4.2</v>
      </c>
      <c r="AE79" s="44">
        <v>1355</v>
      </c>
      <c r="AF79" s="36"/>
      <c r="AG79" s="79"/>
    </row>
    <row r="80" spans="1:33" x14ac:dyDescent="0.2">
      <c r="A80" s="37">
        <v>200</v>
      </c>
      <c r="B80" s="81" t="s">
        <v>1784</v>
      </c>
      <c r="C80" s="81">
        <v>31.5</v>
      </c>
      <c r="D80" s="40">
        <v>54.5</v>
      </c>
      <c r="E80" s="37" t="s">
        <v>1787</v>
      </c>
      <c r="F80" s="35" t="s">
        <v>1687</v>
      </c>
      <c r="G80" s="37" t="s">
        <v>1688</v>
      </c>
      <c r="H80" s="38" t="s">
        <v>1689</v>
      </c>
      <c r="I80" s="92">
        <v>17.46</v>
      </c>
      <c r="J80" s="34">
        <v>20</v>
      </c>
      <c r="K80" s="35" t="s">
        <v>1683</v>
      </c>
      <c r="L80" s="38" t="s">
        <v>730</v>
      </c>
      <c r="M80" s="37" t="s">
        <v>1684</v>
      </c>
      <c r="N80" s="34">
        <v>2.2999999999999998</v>
      </c>
      <c r="O80" s="34">
        <f>5.3/2.204</f>
        <v>2.404718693284936</v>
      </c>
      <c r="P80" s="35" t="s">
        <v>257</v>
      </c>
      <c r="Q80" s="35" t="s">
        <v>114</v>
      </c>
      <c r="R80" s="36" t="s">
        <v>1685</v>
      </c>
      <c r="S80" s="37" t="s">
        <v>733</v>
      </c>
      <c r="T80" s="35" t="s">
        <v>1686</v>
      </c>
      <c r="U80" s="38" t="s">
        <v>251</v>
      </c>
      <c r="V80" s="35">
        <v>1696</v>
      </c>
      <c r="W80" s="38">
        <v>279</v>
      </c>
      <c r="X80" s="102"/>
      <c r="Y80" s="39" t="s">
        <v>1206</v>
      </c>
      <c r="Z80" s="36">
        <v>250</v>
      </c>
      <c r="AA80" s="43" t="s">
        <v>742</v>
      </c>
      <c r="AB80" s="44" t="s">
        <v>1205</v>
      </c>
      <c r="AC80" s="38">
        <f>AVERAGE(199.9,200.15)-199.475</f>
        <v>0.55000000000001137</v>
      </c>
      <c r="AD80" s="43">
        <v>5.0999999999999996</v>
      </c>
      <c r="AE80" s="39">
        <v>895</v>
      </c>
      <c r="AF80" s="38">
        <v>25</v>
      </c>
      <c r="AG80" s="79"/>
    </row>
    <row r="81" spans="1:33" s="110" customFormat="1" ht="12.75" x14ac:dyDescent="0.2">
      <c r="A81" s="37">
        <v>206</v>
      </c>
      <c r="B81" s="81" t="s">
        <v>1784</v>
      </c>
      <c r="C81" s="81">
        <v>34</v>
      </c>
      <c r="D81" s="38">
        <v>61</v>
      </c>
      <c r="E81" s="37" t="s">
        <v>702</v>
      </c>
      <c r="F81" s="35" t="s">
        <v>772</v>
      </c>
      <c r="G81" s="37" t="s">
        <v>1537</v>
      </c>
      <c r="H81" s="38">
        <v>14587801</v>
      </c>
      <c r="I81" s="82" t="s">
        <v>1035</v>
      </c>
      <c r="J81" s="61" t="s">
        <v>1035</v>
      </c>
      <c r="K81" s="61" t="s">
        <v>1035</v>
      </c>
      <c r="L81" s="62" t="s">
        <v>1035</v>
      </c>
      <c r="M81" s="37" t="s">
        <v>246</v>
      </c>
      <c r="N81" s="34">
        <v>6.32</v>
      </c>
      <c r="O81" s="35">
        <v>4.5999999999999996</v>
      </c>
      <c r="P81" s="35" t="s">
        <v>1205</v>
      </c>
      <c r="Q81" s="35" t="s">
        <v>114</v>
      </c>
      <c r="R81" s="36" t="s">
        <v>2991</v>
      </c>
      <c r="S81" s="37" t="s">
        <v>249</v>
      </c>
      <c r="T81" s="35" t="s">
        <v>250</v>
      </c>
      <c r="U81" s="38" t="s">
        <v>251</v>
      </c>
      <c r="V81" s="35">
        <v>3175</v>
      </c>
      <c r="W81" s="38">
        <v>335</v>
      </c>
      <c r="X81" s="102">
        <v>2004</v>
      </c>
      <c r="Y81" s="39" t="s">
        <v>253</v>
      </c>
      <c r="Z81" s="36">
        <v>120</v>
      </c>
      <c r="AA81" s="37" t="s">
        <v>256</v>
      </c>
      <c r="AB81" s="35" t="s">
        <v>1205</v>
      </c>
      <c r="AC81" s="38">
        <v>0.75</v>
      </c>
      <c r="AD81" s="37">
        <v>4.0999999999999996</v>
      </c>
      <c r="AE81" s="35" t="s">
        <v>773</v>
      </c>
      <c r="AF81" s="36" t="s">
        <v>774</v>
      </c>
      <c r="AG81" s="79"/>
    </row>
    <row r="82" spans="1:33" s="110" customFormat="1" ht="12.75" x14ac:dyDescent="0.2">
      <c r="A82" s="37">
        <v>206</v>
      </c>
      <c r="B82" s="81" t="s">
        <v>1784</v>
      </c>
      <c r="C82" s="81">
        <v>42</v>
      </c>
      <c r="D82" s="40">
        <v>64.5</v>
      </c>
      <c r="E82" s="37" t="s">
        <v>702</v>
      </c>
      <c r="F82" s="35" t="s">
        <v>2993</v>
      </c>
      <c r="G82" s="37" t="s">
        <v>1730</v>
      </c>
      <c r="H82" s="38">
        <v>13399807</v>
      </c>
      <c r="I82" s="47" t="s">
        <v>1035</v>
      </c>
      <c r="J82" s="48" t="s">
        <v>1035</v>
      </c>
      <c r="K82" s="48" t="s">
        <v>1035</v>
      </c>
      <c r="L82" s="49" t="s">
        <v>1035</v>
      </c>
      <c r="M82" s="37" t="s">
        <v>246</v>
      </c>
      <c r="N82" s="34">
        <v>6.32</v>
      </c>
      <c r="O82" s="35">
        <v>5.0999999999999996</v>
      </c>
      <c r="P82" s="35" t="s">
        <v>257</v>
      </c>
      <c r="Q82" s="35" t="s">
        <v>114</v>
      </c>
      <c r="R82" s="36" t="s">
        <v>2864</v>
      </c>
      <c r="S82" s="37" t="s">
        <v>249</v>
      </c>
      <c r="T82" s="35" t="s">
        <v>250</v>
      </c>
      <c r="U82" s="38" t="s">
        <v>251</v>
      </c>
      <c r="V82" s="35">
        <v>5216</v>
      </c>
      <c r="W82" s="38">
        <v>354</v>
      </c>
      <c r="X82" s="102">
        <v>2005</v>
      </c>
      <c r="Y82" s="39" t="s">
        <v>1206</v>
      </c>
      <c r="Z82" s="36">
        <v>225</v>
      </c>
      <c r="AA82" s="43" t="s">
        <v>256</v>
      </c>
      <c r="AB82" s="44" t="s">
        <v>1205</v>
      </c>
      <c r="AC82" s="38">
        <v>0.75</v>
      </c>
      <c r="AD82" s="163">
        <v>4.0999999999999996</v>
      </c>
      <c r="AE82" s="44">
        <v>4300</v>
      </c>
      <c r="AF82" s="36">
        <v>26</v>
      </c>
      <c r="AG82" s="79"/>
    </row>
    <row r="83" spans="1:33" s="110" customFormat="1" ht="12.75" x14ac:dyDescent="0.2">
      <c r="A83" s="37">
        <v>206</v>
      </c>
      <c r="B83" s="81" t="s">
        <v>1784</v>
      </c>
      <c r="C83" s="81">
        <v>42</v>
      </c>
      <c r="D83" s="40">
        <v>64.5</v>
      </c>
      <c r="E83" s="37" t="s">
        <v>702</v>
      </c>
      <c r="F83" s="35" t="s">
        <v>2993</v>
      </c>
      <c r="G83" s="37" t="s">
        <v>1729</v>
      </c>
      <c r="H83" s="38">
        <v>15125702</v>
      </c>
      <c r="I83" s="47" t="s">
        <v>1035</v>
      </c>
      <c r="J83" s="48" t="s">
        <v>1035</v>
      </c>
      <c r="K83" s="48" t="s">
        <v>1035</v>
      </c>
      <c r="L83" s="49" t="s">
        <v>1035</v>
      </c>
      <c r="M83" s="37" t="s">
        <v>246</v>
      </c>
      <c r="N83" s="34">
        <v>6.32</v>
      </c>
      <c r="O83" s="35">
        <v>5.0999999999999996</v>
      </c>
      <c r="P83" s="35" t="s">
        <v>257</v>
      </c>
      <c r="Q83" s="35" t="s">
        <v>114</v>
      </c>
      <c r="R83" s="36" t="s">
        <v>2864</v>
      </c>
      <c r="S83" s="37" t="s">
        <v>249</v>
      </c>
      <c r="T83" s="35" t="s">
        <v>250</v>
      </c>
      <c r="U83" s="38" t="s">
        <v>251</v>
      </c>
      <c r="V83" s="35">
        <v>5216</v>
      </c>
      <c r="W83" s="38">
        <v>354</v>
      </c>
      <c r="X83" s="102">
        <v>2006</v>
      </c>
      <c r="Y83" s="39" t="s">
        <v>1206</v>
      </c>
      <c r="Z83" s="36">
        <v>225</v>
      </c>
      <c r="AA83" s="43" t="s">
        <v>256</v>
      </c>
      <c r="AB83" s="44" t="s">
        <v>1205</v>
      </c>
      <c r="AC83" s="38">
        <v>0.75</v>
      </c>
      <c r="AD83" s="163">
        <v>4</v>
      </c>
      <c r="AE83" s="44">
        <v>3870</v>
      </c>
      <c r="AF83" s="36">
        <v>22.5</v>
      </c>
      <c r="AG83" s="79"/>
    </row>
    <row r="84" spans="1:33" s="110" customFormat="1" ht="12.75" x14ac:dyDescent="0.2">
      <c r="A84" s="37">
        <v>242</v>
      </c>
      <c r="B84" s="81" t="s">
        <v>1784</v>
      </c>
      <c r="C84" s="81">
        <v>62</v>
      </c>
      <c r="D84" s="40">
        <v>84.5</v>
      </c>
      <c r="E84" s="37" t="s">
        <v>702</v>
      </c>
      <c r="F84" s="35" t="s">
        <v>722</v>
      </c>
      <c r="G84" s="37" t="s">
        <v>724</v>
      </c>
      <c r="H84" s="38" t="s">
        <v>725</v>
      </c>
      <c r="I84" s="47" t="s">
        <v>1035</v>
      </c>
      <c r="J84" s="48" t="s">
        <v>1035</v>
      </c>
      <c r="K84" s="48" t="s">
        <v>1035</v>
      </c>
      <c r="L84" s="49" t="s">
        <v>1035</v>
      </c>
      <c r="M84" s="37" t="s">
        <v>246</v>
      </c>
      <c r="N84" s="34">
        <v>6.7</v>
      </c>
      <c r="O84" s="34">
        <f>16.7/2.204</f>
        <v>7.5771324863883835</v>
      </c>
      <c r="P84" s="35" t="s">
        <v>1210</v>
      </c>
      <c r="Q84" s="35" t="s">
        <v>114</v>
      </c>
      <c r="R84" s="293" t="s">
        <v>1714</v>
      </c>
      <c r="S84" s="37" t="s">
        <v>249</v>
      </c>
      <c r="T84" s="35" t="s">
        <v>250</v>
      </c>
      <c r="U84" s="38" t="s">
        <v>251</v>
      </c>
      <c r="V84" s="35" t="s">
        <v>723</v>
      </c>
      <c r="W84" s="41">
        <v>378.46</v>
      </c>
      <c r="X84" s="102">
        <v>1999</v>
      </c>
      <c r="Y84" s="39" t="s">
        <v>253</v>
      </c>
      <c r="Z84" s="109">
        <v>30</v>
      </c>
      <c r="AA84" s="43" t="s">
        <v>256</v>
      </c>
      <c r="AB84" s="44" t="s">
        <v>1205</v>
      </c>
      <c r="AC84" s="38">
        <v>0.75</v>
      </c>
      <c r="AD84" s="163">
        <v>4.0999999999999996</v>
      </c>
      <c r="AE84" s="44">
        <v>3314</v>
      </c>
      <c r="AF84" s="36">
        <v>25.4</v>
      </c>
      <c r="AG84" s="79"/>
    </row>
    <row r="85" spans="1:33" s="110" customFormat="1" ht="12.75" x14ac:dyDescent="0.2">
      <c r="A85" s="37">
        <v>242</v>
      </c>
      <c r="B85" s="81" t="s">
        <v>1784</v>
      </c>
      <c r="C85" s="81">
        <v>62</v>
      </c>
      <c r="D85" s="40">
        <v>84.5</v>
      </c>
      <c r="E85" s="37" t="s">
        <v>702</v>
      </c>
      <c r="F85" s="35" t="s">
        <v>2193</v>
      </c>
      <c r="G85" s="37" t="s">
        <v>2192</v>
      </c>
      <c r="H85" s="38" t="s">
        <v>2191</v>
      </c>
      <c r="I85" s="47" t="s">
        <v>1035</v>
      </c>
      <c r="J85" s="48" t="s">
        <v>1035</v>
      </c>
      <c r="K85" s="48" t="s">
        <v>1035</v>
      </c>
      <c r="L85" s="49" t="s">
        <v>1035</v>
      </c>
      <c r="M85" s="37" t="s">
        <v>246</v>
      </c>
      <c r="N85" s="34">
        <v>6.7</v>
      </c>
      <c r="O85" s="34">
        <f>16.7/2.204</f>
        <v>7.5771324863883835</v>
      </c>
      <c r="P85" s="35" t="s">
        <v>1210</v>
      </c>
      <c r="Q85" s="35" t="s">
        <v>114</v>
      </c>
      <c r="R85" s="293" t="s">
        <v>1714</v>
      </c>
      <c r="S85" s="37" t="s">
        <v>249</v>
      </c>
      <c r="T85" s="35" t="s">
        <v>250</v>
      </c>
      <c r="U85" s="38" t="s">
        <v>251</v>
      </c>
      <c r="V85" s="35" t="s">
        <v>723</v>
      </c>
      <c r="W85" s="41">
        <v>378.46</v>
      </c>
      <c r="X85" s="102">
        <v>2005</v>
      </c>
      <c r="Y85" s="39" t="s">
        <v>253</v>
      </c>
      <c r="Z85" s="109">
        <v>30</v>
      </c>
      <c r="AA85" s="43" t="s">
        <v>256</v>
      </c>
      <c r="AB85" s="44" t="s">
        <v>1205</v>
      </c>
      <c r="AC85" s="38">
        <v>0.75</v>
      </c>
      <c r="AD85" s="163">
        <v>4</v>
      </c>
      <c r="AE85" s="44">
        <v>3314</v>
      </c>
      <c r="AF85" s="36">
        <v>25.4</v>
      </c>
      <c r="AG85" s="79"/>
    </row>
    <row r="86" spans="1:33" s="110" customFormat="1" ht="12.75" x14ac:dyDescent="0.2">
      <c r="A86" s="37">
        <v>242</v>
      </c>
      <c r="B86" s="81" t="s">
        <v>1784</v>
      </c>
      <c r="C86" s="81">
        <v>62</v>
      </c>
      <c r="D86" s="40">
        <v>84.5</v>
      </c>
      <c r="E86" s="37" t="s">
        <v>702</v>
      </c>
      <c r="F86" s="35" t="s">
        <v>2188</v>
      </c>
      <c r="G86" s="37" t="s">
        <v>2187</v>
      </c>
      <c r="H86" s="38" t="s">
        <v>2186</v>
      </c>
      <c r="I86" s="47" t="s">
        <v>1035</v>
      </c>
      <c r="J86" s="48" t="s">
        <v>1035</v>
      </c>
      <c r="K86" s="48" t="s">
        <v>1035</v>
      </c>
      <c r="L86" s="49" t="s">
        <v>1035</v>
      </c>
      <c r="M86" s="37" t="s">
        <v>246</v>
      </c>
      <c r="N86" s="34">
        <v>6.7</v>
      </c>
      <c r="O86" s="34">
        <f>16.7/2.204</f>
        <v>7.5771324863883835</v>
      </c>
      <c r="P86" s="35" t="s">
        <v>1210</v>
      </c>
      <c r="Q86" s="35" t="s">
        <v>114</v>
      </c>
      <c r="R86" s="293" t="s">
        <v>1714</v>
      </c>
      <c r="S86" s="37" t="s">
        <v>2190</v>
      </c>
      <c r="T86" s="35" t="s">
        <v>2189</v>
      </c>
      <c r="U86" s="38" t="s">
        <v>251</v>
      </c>
      <c r="V86" s="35" t="s">
        <v>723</v>
      </c>
      <c r="W86" s="41">
        <v>378.46</v>
      </c>
      <c r="X86" s="102">
        <v>2008</v>
      </c>
      <c r="Y86" s="102" t="s">
        <v>2695</v>
      </c>
      <c r="Z86" s="109">
        <v>30</v>
      </c>
      <c r="AA86" s="43" t="s">
        <v>256</v>
      </c>
      <c r="AB86" s="44" t="s">
        <v>1205</v>
      </c>
      <c r="AC86" s="38">
        <v>0.75</v>
      </c>
      <c r="AD86" s="163">
        <v>4</v>
      </c>
      <c r="AE86" s="44">
        <v>3314</v>
      </c>
      <c r="AF86" s="36">
        <v>25.4</v>
      </c>
      <c r="AG86" s="79"/>
    </row>
    <row r="87" spans="1:33" s="110" customFormat="1" ht="12.75" x14ac:dyDescent="0.2">
      <c r="A87" s="37"/>
      <c r="B87" s="81"/>
      <c r="C87" s="81"/>
      <c r="D87" s="40"/>
      <c r="E87" s="37"/>
      <c r="F87" s="35"/>
      <c r="G87" s="37"/>
      <c r="H87" s="38"/>
      <c r="I87" s="47"/>
      <c r="J87" s="48"/>
      <c r="K87" s="48"/>
      <c r="L87" s="49"/>
      <c r="M87" s="37"/>
      <c r="N87" s="34"/>
      <c r="O87" s="35"/>
      <c r="P87" s="35"/>
      <c r="Q87" s="35"/>
      <c r="R87" s="36"/>
      <c r="S87" s="37"/>
      <c r="T87" s="35"/>
      <c r="U87" s="38"/>
      <c r="V87" s="35"/>
      <c r="W87" s="38"/>
      <c r="X87" s="102"/>
      <c r="Y87" s="39"/>
      <c r="Z87" s="36"/>
      <c r="AA87" s="43"/>
      <c r="AB87" s="44"/>
      <c r="AC87" s="38"/>
      <c r="AD87" s="163"/>
      <c r="AE87" s="44"/>
      <c r="AF87" s="36"/>
      <c r="AG87" s="79"/>
    </row>
    <row r="88" spans="1:33" s="110" customFormat="1" ht="12.75" x14ac:dyDescent="0.2">
      <c r="A88" s="37"/>
      <c r="B88" s="81"/>
      <c r="C88" s="81"/>
      <c r="D88" s="40"/>
      <c r="E88" s="37"/>
      <c r="F88" s="35"/>
      <c r="G88" s="37"/>
      <c r="H88" s="38"/>
      <c r="I88" s="47"/>
      <c r="J88" s="48"/>
      <c r="K88" s="48"/>
      <c r="L88" s="49"/>
      <c r="M88" s="37"/>
      <c r="N88" s="34"/>
      <c r="O88" s="35"/>
      <c r="P88" s="35"/>
      <c r="Q88" s="35"/>
      <c r="R88" s="36"/>
      <c r="S88" s="37"/>
      <c r="T88" s="35"/>
      <c r="U88" s="38"/>
      <c r="V88" s="35"/>
      <c r="W88" s="38"/>
      <c r="X88" s="102"/>
      <c r="Y88" s="39"/>
      <c r="Z88" s="36"/>
      <c r="AA88" s="43"/>
      <c r="AB88" s="44"/>
      <c r="AC88" s="38"/>
      <c r="AD88" s="163"/>
      <c r="AE88" s="44"/>
      <c r="AF88" s="36"/>
      <c r="AG88" s="79"/>
    </row>
    <row r="89" spans="1:33" s="110" customFormat="1" ht="12.75" x14ac:dyDescent="0.2">
      <c r="A89" s="85"/>
      <c r="B89" s="85"/>
      <c r="C89" s="85"/>
      <c r="D89" s="85"/>
      <c r="E89" s="85"/>
      <c r="F89" s="85"/>
      <c r="G89" s="85"/>
      <c r="H89" s="85"/>
      <c r="I89" s="168"/>
      <c r="J89" s="168"/>
      <c r="K89" s="168"/>
      <c r="L89" s="168"/>
      <c r="M89" s="85"/>
      <c r="N89" s="161"/>
      <c r="O89" s="85"/>
      <c r="P89" s="85"/>
      <c r="Q89" s="85"/>
      <c r="R89" s="79"/>
      <c r="S89" s="85"/>
      <c r="T89" s="85"/>
      <c r="U89" s="85"/>
      <c r="V89" s="85"/>
      <c r="W89" s="85"/>
      <c r="X89" s="169"/>
      <c r="Y89" s="79"/>
      <c r="Z89" s="79"/>
      <c r="AA89" s="85"/>
      <c r="AB89" s="85"/>
      <c r="AC89" s="85"/>
      <c r="AD89" s="85"/>
      <c r="AE89" s="85"/>
      <c r="AF89" s="79"/>
      <c r="AG89" s="79"/>
    </row>
    <row r="90" spans="1:33" x14ac:dyDescent="0.2">
      <c r="A90" s="85"/>
      <c r="B90" s="85"/>
      <c r="C90" s="85"/>
      <c r="D90" s="85"/>
      <c r="E90" s="85"/>
      <c r="F90" s="85"/>
      <c r="G90" s="85"/>
      <c r="H90" s="85"/>
      <c r="I90" s="161"/>
      <c r="J90" s="161"/>
      <c r="K90" s="85"/>
      <c r="L90" s="85"/>
      <c r="M90" s="85"/>
      <c r="N90" s="161"/>
      <c r="O90" s="161"/>
      <c r="P90" s="85"/>
      <c r="Q90" s="85"/>
      <c r="R90" s="79"/>
      <c r="S90" s="85"/>
      <c r="T90" s="85"/>
      <c r="U90" s="85"/>
      <c r="V90" s="85"/>
      <c r="W90" s="85"/>
      <c r="X90" s="162"/>
      <c r="Y90" s="79"/>
      <c r="Z90" s="79"/>
      <c r="AA90" s="85"/>
      <c r="AB90" s="85"/>
      <c r="AC90" s="85"/>
      <c r="AD90" s="85"/>
      <c r="AE90" s="79"/>
      <c r="AF90" s="85"/>
      <c r="AG90" s="79"/>
    </row>
    <row r="91" spans="1:33" x14ac:dyDescent="0.2">
      <c r="A91" s="292" t="s">
        <v>1283</v>
      </c>
    </row>
    <row r="92" spans="1:33" x14ac:dyDescent="0.2">
      <c r="A92" s="292" t="s">
        <v>1237</v>
      </c>
    </row>
    <row r="93" spans="1:33" x14ac:dyDescent="0.2">
      <c r="A93" s="292" t="s">
        <v>1391</v>
      </c>
    </row>
    <row r="4458" spans="1:32" x14ac:dyDescent="0.2">
      <c r="A4458" s="289"/>
      <c r="B4458" s="289"/>
      <c r="C4458" s="289"/>
      <c r="D4458" s="289"/>
      <c r="E4458" s="289"/>
      <c r="F4458" s="289"/>
      <c r="G4458" s="289"/>
      <c r="H4458" s="289"/>
      <c r="I4458" s="289"/>
      <c r="J4458" s="289"/>
      <c r="K4458" s="289"/>
      <c r="L4458" s="289"/>
      <c r="M4458" s="289"/>
      <c r="N4458" s="289"/>
      <c r="O4458" s="289"/>
      <c r="P4458" s="289"/>
      <c r="Q4458" s="289"/>
      <c r="R4458" s="289"/>
      <c r="S4458" s="289"/>
      <c r="T4458" s="289"/>
      <c r="U4458" s="289"/>
      <c r="V4458" s="289"/>
      <c r="W4458" s="289"/>
      <c r="X4458" s="289"/>
      <c r="Y4458" s="289"/>
      <c r="AA4458" s="289"/>
      <c r="AB4458" s="289"/>
      <c r="AC4458" s="289"/>
      <c r="AD4458" s="36"/>
      <c r="AE4458" s="289"/>
      <c r="AF4458" s="289"/>
    </row>
  </sheetData>
  <customSheetViews>
    <customSheetView guid="{21F37784-ACDF-4AA9-A8FA-2D6F1A2FCD6C}" colorId="22" showPageBreaks="1" showGridLines="0" fitToPage="1" printArea="1">
      <pane ySplit="6" topLeftCell="A7" activePane="bottomLeft" state="frozen"/>
      <selection pane="bottomLeft" activeCell="C17" sqref="C17"/>
      <pageMargins left="0.7" right="0.7" top="0.75" bottom="0.75" header="0.3" footer="0.3"/>
      <printOptions horizontalCentered="1" gridLines="1"/>
      <pageSetup paperSize="17" scale="55" orientation="landscape" horizontalDpi="400" verticalDpi="400" r:id="rId1"/>
      <headerFooter alignWithMargins="0">
        <oddFooter>&amp;L&amp;D&amp;CPage &amp;P of &amp;N&amp;R&amp;F</oddFooter>
      </headerFooter>
    </customSheetView>
    <customSheetView guid="{BD983C39-643B-49A4-A851-3C307533663B}" colorId="22" showPageBreaks="1" showGridLines="0" fitToPage="1" printArea="1">
      <pane ySplit="6" topLeftCell="A7" activePane="bottomLeft" state="frozen"/>
      <selection pane="bottomLeft" activeCell="C17" sqref="C17"/>
      <pageMargins left="0.7" right="0.7" top="0.75" bottom="0.75" header="0.3" footer="0.3"/>
      <printOptions horizontalCentered="1" gridLines="1"/>
      <pageSetup paperSize="17" scale="54" orientation="landscape" horizontalDpi="400" verticalDpi="400" r:id="rId2"/>
      <headerFooter alignWithMargins="0">
        <oddFooter>&amp;L&amp;D&amp;CPage &amp;P of &amp;N&amp;R&amp;F</oddFooter>
      </headerFooter>
    </customSheetView>
  </customSheetViews>
  <mergeCells count="1">
    <mergeCell ref="AG4:AG6"/>
  </mergeCells>
  <phoneticPr fontId="0" type="noConversion"/>
  <printOptions horizontalCentered="1" gridLines="1"/>
  <pageMargins left="0.7" right="0.7" top="0.75" bottom="0.75" header="0.3" footer="0.3"/>
  <pageSetup paperSize="17" scale="54" orientation="landscape" horizontalDpi="400" verticalDpi="400" r:id="rId3"/>
  <headerFooter alignWithMargins="0">
    <oddFooter>&amp;L&amp;D&amp;CPage &amp;P of &amp;N&amp;R&amp;F</oddFooter>
  </headerFooter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61"/>
  <sheetViews>
    <sheetView workbookViewId="0">
      <pane xSplit="9" ySplit="2" topLeftCell="J15" activePane="bottomRight" state="frozenSplit"/>
      <selection pane="topRight" activeCell="J1" sqref="J1"/>
      <selection pane="bottomLeft" activeCell="A3" sqref="A3"/>
      <selection pane="bottomRight" activeCell="C6" sqref="C6"/>
    </sheetView>
  </sheetViews>
  <sheetFormatPr defaultColWidth="12.42578125" defaultRowHeight="11.25" x14ac:dyDescent="0.2"/>
  <cols>
    <col min="1" max="1" width="10.140625" style="9" bestFit="1" customWidth="1"/>
    <col min="2" max="2" width="27.42578125" style="9" bestFit="1" customWidth="1"/>
    <col min="3" max="3" width="10.85546875" style="9" customWidth="1"/>
    <col min="4" max="4" width="7" style="9" bestFit="1" customWidth="1"/>
    <col min="5" max="5" width="11.42578125" style="9" bestFit="1" customWidth="1"/>
    <col min="6" max="7" width="11" style="9" bestFit="1" customWidth="1"/>
    <col min="8" max="8" width="11" style="9" customWidth="1"/>
    <col min="9" max="9" width="14.42578125" style="9" bestFit="1" customWidth="1"/>
    <col min="10" max="10" width="12.42578125" style="9" bestFit="1" customWidth="1"/>
    <col min="11" max="11" width="10.140625" style="9" bestFit="1" customWidth="1"/>
    <col min="12" max="12" width="11" style="9" bestFit="1" customWidth="1"/>
    <col min="13" max="13" width="11.42578125" style="9" bestFit="1" customWidth="1"/>
    <col min="14" max="14" width="9.42578125" style="9" bestFit="1" customWidth="1"/>
    <col min="15" max="15" width="7" style="9" bestFit="1" customWidth="1"/>
    <col min="16" max="18" width="8.42578125" style="9" bestFit="1" customWidth="1"/>
    <col min="19" max="19" width="10" style="9" customWidth="1"/>
    <col min="20" max="20" width="9.140625" style="9" bestFit="1" customWidth="1"/>
    <col min="21" max="21" width="12.42578125" style="9" bestFit="1" customWidth="1"/>
    <col min="22" max="22" width="7.85546875" style="9" bestFit="1" customWidth="1"/>
    <col min="23" max="16384" width="12.42578125" style="9"/>
  </cols>
  <sheetData>
    <row r="1" spans="1:27" s="16" customFormat="1" x14ac:dyDescent="0.2">
      <c r="A1" s="1068" t="s">
        <v>1392</v>
      </c>
      <c r="B1" s="1068"/>
      <c r="C1" s="1068"/>
      <c r="D1" s="1068"/>
      <c r="E1" s="1068"/>
      <c r="F1" s="1068" t="s">
        <v>1393</v>
      </c>
      <c r="G1" s="1068"/>
      <c r="H1" s="1068"/>
      <c r="I1" s="1068"/>
      <c r="J1" s="4"/>
      <c r="K1" s="1068" t="s">
        <v>2471</v>
      </c>
      <c r="L1" s="1068"/>
      <c r="M1" s="1068"/>
      <c r="N1" s="1068"/>
      <c r="O1" s="1068"/>
      <c r="P1" s="1068"/>
      <c r="Q1" s="1068"/>
      <c r="R1" s="1068"/>
      <c r="S1" s="1068" t="s">
        <v>1396</v>
      </c>
      <c r="T1" s="1068"/>
      <c r="U1" s="1068"/>
      <c r="V1" s="1068"/>
    </row>
    <row r="2" spans="1:27" s="16" customFormat="1" ht="45" x14ac:dyDescent="0.2">
      <c r="A2" s="1" t="s">
        <v>1401</v>
      </c>
      <c r="B2" s="1" t="s">
        <v>2881</v>
      </c>
      <c r="C2" s="4" t="s">
        <v>130</v>
      </c>
      <c r="D2" s="1" t="s">
        <v>131</v>
      </c>
      <c r="E2" s="1" t="s">
        <v>132</v>
      </c>
      <c r="F2" s="1" t="s">
        <v>2472</v>
      </c>
      <c r="G2" s="1" t="s">
        <v>2473</v>
      </c>
      <c r="H2" s="1" t="s">
        <v>550</v>
      </c>
      <c r="I2" s="1" t="s">
        <v>1401</v>
      </c>
      <c r="J2" s="1" t="s">
        <v>551</v>
      </c>
      <c r="K2" s="1" t="s">
        <v>1078</v>
      </c>
      <c r="L2" s="1" t="s">
        <v>2474</v>
      </c>
      <c r="M2" s="5" t="s">
        <v>553</v>
      </c>
      <c r="N2" s="1" t="s">
        <v>2475</v>
      </c>
      <c r="O2" s="1" t="s">
        <v>2632</v>
      </c>
      <c r="P2" s="1" t="s">
        <v>558</v>
      </c>
      <c r="Q2" s="1" t="s">
        <v>2633</v>
      </c>
      <c r="R2" s="1" t="s">
        <v>213</v>
      </c>
      <c r="S2" s="1" t="s">
        <v>225</v>
      </c>
      <c r="T2" s="1" t="s">
        <v>2634</v>
      </c>
      <c r="U2" s="1" t="s">
        <v>1644</v>
      </c>
      <c r="V2" s="1" t="s">
        <v>1645</v>
      </c>
    </row>
    <row r="6" spans="1:27" ht="11.25" customHeight="1" x14ac:dyDescent="0.2">
      <c r="A6" s="23" t="s">
        <v>1935</v>
      </c>
      <c r="B6" s="17"/>
      <c r="C6" s="17"/>
      <c r="D6" s="17"/>
      <c r="E6" s="17"/>
    </row>
    <row r="7" spans="1:27" ht="11.25" customHeight="1" x14ac:dyDescent="0.2">
      <c r="A7" s="23"/>
      <c r="B7" s="17"/>
      <c r="C7" s="17"/>
      <c r="D7" s="17"/>
      <c r="E7" s="17"/>
    </row>
    <row r="8" spans="1:27" s="13" customFormat="1" ht="44.45" customHeight="1" x14ac:dyDescent="0.2">
      <c r="A8" s="1" t="s">
        <v>358</v>
      </c>
      <c r="B8" s="1" t="s">
        <v>1459</v>
      </c>
      <c r="C8" s="2" t="s">
        <v>669</v>
      </c>
      <c r="D8" s="4">
        <v>2003</v>
      </c>
      <c r="E8" s="1" t="s">
        <v>559</v>
      </c>
      <c r="F8" s="1">
        <v>14674703</v>
      </c>
      <c r="G8" s="5">
        <v>14674601</v>
      </c>
      <c r="H8" s="5" t="s">
        <v>153</v>
      </c>
      <c r="I8" s="1" t="s">
        <v>1648</v>
      </c>
      <c r="J8" s="6" t="s">
        <v>1460</v>
      </c>
      <c r="K8" s="1" t="s">
        <v>1649</v>
      </c>
      <c r="L8" s="7" t="s">
        <v>1035</v>
      </c>
      <c r="M8" s="1" t="s">
        <v>577</v>
      </c>
      <c r="N8" s="1">
        <v>228.7</v>
      </c>
      <c r="O8" s="1">
        <v>48.4</v>
      </c>
      <c r="P8" s="1" t="s">
        <v>1650</v>
      </c>
      <c r="Q8" s="1">
        <v>8.2789999999999999</v>
      </c>
      <c r="R8" s="1">
        <v>5.5720000000000001</v>
      </c>
      <c r="S8" s="1" t="s">
        <v>159</v>
      </c>
      <c r="T8" s="1">
        <v>0.08</v>
      </c>
      <c r="U8" s="1" t="s">
        <v>1651</v>
      </c>
      <c r="V8" s="1">
        <v>0.13</v>
      </c>
    </row>
    <row r="9" spans="1:27" ht="24" customHeight="1" x14ac:dyDescent="0.2">
      <c r="A9" s="1" t="s">
        <v>840</v>
      </c>
      <c r="B9" s="1" t="s">
        <v>841</v>
      </c>
      <c r="C9" s="2" t="s">
        <v>21</v>
      </c>
      <c r="D9" s="4">
        <v>2002</v>
      </c>
      <c r="E9" s="1" t="s">
        <v>842</v>
      </c>
      <c r="F9" s="1">
        <v>13793902</v>
      </c>
      <c r="G9" s="1">
        <v>13794001</v>
      </c>
      <c r="H9" s="1" t="s">
        <v>834</v>
      </c>
      <c r="I9" s="1" t="s">
        <v>843</v>
      </c>
      <c r="J9" s="4" t="s">
        <v>154</v>
      </c>
      <c r="K9" s="1" t="s">
        <v>829</v>
      </c>
      <c r="L9" s="7" t="s">
        <v>1035</v>
      </c>
      <c r="M9" s="1" t="s">
        <v>577</v>
      </c>
      <c r="N9" s="1">
        <v>228.51</v>
      </c>
      <c r="O9" s="1">
        <v>48</v>
      </c>
      <c r="P9" s="1" t="s">
        <v>844</v>
      </c>
      <c r="Q9" s="1">
        <v>7.91</v>
      </c>
      <c r="R9" s="1">
        <v>5.9</v>
      </c>
      <c r="S9" s="1" t="s">
        <v>576</v>
      </c>
      <c r="T9" s="1">
        <v>0.05</v>
      </c>
      <c r="U9" s="1" t="s">
        <v>845</v>
      </c>
      <c r="V9" s="1">
        <v>0.06</v>
      </c>
      <c r="W9" s="13"/>
      <c r="X9" s="13"/>
      <c r="Y9" s="13"/>
      <c r="Z9" s="13"/>
      <c r="AA9" s="13"/>
    </row>
    <row r="10" spans="1:27" s="13" customFormat="1" ht="22.5" x14ac:dyDescent="0.2">
      <c r="A10" s="1" t="s">
        <v>1646</v>
      </c>
      <c r="B10" s="1" t="s">
        <v>831</v>
      </c>
      <c r="C10" s="2" t="s">
        <v>151</v>
      </c>
      <c r="D10" s="4">
        <v>2002</v>
      </c>
      <c r="E10" s="1" t="s">
        <v>559</v>
      </c>
      <c r="F10" s="1" t="s">
        <v>832</v>
      </c>
      <c r="G10" s="1">
        <v>14167801</v>
      </c>
      <c r="H10" s="1" t="s">
        <v>153</v>
      </c>
      <c r="I10" s="1" t="s">
        <v>833</v>
      </c>
      <c r="J10" s="1" t="s">
        <v>562</v>
      </c>
      <c r="K10" s="1" t="s">
        <v>829</v>
      </c>
      <c r="L10" s="7" t="s">
        <v>1035</v>
      </c>
      <c r="M10" s="1" t="s">
        <v>577</v>
      </c>
      <c r="N10" s="1">
        <v>250</v>
      </c>
      <c r="O10" s="1">
        <v>62.2</v>
      </c>
      <c r="P10" s="1" t="s">
        <v>2262</v>
      </c>
      <c r="Q10" s="1">
        <v>12.55</v>
      </c>
      <c r="R10" s="1">
        <v>8.0980000000000008</v>
      </c>
      <c r="S10" s="1" t="s">
        <v>1562</v>
      </c>
      <c r="T10" s="1">
        <v>0.03</v>
      </c>
      <c r="U10" s="1" t="s">
        <v>830</v>
      </c>
      <c r="V10" s="1">
        <v>0.06</v>
      </c>
    </row>
    <row r="11" spans="1:27" s="13" customFormat="1" ht="22.5" x14ac:dyDescent="0.2">
      <c r="A11" s="1" t="s">
        <v>1646</v>
      </c>
      <c r="B11" s="1" t="s">
        <v>1652</v>
      </c>
      <c r="C11" s="2" t="s">
        <v>166</v>
      </c>
      <c r="D11" s="4">
        <v>2000</v>
      </c>
      <c r="E11" s="1" t="s">
        <v>820</v>
      </c>
      <c r="F11" s="1">
        <v>13476901</v>
      </c>
      <c r="G11" s="1" t="s">
        <v>821</v>
      </c>
      <c r="H11" s="1" t="s">
        <v>153</v>
      </c>
      <c r="I11" s="7" t="s">
        <v>822</v>
      </c>
      <c r="J11" s="1" t="s">
        <v>562</v>
      </c>
      <c r="K11" s="1" t="s">
        <v>823</v>
      </c>
      <c r="L11" s="1">
        <v>12891901</v>
      </c>
      <c r="M11" s="1" t="s">
        <v>577</v>
      </c>
      <c r="N11" s="1">
        <v>200</v>
      </c>
      <c r="O11" s="1">
        <v>38.5</v>
      </c>
      <c r="P11" s="1" t="s">
        <v>1650</v>
      </c>
      <c r="Q11" s="1">
        <v>3.39</v>
      </c>
      <c r="R11" s="1">
        <v>2.81</v>
      </c>
      <c r="S11" s="1" t="s">
        <v>159</v>
      </c>
      <c r="T11" s="1">
        <v>8.8999999999999996E-2</v>
      </c>
      <c r="U11" s="1" t="s">
        <v>824</v>
      </c>
      <c r="V11" s="1">
        <v>0.15</v>
      </c>
    </row>
    <row r="12" spans="1:27" s="13" customFormat="1" ht="22.5" x14ac:dyDescent="0.2">
      <c r="A12" s="1" t="s">
        <v>1646</v>
      </c>
      <c r="B12" s="1" t="s">
        <v>1070</v>
      </c>
      <c r="C12" s="2" t="s">
        <v>21</v>
      </c>
      <c r="D12" s="4" t="s">
        <v>825</v>
      </c>
      <c r="E12" s="1" t="s">
        <v>559</v>
      </c>
      <c r="F12" s="1">
        <v>12199602</v>
      </c>
      <c r="G12" s="1">
        <v>21199501</v>
      </c>
      <c r="H12" s="1" t="s">
        <v>2225</v>
      </c>
      <c r="I12" s="1" t="s">
        <v>826</v>
      </c>
      <c r="J12" s="1" t="s">
        <v>154</v>
      </c>
      <c r="K12" s="1" t="s">
        <v>823</v>
      </c>
      <c r="L12" s="1">
        <v>12891901</v>
      </c>
      <c r="M12" s="1" t="s">
        <v>2265</v>
      </c>
      <c r="N12" s="1">
        <v>228.5</v>
      </c>
      <c r="O12" s="1">
        <v>75.099999999999994</v>
      </c>
      <c r="P12" s="1" t="s">
        <v>2262</v>
      </c>
      <c r="Q12" s="1">
        <v>8.33</v>
      </c>
      <c r="R12" s="1">
        <v>6.25</v>
      </c>
      <c r="S12" s="1" t="s">
        <v>159</v>
      </c>
      <c r="T12" s="1">
        <v>0.08</v>
      </c>
      <c r="U12" s="1" t="s">
        <v>827</v>
      </c>
      <c r="V12" s="1">
        <v>0.15</v>
      </c>
    </row>
    <row r="13" spans="1:27" ht="22.5" x14ac:dyDescent="0.2">
      <c r="A13" s="1" t="s">
        <v>1646</v>
      </c>
      <c r="B13" s="1" t="s">
        <v>846</v>
      </c>
      <c r="C13" s="4" t="s">
        <v>151</v>
      </c>
      <c r="D13" s="4">
        <v>1996</v>
      </c>
      <c r="E13" s="1" t="s">
        <v>559</v>
      </c>
      <c r="F13" s="1">
        <v>12885802</v>
      </c>
      <c r="G13" s="1">
        <v>12885701</v>
      </c>
      <c r="H13" s="5"/>
      <c r="I13" s="1">
        <v>4695731</v>
      </c>
      <c r="J13" s="1"/>
      <c r="K13" s="1" t="s">
        <v>847</v>
      </c>
      <c r="L13" s="1">
        <v>13028001</v>
      </c>
      <c r="M13" s="1" t="s">
        <v>577</v>
      </c>
      <c r="N13" s="1">
        <v>200.03</v>
      </c>
      <c r="O13" s="1">
        <v>37.1</v>
      </c>
      <c r="P13" s="1" t="s">
        <v>565</v>
      </c>
      <c r="Q13" s="1">
        <v>5.24</v>
      </c>
      <c r="R13" s="1">
        <v>3.64</v>
      </c>
      <c r="S13" s="1" t="s">
        <v>159</v>
      </c>
      <c r="T13" s="1">
        <v>8.8999999999999996E-2</v>
      </c>
      <c r="U13" s="1" t="s">
        <v>2265</v>
      </c>
      <c r="V13" s="1">
        <v>0.15</v>
      </c>
    </row>
    <row r="14" spans="1:27" ht="22.5" x14ac:dyDescent="0.2">
      <c r="A14" s="1" t="s">
        <v>848</v>
      </c>
      <c r="B14" s="1" t="s">
        <v>849</v>
      </c>
      <c r="C14" s="4" t="s">
        <v>675</v>
      </c>
      <c r="D14" s="4" t="s">
        <v>825</v>
      </c>
      <c r="E14" s="1" t="s">
        <v>759</v>
      </c>
      <c r="F14" s="1">
        <v>10143506</v>
      </c>
      <c r="G14" s="1">
        <v>10143401</v>
      </c>
      <c r="H14" s="1"/>
      <c r="I14" s="1" t="s">
        <v>850</v>
      </c>
      <c r="J14" s="1" t="s">
        <v>851</v>
      </c>
      <c r="K14" s="1" t="s">
        <v>847</v>
      </c>
      <c r="L14" s="1">
        <v>13044701</v>
      </c>
      <c r="M14" s="1" t="s">
        <v>577</v>
      </c>
      <c r="N14" s="1">
        <v>278.35000000000002</v>
      </c>
      <c r="O14" s="1">
        <v>57</v>
      </c>
      <c r="P14" s="1" t="s">
        <v>2262</v>
      </c>
      <c r="Q14" s="1">
        <v>11.57</v>
      </c>
      <c r="R14" s="1">
        <v>8.85</v>
      </c>
      <c r="S14" s="1" t="s">
        <v>159</v>
      </c>
      <c r="T14" s="1" t="s">
        <v>852</v>
      </c>
      <c r="U14" s="1" t="s">
        <v>853</v>
      </c>
      <c r="V14" s="1">
        <v>0.2</v>
      </c>
    </row>
    <row r="15" spans="1:27" ht="22.5" x14ac:dyDescent="0.2">
      <c r="A15" s="1" t="s">
        <v>848</v>
      </c>
      <c r="B15" s="4" t="s">
        <v>854</v>
      </c>
      <c r="C15" s="4"/>
      <c r="D15" s="4">
        <v>1997</v>
      </c>
      <c r="E15" s="1" t="s">
        <v>768</v>
      </c>
      <c r="F15" s="1">
        <v>13623407</v>
      </c>
      <c r="G15" s="1">
        <v>12768301</v>
      </c>
      <c r="H15" s="1"/>
      <c r="I15" s="1" t="s">
        <v>855</v>
      </c>
      <c r="J15" s="1" t="s">
        <v>154</v>
      </c>
      <c r="K15" s="1" t="s">
        <v>823</v>
      </c>
      <c r="L15" s="1">
        <v>13028001</v>
      </c>
      <c r="M15" s="1" t="s">
        <v>577</v>
      </c>
      <c r="N15" s="1">
        <v>280.20999999999998</v>
      </c>
      <c r="O15" s="1">
        <v>63.5</v>
      </c>
      <c r="P15" s="1" t="s">
        <v>1041</v>
      </c>
      <c r="Q15" s="1">
        <v>10.53</v>
      </c>
      <c r="R15" s="1">
        <v>7.9</v>
      </c>
      <c r="S15" s="1" t="s">
        <v>1562</v>
      </c>
      <c r="T15" s="1" t="s">
        <v>852</v>
      </c>
      <c r="U15" s="1" t="s">
        <v>853</v>
      </c>
      <c r="V15" s="1">
        <v>0.18</v>
      </c>
    </row>
    <row r="16" spans="1:27" ht="22.5" x14ac:dyDescent="0.2">
      <c r="A16" s="1" t="s">
        <v>2056</v>
      </c>
      <c r="B16" s="1" t="s">
        <v>856</v>
      </c>
      <c r="C16" s="4" t="s">
        <v>1615</v>
      </c>
      <c r="D16" s="4" t="s">
        <v>825</v>
      </c>
      <c r="E16" s="1" t="s">
        <v>759</v>
      </c>
      <c r="F16" s="1">
        <v>12985004</v>
      </c>
      <c r="G16" s="1">
        <v>12984901</v>
      </c>
      <c r="H16" s="1"/>
      <c r="I16" s="1" t="s">
        <v>857</v>
      </c>
      <c r="J16" s="1" t="s">
        <v>858</v>
      </c>
      <c r="K16" s="1" t="s">
        <v>829</v>
      </c>
      <c r="L16" s="1">
        <v>13044701</v>
      </c>
      <c r="M16" s="1" t="s">
        <v>577</v>
      </c>
      <c r="N16" s="1">
        <v>228.69</v>
      </c>
      <c r="O16" s="1">
        <v>32.5</v>
      </c>
      <c r="P16" s="1" t="s">
        <v>2062</v>
      </c>
      <c r="Q16" s="1">
        <v>7.66</v>
      </c>
      <c r="R16" s="1">
        <v>4.75</v>
      </c>
      <c r="S16" s="1" t="s">
        <v>159</v>
      </c>
      <c r="T16" s="1">
        <v>1.4999999999999999E-2</v>
      </c>
      <c r="U16" s="1" t="s">
        <v>2265</v>
      </c>
      <c r="V16" s="1">
        <v>0.05</v>
      </c>
    </row>
    <row r="17" spans="1:27" ht="22.5" x14ac:dyDescent="0.2">
      <c r="A17" s="1" t="s">
        <v>2056</v>
      </c>
      <c r="B17" s="1" t="s">
        <v>859</v>
      </c>
      <c r="C17" s="4" t="s">
        <v>151</v>
      </c>
      <c r="D17" s="4" t="s">
        <v>825</v>
      </c>
      <c r="E17" s="1" t="s">
        <v>559</v>
      </c>
      <c r="F17" s="1">
        <v>12434101</v>
      </c>
      <c r="G17" s="1"/>
      <c r="H17" s="1"/>
      <c r="I17" s="1" t="s">
        <v>860</v>
      </c>
      <c r="J17" s="1"/>
      <c r="K17" s="1" t="s">
        <v>829</v>
      </c>
      <c r="L17" s="1">
        <v>14513001</v>
      </c>
      <c r="M17" s="1" t="s">
        <v>577</v>
      </c>
      <c r="N17" s="1">
        <v>228.69</v>
      </c>
      <c r="O17" s="1">
        <v>33</v>
      </c>
      <c r="P17" s="1" t="s">
        <v>2262</v>
      </c>
      <c r="Q17" s="1">
        <v>7.62</v>
      </c>
      <c r="R17" s="1">
        <v>4.68</v>
      </c>
      <c r="S17" s="1" t="s">
        <v>576</v>
      </c>
      <c r="T17" s="1">
        <v>1.4999999999999999E-2</v>
      </c>
      <c r="U17" s="1" t="s">
        <v>2265</v>
      </c>
      <c r="V17" s="1">
        <v>0.05</v>
      </c>
    </row>
    <row r="18" spans="1:27" ht="22.5" x14ac:dyDescent="0.2">
      <c r="A18" s="1" t="s">
        <v>1646</v>
      </c>
      <c r="B18" s="1" t="s">
        <v>1647</v>
      </c>
      <c r="C18" s="4" t="s">
        <v>166</v>
      </c>
      <c r="D18" s="4">
        <v>2001</v>
      </c>
      <c r="E18" s="1" t="s">
        <v>820</v>
      </c>
      <c r="F18" s="1">
        <v>13478206</v>
      </c>
      <c r="G18" s="5" t="s">
        <v>861</v>
      </c>
      <c r="H18" s="5" t="s">
        <v>2671</v>
      </c>
      <c r="I18" s="7">
        <v>4509676</v>
      </c>
      <c r="J18" s="1" t="s">
        <v>562</v>
      </c>
      <c r="K18" s="1" t="s">
        <v>823</v>
      </c>
      <c r="L18" s="1">
        <v>12997401</v>
      </c>
      <c r="M18" s="1" t="s">
        <v>577</v>
      </c>
      <c r="N18" s="1">
        <v>220</v>
      </c>
      <c r="O18" s="1">
        <v>45.2</v>
      </c>
      <c r="P18" s="1" t="s">
        <v>1650</v>
      </c>
      <c r="Q18" s="1" t="s">
        <v>157</v>
      </c>
      <c r="R18" s="1">
        <v>3.7149220000000001</v>
      </c>
      <c r="S18" s="1" t="s">
        <v>159</v>
      </c>
      <c r="T18" s="1">
        <v>8.8999999999999996E-2</v>
      </c>
      <c r="U18" s="1" t="s">
        <v>824</v>
      </c>
      <c r="V18" s="1">
        <v>0.15</v>
      </c>
    </row>
    <row r="19" spans="1:27" ht="22.5" x14ac:dyDescent="0.2">
      <c r="A19" s="1" t="s">
        <v>848</v>
      </c>
      <c r="B19" s="1" t="s">
        <v>862</v>
      </c>
      <c r="C19" s="2" t="s">
        <v>166</v>
      </c>
      <c r="D19" s="4">
        <v>1995</v>
      </c>
      <c r="E19" s="1" t="s">
        <v>152</v>
      </c>
      <c r="F19" s="1">
        <v>12681202</v>
      </c>
      <c r="G19" s="1">
        <v>12681101</v>
      </c>
      <c r="H19" s="1" t="s">
        <v>1124</v>
      </c>
      <c r="I19" s="1" t="s">
        <v>863</v>
      </c>
      <c r="J19" s="1" t="s">
        <v>154</v>
      </c>
      <c r="K19" s="1" t="s">
        <v>864</v>
      </c>
      <c r="L19" s="7" t="s">
        <v>1035</v>
      </c>
      <c r="M19" s="1" t="s">
        <v>577</v>
      </c>
      <c r="N19" s="1">
        <v>249.98</v>
      </c>
      <c r="O19" s="1">
        <v>52.9</v>
      </c>
      <c r="P19" s="1" t="s">
        <v>1242</v>
      </c>
      <c r="Q19" s="1">
        <v>11.36</v>
      </c>
      <c r="R19" s="1">
        <v>7.5279999999999996</v>
      </c>
      <c r="S19" s="1" t="s">
        <v>576</v>
      </c>
      <c r="T19" s="1" t="s">
        <v>865</v>
      </c>
      <c r="U19" s="1" t="s">
        <v>853</v>
      </c>
      <c r="V19" s="1" t="s">
        <v>866</v>
      </c>
      <c r="W19" s="13"/>
      <c r="X19" s="13"/>
      <c r="Y19" s="13"/>
      <c r="Z19" s="13"/>
      <c r="AA19" s="13"/>
    </row>
    <row r="20" spans="1:27" ht="23.25" customHeight="1" x14ac:dyDescent="0.2">
      <c r="A20" s="1" t="s">
        <v>1646</v>
      </c>
      <c r="B20" s="3" t="s">
        <v>867</v>
      </c>
      <c r="C20" s="2" t="s">
        <v>675</v>
      </c>
      <c r="D20" s="3">
        <v>2005</v>
      </c>
      <c r="E20" s="3"/>
      <c r="F20" s="3">
        <v>15792106</v>
      </c>
      <c r="G20" s="5">
        <v>15792001</v>
      </c>
      <c r="H20" s="5"/>
      <c r="I20" s="5" t="s">
        <v>828</v>
      </c>
      <c r="J20" s="5" t="s">
        <v>154</v>
      </c>
      <c r="K20" s="5" t="s">
        <v>868</v>
      </c>
      <c r="L20" s="5"/>
      <c r="M20" s="1" t="s">
        <v>577</v>
      </c>
      <c r="N20" s="5">
        <v>295.125</v>
      </c>
      <c r="O20" s="5">
        <v>67</v>
      </c>
      <c r="P20" s="5" t="s">
        <v>1749</v>
      </c>
      <c r="Q20" s="5">
        <v>16.93967</v>
      </c>
      <c r="R20" s="5">
        <v>12.27284</v>
      </c>
      <c r="S20" s="5" t="s">
        <v>1562</v>
      </c>
      <c r="T20" s="5">
        <v>0.03</v>
      </c>
      <c r="U20" s="5" t="s">
        <v>869</v>
      </c>
      <c r="V20" s="5" t="s">
        <v>870</v>
      </c>
    </row>
    <row r="61" spans="9:9" x14ac:dyDescent="0.2">
      <c r="I61" s="9" t="s">
        <v>1921</v>
      </c>
    </row>
  </sheetData>
  <autoFilter ref="A2:AA8" xr:uid="{00000000-0009-0000-0000-000007000000}"/>
  <customSheetViews>
    <customSheetView guid="{21F37784-ACDF-4AA9-A8FA-2D6F1A2FCD6C}" showAutoFilter="1">
      <pane xSplit="8" ySplit="2" topLeftCell="J3" activePane="bottomRight" state="frozenSplit"/>
      <selection pane="bottomRight" activeCell="C6" sqref="C6"/>
      <pageMargins left="0.75" right="0.75" top="1" bottom="1" header="0.5" footer="0.5"/>
      <headerFooter alignWithMargins="0"/>
      <autoFilter ref="B1:AB1" xr:uid="{00000000-0000-0000-0000-000000000000}"/>
    </customSheetView>
    <customSheetView guid="{BDAEB28A-7E10-448D-A971-7675AC895086}" showRuler="0">
      <pane xSplit="9" ySplit="2" topLeftCell="J3" activePane="bottomRight" state="frozenSplit"/>
      <selection pane="bottomRight" activeCell="A3" sqref="A3"/>
      <pageMargins left="0.75" right="0.75" top="1" bottom="1" header="0.5" footer="0.5"/>
      <headerFooter alignWithMargins="0"/>
    </customSheetView>
    <customSheetView guid="{E843ABEA-26A9-452A-956F-4BE96FD7059F}" showRuler="0">
      <pane ySplit="2" topLeftCell="A3" activePane="bottomLeft" state="frozen"/>
      <selection pane="bottomLeft" activeCell="A3" sqref="A3"/>
      <pageMargins left="0.75" right="0.75" top="1" bottom="1" header="0.5" footer="0.5"/>
      <headerFooter alignWithMargins="0"/>
    </customSheetView>
    <customSheetView guid="{566E9C19-68F9-43AD-B8B2-0A93EA7FF33D}" showRuler="0">
      <pane ySplit="2" topLeftCell="A3" activePane="bottomLeft" state="frozen"/>
      <selection pane="bottomLeft" activeCell="A3" sqref="A3"/>
      <pageMargins left="0.75" right="0.75" top="1" bottom="1" header="0.5" footer="0.5"/>
      <headerFooter alignWithMargins="0"/>
    </customSheetView>
    <customSheetView guid="{BD983C39-643B-49A4-A851-3C307533663B}" showAutoFilter="1">
      <pane xSplit="9" ySplit="2" topLeftCell="J3" activePane="bottomRight" state="frozenSplit"/>
      <selection pane="bottomRight" activeCell="C6" sqref="C6"/>
      <pageMargins left="0.75" right="0.75" top="1" bottom="1" header="0.5" footer="0.5"/>
      <headerFooter alignWithMargins="0"/>
      <autoFilter ref="B1:AB1" xr:uid="{00000000-0000-0000-0000-000000000000}"/>
    </customSheetView>
  </customSheetViews>
  <mergeCells count="4">
    <mergeCell ref="S1:V1"/>
    <mergeCell ref="A1:E1"/>
    <mergeCell ref="F1:I1"/>
    <mergeCell ref="K1:R1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S120"/>
  <sheetViews>
    <sheetView zoomScale="85" zoomScaleNormal="85" workbookViewId="0">
      <pane ySplit="765" topLeftCell="A97" activePane="bottomLeft"/>
      <selection pane="bottomLeft" activeCell="I26" sqref="I26:I37"/>
    </sheetView>
  </sheetViews>
  <sheetFormatPr defaultColWidth="11.42578125" defaultRowHeight="11.25" x14ac:dyDescent="0.2"/>
  <cols>
    <col min="1" max="1" width="9.85546875" style="25" bestFit="1" customWidth="1"/>
    <col min="2" max="2" width="14.42578125" style="25" customWidth="1"/>
    <col min="3" max="3" width="9.85546875" style="25" bestFit="1" customWidth="1"/>
    <col min="4" max="4" width="27.42578125" style="25" bestFit="1" customWidth="1"/>
    <col min="5" max="5" width="14.42578125" style="25" customWidth="1"/>
    <col min="6" max="6" width="8.42578125" style="25" bestFit="1" customWidth="1"/>
    <col min="7" max="7" width="14.42578125" style="502" bestFit="1" customWidth="1"/>
    <col min="8" max="8" width="9.42578125" style="25" bestFit="1" customWidth="1"/>
    <col min="9" max="9" width="19.140625" style="25" bestFit="1" customWidth="1"/>
    <col min="10" max="10" width="24.85546875" style="25" bestFit="1" customWidth="1"/>
    <col min="11" max="11" width="7.42578125" style="25" bestFit="1" customWidth="1"/>
    <col min="12" max="12" width="14.42578125" style="25" bestFit="1" customWidth="1"/>
    <col min="13" max="13" width="15.42578125" style="25" bestFit="1" customWidth="1"/>
    <col min="14" max="14" width="8.85546875" style="25" bestFit="1" customWidth="1"/>
    <col min="15" max="15" width="11.42578125" style="25" bestFit="1" customWidth="1"/>
    <col min="16" max="16" width="19.42578125" style="25" bestFit="1" customWidth="1"/>
    <col min="17" max="17" width="9.140625" style="25" bestFit="1" customWidth="1"/>
    <col min="18" max="18" width="13.140625" style="25" customWidth="1"/>
    <col min="19" max="19" width="14.140625" style="25" bestFit="1" customWidth="1"/>
    <col min="20" max="20" width="14.42578125" style="25" bestFit="1" customWidth="1"/>
    <col min="21" max="21" width="12.42578125" style="25" bestFit="1" customWidth="1"/>
    <col min="22" max="22" width="8.42578125" style="25" bestFit="1" customWidth="1"/>
    <col min="23" max="23" width="8.140625" style="25" bestFit="1" customWidth="1"/>
    <col min="24" max="24" width="13.140625" style="25" customWidth="1"/>
    <col min="25" max="25" width="8.42578125" style="25" bestFit="1" customWidth="1"/>
    <col min="26" max="26" width="12.42578125" style="25" bestFit="1" customWidth="1"/>
    <col min="27" max="29" width="11.42578125" style="25"/>
    <col min="30" max="30" width="14" style="25" bestFit="1" customWidth="1"/>
    <col min="31" max="31" width="14.140625" style="25" bestFit="1" customWidth="1"/>
    <col min="32" max="32" width="15.85546875" style="25" customWidth="1"/>
    <col min="33" max="33" width="18.85546875" style="25" customWidth="1"/>
    <col min="34" max="16384" width="11.42578125" style="25"/>
  </cols>
  <sheetData>
    <row r="1" spans="1:45" s="445" customFormat="1" ht="31.5" x14ac:dyDescent="0.2">
      <c r="A1" s="443" t="s">
        <v>2728</v>
      </c>
      <c r="B1" s="443" t="s">
        <v>2729</v>
      </c>
      <c r="C1" s="443" t="s">
        <v>2730</v>
      </c>
      <c r="D1" s="443" t="s">
        <v>2731</v>
      </c>
      <c r="E1" s="443" t="s">
        <v>2732</v>
      </c>
      <c r="F1" s="443" t="s">
        <v>2733</v>
      </c>
      <c r="G1" s="444" t="s">
        <v>2734</v>
      </c>
      <c r="H1" s="443" t="s">
        <v>2735</v>
      </c>
      <c r="I1" s="443" t="s">
        <v>2736</v>
      </c>
      <c r="J1" s="443" t="s">
        <v>2737</v>
      </c>
      <c r="K1" s="443" t="s">
        <v>2738</v>
      </c>
      <c r="L1" s="443" t="s">
        <v>2739</v>
      </c>
      <c r="M1" s="443" t="s">
        <v>2740</v>
      </c>
      <c r="N1" s="443" t="s">
        <v>2741</v>
      </c>
      <c r="O1" s="443" t="s">
        <v>2742</v>
      </c>
      <c r="P1" s="443" t="s">
        <v>3269</v>
      </c>
      <c r="Q1" s="443" t="s">
        <v>2743</v>
      </c>
      <c r="R1" s="443" t="s">
        <v>2744</v>
      </c>
      <c r="S1" s="443" t="s">
        <v>2745</v>
      </c>
      <c r="T1" s="443" t="s">
        <v>2746</v>
      </c>
      <c r="U1" s="443" t="s">
        <v>2747</v>
      </c>
      <c r="V1" s="443" t="s">
        <v>2748</v>
      </c>
      <c r="W1" s="443" t="s">
        <v>2749</v>
      </c>
      <c r="X1" s="443" t="s">
        <v>2750</v>
      </c>
      <c r="Y1" s="443" t="s">
        <v>2751</v>
      </c>
      <c r="Z1" s="443" t="s">
        <v>2752</v>
      </c>
    </row>
    <row r="2" spans="1:45" x14ac:dyDescent="0.2">
      <c r="A2" s="1069" t="s">
        <v>702</v>
      </c>
      <c r="B2" s="20" t="s">
        <v>2296</v>
      </c>
      <c r="C2" s="20" t="s">
        <v>2754</v>
      </c>
      <c r="D2" s="21" t="s">
        <v>304</v>
      </c>
      <c r="E2" s="20" t="s">
        <v>305</v>
      </c>
      <c r="F2" s="20">
        <v>2008</v>
      </c>
      <c r="G2" s="26">
        <v>144000</v>
      </c>
      <c r="H2" s="26">
        <v>4350</v>
      </c>
      <c r="I2" s="20" t="s">
        <v>2283</v>
      </c>
      <c r="J2" s="20" t="s">
        <v>2288</v>
      </c>
      <c r="K2" s="20" t="s">
        <v>700</v>
      </c>
      <c r="L2" s="20" t="s">
        <v>2279</v>
      </c>
      <c r="M2" s="20" t="s">
        <v>2278</v>
      </c>
      <c r="N2" s="20" t="s">
        <v>2384</v>
      </c>
      <c r="O2" s="20">
        <v>45</v>
      </c>
      <c r="P2" s="20" t="s">
        <v>3270</v>
      </c>
      <c r="Q2" s="20" t="s">
        <v>197</v>
      </c>
      <c r="R2" s="20" t="s">
        <v>2289</v>
      </c>
      <c r="S2" s="20" t="s">
        <v>2290</v>
      </c>
      <c r="T2" s="20" t="s">
        <v>2282</v>
      </c>
      <c r="U2" s="20" t="s">
        <v>2404</v>
      </c>
      <c r="V2" s="20" t="s">
        <v>2388</v>
      </c>
      <c r="W2" s="20" t="s">
        <v>2389</v>
      </c>
      <c r="X2" s="20" t="s">
        <v>2277</v>
      </c>
      <c r="Y2" s="20" t="s">
        <v>2797</v>
      </c>
      <c r="Z2" s="20" t="s">
        <v>2406</v>
      </c>
    </row>
    <row r="3" spans="1:45" x14ac:dyDescent="0.2">
      <c r="A3" s="1069"/>
      <c r="B3" s="20" t="s">
        <v>2296</v>
      </c>
      <c r="C3" s="20" t="s">
        <v>2754</v>
      </c>
      <c r="D3" s="21" t="s">
        <v>310</v>
      </c>
      <c r="E3" s="20" t="s">
        <v>305</v>
      </c>
      <c r="F3" s="20">
        <v>2008</v>
      </c>
      <c r="G3" s="26">
        <v>60000</v>
      </c>
      <c r="H3" s="26">
        <v>6370</v>
      </c>
      <c r="I3" s="20" t="s">
        <v>2283</v>
      </c>
      <c r="J3" s="20" t="s">
        <v>2288</v>
      </c>
      <c r="K3" s="20" t="s">
        <v>700</v>
      </c>
      <c r="L3" s="20" t="s">
        <v>2280</v>
      </c>
      <c r="M3" s="20" t="s">
        <v>2281</v>
      </c>
      <c r="N3" s="20" t="s">
        <v>2384</v>
      </c>
      <c r="O3" s="20">
        <v>50</v>
      </c>
      <c r="P3" s="20" t="s">
        <v>3270</v>
      </c>
      <c r="Q3" s="20" t="s">
        <v>197</v>
      </c>
      <c r="R3" s="20" t="s">
        <v>2289</v>
      </c>
      <c r="S3" s="20" t="s">
        <v>2290</v>
      </c>
      <c r="T3" s="20" t="s">
        <v>2282</v>
      </c>
      <c r="U3" s="20" t="s">
        <v>2404</v>
      </c>
      <c r="V3" s="20" t="s">
        <v>2388</v>
      </c>
      <c r="W3" s="20" t="s">
        <v>2389</v>
      </c>
      <c r="X3" s="20" t="s">
        <v>2277</v>
      </c>
      <c r="Y3" s="20" t="s">
        <v>2797</v>
      </c>
      <c r="Z3" s="20" t="s">
        <v>2406</v>
      </c>
    </row>
    <row r="4" spans="1:45" x14ac:dyDescent="0.2">
      <c r="A4" s="1069"/>
      <c r="B4" s="20" t="s">
        <v>2296</v>
      </c>
      <c r="C4" s="20" t="s">
        <v>2295</v>
      </c>
      <c r="D4" s="21" t="s">
        <v>304</v>
      </c>
      <c r="E4" s="20" t="s">
        <v>305</v>
      </c>
      <c r="F4" s="20">
        <v>2008</v>
      </c>
      <c r="G4" s="26">
        <v>144000</v>
      </c>
      <c r="H4" s="26">
        <v>4350</v>
      </c>
      <c r="I4" s="20" t="s">
        <v>2283</v>
      </c>
      <c r="J4" s="20" t="s">
        <v>2288</v>
      </c>
      <c r="K4" s="20" t="s">
        <v>700</v>
      </c>
      <c r="L4" s="20" t="s">
        <v>2291</v>
      </c>
      <c r="M4" s="20" t="s">
        <v>2293</v>
      </c>
      <c r="N4" s="20" t="s">
        <v>2384</v>
      </c>
      <c r="O4" s="20">
        <v>45</v>
      </c>
      <c r="P4" s="20" t="s">
        <v>3270</v>
      </c>
      <c r="Q4" s="20" t="s">
        <v>197</v>
      </c>
      <c r="R4" s="20" t="s">
        <v>2289</v>
      </c>
      <c r="S4" s="20" t="s">
        <v>2290</v>
      </c>
      <c r="T4" s="20" t="s">
        <v>2282</v>
      </c>
      <c r="U4" s="20" t="s">
        <v>2404</v>
      </c>
      <c r="V4" s="20" t="s">
        <v>2388</v>
      </c>
      <c r="W4" s="20" t="s">
        <v>2389</v>
      </c>
      <c r="X4" s="20" t="s">
        <v>2277</v>
      </c>
      <c r="Y4" s="20" t="s">
        <v>2797</v>
      </c>
      <c r="Z4" s="20" t="s">
        <v>2406</v>
      </c>
    </row>
    <row r="5" spans="1:45" x14ac:dyDescent="0.2">
      <c r="A5" s="1069"/>
      <c r="B5" s="20" t="s">
        <v>2296</v>
      </c>
      <c r="C5" s="20" t="s">
        <v>2295</v>
      </c>
      <c r="D5" s="21" t="s">
        <v>310</v>
      </c>
      <c r="E5" s="20" t="s">
        <v>305</v>
      </c>
      <c r="F5" s="20">
        <v>2008</v>
      </c>
      <c r="G5" s="26">
        <v>60000</v>
      </c>
      <c r="H5" s="26">
        <v>6370</v>
      </c>
      <c r="I5" s="20" t="s">
        <v>2283</v>
      </c>
      <c r="J5" s="20" t="s">
        <v>2288</v>
      </c>
      <c r="K5" s="20" t="s">
        <v>700</v>
      </c>
      <c r="L5" s="20" t="s">
        <v>2292</v>
      </c>
      <c r="M5" s="20" t="s">
        <v>2294</v>
      </c>
      <c r="N5" s="20" t="s">
        <v>2384</v>
      </c>
      <c r="O5" s="20">
        <v>50</v>
      </c>
      <c r="P5" s="20" t="s">
        <v>3270</v>
      </c>
      <c r="Q5" s="20" t="s">
        <v>197</v>
      </c>
      <c r="R5" s="20" t="s">
        <v>2289</v>
      </c>
      <c r="S5" s="20" t="s">
        <v>2290</v>
      </c>
      <c r="T5" s="20" t="s">
        <v>2282</v>
      </c>
      <c r="U5" s="20" t="s">
        <v>2404</v>
      </c>
      <c r="V5" s="20" t="s">
        <v>2388</v>
      </c>
      <c r="W5" s="20" t="s">
        <v>2389</v>
      </c>
      <c r="X5" s="20" t="s">
        <v>2277</v>
      </c>
      <c r="Y5" s="20" t="s">
        <v>2797</v>
      </c>
      <c r="Z5" s="20" t="s">
        <v>2406</v>
      </c>
    </row>
    <row r="6" spans="1:45" x14ac:dyDescent="0.2">
      <c r="A6" s="1069"/>
      <c r="B6" s="20" t="s">
        <v>2296</v>
      </c>
      <c r="C6" s="20" t="s">
        <v>2754</v>
      </c>
      <c r="D6" s="21" t="s">
        <v>304</v>
      </c>
      <c r="E6" s="20" t="s">
        <v>305</v>
      </c>
      <c r="F6" s="20">
        <v>2009</v>
      </c>
      <c r="G6" s="26">
        <v>144000</v>
      </c>
      <c r="H6" s="26">
        <v>4350</v>
      </c>
      <c r="I6" s="20" t="s">
        <v>2283</v>
      </c>
      <c r="J6" s="20" t="s">
        <v>2288</v>
      </c>
      <c r="K6" s="20" t="s">
        <v>700</v>
      </c>
      <c r="L6" s="20" t="s">
        <v>2284</v>
      </c>
      <c r="M6" s="20" t="s">
        <v>2286</v>
      </c>
      <c r="N6" s="20" t="s">
        <v>2384</v>
      </c>
      <c r="O6" s="20">
        <v>45</v>
      </c>
      <c r="P6" s="20" t="s">
        <v>3270</v>
      </c>
      <c r="Q6" s="20" t="s">
        <v>197</v>
      </c>
      <c r="R6" s="20" t="s">
        <v>2289</v>
      </c>
      <c r="S6" s="20" t="s">
        <v>2290</v>
      </c>
      <c r="T6" s="20" t="s">
        <v>2282</v>
      </c>
      <c r="U6" s="20" t="s">
        <v>2404</v>
      </c>
      <c r="V6" s="20" t="s">
        <v>2388</v>
      </c>
      <c r="W6" s="20" t="s">
        <v>2389</v>
      </c>
      <c r="X6" s="20" t="s">
        <v>2277</v>
      </c>
      <c r="Y6" s="20" t="s">
        <v>2797</v>
      </c>
      <c r="Z6" s="20" t="s">
        <v>2406</v>
      </c>
    </row>
    <row r="7" spans="1:45" ht="12" thickBot="1" x14ac:dyDescent="0.25">
      <c r="A7" s="1070"/>
      <c r="B7" s="446" t="s">
        <v>2296</v>
      </c>
      <c r="C7" s="446" t="s">
        <v>2754</v>
      </c>
      <c r="D7" s="447" t="s">
        <v>310</v>
      </c>
      <c r="E7" s="446" t="s">
        <v>305</v>
      </c>
      <c r="F7" s="446">
        <v>2009</v>
      </c>
      <c r="G7" s="448">
        <v>60000</v>
      </c>
      <c r="H7" s="448">
        <v>6370</v>
      </c>
      <c r="I7" s="446" t="s">
        <v>2283</v>
      </c>
      <c r="J7" s="446" t="s">
        <v>2288</v>
      </c>
      <c r="K7" s="446" t="s">
        <v>700</v>
      </c>
      <c r="L7" s="446" t="s">
        <v>2285</v>
      </c>
      <c r="M7" s="446" t="s">
        <v>2287</v>
      </c>
      <c r="N7" s="446" t="s">
        <v>2384</v>
      </c>
      <c r="O7" s="446">
        <v>50</v>
      </c>
      <c r="P7" s="446" t="s">
        <v>3270</v>
      </c>
      <c r="Q7" s="446" t="s">
        <v>197</v>
      </c>
      <c r="R7" s="446" t="s">
        <v>2289</v>
      </c>
      <c r="S7" s="446" t="s">
        <v>2290</v>
      </c>
      <c r="T7" s="446" t="s">
        <v>2282</v>
      </c>
      <c r="U7" s="446" t="s">
        <v>2404</v>
      </c>
      <c r="V7" s="446" t="s">
        <v>2388</v>
      </c>
      <c r="W7" s="446" t="s">
        <v>2389</v>
      </c>
      <c r="X7" s="446" t="s">
        <v>2277</v>
      </c>
      <c r="Y7" s="446" t="s">
        <v>2797</v>
      </c>
      <c r="Z7" s="446" t="s">
        <v>2406</v>
      </c>
    </row>
    <row r="8" spans="1:45" x14ac:dyDescent="0.2">
      <c r="A8" s="1071" t="s">
        <v>638</v>
      </c>
      <c r="B8" s="1071" t="s">
        <v>3271</v>
      </c>
      <c r="C8" s="1071" t="s">
        <v>2754</v>
      </c>
      <c r="D8" s="450" t="s">
        <v>3272</v>
      </c>
      <c r="E8" s="1071" t="s">
        <v>1738</v>
      </c>
      <c r="F8" s="1071" t="s">
        <v>3273</v>
      </c>
      <c r="G8" s="451">
        <v>49000</v>
      </c>
      <c r="H8" s="451">
        <f>11600/2.2054</f>
        <v>5259.8168132765031</v>
      </c>
      <c r="I8" s="1071" t="s">
        <v>3274</v>
      </c>
      <c r="J8" s="449" t="s">
        <v>3275</v>
      </c>
      <c r="K8" s="1071" t="s">
        <v>2790</v>
      </c>
      <c r="L8" s="452" t="s">
        <v>3276</v>
      </c>
      <c r="M8" s="453" t="s">
        <v>3277</v>
      </c>
      <c r="N8" s="1071" t="s">
        <v>3278</v>
      </c>
      <c r="O8" s="449">
        <v>55.1</v>
      </c>
      <c r="P8" s="1071" t="s">
        <v>3279</v>
      </c>
      <c r="Q8" s="449" t="s">
        <v>2370</v>
      </c>
      <c r="R8" s="1071" t="s">
        <v>3280</v>
      </c>
      <c r="S8" s="1071" t="s">
        <v>3281</v>
      </c>
      <c r="T8" s="1071" t="s">
        <v>3282</v>
      </c>
      <c r="U8" s="1071" t="s">
        <v>3283</v>
      </c>
      <c r="V8" s="1071" t="s">
        <v>2388</v>
      </c>
      <c r="W8" s="1071" t="s">
        <v>3284</v>
      </c>
      <c r="X8" s="1071" t="s">
        <v>3285</v>
      </c>
      <c r="Y8" s="1071" t="s">
        <v>2797</v>
      </c>
      <c r="Z8" s="1071" t="s">
        <v>2798</v>
      </c>
    </row>
    <row r="9" spans="1:45" x14ac:dyDescent="0.2">
      <c r="A9" s="1069"/>
      <c r="B9" s="1069"/>
      <c r="C9" s="1069"/>
      <c r="D9" s="21" t="s">
        <v>3286</v>
      </c>
      <c r="E9" s="1069"/>
      <c r="F9" s="1069"/>
      <c r="G9" s="26">
        <v>146000</v>
      </c>
      <c r="H9" s="26">
        <f>11600/2.2054</f>
        <v>5259.8168132765031</v>
      </c>
      <c r="I9" s="1069"/>
      <c r="J9" s="20" t="s">
        <v>3275</v>
      </c>
      <c r="K9" s="1069"/>
      <c r="L9" s="454" t="s">
        <v>3287</v>
      </c>
      <c r="M9" s="455" t="s">
        <v>3288</v>
      </c>
      <c r="N9" s="1069"/>
      <c r="O9" s="20">
        <v>54.9</v>
      </c>
      <c r="P9" s="1069"/>
      <c r="Q9" s="20" t="s">
        <v>2370</v>
      </c>
      <c r="R9" s="1069"/>
      <c r="S9" s="1069"/>
      <c r="T9" s="1069"/>
      <c r="U9" s="1069"/>
      <c r="V9" s="1069"/>
      <c r="W9" s="1069"/>
      <c r="X9" s="1069"/>
      <c r="Y9" s="1069"/>
      <c r="Z9" s="1069"/>
    </row>
    <row r="10" spans="1:45" x14ac:dyDescent="0.2">
      <c r="A10" s="1069"/>
      <c r="B10" s="1069"/>
      <c r="C10" s="1069"/>
      <c r="D10" s="21" t="s">
        <v>3289</v>
      </c>
      <c r="E10" s="1069"/>
      <c r="F10" s="1069"/>
      <c r="G10" s="26">
        <v>11000</v>
      </c>
      <c r="H10" s="26">
        <f>13200/2.2054</f>
        <v>5985.3087875215379</v>
      </c>
      <c r="I10" s="1069"/>
      <c r="J10" s="20" t="s">
        <v>3290</v>
      </c>
      <c r="K10" s="1069"/>
      <c r="L10" s="454" t="s">
        <v>3291</v>
      </c>
      <c r="M10" s="455" t="s">
        <v>3292</v>
      </c>
      <c r="N10" s="1069"/>
      <c r="O10" s="20">
        <v>66.5</v>
      </c>
      <c r="P10" s="1069"/>
      <c r="Q10" s="20" t="s">
        <v>197</v>
      </c>
      <c r="R10" s="1069"/>
      <c r="S10" s="1069"/>
      <c r="T10" s="1069"/>
      <c r="U10" s="1069"/>
      <c r="V10" s="1069"/>
      <c r="W10" s="1069"/>
      <c r="X10" s="1069"/>
      <c r="Y10" s="1069"/>
      <c r="Z10" s="1069"/>
    </row>
    <row r="11" spans="1:45" ht="12" thickBot="1" x14ac:dyDescent="0.25">
      <c r="A11" s="1072"/>
      <c r="B11" s="1072"/>
      <c r="C11" s="1072"/>
      <c r="D11" s="457" t="s">
        <v>3293</v>
      </c>
      <c r="E11" s="1072"/>
      <c r="F11" s="1072"/>
      <c r="G11" s="458">
        <v>34000</v>
      </c>
      <c r="H11" s="458">
        <f>13200/2.2054</f>
        <v>5985.3087875215379</v>
      </c>
      <c r="I11" s="1072"/>
      <c r="J11" s="456" t="s">
        <v>3275</v>
      </c>
      <c r="K11" s="1072"/>
      <c r="L11" s="459" t="s">
        <v>3294</v>
      </c>
      <c r="M11" s="460" t="s">
        <v>3295</v>
      </c>
      <c r="N11" s="1072"/>
      <c r="O11" s="461">
        <v>66</v>
      </c>
      <c r="P11" s="1072"/>
      <c r="Q11" s="456" t="s">
        <v>197</v>
      </c>
      <c r="R11" s="1072"/>
      <c r="S11" s="1072"/>
      <c r="T11" s="1072"/>
      <c r="U11" s="1072"/>
      <c r="V11" s="1072"/>
      <c r="W11" s="1072"/>
      <c r="X11" s="1072"/>
      <c r="Y11" s="1072"/>
      <c r="Z11" s="1072"/>
      <c r="AA11" s="87"/>
      <c r="AB11" s="87"/>
      <c r="AC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</row>
    <row r="12" spans="1:45" x14ac:dyDescent="0.2">
      <c r="A12" s="1073" t="s">
        <v>638</v>
      </c>
      <c r="B12" s="1073" t="s">
        <v>3296</v>
      </c>
      <c r="C12" s="1073" t="s">
        <v>3297</v>
      </c>
      <c r="D12" s="463" t="s">
        <v>3272</v>
      </c>
      <c r="E12" s="1073" t="s">
        <v>1738</v>
      </c>
      <c r="F12" s="1073">
        <v>2014</v>
      </c>
      <c r="G12" s="464">
        <v>49000</v>
      </c>
      <c r="H12" s="464">
        <f>11600/2.2054</f>
        <v>5259.8168132765031</v>
      </c>
      <c r="I12" s="1073" t="s">
        <v>3274</v>
      </c>
      <c r="J12" s="462" t="s">
        <v>3275</v>
      </c>
      <c r="K12" s="1073" t="s">
        <v>2790</v>
      </c>
      <c r="L12" s="465" t="s">
        <v>3298</v>
      </c>
      <c r="M12" s="466" t="s">
        <v>3299</v>
      </c>
      <c r="N12" s="1073" t="s">
        <v>3278</v>
      </c>
      <c r="O12" s="462">
        <v>55.2</v>
      </c>
      <c r="P12" s="1073" t="s">
        <v>3279</v>
      </c>
      <c r="Q12" s="462" t="s">
        <v>2370</v>
      </c>
      <c r="R12" s="1073" t="s">
        <v>3280</v>
      </c>
      <c r="S12" s="1073" t="s">
        <v>3281</v>
      </c>
      <c r="T12" s="1073" t="s">
        <v>3282</v>
      </c>
      <c r="U12" s="1073" t="s">
        <v>3283</v>
      </c>
      <c r="V12" s="1073" t="s">
        <v>2388</v>
      </c>
      <c r="W12" s="1073" t="s">
        <v>3284</v>
      </c>
      <c r="X12" s="1073" t="s">
        <v>3285</v>
      </c>
      <c r="Y12" s="1073" t="s">
        <v>2797</v>
      </c>
      <c r="Z12" s="1073" t="s">
        <v>2798</v>
      </c>
    </row>
    <row r="13" spans="1:45" x14ac:dyDescent="0.2">
      <c r="A13" s="1069"/>
      <c r="B13" s="1069"/>
      <c r="C13" s="1069"/>
      <c r="D13" s="21" t="s">
        <v>3286</v>
      </c>
      <c r="E13" s="1069"/>
      <c r="F13" s="1069"/>
      <c r="G13" s="26">
        <v>146000</v>
      </c>
      <c r="H13" s="26">
        <f>11600/2.2054</f>
        <v>5259.8168132765031</v>
      </c>
      <c r="I13" s="1069"/>
      <c r="J13" s="20" t="s">
        <v>3275</v>
      </c>
      <c r="K13" s="1069"/>
      <c r="L13" s="467" t="s">
        <v>3300</v>
      </c>
      <c r="M13" s="468" t="s">
        <v>3301</v>
      </c>
      <c r="N13" s="1069"/>
      <c r="O13" s="20">
        <v>54.5</v>
      </c>
      <c r="P13" s="1069"/>
      <c r="Q13" s="20" t="s">
        <v>2370</v>
      </c>
      <c r="R13" s="1069"/>
      <c r="S13" s="1069"/>
      <c r="T13" s="1069"/>
      <c r="U13" s="1069"/>
      <c r="V13" s="1069"/>
      <c r="W13" s="1069"/>
      <c r="X13" s="1069"/>
      <c r="Y13" s="1069"/>
      <c r="Z13" s="1069"/>
    </row>
    <row r="14" spans="1:45" x14ac:dyDescent="0.2">
      <c r="A14" s="1069"/>
      <c r="B14" s="1069"/>
      <c r="C14" s="1069"/>
      <c r="D14" s="21" t="s">
        <v>3289</v>
      </c>
      <c r="E14" s="1069"/>
      <c r="F14" s="1069"/>
      <c r="G14" s="26">
        <v>11000</v>
      </c>
      <c r="H14" s="26">
        <f>13400/2.2054</f>
        <v>6075.9952843021674</v>
      </c>
      <c r="I14" s="1069"/>
      <c r="J14" s="20" t="s">
        <v>3302</v>
      </c>
      <c r="K14" s="1069"/>
      <c r="L14" s="467" t="s">
        <v>3303</v>
      </c>
      <c r="M14" s="468" t="s">
        <v>3304</v>
      </c>
      <c r="N14" s="1069"/>
      <c r="O14" s="20">
        <v>66.599999999999994</v>
      </c>
      <c r="P14" s="1069"/>
      <c r="Q14" s="20" t="s">
        <v>197</v>
      </c>
      <c r="R14" s="1069"/>
      <c r="S14" s="1069"/>
      <c r="T14" s="1069"/>
      <c r="U14" s="1069"/>
      <c r="V14" s="1069"/>
      <c r="W14" s="1069"/>
      <c r="X14" s="1069"/>
      <c r="Y14" s="1069"/>
      <c r="Z14" s="1069"/>
    </row>
    <row r="15" spans="1:45" ht="12" thickBot="1" x14ac:dyDescent="0.25">
      <c r="A15" s="1070"/>
      <c r="B15" s="1070"/>
      <c r="C15" s="1070"/>
      <c r="D15" s="447" t="s">
        <v>3293</v>
      </c>
      <c r="E15" s="1070"/>
      <c r="F15" s="1070"/>
      <c r="G15" s="448">
        <v>34000</v>
      </c>
      <c r="H15" s="448">
        <f>13400/2.2054</f>
        <v>6075.9952843021674</v>
      </c>
      <c r="I15" s="1070"/>
      <c r="J15" s="446" t="s">
        <v>3305</v>
      </c>
      <c r="K15" s="1070"/>
      <c r="L15" s="469" t="s">
        <v>3306</v>
      </c>
      <c r="M15" s="470" t="s">
        <v>3307</v>
      </c>
      <c r="N15" s="1070"/>
      <c r="O15" s="470">
        <v>65.599999999999994</v>
      </c>
      <c r="P15" s="1070"/>
      <c r="Q15" s="446" t="s">
        <v>197</v>
      </c>
      <c r="R15" s="1070"/>
      <c r="S15" s="1070"/>
      <c r="T15" s="1070"/>
      <c r="U15" s="1070"/>
      <c r="V15" s="1070"/>
      <c r="W15" s="1070"/>
      <c r="X15" s="1070"/>
      <c r="Y15" s="1070"/>
      <c r="Z15" s="1070"/>
      <c r="AA15" s="87"/>
      <c r="AB15" s="87"/>
      <c r="AC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</row>
    <row r="16" spans="1:45" ht="15.75" customHeight="1" x14ac:dyDescent="0.2">
      <c r="A16" s="1071" t="s">
        <v>638</v>
      </c>
      <c r="B16" s="1071" t="s">
        <v>3308</v>
      </c>
      <c r="C16" s="1071" t="s">
        <v>2754</v>
      </c>
      <c r="D16" s="450" t="s">
        <v>3309</v>
      </c>
      <c r="E16" s="1071" t="s">
        <v>1738</v>
      </c>
      <c r="F16" s="1071">
        <v>2009</v>
      </c>
      <c r="G16" s="1074">
        <v>114680</v>
      </c>
      <c r="H16" s="1076">
        <v>5580</v>
      </c>
      <c r="I16" s="1071" t="s">
        <v>3274</v>
      </c>
      <c r="J16" s="1071" t="s">
        <v>3310</v>
      </c>
      <c r="K16" s="1071" t="s">
        <v>2790</v>
      </c>
      <c r="L16" s="452" t="s">
        <v>3311</v>
      </c>
      <c r="M16" s="453" t="s">
        <v>3312</v>
      </c>
      <c r="N16" s="1071" t="s">
        <v>3278</v>
      </c>
      <c r="O16" s="471">
        <v>41.7</v>
      </c>
      <c r="P16" s="1071" t="s">
        <v>1786</v>
      </c>
      <c r="Q16" s="449" t="s">
        <v>182</v>
      </c>
      <c r="R16" s="449" t="s">
        <v>3313</v>
      </c>
      <c r="S16" s="1071" t="s">
        <v>3281</v>
      </c>
      <c r="T16" s="449" t="s">
        <v>3314</v>
      </c>
      <c r="U16" s="1079" t="s">
        <v>3315</v>
      </c>
      <c r="V16" s="1071" t="s">
        <v>2388</v>
      </c>
      <c r="W16" s="1071" t="s">
        <v>1127</v>
      </c>
      <c r="X16" s="1071" t="s">
        <v>3285</v>
      </c>
      <c r="Y16" s="1071" t="s">
        <v>2797</v>
      </c>
      <c r="Z16" s="1071" t="s">
        <v>2798</v>
      </c>
      <c r="AA16" s="87"/>
      <c r="AB16" s="87"/>
      <c r="AC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</row>
    <row r="17" spans="1:45" ht="15.75" customHeight="1" x14ac:dyDescent="0.2">
      <c r="A17" s="1069"/>
      <c r="B17" s="1069"/>
      <c r="C17" s="1069"/>
      <c r="D17" s="21" t="s">
        <v>3316</v>
      </c>
      <c r="E17" s="1069"/>
      <c r="F17" s="1069"/>
      <c r="G17" s="1075"/>
      <c r="H17" s="1077"/>
      <c r="I17" s="1069"/>
      <c r="J17" s="1069"/>
      <c r="K17" s="1069"/>
      <c r="L17" s="454" t="s">
        <v>3317</v>
      </c>
      <c r="M17" s="455" t="s">
        <v>3318</v>
      </c>
      <c r="N17" s="1069"/>
      <c r="O17" s="468">
        <v>42.6</v>
      </c>
      <c r="P17" s="1069"/>
      <c r="Q17" s="20" t="s">
        <v>182</v>
      </c>
      <c r="R17" s="20" t="s">
        <v>3319</v>
      </c>
      <c r="S17" s="1069"/>
      <c r="T17" s="20" t="s">
        <v>3314</v>
      </c>
      <c r="U17" s="1080"/>
      <c r="V17" s="1069"/>
      <c r="W17" s="1069"/>
      <c r="X17" s="1069"/>
      <c r="Y17" s="1069"/>
      <c r="Z17" s="1069"/>
      <c r="AA17" s="87"/>
      <c r="AB17" s="87"/>
      <c r="AC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</row>
    <row r="18" spans="1:45" ht="15.75" customHeight="1" thickBot="1" x14ac:dyDescent="0.25">
      <c r="A18" s="1072"/>
      <c r="B18" s="1072"/>
      <c r="C18" s="1072"/>
      <c r="D18" s="457" t="s">
        <v>3320</v>
      </c>
      <c r="E18" s="1072"/>
      <c r="F18" s="1072"/>
      <c r="G18" s="472">
        <v>205390</v>
      </c>
      <c r="H18" s="1078"/>
      <c r="I18" s="1072"/>
      <c r="J18" s="1072"/>
      <c r="K18" s="1072"/>
      <c r="L18" s="459" t="s">
        <v>3321</v>
      </c>
      <c r="M18" s="460" t="s">
        <v>3322</v>
      </c>
      <c r="N18" s="1072"/>
      <c r="O18" s="461">
        <v>50.4</v>
      </c>
      <c r="P18" s="1072"/>
      <c r="Q18" s="456" t="s">
        <v>1361</v>
      </c>
      <c r="R18" s="456" t="s">
        <v>3319</v>
      </c>
      <c r="S18" s="1072"/>
      <c r="T18" s="456" t="s">
        <v>3282</v>
      </c>
      <c r="U18" s="1081"/>
      <c r="V18" s="1072"/>
      <c r="W18" s="1072"/>
      <c r="X18" s="1072"/>
      <c r="Y18" s="1072"/>
      <c r="Z18" s="1072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</row>
    <row r="19" spans="1:45" ht="15.75" customHeight="1" x14ac:dyDescent="0.2">
      <c r="A19" s="1073" t="s">
        <v>638</v>
      </c>
      <c r="B19" s="1073" t="s">
        <v>3323</v>
      </c>
      <c r="C19" s="1073" t="s">
        <v>2754</v>
      </c>
      <c r="D19" s="1088" t="s">
        <v>3324</v>
      </c>
      <c r="E19" s="462" t="s">
        <v>1738</v>
      </c>
      <c r="F19" s="1073">
        <v>2009</v>
      </c>
      <c r="G19" s="1089">
        <f>723*235</f>
        <v>169905</v>
      </c>
      <c r="H19" s="1082">
        <v>2200</v>
      </c>
      <c r="I19" s="1073" t="s">
        <v>3274</v>
      </c>
      <c r="J19" s="1073" t="s">
        <v>3325</v>
      </c>
      <c r="K19" s="1073" t="s">
        <v>2790</v>
      </c>
      <c r="L19" s="473" t="s">
        <v>3326</v>
      </c>
      <c r="M19" s="473" t="s">
        <v>3327</v>
      </c>
      <c r="N19" s="1073" t="s">
        <v>3278</v>
      </c>
      <c r="O19" s="466">
        <v>22.06</v>
      </c>
      <c r="P19" s="446" t="s">
        <v>3279</v>
      </c>
      <c r="Q19" s="1084" t="s">
        <v>3328</v>
      </c>
      <c r="R19" s="462" t="s">
        <v>3329</v>
      </c>
      <c r="S19" s="462" t="s">
        <v>3330</v>
      </c>
      <c r="T19" s="462" t="s">
        <v>3331</v>
      </c>
      <c r="U19" s="21" t="s">
        <v>3332</v>
      </c>
      <c r="V19" s="462" t="s">
        <v>2796</v>
      </c>
      <c r="W19" s="462" t="s">
        <v>1127</v>
      </c>
      <c r="X19" s="462" t="s">
        <v>3333</v>
      </c>
      <c r="Y19" s="462" t="s">
        <v>3334</v>
      </c>
      <c r="Z19" s="462" t="s">
        <v>2798</v>
      </c>
      <c r="AA19" s="87"/>
      <c r="AB19" s="87"/>
      <c r="AC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</row>
    <row r="20" spans="1:45" ht="15.75" customHeight="1" x14ac:dyDescent="0.2">
      <c r="A20" s="1069"/>
      <c r="B20" s="1069"/>
      <c r="C20" s="1069"/>
      <c r="D20" s="1080"/>
      <c r="E20" s="20" t="s">
        <v>1797</v>
      </c>
      <c r="F20" s="1069"/>
      <c r="G20" s="1090"/>
      <c r="H20" s="1083"/>
      <c r="I20" s="1069"/>
      <c r="J20" s="1069"/>
      <c r="K20" s="1069"/>
      <c r="L20" s="474" t="s">
        <v>3335</v>
      </c>
      <c r="M20" s="474" t="s">
        <v>3336</v>
      </c>
      <c r="N20" s="1069"/>
      <c r="O20" s="475">
        <v>15.6</v>
      </c>
      <c r="P20" s="446" t="s">
        <v>3279</v>
      </c>
      <c r="Q20" s="1073"/>
      <c r="R20" s="20" t="s">
        <v>3337</v>
      </c>
      <c r="S20" s="462" t="s">
        <v>3338</v>
      </c>
      <c r="T20" s="20" t="s">
        <v>3339</v>
      </c>
      <c r="U20" s="21" t="s">
        <v>3332</v>
      </c>
      <c r="V20" s="20" t="s">
        <v>2796</v>
      </c>
      <c r="W20" s="20" t="s">
        <v>1127</v>
      </c>
      <c r="X20" s="20" t="s">
        <v>3340</v>
      </c>
      <c r="Y20" s="20" t="s">
        <v>3334</v>
      </c>
      <c r="Z20" s="20" t="s">
        <v>2798</v>
      </c>
      <c r="AA20" s="87"/>
      <c r="AB20" s="87"/>
      <c r="AC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</row>
    <row r="21" spans="1:45" ht="33.75" x14ac:dyDescent="0.2">
      <c r="A21" s="1069"/>
      <c r="B21" s="1069"/>
      <c r="C21" s="1069"/>
      <c r="D21" s="1080" t="s">
        <v>3341</v>
      </c>
      <c r="E21" s="20" t="s">
        <v>1738</v>
      </c>
      <c r="F21" s="1069"/>
      <c r="G21" s="1092">
        <f>31*235</f>
        <v>7285</v>
      </c>
      <c r="H21" s="1085">
        <v>2240</v>
      </c>
      <c r="I21" s="1069"/>
      <c r="J21" s="1069"/>
      <c r="K21" s="1069"/>
      <c r="L21" s="476" t="s">
        <v>3342</v>
      </c>
      <c r="M21" s="476" t="s">
        <v>3343</v>
      </c>
      <c r="N21" s="1069"/>
      <c r="O21" s="468">
        <v>24.99</v>
      </c>
      <c r="P21" s="20" t="s">
        <v>3279</v>
      </c>
      <c r="Q21" s="1070" t="s">
        <v>1361</v>
      </c>
      <c r="R21" s="20" t="s">
        <v>3344</v>
      </c>
      <c r="S21" s="20" t="s">
        <v>2793</v>
      </c>
      <c r="T21" s="20" t="s">
        <v>3331</v>
      </c>
      <c r="U21" s="447" t="s">
        <v>3332</v>
      </c>
      <c r="V21" s="20" t="s">
        <v>3345</v>
      </c>
      <c r="W21" s="20" t="s">
        <v>3284</v>
      </c>
      <c r="X21" s="20" t="s">
        <v>3346</v>
      </c>
      <c r="Y21" s="21" t="s">
        <v>3347</v>
      </c>
      <c r="Z21" s="20" t="s">
        <v>2798</v>
      </c>
      <c r="AA21" s="87"/>
      <c r="AB21" s="87"/>
      <c r="AC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</row>
    <row r="22" spans="1:45" ht="15.75" customHeight="1" thickBot="1" x14ac:dyDescent="0.25">
      <c r="A22" s="1070"/>
      <c r="B22" s="1070"/>
      <c r="C22" s="1070"/>
      <c r="D22" s="1091"/>
      <c r="E22" s="446" t="s">
        <v>1797</v>
      </c>
      <c r="F22" s="1070"/>
      <c r="G22" s="1093"/>
      <c r="H22" s="1086"/>
      <c r="I22" s="1070"/>
      <c r="J22" s="1070"/>
      <c r="K22" s="1070"/>
      <c r="L22" s="477" t="s">
        <v>3348</v>
      </c>
      <c r="M22" s="477" t="s">
        <v>3349</v>
      </c>
      <c r="N22" s="1070"/>
      <c r="O22" s="478">
        <v>15.6</v>
      </c>
      <c r="P22" s="20" t="s">
        <v>3279</v>
      </c>
      <c r="Q22" s="1087"/>
      <c r="R22" s="446" t="s">
        <v>3337</v>
      </c>
      <c r="S22" s="20" t="s">
        <v>2793</v>
      </c>
      <c r="T22" s="20" t="s">
        <v>3339</v>
      </c>
      <c r="U22" s="447" t="s">
        <v>3332</v>
      </c>
      <c r="V22" s="446" t="s">
        <v>2796</v>
      </c>
      <c r="W22" s="446" t="s">
        <v>1127</v>
      </c>
      <c r="X22" s="446" t="s">
        <v>3340</v>
      </c>
      <c r="Y22" s="446" t="s">
        <v>3334</v>
      </c>
      <c r="Z22" s="456" t="s">
        <v>2798</v>
      </c>
      <c r="AA22" s="87"/>
      <c r="AB22" s="87"/>
      <c r="AC22" s="87"/>
      <c r="AD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</row>
    <row r="23" spans="1:45" ht="15.75" customHeight="1" x14ac:dyDescent="0.2">
      <c r="A23" s="1071" t="s">
        <v>638</v>
      </c>
      <c r="B23" s="1071" t="s">
        <v>3350</v>
      </c>
      <c r="C23" s="1071" t="s">
        <v>2754</v>
      </c>
      <c r="D23" s="450" t="s">
        <v>3351</v>
      </c>
      <c r="E23" s="449" t="s">
        <v>1738</v>
      </c>
      <c r="F23" s="449">
        <v>2008</v>
      </c>
      <c r="G23" s="479">
        <v>301740</v>
      </c>
      <c r="H23" s="1082">
        <v>2550</v>
      </c>
      <c r="I23" s="1071" t="s">
        <v>3274</v>
      </c>
      <c r="J23" s="1071" t="s">
        <v>3352</v>
      </c>
      <c r="K23" s="1071" t="s">
        <v>2790</v>
      </c>
      <c r="L23" s="480" t="s">
        <v>3353</v>
      </c>
      <c r="M23" s="480" t="s">
        <v>3354</v>
      </c>
      <c r="N23" s="1071" t="s">
        <v>3278</v>
      </c>
      <c r="O23" s="471">
        <v>19.75</v>
      </c>
      <c r="P23" s="449" t="s">
        <v>3355</v>
      </c>
      <c r="Q23" s="1084" t="s">
        <v>3356</v>
      </c>
      <c r="R23" s="449" t="s">
        <v>3357</v>
      </c>
      <c r="S23" s="449" t="s">
        <v>3358</v>
      </c>
      <c r="T23" s="449" t="s">
        <v>3359</v>
      </c>
      <c r="U23" s="1094" t="s">
        <v>3360</v>
      </c>
      <c r="V23" s="449" t="s">
        <v>2796</v>
      </c>
      <c r="W23" s="449" t="s">
        <v>1127</v>
      </c>
      <c r="X23" s="449" t="s">
        <v>3361</v>
      </c>
      <c r="Y23" s="1084" t="s">
        <v>3334</v>
      </c>
      <c r="Z23" s="1084" t="s">
        <v>2406</v>
      </c>
      <c r="AA23" s="87"/>
      <c r="AB23" s="87"/>
      <c r="AC23" s="87"/>
      <c r="AD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</row>
    <row r="24" spans="1:45" ht="15.75" customHeight="1" x14ac:dyDescent="0.2">
      <c r="A24" s="1069"/>
      <c r="B24" s="1069"/>
      <c r="C24" s="1069"/>
      <c r="D24" s="21" t="s">
        <v>3362</v>
      </c>
      <c r="E24" s="20" t="s">
        <v>1738</v>
      </c>
      <c r="F24" s="20">
        <v>2008</v>
      </c>
      <c r="G24" s="481">
        <v>55930</v>
      </c>
      <c r="H24" s="1098"/>
      <c r="I24" s="1069"/>
      <c r="J24" s="1069"/>
      <c r="K24" s="1069"/>
      <c r="L24" s="482" t="s">
        <v>3363</v>
      </c>
      <c r="M24" s="482" t="s">
        <v>3364</v>
      </c>
      <c r="N24" s="1069"/>
      <c r="O24" s="468">
        <v>22</v>
      </c>
      <c r="P24" s="20" t="s">
        <v>3355</v>
      </c>
      <c r="Q24" s="1097"/>
      <c r="R24" s="20" t="s">
        <v>3365</v>
      </c>
      <c r="S24" s="21" t="s">
        <v>3358</v>
      </c>
      <c r="T24" s="1070" t="s">
        <v>3359</v>
      </c>
      <c r="U24" s="1095"/>
      <c r="V24" s="20" t="s">
        <v>2796</v>
      </c>
      <c r="W24" s="20" t="s">
        <v>1127</v>
      </c>
      <c r="X24" s="1070" t="s">
        <v>3361</v>
      </c>
      <c r="Y24" s="1097"/>
      <c r="Z24" s="109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</row>
    <row r="25" spans="1:45" ht="15.75" customHeight="1" thickBot="1" x14ac:dyDescent="0.25">
      <c r="A25" s="1072"/>
      <c r="B25" s="1072"/>
      <c r="C25" s="1072"/>
      <c r="D25" s="457" t="s">
        <v>3366</v>
      </c>
      <c r="E25" s="456" t="s">
        <v>1738</v>
      </c>
      <c r="F25" s="456">
        <v>2011</v>
      </c>
      <c r="G25" s="484">
        <v>90005</v>
      </c>
      <c r="H25" s="1086"/>
      <c r="I25" s="1072"/>
      <c r="J25" s="456" t="s">
        <v>3367</v>
      </c>
      <c r="K25" s="1072"/>
      <c r="L25" s="485" t="s">
        <v>3368</v>
      </c>
      <c r="M25" s="485" t="s">
        <v>3369</v>
      </c>
      <c r="N25" s="1072"/>
      <c r="O25" s="461">
        <v>22</v>
      </c>
      <c r="P25" s="456" t="s">
        <v>3279</v>
      </c>
      <c r="Q25" s="1087"/>
      <c r="R25" s="456" t="s">
        <v>3370</v>
      </c>
      <c r="S25" s="456" t="s">
        <v>3371</v>
      </c>
      <c r="T25" s="1087"/>
      <c r="U25" s="1096"/>
      <c r="V25" s="456" t="s">
        <v>2796</v>
      </c>
      <c r="W25" s="456" t="s">
        <v>1127</v>
      </c>
      <c r="X25" s="1087"/>
      <c r="Y25" s="1087"/>
      <c r="Z25" s="10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</row>
    <row r="26" spans="1:45" ht="15.75" customHeight="1" x14ac:dyDescent="0.2">
      <c r="A26" s="1073" t="s">
        <v>638</v>
      </c>
      <c r="B26" s="1073" t="s">
        <v>3372</v>
      </c>
      <c r="C26" s="1073" t="s">
        <v>2754</v>
      </c>
      <c r="D26" s="1088" t="s">
        <v>3373</v>
      </c>
      <c r="E26" s="462" t="s">
        <v>1738</v>
      </c>
      <c r="F26" s="1073" t="s">
        <v>3273</v>
      </c>
      <c r="G26" s="464">
        <f>330*235</f>
        <v>77550</v>
      </c>
      <c r="H26" s="1082">
        <v>2076</v>
      </c>
      <c r="I26" s="1073" t="s">
        <v>3274</v>
      </c>
      <c r="J26" s="1073" t="s">
        <v>3325</v>
      </c>
      <c r="K26" s="1073" t="s">
        <v>2790</v>
      </c>
      <c r="L26" s="486" t="s">
        <v>3374</v>
      </c>
      <c r="M26" s="486" t="s">
        <v>3375</v>
      </c>
      <c r="N26" s="1073" t="s">
        <v>3278</v>
      </c>
      <c r="O26" s="466">
        <v>25.9</v>
      </c>
      <c r="P26" s="483" t="s">
        <v>3279</v>
      </c>
      <c r="Q26" s="1084" t="s">
        <v>3376</v>
      </c>
      <c r="R26" s="462" t="s">
        <v>3370</v>
      </c>
      <c r="S26" s="20" t="s">
        <v>3377</v>
      </c>
      <c r="T26" s="462" t="s">
        <v>3378</v>
      </c>
      <c r="U26" s="1084" t="s">
        <v>3379</v>
      </c>
      <c r="V26" s="1084" t="s">
        <v>2796</v>
      </c>
      <c r="W26" s="1084" t="s">
        <v>1127</v>
      </c>
      <c r="X26" s="462" t="s">
        <v>3380</v>
      </c>
      <c r="Y26" s="462" t="s">
        <v>2797</v>
      </c>
      <c r="Z26" s="1084" t="s">
        <v>2406</v>
      </c>
      <c r="AA26" s="87"/>
      <c r="AB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</row>
    <row r="27" spans="1:45" ht="15.75" customHeight="1" x14ac:dyDescent="0.2">
      <c r="A27" s="1069"/>
      <c r="B27" s="1069"/>
      <c r="C27" s="1069"/>
      <c r="D27" s="1080"/>
      <c r="E27" s="20" t="s">
        <v>1797</v>
      </c>
      <c r="F27" s="1069"/>
      <c r="G27" s="26">
        <f>231*235</f>
        <v>54285</v>
      </c>
      <c r="H27" s="1098"/>
      <c r="I27" s="1069"/>
      <c r="J27" s="1069"/>
      <c r="K27" s="1069"/>
      <c r="L27" s="487" t="s">
        <v>3381</v>
      </c>
      <c r="M27" s="487" t="s">
        <v>3382</v>
      </c>
      <c r="N27" s="1069"/>
      <c r="O27" s="468">
        <v>21.7</v>
      </c>
      <c r="P27" s="446" t="s">
        <v>3279</v>
      </c>
      <c r="Q27" s="1097"/>
      <c r="R27" s="20" t="s">
        <v>3383</v>
      </c>
      <c r="S27" s="20" t="s">
        <v>3377</v>
      </c>
      <c r="T27" s="20" t="s">
        <v>3384</v>
      </c>
      <c r="U27" s="1097"/>
      <c r="V27" s="1097"/>
      <c r="W27" s="1097"/>
      <c r="X27" s="462" t="s">
        <v>3380</v>
      </c>
      <c r="Y27" s="20" t="s">
        <v>246</v>
      </c>
      <c r="Z27" s="1097"/>
      <c r="AA27" s="87"/>
      <c r="AB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</row>
    <row r="28" spans="1:45" ht="15.75" customHeight="1" x14ac:dyDescent="0.2">
      <c r="A28" s="1069"/>
      <c r="B28" s="1069"/>
      <c r="C28" s="1069"/>
      <c r="D28" s="20" t="s">
        <v>3385</v>
      </c>
      <c r="E28" s="20" t="s">
        <v>1797</v>
      </c>
      <c r="F28" s="1069"/>
      <c r="G28" s="26">
        <f>99*235</f>
        <v>23265</v>
      </c>
      <c r="H28" s="1098"/>
      <c r="I28" s="1069"/>
      <c r="J28" s="1069"/>
      <c r="K28" s="1069"/>
      <c r="L28" s="487" t="s">
        <v>3386</v>
      </c>
      <c r="M28" s="487" t="s">
        <v>3387</v>
      </c>
      <c r="N28" s="1069"/>
      <c r="O28" s="468">
        <v>21.6</v>
      </c>
      <c r="P28" s="446" t="s">
        <v>3279</v>
      </c>
      <c r="Q28" s="1097"/>
      <c r="R28" s="20" t="s">
        <v>3383</v>
      </c>
      <c r="S28" s="20" t="s">
        <v>3377</v>
      </c>
      <c r="T28" s="20" t="s">
        <v>3384</v>
      </c>
      <c r="U28" s="1097"/>
      <c r="V28" s="1097"/>
      <c r="W28" s="1097"/>
      <c r="X28" s="462" t="s">
        <v>3380</v>
      </c>
      <c r="Y28" s="20" t="s">
        <v>246</v>
      </c>
      <c r="Z28" s="1097"/>
      <c r="AA28" s="87"/>
      <c r="AB28" s="87"/>
      <c r="AE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</row>
    <row r="29" spans="1:45" ht="15.75" customHeight="1" x14ac:dyDescent="0.2">
      <c r="A29" s="1069"/>
      <c r="B29" s="1069"/>
      <c r="C29" s="1069"/>
      <c r="D29" s="1080" t="s">
        <v>3388</v>
      </c>
      <c r="E29" s="20" t="s">
        <v>1738</v>
      </c>
      <c r="F29" s="1069"/>
      <c r="G29" s="26">
        <f>104*235</f>
        <v>24440</v>
      </c>
      <c r="H29" s="1098"/>
      <c r="I29" s="1069"/>
      <c r="J29" s="1069"/>
      <c r="K29" s="1069"/>
      <c r="L29" s="487" t="s">
        <v>3389</v>
      </c>
      <c r="M29" s="487" t="s">
        <v>3390</v>
      </c>
      <c r="N29" s="1069"/>
      <c r="O29" s="468">
        <v>24.93</v>
      </c>
      <c r="P29" s="446" t="s">
        <v>3391</v>
      </c>
      <c r="Q29" s="1097"/>
      <c r="R29" s="20" t="s">
        <v>3392</v>
      </c>
      <c r="S29" s="20" t="s">
        <v>3377</v>
      </c>
      <c r="T29" s="20" t="s">
        <v>3393</v>
      </c>
      <c r="U29" s="1097"/>
      <c r="V29" s="1097"/>
      <c r="W29" s="1097"/>
      <c r="X29" s="20" t="s">
        <v>3346</v>
      </c>
      <c r="Y29" s="20" t="s">
        <v>2797</v>
      </c>
      <c r="Z29" s="1097"/>
      <c r="AA29" s="87"/>
      <c r="AB29" s="87"/>
      <c r="AE29" s="87"/>
      <c r="AH29" s="87"/>
      <c r="AI29" s="87"/>
      <c r="AM29" s="87"/>
      <c r="AN29" s="87"/>
      <c r="AO29" s="87"/>
      <c r="AP29" s="87"/>
      <c r="AQ29" s="87"/>
      <c r="AR29" s="87"/>
      <c r="AS29" s="87"/>
    </row>
    <row r="30" spans="1:45" ht="22.5" x14ac:dyDescent="0.2">
      <c r="A30" s="1069"/>
      <c r="B30" s="1069"/>
      <c r="C30" s="1069"/>
      <c r="D30" s="1080"/>
      <c r="E30" s="20" t="s">
        <v>1797</v>
      </c>
      <c r="F30" s="1069"/>
      <c r="G30" s="26">
        <f>104*235</f>
        <v>24440</v>
      </c>
      <c r="H30" s="1098"/>
      <c r="I30" s="1069"/>
      <c r="J30" s="1069"/>
      <c r="K30" s="1069"/>
      <c r="L30" s="487" t="s">
        <v>3394</v>
      </c>
      <c r="M30" s="487" t="s">
        <v>3395</v>
      </c>
      <c r="N30" s="1069"/>
      <c r="O30" s="468">
        <v>24.45</v>
      </c>
      <c r="P30" s="446" t="s">
        <v>3391</v>
      </c>
      <c r="Q30" s="1097"/>
      <c r="R30" s="20" t="s">
        <v>3396</v>
      </c>
      <c r="S30" s="20" t="s">
        <v>3377</v>
      </c>
      <c r="T30" s="21" t="s">
        <v>3397</v>
      </c>
      <c r="U30" s="1097"/>
      <c r="V30" s="1097"/>
      <c r="W30" s="1097"/>
      <c r="X30" s="20" t="s">
        <v>3346</v>
      </c>
      <c r="Y30" s="20" t="s">
        <v>246</v>
      </c>
      <c r="Z30" s="1097"/>
      <c r="AA30" s="87"/>
      <c r="AB30" s="87"/>
      <c r="AE30" s="87"/>
      <c r="AH30" s="87"/>
      <c r="AI30" s="87"/>
      <c r="AM30" s="87"/>
      <c r="AN30" s="87"/>
      <c r="AO30" s="87"/>
      <c r="AP30" s="87"/>
      <c r="AQ30" s="87"/>
      <c r="AR30" s="87"/>
      <c r="AS30" s="87"/>
    </row>
    <row r="31" spans="1:45" ht="33.75" x14ac:dyDescent="0.2">
      <c r="A31" s="1069"/>
      <c r="B31" s="1069"/>
      <c r="C31" s="1069"/>
      <c r="D31" s="1080" t="s">
        <v>3398</v>
      </c>
      <c r="E31" s="20" t="s">
        <v>1738</v>
      </c>
      <c r="F31" s="1069"/>
      <c r="G31" s="26">
        <f>11*235</f>
        <v>2585</v>
      </c>
      <c r="H31" s="1098"/>
      <c r="I31" s="1069"/>
      <c r="J31" s="1069"/>
      <c r="K31" s="1069"/>
      <c r="L31" s="487" t="s">
        <v>3399</v>
      </c>
      <c r="M31" s="487" t="s">
        <v>3400</v>
      </c>
      <c r="N31" s="1069"/>
      <c r="O31" s="468">
        <v>24.68</v>
      </c>
      <c r="P31" s="446" t="s">
        <v>3391</v>
      </c>
      <c r="Q31" s="1097"/>
      <c r="R31" s="20" t="s">
        <v>3392</v>
      </c>
      <c r="S31" s="20" t="s">
        <v>3377</v>
      </c>
      <c r="T31" s="20" t="s">
        <v>3393</v>
      </c>
      <c r="U31" s="1097"/>
      <c r="V31" s="1097"/>
      <c r="W31" s="1097"/>
      <c r="X31" s="20" t="s">
        <v>3346</v>
      </c>
      <c r="Y31" s="21" t="s">
        <v>3347</v>
      </c>
      <c r="Z31" s="1097"/>
      <c r="AA31" s="87"/>
      <c r="AB31" s="87"/>
      <c r="AE31" s="87"/>
      <c r="AF31" s="87"/>
      <c r="AG31" s="87"/>
      <c r="AH31" s="87"/>
      <c r="AI31" s="87"/>
      <c r="AM31" s="87"/>
      <c r="AN31" s="87"/>
      <c r="AO31" s="87"/>
      <c r="AP31" s="87"/>
      <c r="AQ31" s="87"/>
      <c r="AR31" s="87"/>
      <c r="AS31" s="87"/>
    </row>
    <row r="32" spans="1:45" ht="22.5" x14ac:dyDescent="0.2">
      <c r="A32" s="1069"/>
      <c r="B32" s="1069"/>
      <c r="C32" s="1069"/>
      <c r="D32" s="1080"/>
      <c r="E32" s="20" t="s">
        <v>1797</v>
      </c>
      <c r="F32" s="1069"/>
      <c r="G32" s="26">
        <f>11*235</f>
        <v>2585</v>
      </c>
      <c r="H32" s="1098"/>
      <c r="I32" s="1069"/>
      <c r="J32" s="1069"/>
      <c r="K32" s="1069"/>
      <c r="L32" s="487" t="s">
        <v>3401</v>
      </c>
      <c r="M32" s="487" t="s">
        <v>3402</v>
      </c>
      <c r="N32" s="1069"/>
      <c r="O32" s="468">
        <v>24.68</v>
      </c>
      <c r="P32" s="446" t="s">
        <v>3391</v>
      </c>
      <c r="Q32" s="1097"/>
      <c r="R32" s="20" t="s">
        <v>3396</v>
      </c>
      <c r="S32" s="20" t="s">
        <v>3377</v>
      </c>
      <c r="T32" s="21" t="s">
        <v>3397</v>
      </c>
      <c r="U32" s="1097"/>
      <c r="V32" s="1097"/>
      <c r="W32" s="1097"/>
      <c r="X32" s="20" t="s">
        <v>3346</v>
      </c>
      <c r="Y32" s="20" t="s">
        <v>246</v>
      </c>
      <c r="Z32" s="1097"/>
      <c r="AA32" s="87"/>
      <c r="AB32" s="87"/>
      <c r="AE32" s="87"/>
      <c r="AF32" s="87"/>
      <c r="AG32" s="87"/>
      <c r="AH32" s="87"/>
      <c r="AI32" s="87"/>
      <c r="AM32" s="87"/>
      <c r="AN32" s="87"/>
      <c r="AO32" s="87"/>
      <c r="AP32" s="87"/>
      <c r="AQ32" s="87"/>
      <c r="AR32" s="87"/>
      <c r="AS32" s="87"/>
    </row>
    <row r="33" spans="1:45" ht="33.75" x14ac:dyDescent="0.2">
      <c r="A33" s="1069"/>
      <c r="B33" s="1069"/>
      <c r="C33" s="1069"/>
      <c r="D33" s="1080" t="s">
        <v>3403</v>
      </c>
      <c r="E33" s="20" t="s">
        <v>1738</v>
      </c>
      <c r="F33" s="1069"/>
      <c r="G33" s="26">
        <f>28*235</f>
        <v>6580</v>
      </c>
      <c r="H33" s="1098"/>
      <c r="I33" s="1069"/>
      <c r="J33" s="1069"/>
      <c r="K33" s="1069"/>
      <c r="L33" s="487" t="s">
        <v>3404</v>
      </c>
      <c r="M33" s="487" t="s">
        <v>3405</v>
      </c>
      <c r="N33" s="1069"/>
      <c r="O33" s="468">
        <v>26.34</v>
      </c>
      <c r="P33" s="446" t="s">
        <v>3406</v>
      </c>
      <c r="Q33" s="1097"/>
      <c r="R33" s="20" t="s">
        <v>3407</v>
      </c>
      <c r="S33" s="20" t="s">
        <v>3377</v>
      </c>
      <c r="T33" s="21" t="s">
        <v>3408</v>
      </c>
      <c r="U33" s="1097"/>
      <c r="V33" s="1097"/>
      <c r="W33" s="1097"/>
      <c r="X33" s="20" t="s">
        <v>3346</v>
      </c>
      <c r="Y33" s="21" t="s">
        <v>3347</v>
      </c>
      <c r="Z33" s="1097"/>
      <c r="AA33" s="87"/>
      <c r="AB33" s="87"/>
      <c r="AE33" s="87"/>
      <c r="AF33" s="87"/>
      <c r="AG33" s="87"/>
      <c r="AH33" s="87"/>
      <c r="AI33" s="87"/>
      <c r="AM33" s="87"/>
      <c r="AN33" s="87"/>
      <c r="AO33" s="87"/>
      <c r="AP33" s="87"/>
      <c r="AQ33" s="87"/>
      <c r="AR33" s="87"/>
      <c r="AS33" s="87"/>
    </row>
    <row r="34" spans="1:45" ht="22.5" x14ac:dyDescent="0.2">
      <c r="A34" s="1069"/>
      <c r="B34" s="1069"/>
      <c r="C34" s="1069"/>
      <c r="D34" s="1080"/>
      <c r="E34" s="20" t="s">
        <v>1797</v>
      </c>
      <c r="F34" s="1069"/>
      <c r="G34" s="26">
        <f>28*235</f>
        <v>6580</v>
      </c>
      <c r="H34" s="1098"/>
      <c r="I34" s="1069"/>
      <c r="J34" s="1069"/>
      <c r="K34" s="1069"/>
      <c r="L34" s="487" t="s">
        <v>3409</v>
      </c>
      <c r="M34" s="487" t="s">
        <v>3410</v>
      </c>
      <c r="N34" s="1069"/>
      <c r="O34" s="468">
        <v>24.34</v>
      </c>
      <c r="P34" s="446" t="s">
        <v>3391</v>
      </c>
      <c r="Q34" s="1097"/>
      <c r="R34" s="20" t="s">
        <v>3396</v>
      </c>
      <c r="S34" s="20" t="s">
        <v>3377</v>
      </c>
      <c r="T34" s="21" t="s">
        <v>3397</v>
      </c>
      <c r="U34" s="1097"/>
      <c r="V34" s="1097"/>
      <c r="W34" s="1097"/>
      <c r="X34" s="20" t="s">
        <v>3346</v>
      </c>
      <c r="Y34" s="20" t="s">
        <v>246</v>
      </c>
      <c r="Z34" s="1097"/>
      <c r="AA34" s="87"/>
      <c r="AB34" s="87"/>
      <c r="AE34" s="87"/>
      <c r="AF34" s="87"/>
      <c r="AG34" s="87"/>
      <c r="AH34" s="87"/>
      <c r="AI34" s="87"/>
      <c r="AM34" s="87"/>
      <c r="AN34" s="87"/>
      <c r="AO34" s="87"/>
      <c r="AP34" s="87"/>
      <c r="AQ34" s="87"/>
      <c r="AR34" s="87"/>
      <c r="AS34" s="87"/>
    </row>
    <row r="35" spans="1:45" ht="33.75" x14ac:dyDescent="0.2">
      <c r="A35" s="1069"/>
      <c r="B35" s="1069"/>
      <c r="C35" s="1069"/>
      <c r="D35" s="1080" t="s">
        <v>3411</v>
      </c>
      <c r="E35" s="20" t="s">
        <v>1738</v>
      </c>
      <c r="F35" s="1069"/>
      <c r="G35" s="26">
        <f>13*235</f>
        <v>3055</v>
      </c>
      <c r="H35" s="1098"/>
      <c r="I35" s="1069"/>
      <c r="J35" s="1069"/>
      <c r="K35" s="1069"/>
      <c r="L35" s="487" t="s">
        <v>3412</v>
      </c>
      <c r="M35" s="487" t="s">
        <v>3413</v>
      </c>
      <c r="N35" s="1069"/>
      <c r="O35" s="468">
        <v>21.98</v>
      </c>
      <c r="P35" s="446" t="s">
        <v>3406</v>
      </c>
      <c r="Q35" s="1097"/>
      <c r="R35" s="20" t="s">
        <v>3414</v>
      </c>
      <c r="S35" s="20" t="s">
        <v>3415</v>
      </c>
      <c r="T35" s="21" t="s">
        <v>3408</v>
      </c>
      <c r="U35" s="1097"/>
      <c r="V35" s="1097"/>
      <c r="W35" s="1097"/>
      <c r="X35" s="20" t="s">
        <v>3416</v>
      </c>
      <c r="Y35" s="21" t="s">
        <v>3347</v>
      </c>
      <c r="Z35" s="1097"/>
      <c r="AA35" s="87"/>
      <c r="AB35" s="87"/>
      <c r="AE35" s="87"/>
      <c r="AF35" s="87"/>
      <c r="AG35" s="87"/>
      <c r="AH35" s="87"/>
      <c r="AI35" s="87"/>
      <c r="AM35" s="87"/>
      <c r="AN35" s="87"/>
      <c r="AO35" s="87"/>
      <c r="AP35" s="87"/>
      <c r="AQ35" s="87"/>
      <c r="AR35" s="87"/>
      <c r="AS35" s="87"/>
    </row>
    <row r="36" spans="1:45" ht="15.75" customHeight="1" x14ac:dyDescent="0.2">
      <c r="A36" s="1069"/>
      <c r="B36" s="1069"/>
      <c r="C36" s="1069"/>
      <c r="D36" s="1080"/>
      <c r="E36" s="20" t="s">
        <v>1797</v>
      </c>
      <c r="F36" s="1069"/>
      <c r="G36" s="26">
        <f>13*235</f>
        <v>3055</v>
      </c>
      <c r="H36" s="1098"/>
      <c r="I36" s="1069"/>
      <c r="J36" s="1069"/>
      <c r="K36" s="1069"/>
      <c r="L36" s="487" t="s">
        <v>3417</v>
      </c>
      <c r="M36" s="487" t="s">
        <v>3418</v>
      </c>
      <c r="N36" s="1069"/>
      <c r="O36" s="468">
        <v>17.52</v>
      </c>
      <c r="P36" s="446" t="s">
        <v>3391</v>
      </c>
      <c r="Q36" s="1097"/>
      <c r="R36" s="20" t="s">
        <v>3419</v>
      </c>
      <c r="S36" s="20" t="s">
        <v>3415</v>
      </c>
      <c r="T36" s="20" t="s">
        <v>1786</v>
      </c>
      <c r="U36" s="1097"/>
      <c r="V36" s="1097"/>
      <c r="W36" s="1097"/>
      <c r="X36" s="20" t="s">
        <v>1786</v>
      </c>
      <c r="Y36" s="20" t="s">
        <v>246</v>
      </c>
      <c r="Z36" s="1097"/>
      <c r="AA36" s="87"/>
      <c r="AB36" s="87"/>
      <c r="AE36" s="87"/>
      <c r="AF36" s="87"/>
      <c r="AG36" s="87"/>
      <c r="AH36" s="87"/>
      <c r="AI36" s="87"/>
      <c r="AM36" s="87"/>
      <c r="AN36" s="87"/>
      <c r="AO36" s="87"/>
      <c r="AP36" s="87"/>
      <c r="AQ36" s="87"/>
      <c r="AR36" s="87"/>
      <c r="AS36" s="87"/>
    </row>
    <row r="37" spans="1:45" ht="15.75" customHeight="1" thickBot="1" x14ac:dyDescent="0.25">
      <c r="A37" s="1070"/>
      <c r="B37" s="1070"/>
      <c r="C37" s="1070"/>
      <c r="D37" s="447" t="s">
        <v>3420</v>
      </c>
      <c r="E37" s="446" t="s">
        <v>1797</v>
      </c>
      <c r="F37" s="1070"/>
      <c r="G37" s="448">
        <f>13*235</f>
        <v>3055</v>
      </c>
      <c r="H37" s="1086"/>
      <c r="I37" s="1070"/>
      <c r="J37" s="1070"/>
      <c r="K37" s="1070"/>
      <c r="L37" s="488" t="s">
        <v>3421</v>
      </c>
      <c r="M37" s="488" t="s">
        <v>3422</v>
      </c>
      <c r="N37" s="1070"/>
      <c r="O37" s="470">
        <v>21.63</v>
      </c>
      <c r="P37" s="456" t="s">
        <v>3279</v>
      </c>
      <c r="Q37" s="1087"/>
      <c r="R37" s="20" t="s">
        <v>3383</v>
      </c>
      <c r="S37" s="20" t="s">
        <v>3377</v>
      </c>
      <c r="T37" s="20" t="s">
        <v>3384</v>
      </c>
      <c r="U37" s="1087"/>
      <c r="V37" s="1087"/>
      <c r="W37" s="1087"/>
      <c r="X37" s="462" t="s">
        <v>3380</v>
      </c>
      <c r="Y37" s="20" t="s">
        <v>246</v>
      </c>
      <c r="Z37" s="1087"/>
      <c r="AA37" s="87"/>
      <c r="AB37" s="87"/>
      <c r="AE37" s="87"/>
      <c r="AH37" s="87"/>
      <c r="AI37" s="87"/>
      <c r="AM37" s="87"/>
      <c r="AN37" s="87"/>
      <c r="AO37" s="87"/>
      <c r="AP37" s="87"/>
      <c r="AQ37" s="87"/>
      <c r="AR37" s="87"/>
      <c r="AS37" s="87"/>
    </row>
    <row r="38" spans="1:45" ht="15.75" customHeight="1" x14ac:dyDescent="0.2">
      <c r="A38" s="1071" t="s">
        <v>638</v>
      </c>
      <c r="B38" s="1071" t="s">
        <v>3423</v>
      </c>
      <c r="C38" s="1071" t="s">
        <v>2754</v>
      </c>
      <c r="D38" s="450" t="s">
        <v>3424</v>
      </c>
      <c r="E38" s="449" t="s">
        <v>1738</v>
      </c>
      <c r="F38" s="1071">
        <v>2013</v>
      </c>
      <c r="G38" s="451">
        <f>70*235</f>
        <v>16450</v>
      </c>
      <c r="H38" s="1082">
        <v>2200</v>
      </c>
      <c r="I38" s="1071" t="s">
        <v>3274</v>
      </c>
      <c r="J38" s="1079" t="s">
        <v>3425</v>
      </c>
      <c r="K38" s="1071" t="s">
        <v>2790</v>
      </c>
      <c r="L38" s="489" t="s">
        <v>3426</v>
      </c>
      <c r="M38" s="489" t="s">
        <v>3427</v>
      </c>
      <c r="N38" s="1071" t="s">
        <v>3278</v>
      </c>
      <c r="O38" s="471">
        <v>22.35</v>
      </c>
      <c r="P38" s="483" t="s">
        <v>3279</v>
      </c>
      <c r="Q38" s="1084" t="s">
        <v>3328</v>
      </c>
      <c r="R38" s="449" t="s">
        <v>3365</v>
      </c>
      <c r="S38" s="449" t="s">
        <v>3428</v>
      </c>
      <c r="T38" s="449" t="s">
        <v>3429</v>
      </c>
      <c r="U38" s="1084" t="s">
        <v>3379</v>
      </c>
      <c r="V38" s="449" t="s">
        <v>2796</v>
      </c>
      <c r="W38" s="449" t="s">
        <v>1127</v>
      </c>
      <c r="X38" s="449" t="s">
        <v>3430</v>
      </c>
      <c r="Y38" s="449" t="s">
        <v>2797</v>
      </c>
      <c r="Z38" s="1084" t="s">
        <v>2406</v>
      </c>
      <c r="AE38" s="87"/>
      <c r="AH38" s="87"/>
      <c r="AI38" s="87"/>
      <c r="AM38" s="87"/>
      <c r="AN38" s="87"/>
      <c r="AO38" s="87"/>
      <c r="AP38" s="87"/>
      <c r="AQ38" s="87"/>
      <c r="AR38" s="87"/>
      <c r="AS38" s="87"/>
    </row>
    <row r="39" spans="1:45" ht="15.75" customHeight="1" x14ac:dyDescent="0.2">
      <c r="A39" s="1069"/>
      <c r="B39" s="1069"/>
      <c r="C39" s="1069"/>
      <c r="D39" s="21" t="s">
        <v>3431</v>
      </c>
      <c r="E39" s="20" t="s">
        <v>1738</v>
      </c>
      <c r="F39" s="1069"/>
      <c r="G39" s="26">
        <f>143*235</f>
        <v>33605</v>
      </c>
      <c r="H39" s="1098"/>
      <c r="I39" s="1069"/>
      <c r="J39" s="1080"/>
      <c r="K39" s="1069"/>
      <c r="L39" s="487" t="s">
        <v>3432</v>
      </c>
      <c r="M39" s="487" t="s">
        <v>3433</v>
      </c>
      <c r="N39" s="1069"/>
      <c r="O39" s="468">
        <v>22.64</v>
      </c>
      <c r="P39" s="446" t="s">
        <v>3279</v>
      </c>
      <c r="Q39" s="1097"/>
      <c r="R39" s="20" t="s">
        <v>3370</v>
      </c>
      <c r="S39" s="20" t="s">
        <v>3428</v>
      </c>
      <c r="T39" s="20" t="s">
        <v>3393</v>
      </c>
      <c r="U39" s="1097"/>
      <c r="V39" s="20" t="s">
        <v>2796</v>
      </c>
      <c r="W39" s="20" t="s">
        <v>1127</v>
      </c>
      <c r="X39" s="20" t="s">
        <v>3434</v>
      </c>
      <c r="Y39" s="1070" t="s">
        <v>2797</v>
      </c>
      <c r="Z39" s="1097"/>
      <c r="AE39" s="87"/>
      <c r="AH39" s="87"/>
      <c r="AI39" s="87"/>
      <c r="AM39" s="87"/>
      <c r="AN39" s="87"/>
      <c r="AO39" s="87"/>
      <c r="AP39" s="87"/>
      <c r="AQ39" s="87"/>
      <c r="AR39" s="87"/>
      <c r="AS39" s="87"/>
    </row>
    <row r="40" spans="1:45" ht="15.75" customHeight="1" x14ac:dyDescent="0.2">
      <c r="A40" s="1069"/>
      <c r="B40" s="1069"/>
      <c r="C40" s="1069"/>
      <c r="D40" s="20" t="s">
        <v>3435</v>
      </c>
      <c r="E40" s="20" t="s">
        <v>1738</v>
      </c>
      <c r="F40" s="1069"/>
      <c r="G40" s="26">
        <f>144*235</f>
        <v>33840</v>
      </c>
      <c r="H40" s="1098"/>
      <c r="I40" s="1069"/>
      <c r="J40" s="1080"/>
      <c r="K40" s="1069"/>
      <c r="L40" s="487" t="s">
        <v>3436</v>
      </c>
      <c r="M40" s="487" t="s">
        <v>3437</v>
      </c>
      <c r="N40" s="1069"/>
      <c r="O40" s="468">
        <v>25.91</v>
      </c>
      <c r="P40" s="446" t="s">
        <v>3279</v>
      </c>
      <c r="Q40" s="1097"/>
      <c r="R40" s="20" t="s">
        <v>3370</v>
      </c>
      <c r="S40" s="20" t="s">
        <v>3428</v>
      </c>
      <c r="T40" s="20" t="s">
        <v>3393</v>
      </c>
      <c r="U40" s="1097"/>
      <c r="V40" s="20" t="s">
        <v>2388</v>
      </c>
      <c r="W40" s="20" t="s">
        <v>3284</v>
      </c>
      <c r="X40" s="20" t="s">
        <v>3434</v>
      </c>
      <c r="Y40" s="1097"/>
      <c r="Z40" s="1097"/>
      <c r="AE40" s="87"/>
      <c r="AH40" s="87"/>
      <c r="AI40" s="87"/>
      <c r="AM40" s="87"/>
      <c r="AN40" s="87"/>
      <c r="AO40" s="87"/>
      <c r="AP40" s="87"/>
      <c r="AQ40" s="87"/>
      <c r="AR40" s="87"/>
      <c r="AS40" s="87"/>
    </row>
    <row r="41" spans="1:45" ht="15.75" customHeight="1" x14ac:dyDescent="0.2">
      <c r="A41" s="1069"/>
      <c r="B41" s="1069"/>
      <c r="C41" s="1069"/>
      <c r="D41" s="21" t="s">
        <v>3438</v>
      </c>
      <c r="E41" s="20" t="s">
        <v>1738</v>
      </c>
      <c r="F41" s="1069"/>
      <c r="G41" s="26">
        <f>9*235</f>
        <v>2115</v>
      </c>
      <c r="H41" s="1098"/>
      <c r="I41" s="1069"/>
      <c r="J41" s="1080"/>
      <c r="K41" s="1069"/>
      <c r="L41" s="487" t="s">
        <v>3439</v>
      </c>
      <c r="M41" s="487" t="s">
        <v>3440</v>
      </c>
      <c r="N41" s="1069"/>
      <c r="O41" s="468">
        <v>22.64</v>
      </c>
      <c r="P41" s="446" t="s">
        <v>3279</v>
      </c>
      <c r="Q41" s="1097"/>
      <c r="R41" s="20" t="s">
        <v>3370</v>
      </c>
      <c r="S41" s="20" t="s">
        <v>3428</v>
      </c>
      <c r="T41" s="20" t="s">
        <v>3393</v>
      </c>
      <c r="U41" s="1097"/>
      <c r="V41" s="20" t="s">
        <v>2796</v>
      </c>
      <c r="W41" s="20" t="s">
        <v>1127</v>
      </c>
      <c r="X41" s="20" t="s">
        <v>3346</v>
      </c>
      <c r="Y41" s="1097"/>
      <c r="Z41" s="1097"/>
      <c r="AE41" s="87"/>
      <c r="AH41" s="87"/>
      <c r="AI41" s="87"/>
      <c r="AJ41" s="87"/>
      <c r="AK41" s="490"/>
      <c r="AL41" s="490"/>
      <c r="AM41" s="87"/>
      <c r="AN41" s="87"/>
      <c r="AO41" s="87"/>
      <c r="AP41" s="87"/>
      <c r="AQ41" s="87"/>
      <c r="AR41" s="87"/>
      <c r="AS41" s="87"/>
    </row>
    <row r="42" spans="1:45" ht="15.75" customHeight="1" x14ac:dyDescent="0.2">
      <c r="A42" s="1069"/>
      <c r="B42" s="1069"/>
      <c r="C42" s="1069"/>
      <c r="D42" s="21" t="s">
        <v>3441</v>
      </c>
      <c r="E42" s="20" t="s">
        <v>1738</v>
      </c>
      <c r="F42" s="1069"/>
      <c r="G42" s="26">
        <f>14*235</f>
        <v>3290</v>
      </c>
      <c r="H42" s="1098"/>
      <c r="I42" s="1069"/>
      <c r="J42" s="1080"/>
      <c r="K42" s="1069"/>
      <c r="L42" s="487" t="s">
        <v>3442</v>
      </c>
      <c r="M42" s="487" t="s">
        <v>3443</v>
      </c>
      <c r="N42" s="1069"/>
      <c r="O42" s="468">
        <v>25.91</v>
      </c>
      <c r="P42" s="446" t="s">
        <v>3279</v>
      </c>
      <c r="Q42" s="1097"/>
      <c r="R42" s="20" t="s">
        <v>3370</v>
      </c>
      <c r="S42" s="20" t="s">
        <v>3428</v>
      </c>
      <c r="T42" s="20" t="s">
        <v>3393</v>
      </c>
      <c r="U42" s="1097"/>
      <c r="V42" s="20" t="s">
        <v>2388</v>
      </c>
      <c r="W42" s="20" t="s">
        <v>3284</v>
      </c>
      <c r="X42" s="20" t="s">
        <v>3346</v>
      </c>
      <c r="Y42" s="1073"/>
      <c r="Z42" s="1097"/>
      <c r="AE42" s="87"/>
      <c r="AJ42" s="87"/>
      <c r="AK42" s="490"/>
      <c r="AL42" s="490"/>
      <c r="AM42" s="87"/>
      <c r="AN42" s="87"/>
      <c r="AO42" s="87"/>
      <c r="AP42" s="87"/>
      <c r="AQ42" s="87"/>
      <c r="AR42" s="87"/>
      <c r="AS42" s="87"/>
    </row>
    <row r="43" spans="1:45" ht="15.75" customHeight="1" x14ac:dyDescent="0.2">
      <c r="A43" s="1069"/>
      <c r="B43" s="1069"/>
      <c r="C43" s="1069"/>
      <c r="D43" s="21" t="s">
        <v>3444</v>
      </c>
      <c r="E43" s="20" t="s">
        <v>1797</v>
      </c>
      <c r="F43" s="1069"/>
      <c r="G43" s="26">
        <f>310*235</f>
        <v>72850</v>
      </c>
      <c r="H43" s="1098"/>
      <c r="I43" s="1069"/>
      <c r="J43" s="1080"/>
      <c r="K43" s="1069"/>
      <c r="L43" s="491" t="s">
        <v>3445</v>
      </c>
      <c r="M43" s="491" t="s">
        <v>3446</v>
      </c>
      <c r="N43" s="1069"/>
      <c r="O43" s="468">
        <v>20.8</v>
      </c>
      <c r="P43" s="446" t="s">
        <v>3279</v>
      </c>
      <c r="Q43" s="1097"/>
      <c r="R43" s="20" t="s">
        <v>3447</v>
      </c>
      <c r="S43" s="20" t="s">
        <v>3428</v>
      </c>
      <c r="T43" s="20" t="s">
        <v>3448</v>
      </c>
      <c r="U43" s="1097"/>
      <c r="V43" s="20" t="s">
        <v>2796</v>
      </c>
      <c r="W43" s="20" t="s">
        <v>1127</v>
      </c>
      <c r="X43" s="20" t="s">
        <v>3434</v>
      </c>
      <c r="Y43" s="1070" t="s">
        <v>246</v>
      </c>
      <c r="Z43" s="1097"/>
      <c r="AC43" s="87"/>
      <c r="AD43" s="87"/>
      <c r="AE43" s="87"/>
      <c r="AJ43" s="87"/>
      <c r="AK43" s="490"/>
      <c r="AL43" s="490"/>
      <c r="AM43" s="87"/>
      <c r="AN43" s="87"/>
      <c r="AO43" s="87"/>
      <c r="AP43" s="87"/>
      <c r="AQ43" s="87"/>
      <c r="AR43" s="87"/>
      <c r="AS43" s="87"/>
    </row>
    <row r="44" spans="1:45" ht="15.75" customHeight="1" thickBot="1" x14ac:dyDescent="0.25">
      <c r="A44" s="1072"/>
      <c r="B44" s="1072"/>
      <c r="C44" s="1072"/>
      <c r="D44" s="457" t="s">
        <v>3449</v>
      </c>
      <c r="E44" s="456" t="s">
        <v>1797</v>
      </c>
      <c r="F44" s="1072"/>
      <c r="G44" s="458">
        <f>15*235</f>
        <v>3525</v>
      </c>
      <c r="H44" s="1086"/>
      <c r="I44" s="1072"/>
      <c r="J44" s="1081"/>
      <c r="K44" s="1072"/>
      <c r="L44" s="492" t="s">
        <v>3450</v>
      </c>
      <c r="M44" s="492" t="s">
        <v>3451</v>
      </c>
      <c r="N44" s="1072"/>
      <c r="O44" s="461">
        <v>20.85</v>
      </c>
      <c r="P44" s="456" t="s">
        <v>3279</v>
      </c>
      <c r="Q44" s="1087"/>
      <c r="R44" s="456" t="s">
        <v>3447</v>
      </c>
      <c r="S44" s="456" t="s">
        <v>3428</v>
      </c>
      <c r="T44" s="456" t="s">
        <v>3448</v>
      </c>
      <c r="U44" s="1087"/>
      <c r="V44" s="456" t="s">
        <v>2796</v>
      </c>
      <c r="W44" s="456" t="s">
        <v>1127</v>
      </c>
      <c r="X44" s="456" t="s">
        <v>3346</v>
      </c>
      <c r="Y44" s="1087"/>
      <c r="Z44" s="1097"/>
      <c r="AC44" s="87"/>
      <c r="AD44" s="87"/>
      <c r="AE44" s="87"/>
      <c r="AJ44" s="87"/>
      <c r="AK44" s="490"/>
      <c r="AL44" s="490"/>
      <c r="AM44" s="87"/>
      <c r="AN44" s="87"/>
      <c r="AO44" s="87"/>
      <c r="AP44" s="87"/>
      <c r="AQ44" s="87"/>
      <c r="AR44" s="87"/>
      <c r="AS44" s="87"/>
    </row>
    <row r="45" spans="1:45" ht="15.75" customHeight="1" x14ac:dyDescent="0.2">
      <c r="A45" s="1073" t="s">
        <v>638</v>
      </c>
      <c r="B45" s="1073" t="s">
        <v>3452</v>
      </c>
      <c r="C45" s="1073" t="s">
        <v>2754</v>
      </c>
      <c r="D45" s="463" t="s">
        <v>3453</v>
      </c>
      <c r="E45" s="462" t="s">
        <v>1738</v>
      </c>
      <c r="F45" s="462">
        <v>2011</v>
      </c>
      <c r="G45" s="464">
        <f>5*235</f>
        <v>1175</v>
      </c>
      <c r="H45" s="464">
        <v>2425</v>
      </c>
      <c r="I45" s="1073" t="s">
        <v>3274</v>
      </c>
      <c r="J45" s="462" t="s">
        <v>3325</v>
      </c>
      <c r="K45" s="1073" t="s">
        <v>2790</v>
      </c>
      <c r="L45" s="493" t="s">
        <v>3454</v>
      </c>
      <c r="M45" s="493" t="s">
        <v>3455</v>
      </c>
      <c r="N45" s="1073" t="s">
        <v>3278</v>
      </c>
      <c r="O45" s="466">
        <v>24.47</v>
      </c>
      <c r="P45" s="446" t="s">
        <v>3355</v>
      </c>
      <c r="Q45" s="462" t="s">
        <v>3328</v>
      </c>
      <c r="R45" s="462" t="s">
        <v>3370</v>
      </c>
      <c r="S45" s="462" t="s">
        <v>3456</v>
      </c>
      <c r="T45" s="462" t="s">
        <v>3378</v>
      </c>
      <c r="U45" s="1084" t="s">
        <v>3379</v>
      </c>
      <c r="V45" s="1084" t="s">
        <v>2796</v>
      </c>
      <c r="W45" s="1084" t="s">
        <v>1127</v>
      </c>
      <c r="X45" s="449" t="s">
        <v>3457</v>
      </c>
      <c r="Y45" s="1073" t="s">
        <v>2797</v>
      </c>
      <c r="Z45" s="1069" t="s">
        <v>2406</v>
      </c>
      <c r="AA45" s="87"/>
      <c r="AB45" s="87"/>
      <c r="AC45" s="87"/>
      <c r="AD45" s="87"/>
      <c r="AE45" s="87"/>
      <c r="AF45" s="87"/>
      <c r="AG45" s="87"/>
      <c r="AJ45" s="87"/>
      <c r="AK45" s="490"/>
      <c r="AL45" s="490"/>
      <c r="AM45" s="87"/>
      <c r="AN45" s="87"/>
      <c r="AO45" s="87"/>
      <c r="AP45" s="87"/>
      <c r="AQ45" s="87"/>
      <c r="AR45" s="87"/>
      <c r="AS45" s="87"/>
    </row>
    <row r="46" spans="1:45" ht="15.75" customHeight="1" x14ac:dyDescent="0.2">
      <c r="A46" s="1069"/>
      <c r="B46" s="1069"/>
      <c r="C46" s="1069"/>
      <c r="D46" s="21" t="s">
        <v>3458</v>
      </c>
      <c r="E46" s="20" t="s">
        <v>1738</v>
      </c>
      <c r="F46" s="20">
        <v>2010</v>
      </c>
      <c r="G46" s="26">
        <f>2*235</f>
        <v>470</v>
      </c>
      <c r="H46" s="26">
        <v>2425</v>
      </c>
      <c r="I46" s="1069"/>
      <c r="J46" s="20" t="s">
        <v>3459</v>
      </c>
      <c r="K46" s="1069"/>
      <c r="L46" s="8" t="s">
        <v>3460</v>
      </c>
      <c r="M46" s="8" t="s">
        <v>3461</v>
      </c>
      <c r="N46" s="1069"/>
      <c r="O46" s="468">
        <v>24.62</v>
      </c>
      <c r="P46" s="446" t="s">
        <v>3355</v>
      </c>
      <c r="Q46" s="20" t="s">
        <v>182</v>
      </c>
      <c r="R46" s="462" t="s">
        <v>3370</v>
      </c>
      <c r="S46" s="20" t="s">
        <v>3377</v>
      </c>
      <c r="T46" s="462" t="s">
        <v>3378</v>
      </c>
      <c r="U46" s="1097"/>
      <c r="V46" s="1097"/>
      <c r="W46" s="1097"/>
      <c r="X46" s="20" t="s">
        <v>3457</v>
      </c>
      <c r="Y46" s="1069"/>
      <c r="Z46" s="1069"/>
      <c r="AA46" s="87"/>
      <c r="AB46" s="87"/>
      <c r="AC46" s="87"/>
      <c r="AD46" s="87"/>
      <c r="AE46" s="87"/>
      <c r="AF46" s="87"/>
      <c r="AG46" s="87"/>
      <c r="AJ46" s="87"/>
      <c r="AK46" s="490"/>
      <c r="AL46" s="490"/>
      <c r="AM46" s="87"/>
      <c r="AN46" s="87"/>
      <c r="AO46" s="87"/>
      <c r="AP46" s="87"/>
      <c r="AQ46" s="87"/>
      <c r="AR46" s="87"/>
      <c r="AS46" s="87"/>
    </row>
    <row r="47" spans="1:45" ht="15.75" customHeight="1" x14ac:dyDescent="0.2">
      <c r="A47" s="1069"/>
      <c r="B47" s="1069"/>
      <c r="C47" s="1069"/>
      <c r="D47" s="21" t="s">
        <v>3462</v>
      </c>
      <c r="E47" s="20" t="s">
        <v>1738</v>
      </c>
      <c r="F47" s="20" t="s">
        <v>3463</v>
      </c>
      <c r="G47" s="26">
        <f>265*235</f>
        <v>62275</v>
      </c>
      <c r="H47" s="26">
        <v>2425</v>
      </c>
      <c r="I47" s="1069"/>
      <c r="J47" s="20" t="s">
        <v>3464</v>
      </c>
      <c r="K47" s="1069"/>
      <c r="L47" s="8" t="s">
        <v>3465</v>
      </c>
      <c r="M47" s="8" t="s">
        <v>3466</v>
      </c>
      <c r="N47" s="1069"/>
      <c r="O47" s="468">
        <v>24.5</v>
      </c>
      <c r="P47" s="20" t="s">
        <v>3279</v>
      </c>
      <c r="Q47" s="20" t="s">
        <v>182</v>
      </c>
      <c r="R47" s="462" t="s">
        <v>3370</v>
      </c>
      <c r="S47" s="20" t="s">
        <v>3456</v>
      </c>
      <c r="T47" s="462" t="s">
        <v>3378</v>
      </c>
      <c r="U47" s="1097"/>
      <c r="V47" s="1097"/>
      <c r="W47" s="1097"/>
      <c r="X47" s="20" t="s">
        <v>3467</v>
      </c>
      <c r="Y47" s="1069"/>
      <c r="Z47" s="1069"/>
      <c r="AA47" s="87"/>
      <c r="AB47" s="87"/>
      <c r="AC47" s="87"/>
      <c r="AD47" s="87"/>
      <c r="AE47" s="87"/>
      <c r="AF47" s="87"/>
      <c r="AG47" s="87"/>
      <c r="AJ47" s="87"/>
      <c r="AK47" s="490"/>
      <c r="AL47" s="490"/>
      <c r="AM47" s="87"/>
      <c r="AN47" s="87"/>
      <c r="AO47" s="87"/>
      <c r="AP47" s="87"/>
      <c r="AQ47" s="87"/>
      <c r="AR47" s="87"/>
      <c r="AS47" s="87"/>
    </row>
    <row r="48" spans="1:45" ht="15.75" customHeight="1" x14ac:dyDescent="0.2">
      <c r="A48" s="1069"/>
      <c r="B48" s="1069"/>
      <c r="C48" s="1069"/>
      <c r="D48" s="21" t="s">
        <v>3468</v>
      </c>
      <c r="E48" s="20" t="s">
        <v>1738</v>
      </c>
      <c r="F48" s="20">
        <v>2010</v>
      </c>
      <c r="G48" s="26">
        <f>90*235</f>
        <v>21150</v>
      </c>
      <c r="H48" s="26">
        <v>2425</v>
      </c>
      <c r="I48" s="1069"/>
      <c r="J48" s="20" t="s">
        <v>3459</v>
      </c>
      <c r="K48" s="1069"/>
      <c r="L48" s="8" t="s">
        <v>3469</v>
      </c>
      <c r="M48" s="8" t="s">
        <v>3470</v>
      </c>
      <c r="N48" s="1069"/>
      <c r="O48" s="468">
        <v>24.62</v>
      </c>
      <c r="P48" s="20" t="s">
        <v>3279</v>
      </c>
      <c r="Q48" s="20" t="s">
        <v>182</v>
      </c>
      <c r="R48" s="462" t="s">
        <v>3370</v>
      </c>
      <c r="S48" s="20" t="s">
        <v>3456</v>
      </c>
      <c r="T48" s="462" t="s">
        <v>3378</v>
      </c>
      <c r="U48" s="1097"/>
      <c r="V48" s="1097"/>
      <c r="W48" s="1097"/>
      <c r="X48" s="20" t="s">
        <v>3467</v>
      </c>
      <c r="Y48" s="1069"/>
      <c r="Z48" s="1069"/>
      <c r="AA48" s="87"/>
      <c r="AB48" s="87"/>
      <c r="AC48" s="87"/>
      <c r="AD48" s="87"/>
      <c r="AE48" s="87"/>
      <c r="AF48" s="87"/>
      <c r="AG48" s="87"/>
      <c r="AJ48" s="87"/>
      <c r="AK48" s="490"/>
      <c r="AL48" s="490"/>
      <c r="AM48" s="87"/>
      <c r="AN48" s="87"/>
      <c r="AO48" s="87"/>
      <c r="AP48" s="87"/>
      <c r="AQ48" s="87"/>
      <c r="AR48" s="87"/>
      <c r="AS48" s="87"/>
    </row>
    <row r="49" spans="1:45" ht="15.75" customHeight="1" x14ac:dyDescent="0.2">
      <c r="A49" s="1069"/>
      <c r="B49" s="1069"/>
      <c r="C49" s="1069"/>
      <c r="D49" s="21" t="s">
        <v>3471</v>
      </c>
      <c r="E49" s="20" t="s">
        <v>1738</v>
      </c>
      <c r="F49" s="20" t="s">
        <v>3463</v>
      </c>
      <c r="G49" s="26">
        <f>1001*235</f>
        <v>235235</v>
      </c>
      <c r="H49" s="26">
        <v>2425</v>
      </c>
      <c r="I49" s="1069"/>
      <c r="J49" s="20" t="s">
        <v>3464</v>
      </c>
      <c r="K49" s="1069"/>
      <c r="L49" s="8" t="s">
        <v>3472</v>
      </c>
      <c r="M49" s="8" t="s">
        <v>3473</v>
      </c>
      <c r="N49" s="1069"/>
      <c r="O49" s="468">
        <v>23.2</v>
      </c>
      <c r="P49" s="446" t="s">
        <v>3355</v>
      </c>
      <c r="Q49" s="20" t="s">
        <v>182</v>
      </c>
      <c r="R49" s="20" t="s">
        <v>3474</v>
      </c>
      <c r="S49" s="20" t="s">
        <v>3456</v>
      </c>
      <c r="T49" s="462" t="s">
        <v>3378</v>
      </c>
      <c r="U49" s="1097"/>
      <c r="V49" s="1097"/>
      <c r="W49" s="1097"/>
      <c r="X49" s="20" t="s">
        <v>3467</v>
      </c>
      <c r="Y49" s="1069"/>
      <c r="Z49" s="1069"/>
      <c r="AA49" s="87"/>
      <c r="AB49" s="87"/>
      <c r="AC49" s="87"/>
      <c r="AD49" s="87"/>
      <c r="AE49" s="87"/>
      <c r="AF49" s="87"/>
      <c r="AG49" s="87"/>
      <c r="AJ49" s="87"/>
      <c r="AK49" s="490"/>
      <c r="AL49" s="490"/>
      <c r="AM49" s="87"/>
      <c r="AN49" s="87"/>
      <c r="AO49" s="87"/>
      <c r="AP49" s="87"/>
      <c r="AQ49" s="87"/>
      <c r="AR49" s="87"/>
      <c r="AS49" s="87"/>
    </row>
    <row r="50" spans="1:45" ht="15.75" customHeight="1" x14ac:dyDescent="0.2">
      <c r="A50" s="1069"/>
      <c r="B50" s="1069"/>
      <c r="C50" s="1069"/>
      <c r="D50" s="21" t="s">
        <v>3475</v>
      </c>
      <c r="E50" s="20" t="s">
        <v>1738</v>
      </c>
      <c r="F50" s="20">
        <v>2013</v>
      </c>
      <c r="G50" s="26">
        <f>157*235</f>
        <v>36895</v>
      </c>
      <c r="H50" s="26">
        <v>2425</v>
      </c>
      <c r="I50" s="1069"/>
      <c r="J50" s="20" t="s">
        <v>3325</v>
      </c>
      <c r="K50" s="1069"/>
      <c r="L50" s="8" t="s">
        <v>3476</v>
      </c>
      <c r="M50" s="8" t="s">
        <v>3477</v>
      </c>
      <c r="N50" s="1069"/>
      <c r="O50" s="468">
        <v>24.9</v>
      </c>
      <c r="P50" s="20" t="s">
        <v>3279</v>
      </c>
      <c r="Q50" s="20" t="s">
        <v>1866</v>
      </c>
      <c r="R50" s="20" t="s">
        <v>3392</v>
      </c>
      <c r="S50" s="20" t="s">
        <v>3456</v>
      </c>
      <c r="T50" s="20" t="s">
        <v>3478</v>
      </c>
      <c r="U50" s="1097"/>
      <c r="V50" s="1097"/>
      <c r="W50" s="1097"/>
      <c r="X50" s="20" t="s">
        <v>3434</v>
      </c>
      <c r="Y50" s="1069"/>
      <c r="Z50" s="1069"/>
      <c r="AA50" s="87"/>
      <c r="AB50" s="87"/>
      <c r="AC50" s="87"/>
      <c r="AD50" s="87"/>
      <c r="AE50" s="87"/>
      <c r="AF50" s="87"/>
      <c r="AG50" s="87"/>
      <c r="AJ50" s="87"/>
      <c r="AK50" s="490"/>
      <c r="AL50" s="490"/>
      <c r="AM50" s="87"/>
      <c r="AN50" s="87"/>
      <c r="AO50" s="87"/>
      <c r="AP50" s="87"/>
      <c r="AQ50" s="87"/>
      <c r="AR50" s="87"/>
      <c r="AS50" s="87"/>
    </row>
    <row r="51" spans="1:45" ht="15.75" customHeight="1" x14ac:dyDescent="0.2">
      <c r="A51" s="1069"/>
      <c r="B51" s="1069"/>
      <c r="C51" s="1069"/>
      <c r="D51" s="21" t="s">
        <v>3479</v>
      </c>
      <c r="E51" s="20" t="s">
        <v>1738</v>
      </c>
      <c r="F51" s="20">
        <v>2013</v>
      </c>
      <c r="G51" s="26">
        <f>31*235</f>
        <v>7285</v>
      </c>
      <c r="H51" s="26">
        <v>2425</v>
      </c>
      <c r="I51" s="1069"/>
      <c r="J51" s="20" t="s">
        <v>3325</v>
      </c>
      <c r="K51" s="1069"/>
      <c r="L51" s="8" t="s">
        <v>3480</v>
      </c>
      <c r="M51" s="8" t="s">
        <v>3481</v>
      </c>
      <c r="N51" s="1069"/>
      <c r="O51" s="468">
        <v>24.9</v>
      </c>
      <c r="P51" s="20" t="s">
        <v>3279</v>
      </c>
      <c r="Q51" s="20" t="s">
        <v>1866</v>
      </c>
      <c r="R51" s="20" t="s">
        <v>3392</v>
      </c>
      <c r="S51" s="20" t="s">
        <v>3456</v>
      </c>
      <c r="T51" s="20" t="s">
        <v>3478</v>
      </c>
      <c r="U51" s="1097"/>
      <c r="V51" s="1097"/>
      <c r="W51" s="1097"/>
      <c r="X51" s="20" t="s">
        <v>3434</v>
      </c>
      <c r="Y51" s="1069"/>
      <c r="Z51" s="1069"/>
      <c r="AA51" s="87"/>
      <c r="AB51" s="87"/>
      <c r="AC51" s="87"/>
      <c r="AD51" s="87"/>
      <c r="AE51" s="87"/>
      <c r="AF51" s="87"/>
      <c r="AG51" s="87"/>
      <c r="AJ51" s="87"/>
      <c r="AK51" s="490"/>
      <c r="AL51" s="490"/>
      <c r="AM51" s="87"/>
      <c r="AN51" s="87"/>
      <c r="AO51" s="87"/>
      <c r="AP51" s="87"/>
      <c r="AQ51" s="87"/>
      <c r="AR51" s="87"/>
      <c r="AS51" s="87"/>
    </row>
    <row r="52" spans="1:45" ht="15.75" customHeight="1" x14ac:dyDescent="0.2">
      <c r="A52" s="1069"/>
      <c r="B52" s="1069"/>
      <c r="C52" s="1069"/>
      <c r="D52" s="21" t="s">
        <v>3482</v>
      </c>
      <c r="E52" s="20" t="s">
        <v>1738</v>
      </c>
      <c r="F52" s="20">
        <v>2011</v>
      </c>
      <c r="G52" s="26">
        <f>15*235</f>
        <v>3525</v>
      </c>
      <c r="H52" s="26">
        <v>2425</v>
      </c>
      <c r="I52" s="1069"/>
      <c r="J52" s="20" t="s">
        <v>3325</v>
      </c>
      <c r="K52" s="1069"/>
      <c r="L52" s="8" t="s">
        <v>3483</v>
      </c>
      <c r="M52" s="8" t="s">
        <v>3484</v>
      </c>
      <c r="N52" s="1069"/>
      <c r="O52" s="468">
        <v>23.2</v>
      </c>
      <c r="P52" s="20" t="s">
        <v>3279</v>
      </c>
      <c r="Q52" s="20" t="s">
        <v>3328</v>
      </c>
      <c r="R52" s="20" t="s">
        <v>3474</v>
      </c>
      <c r="S52" s="20" t="s">
        <v>3456</v>
      </c>
      <c r="T52" s="462" t="s">
        <v>3378</v>
      </c>
      <c r="U52" s="1097"/>
      <c r="V52" s="1097"/>
      <c r="W52" s="1097"/>
      <c r="X52" s="20" t="s">
        <v>3467</v>
      </c>
      <c r="Y52" s="1069"/>
      <c r="Z52" s="1069"/>
      <c r="AA52" s="87"/>
      <c r="AB52" s="87"/>
      <c r="AC52" s="87"/>
      <c r="AD52" s="87"/>
      <c r="AE52" s="87"/>
      <c r="AF52" s="87"/>
      <c r="AG52" s="87"/>
      <c r="AJ52" s="87"/>
      <c r="AK52" s="490"/>
      <c r="AL52" s="490"/>
      <c r="AM52" s="87"/>
      <c r="AN52" s="87"/>
      <c r="AO52" s="87"/>
      <c r="AP52" s="87"/>
      <c r="AQ52" s="87"/>
      <c r="AR52" s="87"/>
      <c r="AS52" s="87"/>
    </row>
    <row r="53" spans="1:45" ht="15.75" customHeight="1" x14ac:dyDescent="0.2">
      <c r="A53" s="1069"/>
      <c r="B53" s="1069"/>
      <c r="C53" s="1069"/>
      <c r="D53" s="21" t="s">
        <v>3485</v>
      </c>
      <c r="E53" s="20" t="s">
        <v>1738</v>
      </c>
      <c r="F53" s="20" t="s">
        <v>3486</v>
      </c>
      <c r="G53" s="26">
        <f>553*235</f>
        <v>129955</v>
      </c>
      <c r="H53" s="26">
        <v>2425</v>
      </c>
      <c r="I53" s="1069"/>
      <c r="J53" s="20" t="s">
        <v>3487</v>
      </c>
      <c r="K53" s="1069"/>
      <c r="L53" s="8" t="s">
        <v>3488</v>
      </c>
      <c r="M53" s="8" t="s">
        <v>3489</v>
      </c>
      <c r="N53" s="1069"/>
      <c r="O53" s="468">
        <v>24.5</v>
      </c>
      <c r="P53" s="20" t="s">
        <v>3279</v>
      </c>
      <c r="Q53" s="20" t="s">
        <v>3328</v>
      </c>
      <c r="R53" s="462" t="s">
        <v>3370</v>
      </c>
      <c r="S53" s="20" t="s">
        <v>3456</v>
      </c>
      <c r="T53" s="462" t="s">
        <v>3378</v>
      </c>
      <c r="U53" s="1097"/>
      <c r="V53" s="1097"/>
      <c r="W53" s="1097"/>
      <c r="X53" s="20" t="s">
        <v>3467</v>
      </c>
      <c r="Y53" s="1069"/>
      <c r="Z53" s="1069"/>
      <c r="AA53" s="87"/>
      <c r="AB53" s="87"/>
      <c r="AC53" s="87"/>
      <c r="AD53" s="87"/>
      <c r="AE53" s="87"/>
      <c r="AF53" s="87"/>
      <c r="AG53" s="87"/>
      <c r="AJ53" s="87"/>
      <c r="AK53" s="490"/>
      <c r="AL53" s="490"/>
      <c r="AM53" s="87"/>
      <c r="AN53" s="87"/>
      <c r="AO53" s="87"/>
      <c r="AP53" s="87"/>
      <c r="AQ53" s="87"/>
      <c r="AR53" s="87"/>
      <c r="AS53" s="87"/>
    </row>
    <row r="54" spans="1:45" ht="15.75" customHeight="1" x14ac:dyDescent="0.2">
      <c r="A54" s="1069"/>
      <c r="B54" s="1069"/>
      <c r="C54" s="1069"/>
      <c r="D54" s="21" t="s">
        <v>3490</v>
      </c>
      <c r="E54" s="20" t="s">
        <v>1738</v>
      </c>
      <c r="F54" s="20">
        <v>2011</v>
      </c>
      <c r="G54" s="26">
        <f>15*235</f>
        <v>3525</v>
      </c>
      <c r="H54" s="26">
        <v>2425</v>
      </c>
      <c r="I54" s="1069"/>
      <c r="J54" s="20" t="s">
        <v>3325</v>
      </c>
      <c r="K54" s="1069"/>
      <c r="L54" s="8" t="s">
        <v>3491</v>
      </c>
      <c r="M54" s="8" t="s">
        <v>3492</v>
      </c>
      <c r="N54" s="1069"/>
      <c r="O54" s="468">
        <v>24.5</v>
      </c>
      <c r="P54" s="20" t="s">
        <v>3391</v>
      </c>
      <c r="Q54" s="20" t="s">
        <v>3328</v>
      </c>
      <c r="R54" s="20" t="s">
        <v>3392</v>
      </c>
      <c r="S54" s="20" t="s">
        <v>3456</v>
      </c>
      <c r="T54" s="20" t="s">
        <v>3478</v>
      </c>
      <c r="U54" s="1097"/>
      <c r="V54" s="1097"/>
      <c r="W54" s="1097"/>
      <c r="X54" s="20" t="s">
        <v>3434</v>
      </c>
      <c r="Y54" s="1069"/>
      <c r="Z54" s="1069"/>
      <c r="AA54" s="87"/>
      <c r="AB54" s="87"/>
      <c r="AC54" s="87"/>
      <c r="AD54" s="87"/>
      <c r="AE54" s="87"/>
      <c r="AF54" s="87"/>
      <c r="AG54" s="87"/>
      <c r="AJ54" s="87"/>
      <c r="AK54" s="490"/>
      <c r="AL54" s="490"/>
      <c r="AM54" s="87"/>
      <c r="AN54" s="87"/>
      <c r="AO54" s="87"/>
      <c r="AP54" s="87"/>
      <c r="AQ54" s="87"/>
      <c r="AR54" s="87"/>
      <c r="AS54" s="87"/>
    </row>
    <row r="55" spans="1:45" ht="15.75" customHeight="1" x14ac:dyDescent="0.2">
      <c r="A55" s="1069"/>
      <c r="B55" s="1069"/>
      <c r="C55" s="1069"/>
      <c r="D55" s="21" t="s">
        <v>3490</v>
      </c>
      <c r="E55" s="20" t="s">
        <v>1738</v>
      </c>
      <c r="F55" s="20">
        <v>2014</v>
      </c>
      <c r="G55" s="26">
        <f>13*235</f>
        <v>3055</v>
      </c>
      <c r="H55" s="26">
        <v>2425</v>
      </c>
      <c r="I55" s="1069"/>
      <c r="J55" s="20" t="s">
        <v>3325</v>
      </c>
      <c r="K55" s="1069"/>
      <c r="L55" s="8" t="s">
        <v>3493</v>
      </c>
      <c r="M55" s="8" t="s">
        <v>3494</v>
      </c>
      <c r="N55" s="1069"/>
      <c r="O55" s="468">
        <v>24.9</v>
      </c>
      <c r="P55" s="20" t="s">
        <v>3391</v>
      </c>
      <c r="Q55" s="20" t="s">
        <v>3328</v>
      </c>
      <c r="R55" s="20" t="s">
        <v>3392</v>
      </c>
      <c r="S55" s="20" t="s">
        <v>3456</v>
      </c>
      <c r="T55" s="20" t="s">
        <v>3478</v>
      </c>
      <c r="U55" s="1097"/>
      <c r="V55" s="1097"/>
      <c r="W55" s="1097"/>
      <c r="X55" s="20" t="s">
        <v>3434</v>
      </c>
      <c r="Y55" s="1069"/>
      <c r="Z55" s="1069"/>
      <c r="AA55" s="87"/>
      <c r="AB55" s="87"/>
      <c r="AC55" s="87"/>
      <c r="AD55" s="87"/>
      <c r="AE55" s="87"/>
      <c r="AF55" s="87"/>
      <c r="AG55" s="87"/>
      <c r="AJ55" s="87"/>
      <c r="AK55" s="490"/>
      <c r="AL55" s="490"/>
      <c r="AM55" s="87"/>
      <c r="AN55" s="87"/>
      <c r="AO55" s="87"/>
      <c r="AP55" s="87"/>
      <c r="AQ55" s="87"/>
      <c r="AR55" s="87"/>
      <c r="AS55" s="87"/>
    </row>
    <row r="56" spans="1:45" ht="15.75" customHeight="1" x14ac:dyDescent="0.2">
      <c r="A56" s="1069"/>
      <c r="B56" s="1069"/>
      <c r="C56" s="1069"/>
      <c r="D56" s="21" t="s">
        <v>3495</v>
      </c>
      <c r="E56" s="20" t="s">
        <v>1738</v>
      </c>
      <c r="F56" s="20">
        <v>2014</v>
      </c>
      <c r="G56" s="26">
        <f>9*235</f>
        <v>2115</v>
      </c>
      <c r="H56" s="26">
        <v>2425</v>
      </c>
      <c r="I56" s="1069"/>
      <c r="J56" s="20" t="s">
        <v>3325</v>
      </c>
      <c r="K56" s="1069"/>
      <c r="L56" s="8" t="s">
        <v>3496</v>
      </c>
      <c r="M56" s="8" t="s">
        <v>3497</v>
      </c>
      <c r="N56" s="1069"/>
      <c r="O56" s="468">
        <v>24.62</v>
      </c>
      <c r="P56" s="20" t="s">
        <v>3279</v>
      </c>
      <c r="Q56" s="20" t="s">
        <v>3328</v>
      </c>
      <c r="R56" s="462" t="s">
        <v>3370</v>
      </c>
      <c r="S56" s="20" t="s">
        <v>3377</v>
      </c>
      <c r="T56" s="462" t="s">
        <v>3378</v>
      </c>
      <c r="U56" s="1097"/>
      <c r="V56" s="1073"/>
      <c r="W56" s="1073"/>
      <c r="X56" s="20" t="s">
        <v>3467</v>
      </c>
      <c r="Y56" s="1069"/>
      <c r="Z56" s="1069"/>
      <c r="AA56" s="87"/>
      <c r="AB56" s="87"/>
      <c r="AC56" s="87"/>
      <c r="AD56" s="87"/>
      <c r="AE56" s="494"/>
      <c r="AF56" s="87"/>
      <c r="AG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</row>
    <row r="57" spans="1:45" ht="15.75" customHeight="1" x14ac:dyDescent="0.2">
      <c r="A57" s="1069"/>
      <c r="B57" s="1069"/>
      <c r="C57" s="1069"/>
      <c r="D57" s="21" t="s">
        <v>3498</v>
      </c>
      <c r="E57" s="20" t="s">
        <v>1797</v>
      </c>
      <c r="F57" s="20">
        <v>2013</v>
      </c>
      <c r="G57" s="26">
        <f>124*235</f>
        <v>29140</v>
      </c>
      <c r="H57" s="26">
        <v>2425</v>
      </c>
      <c r="I57" s="1069"/>
      <c r="J57" s="20" t="s">
        <v>3464</v>
      </c>
      <c r="K57" s="1069"/>
      <c r="L57" s="475" t="s">
        <v>3499</v>
      </c>
      <c r="M57" s="475" t="s">
        <v>3500</v>
      </c>
      <c r="N57" s="1069"/>
      <c r="O57" s="468">
        <v>21.39</v>
      </c>
      <c r="P57" s="446" t="s">
        <v>3279</v>
      </c>
      <c r="Q57" s="20" t="s">
        <v>182</v>
      </c>
      <c r="R57" s="462" t="s">
        <v>3383</v>
      </c>
      <c r="S57" s="20" t="s">
        <v>3456</v>
      </c>
      <c r="T57" s="1070" t="s">
        <v>3501</v>
      </c>
      <c r="U57" s="1097"/>
      <c r="V57" s="20" t="s">
        <v>2796</v>
      </c>
      <c r="W57" s="20" t="s">
        <v>1127</v>
      </c>
      <c r="X57" s="1097" t="s">
        <v>3434</v>
      </c>
      <c r="Y57" s="1069"/>
      <c r="Z57" s="1069"/>
      <c r="AA57" s="87"/>
      <c r="AB57" s="87"/>
      <c r="AC57" s="87"/>
      <c r="AD57" s="87"/>
      <c r="AE57" s="494"/>
      <c r="AF57" s="87"/>
      <c r="AG57" s="87"/>
      <c r="AH57" s="490"/>
      <c r="AI57" s="490"/>
      <c r="AJ57" s="87"/>
      <c r="AK57" s="87"/>
      <c r="AL57" s="87"/>
      <c r="AM57" s="87"/>
      <c r="AN57" s="87"/>
      <c r="AO57" s="87"/>
      <c r="AP57" s="87"/>
      <c r="AQ57" s="87"/>
      <c r="AR57" s="87"/>
      <c r="AS57" s="87"/>
    </row>
    <row r="58" spans="1:45" ht="15.75" customHeight="1" x14ac:dyDescent="0.2">
      <c r="A58" s="1069"/>
      <c r="B58" s="1069"/>
      <c r="C58" s="1069"/>
      <c r="D58" s="21" t="s">
        <v>3502</v>
      </c>
      <c r="E58" s="20" t="s">
        <v>1797</v>
      </c>
      <c r="F58" s="20">
        <v>2010</v>
      </c>
      <c r="G58" s="26">
        <f>82*235</f>
        <v>19270</v>
      </c>
      <c r="H58" s="26">
        <v>2425</v>
      </c>
      <c r="I58" s="1069"/>
      <c r="J58" s="20" t="s">
        <v>3459</v>
      </c>
      <c r="K58" s="1069"/>
      <c r="L58" s="475" t="s">
        <v>3503</v>
      </c>
      <c r="M58" s="475" t="s">
        <v>3504</v>
      </c>
      <c r="N58" s="1069"/>
      <c r="O58" s="468">
        <v>24.04</v>
      </c>
      <c r="P58" s="446" t="s">
        <v>3279</v>
      </c>
      <c r="Q58" s="20" t="s">
        <v>182</v>
      </c>
      <c r="R58" s="462" t="s">
        <v>3383</v>
      </c>
      <c r="S58" s="20" t="s">
        <v>3456</v>
      </c>
      <c r="T58" s="1097"/>
      <c r="U58" s="1097"/>
      <c r="V58" s="20" t="s">
        <v>2388</v>
      </c>
      <c r="W58" s="20" t="s">
        <v>3284</v>
      </c>
      <c r="X58" s="1097"/>
      <c r="Y58" s="1069"/>
      <c r="Z58" s="1069"/>
      <c r="AA58" s="87"/>
      <c r="AB58" s="87"/>
      <c r="AC58" s="87"/>
      <c r="AD58" s="87"/>
      <c r="AE58" s="494"/>
      <c r="AF58" s="87"/>
      <c r="AG58" s="87"/>
      <c r="AH58" s="490"/>
      <c r="AI58" s="490"/>
      <c r="AJ58" s="87"/>
      <c r="AK58" s="87"/>
      <c r="AL58" s="87"/>
      <c r="AM58" s="87"/>
      <c r="AN58" s="87"/>
      <c r="AO58" s="87"/>
      <c r="AP58" s="87"/>
      <c r="AQ58" s="87"/>
      <c r="AR58" s="87"/>
      <c r="AS58" s="87"/>
    </row>
    <row r="59" spans="1:45" ht="15.75" customHeight="1" x14ac:dyDescent="0.2">
      <c r="A59" s="1069"/>
      <c r="B59" s="1069"/>
      <c r="C59" s="1069"/>
      <c r="D59" s="21" t="s">
        <v>3505</v>
      </c>
      <c r="E59" s="20" t="s">
        <v>1797</v>
      </c>
      <c r="F59" s="20">
        <v>2010</v>
      </c>
      <c r="G59" s="26">
        <f>123*235</f>
        <v>28905</v>
      </c>
      <c r="H59" s="26">
        <v>2425</v>
      </c>
      <c r="I59" s="1069"/>
      <c r="J59" s="20" t="s">
        <v>3459</v>
      </c>
      <c r="K59" s="1069"/>
      <c r="L59" s="475" t="s">
        <v>3506</v>
      </c>
      <c r="M59" s="475" t="s">
        <v>3507</v>
      </c>
      <c r="N59" s="1069"/>
      <c r="O59" s="468">
        <v>21.7</v>
      </c>
      <c r="P59" s="446" t="s">
        <v>3279</v>
      </c>
      <c r="Q59" s="20" t="s">
        <v>182</v>
      </c>
      <c r="R59" s="462" t="s">
        <v>3383</v>
      </c>
      <c r="S59" s="20" t="s">
        <v>3456</v>
      </c>
      <c r="T59" s="1097"/>
      <c r="U59" s="1097"/>
      <c r="V59" s="20" t="s">
        <v>2388</v>
      </c>
      <c r="W59" s="20" t="s">
        <v>3284</v>
      </c>
      <c r="X59" s="1097"/>
      <c r="Y59" s="1069"/>
      <c r="Z59" s="1069"/>
      <c r="AA59" s="87"/>
      <c r="AB59" s="87"/>
      <c r="AC59" s="87"/>
      <c r="AD59" s="87"/>
      <c r="AE59" s="494"/>
      <c r="AF59" s="87"/>
      <c r="AG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</row>
    <row r="60" spans="1:45" ht="15.75" customHeight="1" x14ac:dyDescent="0.2">
      <c r="A60" s="1069"/>
      <c r="B60" s="1069"/>
      <c r="C60" s="1069"/>
      <c r="D60" s="21" t="s">
        <v>3508</v>
      </c>
      <c r="E60" s="20" t="s">
        <v>1797</v>
      </c>
      <c r="F60" s="20" t="s">
        <v>3463</v>
      </c>
      <c r="G60" s="26">
        <f>142*235</f>
        <v>33370</v>
      </c>
      <c r="H60" s="26">
        <v>2250</v>
      </c>
      <c r="I60" s="1069"/>
      <c r="J60" s="20" t="s">
        <v>3464</v>
      </c>
      <c r="K60" s="1069"/>
      <c r="L60" s="475" t="s">
        <v>3509</v>
      </c>
      <c r="M60" s="475" t="s">
        <v>3510</v>
      </c>
      <c r="N60" s="1069"/>
      <c r="O60" s="468">
        <v>18.29</v>
      </c>
      <c r="P60" s="446" t="s">
        <v>3355</v>
      </c>
      <c r="Q60" s="20" t="s">
        <v>182</v>
      </c>
      <c r="R60" s="20" t="s">
        <v>3511</v>
      </c>
      <c r="S60" s="20" t="s">
        <v>3456</v>
      </c>
      <c r="T60" s="1097"/>
      <c r="U60" s="1097"/>
      <c r="V60" s="20" t="s">
        <v>2796</v>
      </c>
      <c r="W60" s="20" t="s">
        <v>1127</v>
      </c>
      <c r="X60" s="1097"/>
      <c r="Y60" s="1069"/>
      <c r="Z60" s="1069"/>
      <c r="AA60" s="87"/>
      <c r="AB60" s="87"/>
      <c r="AC60" s="87"/>
      <c r="AE60" s="494"/>
      <c r="AF60" s="87"/>
      <c r="AG60" s="87"/>
      <c r="AH60" s="490"/>
      <c r="AI60" s="490"/>
      <c r="AJ60" s="87"/>
      <c r="AK60" s="87"/>
      <c r="AL60" s="87"/>
      <c r="AM60" s="87"/>
      <c r="AN60" s="87"/>
      <c r="AO60" s="87"/>
      <c r="AP60" s="87"/>
      <c r="AQ60" s="87"/>
      <c r="AR60" s="87"/>
      <c r="AS60" s="87"/>
    </row>
    <row r="61" spans="1:45" ht="15.75" customHeight="1" x14ac:dyDescent="0.2">
      <c r="A61" s="1069"/>
      <c r="B61" s="1069"/>
      <c r="C61" s="1069"/>
      <c r="D61" s="21" t="s">
        <v>3512</v>
      </c>
      <c r="E61" s="20" t="s">
        <v>1797</v>
      </c>
      <c r="F61" s="20">
        <v>2010</v>
      </c>
      <c r="G61" s="26">
        <f>1*235</f>
        <v>235</v>
      </c>
      <c r="H61" s="26">
        <v>2425</v>
      </c>
      <c r="I61" s="1069"/>
      <c r="J61" s="20" t="s">
        <v>3459</v>
      </c>
      <c r="K61" s="1069"/>
      <c r="L61" s="475" t="s">
        <v>3513</v>
      </c>
      <c r="M61" s="475" t="s">
        <v>3514</v>
      </c>
      <c r="N61" s="1069"/>
      <c r="O61" s="468">
        <v>24.04</v>
      </c>
      <c r="P61" s="446" t="s">
        <v>3355</v>
      </c>
      <c r="Q61" s="20" t="s">
        <v>182</v>
      </c>
      <c r="R61" s="462" t="s">
        <v>3383</v>
      </c>
      <c r="S61" s="20" t="s">
        <v>3377</v>
      </c>
      <c r="T61" s="1097"/>
      <c r="U61" s="1097"/>
      <c r="V61" s="20" t="s">
        <v>2388</v>
      </c>
      <c r="W61" s="20" t="s">
        <v>3284</v>
      </c>
      <c r="X61" s="1097"/>
      <c r="Y61" s="1069"/>
      <c r="Z61" s="1069"/>
      <c r="AA61" s="87"/>
      <c r="AB61" s="87"/>
      <c r="AC61" s="87"/>
      <c r="AD61" s="87"/>
      <c r="AE61" s="494"/>
      <c r="AF61" s="87"/>
      <c r="AG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</row>
    <row r="62" spans="1:45" ht="15.75" customHeight="1" x14ac:dyDescent="0.2">
      <c r="A62" s="1069"/>
      <c r="B62" s="1069"/>
      <c r="C62" s="1069"/>
      <c r="D62" s="21" t="s">
        <v>3515</v>
      </c>
      <c r="E62" s="20" t="s">
        <v>1797</v>
      </c>
      <c r="F62" s="20">
        <v>2013</v>
      </c>
      <c r="G62" s="26">
        <f>157*235</f>
        <v>36895</v>
      </c>
      <c r="H62" s="26">
        <v>2425</v>
      </c>
      <c r="I62" s="1069"/>
      <c r="J62" s="20" t="s">
        <v>3325</v>
      </c>
      <c r="K62" s="1069"/>
      <c r="L62" s="475" t="s">
        <v>3516</v>
      </c>
      <c r="M62" s="475" t="s">
        <v>3517</v>
      </c>
      <c r="N62" s="1069"/>
      <c r="O62" s="468">
        <v>20.100000000000001</v>
      </c>
      <c r="P62" s="446" t="s">
        <v>3279</v>
      </c>
      <c r="Q62" s="20" t="s">
        <v>1866</v>
      </c>
      <c r="R62" s="462" t="s">
        <v>3383</v>
      </c>
      <c r="S62" s="20" t="s">
        <v>3456</v>
      </c>
      <c r="T62" s="1097"/>
      <c r="U62" s="1097"/>
      <c r="V62" s="20" t="s">
        <v>2796</v>
      </c>
      <c r="W62" s="20" t="s">
        <v>1127</v>
      </c>
      <c r="X62" s="1097"/>
      <c r="Y62" s="1069"/>
      <c r="Z62" s="1069"/>
      <c r="AA62" s="87"/>
      <c r="AB62" s="87"/>
      <c r="AE62" s="494"/>
      <c r="AF62" s="87"/>
      <c r="AG62" s="87"/>
      <c r="AJ62" s="87"/>
      <c r="AM62" s="87"/>
      <c r="AN62" s="87"/>
      <c r="AO62" s="87"/>
      <c r="AP62" s="87"/>
      <c r="AQ62" s="87"/>
      <c r="AR62" s="87"/>
      <c r="AS62" s="87"/>
    </row>
    <row r="63" spans="1:45" ht="15.75" customHeight="1" x14ac:dyDescent="0.2">
      <c r="A63" s="1069"/>
      <c r="B63" s="1069"/>
      <c r="C63" s="1069"/>
      <c r="D63" s="21" t="s">
        <v>3518</v>
      </c>
      <c r="E63" s="20" t="s">
        <v>1797</v>
      </c>
      <c r="F63" s="20">
        <v>2010</v>
      </c>
      <c r="G63" s="26">
        <f>1*235</f>
        <v>235</v>
      </c>
      <c r="H63" s="26">
        <v>2425</v>
      </c>
      <c r="I63" s="1069"/>
      <c r="J63" s="20" t="s">
        <v>3459</v>
      </c>
      <c r="K63" s="1069"/>
      <c r="L63" s="475" t="s">
        <v>3519</v>
      </c>
      <c r="M63" s="475" t="s">
        <v>3520</v>
      </c>
      <c r="N63" s="1069"/>
      <c r="O63" s="468">
        <v>21.7</v>
      </c>
      <c r="P63" s="446" t="s">
        <v>3355</v>
      </c>
      <c r="Q63" s="20" t="s">
        <v>182</v>
      </c>
      <c r="R63" s="462" t="s">
        <v>3383</v>
      </c>
      <c r="S63" s="20" t="s">
        <v>3377</v>
      </c>
      <c r="T63" s="1097"/>
      <c r="U63" s="1097"/>
      <c r="V63" s="20" t="s">
        <v>2388</v>
      </c>
      <c r="W63" s="20" t="s">
        <v>3284</v>
      </c>
      <c r="X63" s="1097"/>
      <c r="Y63" s="1069"/>
      <c r="Z63" s="1069"/>
      <c r="AA63" s="87"/>
      <c r="AB63" s="87"/>
      <c r="AC63" s="87"/>
      <c r="AE63" s="495"/>
      <c r="AF63" s="87"/>
      <c r="AG63" s="87"/>
      <c r="AH63" s="490"/>
      <c r="AI63" s="490"/>
      <c r="AJ63" s="87"/>
      <c r="AK63" s="87"/>
      <c r="AL63" s="87"/>
      <c r="AM63" s="87"/>
      <c r="AN63" s="87"/>
      <c r="AO63" s="87"/>
      <c r="AP63" s="87"/>
      <c r="AQ63" s="87"/>
      <c r="AR63" s="87"/>
      <c r="AS63" s="87"/>
    </row>
    <row r="64" spans="1:45" ht="15.75" customHeight="1" x14ac:dyDescent="0.2">
      <c r="A64" s="1069"/>
      <c r="B64" s="1069"/>
      <c r="C64" s="1069"/>
      <c r="D64" s="21" t="s">
        <v>3521</v>
      </c>
      <c r="E64" s="20" t="s">
        <v>1797</v>
      </c>
      <c r="F64" s="20">
        <v>2011</v>
      </c>
      <c r="G64" s="26">
        <f>15*235</f>
        <v>3525</v>
      </c>
      <c r="H64" s="26">
        <v>2425</v>
      </c>
      <c r="I64" s="1069"/>
      <c r="J64" s="20" t="s">
        <v>3325</v>
      </c>
      <c r="K64" s="1069"/>
      <c r="L64" s="8" t="s">
        <v>3522</v>
      </c>
      <c r="M64" s="8" t="s">
        <v>3523</v>
      </c>
      <c r="N64" s="1069"/>
      <c r="O64" s="468">
        <v>21.39</v>
      </c>
      <c r="P64" s="446" t="s">
        <v>3279</v>
      </c>
      <c r="Q64" s="20" t="s">
        <v>3328</v>
      </c>
      <c r="R64" s="462" t="s">
        <v>3383</v>
      </c>
      <c r="S64" s="20" t="s">
        <v>3377</v>
      </c>
      <c r="T64" s="1097"/>
      <c r="U64" s="1097"/>
      <c r="V64" s="20" t="s">
        <v>2796</v>
      </c>
      <c r="W64" s="20" t="s">
        <v>1127</v>
      </c>
      <c r="X64" s="1097"/>
      <c r="Y64" s="1069"/>
      <c r="Z64" s="1069"/>
      <c r="AA64" s="87"/>
      <c r="AB64" s="87"/>
      <c r="AD64" s="87"/>
      <c r="AE64" s="494"/>
      <c r="AH64" s="490"/>
      <c r="AI64" s="490"/>
      <c r="AJ64" s="87"/>
      <c r="AM64" s="87"/>
      <c r="AN64" s="87"/>
      <c r="AO64" s="87"/>
      <c r="AP64" s="87"/>
      <c r="AQ64" s="87"/>
      <c r="AR64" s="87"/>
      <c r="AS64" s="87"/>
    </row>
    <row r="65" spans="1:45" ht="15.75" customHeight="1" x14ac:dyDescent="0.2">
      <c r="A65" s="1069"/>
      <c r="B65" s="1069"/>
      <c r="C65" s="1069"/>
      <c r="D65" s="21" t="s">
        <v>3524</v>
      </c>
      <c r="E65" s="20" t="s">
        <v>1797</v>
      </c>
      <c r="F65" s="20">
        <v>2011</v>
      </c>
      <c r="G65" s="26">
        <f>15*235</f>
        <v>3525</v>
      </c>
      <c r="H65" s="26">
        <v>2250</v>
      </c>
      <c r="I65" s="1069"/>
      <c r="J65" s="20" t="s">
        <v>3325</v>
      </c>
      <c r="K65" s="1069"/>
      <c r="L65" s="475" t="s">
        <v>3525</v>
      </c>
      <c r="M65" s="475" t="s">
        <v>3526</v>
      </c>
      <c r="N65" s="1069"/>
      <c r="O65" s="468">
        <v>18.29</v>
      </c>
      <c r="P65" s="446" t="s">
        <v>3355</v>
      </c>
      <c r="Q65" s="20" t="s">
        <v>3328</v>
      </c>
      <c r="R65" s="20" t="s">
        <v>3511</v>
      </c>
      <c r="S65" s="20" t="s">
        <v>3456</v>
      </c>
      <c r="T65" s="1097"/>
      <c r="U65" s="1097"/>
      <c r="V65" s="20" t="s">
        <v>2796</v>
      </c>
      <c r="W65" s="20" t="s">
        <v>1127</v>
      </c>
      <c r="X65" s="1097"/>
      <c r="Y65" s="1069"/>
      <c r="Z65" s="1069"/>
      <c r="AA65" s="87"/>
      <c r="AB65" s="87"/>
      <c r="AD65" s="87"/>
      <c r="AE65" s="494"/>
      <c r="AF65" s="87"/>
      <c r="AG65" s="87"/>
      <c r="AH65" s="490"/>
      <c r="AI65" s="490"/>
      <c r="AJ65" s="87"/>
      <c r="AM65" s="87"/>
      <c r="AN65" s="87"/>
      <c r="AO65" s="87"/>
      <c r="AP65" s="87"/>
      <c r="AQ65" s="87"/>
      <c r="AR65" s="87"/>
      <c r="AS65" s="87"/>
    </row>
    <row r="66" spans="1:45" ht="15.75" customHeight="1" x14ac:dyDescent="0.2">
      <c r="A66" s="1069"/>
      <c r="B66" s="1069"/>
      <c r="C66" s="1069"/>
      <c r="D66" s="21" t="s">
        <v>3527</v>
      </c>
      <c r="E66" s="20" t="s">
        <v>1797</v>
      </c>
      <c r="F66" s="20" t="s">
        <v>3486</v>
      </c>
      <c r="G66" s="26">
        <f>553*235</f>
        <v>129955</v>
      </c>
      <c r="H66" s="26">
        <v>2425</v>
      </c>
      <c r="I66" s="1069"/>
      <c r="J66" s="20" t="s">
        <v>3487</v>
      </c>
      <c r="K66" s="1069"/>
      <c r="L66" s="475" t="s">
        <v>3528</v>
      </c>
      <c r="M66" s="475" t="s">
        <v>3529</v>
      </c>
      <c r="N66" s="1069"/>
      <c r="O66" s="468">
        <v>21.39</v>
      </c>
      <c r="P66" s="446" t="s">
        <v>3279</v>
      </c>
      <c r="Q66" s="20" t="s">
        <v>3328</v>
      </c>
      <c r="R66" s="462" t="s">
        <v>3383</v>
      </c>
      <c r="S66" s="20" t="s">
        <v>3456</v>
      </c>
      <c r="T66" s="1097"/>
      <c r="U66" s="1097"/>
      <c r="V66" s="20" t="s">
        <v>2796</v>
      </c>
      <c r="W66" s="20" t="s">
        <v>1127</v>
      </c>
      <c r="X66" s="1097"/>
      <c r="Y66" s="1069"/>
      <c r="Z66" s="1069"/>
      <c r="AA66" s="87"/>
      <c r="AB66" s="87"/>
      <c r="AC66" s="87"/>
      <c r="AD66" s="87"/>
      <c r="AE66" s="494"/>
      <c r="AH66" s="490"/>
      <c r="AI66" s="490"/>
      <c r="AJ66" s="87"/>
      <c r="AK66" s="87"/>
      <c r="AL66" s="87"/>
      <c r="AM66" s="87"/>
      <c r="AN66" s="87"/>
      <c r="AO66" s="87"/>
      <c r="AP66" s="87"/>
      <c r="AQ66" s="87"/>
      <c r="AR66" s="87"/>
      <c r="AS66" s="87"/>
    </row>
    <row r="67" spans="1:45" ht="15.75" customHeight="1" x14ac:dyDescent="0.2">
      <c r="A67" s="1069"/>
      <c r="B67" s="1069"/>
      <c r="C67" s="1069"/>
      <c r="D67" s="21" t="s">
        <v>3515</v>
      </c>
      <c r="E67" s="20" t="s">
        <v>1797</v>
      </c>
      <c r="F67" s="20">
        <v>2013</v>
      </c>
      <c r="G67" s="26">
        <f>31*235</f>
        <v>7285</v>
      </c>
      <c r="H67" s="26">
        <v>2425</v>
      </c>
      <c r="I67" s="1069"/>
      <c r="J67" s="20" t="s">
        <v>3325</v>
      </c>
      <c r="K67" s="1069"/>
      <c r="L67" s="475" t="s">
        <v>3530</v>
      </c>
      <c r="M67" s="475" t="s">
        <v>3531</v>
      </c>
      <c r="N67" s="1069"/>
      <c r="O67" s="468">
        <v>20.100000000000001</v>
      </c>
      <c r="P67" s="446" t="s">
        <v>3279</v>
      </c>
      <c r="Q67" s="20" t="s">
        <v>1866</v>
      </c>
      <c r="R67" s="462" t="s">
        <v>3383</v>
      </c>
      <c r="S67" s="20" t="s">
        <v>3456</v>
      </c>
      <c r="T67" s="1073"/>
      <c r="U67" s="1097"/>
      <c r="V67" s="20" t="s">
        <v>2796</v>
      </c>
      <c r="W67" s="20" t="s">
        <v>1127</v>
      </c>
      <c r="X67" s="1097"/>
      <c r="Y67" s="1069"/>
      <c r="Z67" s="1069"/>
      <c r="AA67" s="87"/>
      <c r="AB67" s="87"/>
      <c r="AC67" s="87"/>
      <c r="AD67" s="87"/>
      <c r="AE67" s="494"/>
      <c r="AH67" s="490"/>
      <c r="AI67" s="490"/>
      <c r="AJ67" s="87"/>
      <c r="AK67" s="87"/>
      <c r="AL67" s="87"/>
      <c r="AM67" s="87"/>
      <c r="AN67" s="87"/>
      <c r="AO67" s="87"/>
      <c r="AP67" s="87"/>
      <c r="AQ67" s="87"/>
      <c r="AR67" s="87"/>
      <c r="AS67" s="87"/>
    </row>
    <row r="68" spans="1:45" ht="15.75" customHeight="1" x14ac:dyDescent="0.2">
      <c r="A68" s="1069"/>
      <c r="B68" s="1069"/>
      <c r="C68" s="1069"/>
      <c r="D68" s="21" t="s">
        <v>3498</v>
      </c>
      <c r="E68" s="20" t="s">
        <v>1797</v>
      </c>
      <c r="F68" s="20">
        <v>2014</v>
      </c>
      <c r="G68" s="26">
        <f>142*235</f>
        <v>33370</v>
      </c>
      <c r="H68" s="26">
        <v>2425</v>
      </c>
      <c r="I68" s="1069"/>
      <c r="J68" s="20" t="s">
        <v>3464</v>
      </c>
      <c r="K68" s="1069"/>
      <c r="L68" s="475" t="s">
        <v>3532</v>
      </c>
      <c r="M68" s="475" t="s">
        <v>3533</v>
      </c>
      <c r="N68" s="1069"/>
      <c r="O68" s="468">
        <v>21.39</v>
      </c>
      <c r="P68" s="446" t="s">
        <v>3279</v>
      </c>
      <c r="Q68" s="20" t="s">
        <v>182</v>
      </c>
      <c r="R68" s="462" t="s">
        <v>3383</v>
      </c>
      <c r="S68" s="20" t="s">
        <v>3456</v>
      </c>
      <c r="T68" s="1070" t="s">
        <v>3534</v>
      </c>
      <c r="U68" s="1097"/>
      <c r="V68" s="20" t="s">
        <v>2796</v>
      </c>
      <c r="W68" s="20" t="s">
        <v>1127</v>
      </c>
      <c r="X68" s="1097"/>
      <c r="Y68" s="1069"/>
      <c r="Z68" s="1069"/>
      <c r="AA68" s="87"/>
      <c r="AB68" s="87"/>
      <c r="AC68" s="87"/>
      <c r="AD68" s="87"/>
      <c r="AE68" s="494"/>
      <c r="AF68" s="87"/>
      <c r="AG68" s="87"/>
      <c r="AH68" s="490"/>
      <c r="AI68" s="490"/>
      <c r="AJ68" s="87"/>
      <c r="AK68" s="87"/>
      <c r="AL68" s="87"/>
      <c r="AM68" s="87"/>
      <c r="AN68" s="87"/>
      <c r="AO68" s="87"/>
      <c r="AP68" s="87"/>
      <c r="AQ68" s="87"/>
      <c r="AR68" s="87"/>
      <c r="AS68" s="87"/>
    </row>
    <row r="69" spans="1:45" ht="15.75" customHeight="1" x14ac:dyDescent="0.2">
      <c r="A69" s="1069"/>
      <c r="B69" s="1069"/>
      <c r="C69" s="1069"/>
      <c r="D69" s="21" t="s">
        <v>3535</v>
      </c>
      <c r="E69" s="20" t="s">
        <v>1797</v>
      </c>
      <c r="F69" s="20">
        <v>2014</v>
      </c>
      <c r="G69" s="26">
        <f>925*235</f>
        <v>217375</v>
      </c>
      <c r="H69" s="26">
        <v>2250</v>
      </c>
      <c r="I69" s="1069"/>
      <c r="J69" s="20" t="s">
        <v>3464</v>
      </c>
      <c r="K69" s="1069"/>
      <c r="L69" s="475" t="s">
        <v>3536</v>
      </c>
      <c r="M69" s="475" t="s">
        <v>3537</v>
      </c>
      <c r="N69" s="1069"/>
      <c r="O69" s="468">
        <v>18.29</v>
      </c>
      <c r="P69" s="446" t="s">
        <v>3355</v>
      </c>
      <c r="Q69" s="20" t="s">
        <v>182</v>
      </c>
      <c r="R69" s="20" t="s">
        <v>3511</v>
      </c>
      <c r="S69" s="20" t="s">
        <v>3456</v>
      </c>
      <c r="T69" s="1073"/>
      <c r="U69" s="1097"/>
      <c r="V69" s="20" t="s">
        <v>2796</v>
      </c>
      <c r="W69" s="20" t="s">
        <v>1127</v>
      </c>
      <c r="X69" s="1097"/>
      <c r="Y69" s="1069"/>
      <c r="Z69" s="1069"/>
      <c r="AA69" s="87"/>
      <c r="AB69" s="87"/>
      <c r="AC69" s="87"/>
      <c r="AD69" s="87"/>
      <c r="AE69" s="494"/>
      <c r="AF69" s="87"/>
      <c r="AG69" s="87"/>
      <c r="AH69" s="490"/>
      <c r="AI69" s="490"/>
      <c r="AJ69" s="87"/>
      <c r="AK69" s="87"/>
      <c r="AL69" s="87"/>
      <c r="AM69" s="87"/>
      <c r="AN69" s="87"/>
      <c r="AO69" s="87"/>
      <c r="AP69" s="87"/>
      <c r="AQ69" s="87"/>
      <c r="AR69" s="87"/>
      <c r="AS69" s="87"/>
    </row>
    <row r="70" spans="1:45" ht="15.75" customHeight="1" x14ac:dyDescent="0.2">
      <c r="A70" s="1069"/>
      <c r="B70" s="1069"/>
      <c r="C70" s="1069"/>
      <c r="D70" s="21" t="s">
        <v>3538</v>
      </c>
      <c r="E70" s="20" t="s">
        <v>1797</v>
      </c>
      <c r="F70" s="20">
        <v>2014</v>
      </c>
      <c r="G70" s="26">
        <f>15*235</f>
        <v>3525</v>
      </c>
      <c r="H70" s="26">
        <v>2425</v>
      </c>
      <c r="I70" s="1069"/>
      <c r="J70" s="20" t="s">
        <v>3325</v>
      </c>
      <c r="K70" s="1069"/>
      <c r="L70" s="475" t="s">
        <v>3539</v>
      </c>
      <c r="M70" s="475" t="s">
        <v>3540</v>
      </c>
      <c r="N70" s="1069"/>
      <c r="O70" s="468">
        <v>21.7</v>
      </c>
      <c r="P70" s="446" t="s">
        <v>3279</v>
      </c>
      <c r="Q70" s="20" t="s">
        <v>3328</v>
      </c>
      <c r="R70" s="462" t="s">
        <v>3383</v>
      </c>
      <c r="S70" s="20" t="s">
        <v>3456</v>
      </c>
      <c r="T70" s="1070" t="s">
        <v>3501</v>
      </c>
      <c r="U70" s="1097"/>
      <c r="V70" s="20" t="s">
        <v>2388</v>
      </c>
      <c r="W70" s="20" t="s">
        <v>3284</v>
      </c>
      <c r="X70" s="1097"/>
      <c r="Y70" s="1069"/>
      <c r="Z70" s="1069"/>
      <c r="AA70" s="87"/>
      <c r="AB70" s="87"/>
      <c r="AC70" s="87"/>
      <c r="AD70" s="87"/>
      <c r="AE70" s="495"/>
      <c r="AF70" s="87"/>
      <c r="AG70" s="87"/>
      <c r="AH70" s="490"/>
      <c r="AI70" s="490"/>
      <c r="AJ70" s="87"/>
      <c r="AK70" s="87"/>
      <c r="AL70" s="87"/>
      <c r="AM70" s="87"/>
      <c r="AN70" s="87"/>
      <c r="AO70" s="87"/>
      <c r="AP70" s="87"/>
      <c r="AQ70" s="87"/>
      <c r="AR70" s="87"/>
      <c r="AS70" s="87"/>
    </row>
    <row r="71" spans="1:45" ht="15.75" customHeight="1" thickBot="1" x14ac:dyDescent="0.25">
      <c r="A71" s="1070"/>
      <c r="B71" s="1070"/>
      <c r="C71" s="1070"/>
      <c r="D71" s="447" t="s">
        <v>3541</v>
      </c>
      <c r="E71" s="446" t="s">
        <v>1797</v>
      </c>
      <c r="F71" s="446">
        <v>2014</v>
      </c>
      <c r="G71" s="448">
        <f>5*235</f>
        <v>1175</v>
      </c>
      <c r="H71" s="448">
        <v>2425</v>
      </c>
      <c r="I71" s="1070"/>
      <c r="J71" s="446" t="s">
        <v>3325</v>
      </c>
      <c r="K71" s="1070"/>
      <c r="L71" s="419" t="s">
        <v>3542</v>
      </c>
      <c r="M71" s="419" t="s">
        <v>3543</v>
      </c>
      <c r="N71" s="1070"/>
      <c r="O71" s="470">
        <v>21.7</v>
      </c>
      <c r="P71" s="446" t="s">
        <v>3279</v>
      </c>
      <c r="Q71" s="446" t="s">
        <v>3328</v>
      </c>
      <c r="R71" s="483" t="s">
        <v>3383</v>
      </c>
      <c r="S71" s="446" t="s">
        <v>3377</v>
      </c>
      <c r="T71" s="1097"/>
      <c r="U71" s="1097"/>
      <c r="V71" s="446" t="s">
        <v>2388</v>
      </c>
      <c r="W71" s="446" t="s">
        <v>3284</v>
      </c>
      <c r="X71" s="1097"/>
      <c r="Y71" s="1070"/>
      <c r="Z71" s="1070"/>
      <c r="AA71" s="87"/>
      <c r="AB71" s="87"/>
      <c r="AC71" s="87"/>
      <c r="AD71" s="87"/>
      <c r="AE71" s="87"/>
      <c r="AF71" s="87"/>
      <c r="AG71" s="87"/>
      <c r="AH71" s="490"/>
      <c r="AI71" s="490"/>
      <c r="AJ71" s="87"/>
      <c r="AK71" s="87"/>
      <c r="AL71" s="87"/>
      <c r="AM71" s="87"/>
      <c r="AN71" s="87"/>
      <c r="AO71" s="87"/>
      <c r="AP71" s="87"/>
      <c r="AQ71" s="87"/>
      <c r="AR71" s="87"/>
      <c r="AS71" s="87"/>
    </row>
    <row r="72" spans="1:45" ht="22.5" x14ac:dyDescent="0.2">
      <c r="A72" s="449" t="s">
        <v>638</v>
      </c>
      <c r="B72" s="450" t="s">
        <v>3544</v>
      </c>
      <c r="C72" s="449" t="s">
        <v>2754</v>
      </c>
      <c r="D72" s="450" t="s">
        <v>3545</v>
      </c>
      <c r="E72" s="449" t="s">
        <v>3546</v>
      </c>
      <c r="F72" s="449">
        <v>2010</v>
      </c>
      <c r="G72" s="451">
        <f>384*235</f>
        <v>90240</v>
      </c>
      <c r="H72" s="451"/>
      <c r="I72" s="449" t="s">
        <v>3274</v>
      </c>
      <c r="J72" s="449" t="s">
        <v>3547</v>
      </c>
      <c r="K72" s="449" t="s">
        <v>2790</v>
      </c>
      <c r="L72" s="480" t="s">
        <v>3548</v>
      </c>
      <c r="M72" s="480" t="s">
        <v>3549</v>
      </c>
      <c r="N72" s="449" t="s">
        <v>3278</v>
      </c>
      <c r="O72" s="496">
        <v>3.44</v>
      </c>
      <c r="P72" s="449" t="s">
        <v>1786</v>
      </c>
      <c r="Q72" s="449" t="s">
        <v>1786</v>
      </c>
      <c r="R72" s="449" t="s">
        <v>1786</v>
      </c>
      <c r="S72" s="449" t="s">
        <v>1786</v>
      </c>
      <c r="T72" s="449" t="s">
        <v>1786</v>
      </c>
      <c r="U72" s="449" t="s">
        <v>1786</v>
      </c>
      <c r="V72" s="449" t="s">
        <v>2796</v>
      </c>
      <c r="W72" s="449" t="s">
        <v>1127</v>
      </c>
      <c r="X72" s="449" t="s">
        <v>1786</v>
      </c>
      <c r="Y72" s="449" t="s">
        <v>1786</v>
      </c>
      <c r="Z72" s="449" t="s">
        <v>1786</v>
      </c>
      <c r="AA72" s="87"/>
      <c r="AB72" s="87"/>
      <c r="AC72" s="87"/>
      <c r="AD72" s="87"/>
      <c r="AE72" s="87"/>
      <c r="AF72" s="87"/>
      <c r="AG72" s="87"/>
      <c r="AH72" s="490"/>
      <c r="AI72" s="490"/>
      <c r="AJ72" s="87"/>
      <c r="AK72" s="87"/>
      <c r="AL72" s="87"/>
      <c r="AM72" s="87"/>
      <c r="AN72" s="87"/>
      <c r="AO72" s="87"/>
      <c r="AP72" s="87"/>
      <c r="AQ72" s="87"/>
      <c r="AR72" s="87"/>
      <c r="AS72" s="87"/>
    </row>
    <row r="73" spans="1:45" ht="23.25" thickBot="1" x14ac:dyDescent="0.25">
      <c r="A73" s="456" t="s">
        <v>638</v>
      </c>
      <c r="B73" s="457" t="s">
        <v>3544</v>
      </c>
      <c r="C73" s="456" t="s">
        <v>2754</v>
      </c>
      <c r="D73" s="457" t="s">
        <v>3545</v>
      </c>
      <c r="E73" s="456" t="s">
        <v>3550</v>
      </c>
      <c r="F73" s="456">
        <v>2010</v>
      </c>
      <c r="G73" s="458">
        <f>336*235</f>
        <v>78960</v>
      </c>
      <c r="H73" s="458"/>
      <c r="I73" s="456" t="s">
        <v>3274</v>
      </c>
      <c r="J73" s="456" t="s">
        <v>3547</v>
      </c>
      <c r="K73" s="456" t="s">
        <v>2790</v>
      </c>
      <c r="L73" s="497" t="s">
        <v>3551</v>
      </c>
      <c r="M73" s="497" t="s">
        <v>3552</v>
      </c>
      <c r="N73" s="456" t="s">
        <v>3278</v>
      </c>
      <c r="O73" s="498">
        <v>3.46</v>
      </c>
      <c r="P73" s="456" t="s">
        <v>1786</v>
      </c>
      <c r="Q73" s="456" t="s">
        <v>1786</v>
      </c>
      <c r="R73" s="456" t="s">
        <v>1786</v>
      </c>
      <c r="S73" s="456" t="s">
        <v>1786</v>
      </c>
      <c r="T73" s="456" t="s">
        <v>1786</v>
      </c>
      <c r="U73" s="456" t="s">
        <v>1786</v>
      </c>
      <c r="V73" s="456" t="s">
        <v>2796</v>
      </c>
      <c r="W73" s="456" t="s">
        <v>1127</v>
      </c>
      <c r="X73" s="456" t="s">
        <v>1786</v>
      </c>
      <c r="Y73" s="456" t="s">
        <v>1786</v>
      </c>
      <c r="Z73" s="456" t="s">
        <v>1786</v>
      </c>
      <c r="AA73" s="87"/>
      <c r="AB73" s="87"/>
      <c r="AC73" s="87"/>
      <c r="AD73" s="87"/>
      <c r="AE73" s="87"/>
      <c r="AF73" s="87"/>
      <c r="AG73" s="87"/>
      <c r="AH73" s="490"/>
      <c r="AI73" s="490"/>
      <c r="AJ73" s="87"/>
      <c r="AK73" s="87"/>
      <c r="AL73" s="87"/>
      <c r="AM73" s="87"/>
      <c r="AN73" s="87"/>
      <c r="AO73" s="87"/>
      <c r="AP73" s="87"/>
      <c r="AQ73" s="87"/>
      <c r="AR73" s="87"/>
      <c r="AS73" s="87"/>
    </row>
    <row r="74" spans="1:45" x14ac:dyDescent="0.2">
      <c r="A74" s="449" t="s">
        <v>638</v>
      </c>
      <c r="B74" s="449" t="s">
        <v>3553</v>
      </c>
      <c r="C74" s="499" t="s">
        <v>2754</v>
      </c>
      <c r="D74" s="450" t="s">
        <v>3554</v>
      </c>
      <c r="E74" s="449" t="s">
        <v>3555</v>
      </c>
      <c r="F74" s="449">
        <v>2011</v>
      </c>
      <c r="G74" s="479">
        <v>90005</v>
      </c>
      <c r="H74" s="451">
        <v>2550</v>
      </c>
      <c r="I74" s="449" t="s">
        <v>3274</v>
      </c>
      <c r="J74" s="449" t="s">
        <v>3367</v>
      </c>
      <c r="K74" s="449" t="s">
        <v>2790</v>
      </c>
      <c r="L74" s="480">
        <v>17848404</v>
      </c>
      <c r="M74" s="480">
        <v>13504280</v>
      </c>
      <c r="N74" s="449" t="s">
        <v>3278</v>
      </c>
      <c r="O74" s="496">
        <v>5.3</v>
      </c>
      <c r="P74" s="449" t="s">
        <v>1786</v>
      </c>
      <c r="Q74" s="449" t="s">
        <v>1361</v>
      </c>
      <c r="R74" s="449" t="s">
        <v>3511</v>
      </c>
      <c r="S74" s="449" t="s">
        <v>3371</v>
      </c>
      <c r="T74" s="449" t="s">
        <v>1786</v>
      </c>
      <c r="U74" s="449" t="s">
        <v>1786</v>
      </c>
      <c r="V74" s="449" t="s">
        <v>1786</v>
      </c>
      <c r="W74" s="449" t="s">
        <v>1786</v>
      </c>
      <c r="X74" s="449" t="s">
        <v>1786</v>
      </c>
      <c r="Y74" s="449" t="s">
        <v>1786</v>
      </c>
      <c r="Z74" s="449" t="s">
        <v>1786</v>
      </c>
      <c r="AA74" s="87"/>
      <c r="AB74" s="87"/>
      <c r="AC74" s="87"/>
      <c r="AD74" s="87"/>
      <c r="AE74" s="87"/>
      <c r="AF74" s="87"/>
      <c r="AG74" s="87"/>
      <c r="AH74" s="490"/>
      <c r="AI74" s="490"/>
      <c r="AJ74" s="87"/>
      <c r="AK74" s="87"/>
      <c r="AL74" s="87"/>
      <c r="AM74" s="87"/>
      <c r="AN74" s="87"/>
      <c r="AO74" s="87"/>
      <c r="AP74" s="87"/>
      <c r="AQ74" s="87"/>
      <c r="AR74" s="87"/>
      <c r="AS74" s="87"/>
    </row>
    <row r="75" spans="1:45" x14ac:dyDescent="0.2">
      <c r="A75" s="20" t="s">
        <v>638</v>
      </c>
      <c r="B75" s="20" t="s">
        <v>3556</v>
      </c>
      <c r="C75" s="500" t="s">
        <v>2754</v>
      </c>
      <c r="D75" s="21" t="s">
        <v>3557</v>
      </c>
      <c r="E75" s="20" t="s">
        <v>3558</v>
      </c>
      <c r="F75" s="20">
        <v>2014</v>
      </c>
      <c r="G75" s="481">
        <f>4*235</f>
        <v>940</v>
      </c>
      <c r="H75" s="26">
        <v>2550</v>
      </c>
      <c r="I75" s="20" t="s">
        <v>3274</v>
      </c>
      <c r="J75" s="20" t="s">
        <v>3367</v>
      </c>
      <c r="K75" s="20" t="s">
        <v>2790</v>
      </c>
      <c r="L75" s="8">
        <v>18616302</v>
      </c>
      <c r="M75" s="8">
        <v>13585826</v>
      </c>
      <c r="N75" s="20" t="s">
        <v>3278</v>
      </c>
      <c r="O75" s="475">
        <v>9.8000000000000007</v>
      </c>
      <c r="P75" s="20" t="s">
        <v>1786</v>
      </c>
      <c r="Q75" s="20" t="s">
        <v>197</v>
      </c>
      <c r="R75" s="20" t="s">
        <v>3370</v>
      </c>
      <c r="S75" s="20" t="s">
        <v>3371</v>
      </c>
      <c r="T75" s="20" t="s">
        <v>1786</v>
      </c>
      <c r="U75" s="20" t="s">
        <v>1786</v>
      </c>
      <c r="V75" s="20" t="s">
        <v>1786</v>
      </c>
      <c r="W75" s="20" t="s">
        <v>1786</v>
      </c>
      <c r="X75" s="20" t="s">
        <v>1786</v>
      </c>
      <c r="Y75" s="20" t="s">
        <v>1786</v>
      </c>
      <c r="Z75" s="20" t="s">
        <v>1786</v>
      </c>
      <c r="AA75" s="87"/>
      <c r="AB75" s="87"/>
      <c r="AC75" s="87"/>
      <c r="AD75" s="87"/>
      <c r="AE75" s="87"/>
      <c r="AF75" s="87"/>
      <c r="AG75" s="87"/>
      <c r="AH75" s="490"/>
      <c r="AI75" s="490"/>
      <c r="AJ75" s="87"/>
      <c r="AK75" s="87"/>
      <c r="AL75" s="87"/>
      <c r="AM75" s="87"/>
      <c r="AN75" s="87"/>
      <c r="AO75" s="87"/>
      <c r="AP75" s="87"/>
      <c r="AQ75" s="87"/>
      <c r="AR75" s="87"/>
      <c r="AS75" s="87"/>
    </row>
    <row r="76" spans="1:45" x14ac:dyDescent="0.2">
      <c r="A76" s="20" t="s">
        <v>638</v>
      </c>
      <c r="B76" s="20" t="s">
        <v>3559</v>
      </c>
      <c r="C76" s="500" t="s">
        <v>2754</v>
      </c>
      <c r="D76" s="21" t="s">
        <v>3560</v>
      </c>
      <c r="E76" s="20" t="s">
        <v>3561</v>
      </c>
      <c r="F76" s="20">
        <v>2014</v>
      </c>
      <c r="G76" s="26">
        <f>405*235</f>
        <v>95175</v>
      </c>
      <c r="H76" s="26">
        <v>1990</v>
      </c>
      <c r="I76" s="20" t="s">
        <v>3274</v>
      </c>
      <c r="J76" s="20" t="s">
        <v>3562</v>
      </c>
      <c r="K76" s="20" t="s">
        <v>2790</v>
      </c>
      <c r="L76" s="8">
        <v>17848306</v>
      </c>
      <c r="M76" s="8">
        <v>13502063</v>
      </c>
      <c r="N76" s="20" t="s">
        <v>3278</v>
      </c>
      <c r="O76" s="475">
        <v>8.4</v>
      </c>
      <c r="P76" s="20" t="s">
        <v>1786</v>
      </c>
      <c r="Q76" s="20" t="s">
        <v>1361</v>
      </c>
      <c r="R76" s="20" t="s">
        <v>3365</v>
      </c>
      <c r="S76" s="20" t="s">
        <v>3563</v>
      </c>
      <c r="T76" s="20" t="s">
        <v>1786</v>
      </c>
      <c r="U76" s="20" t="s">
        <v>1786</v>
      </c>
      <c r="V76" s="20" t="s">
        <v>1786</v>
      </c>
      <c r="W76" s="20" t="s">
        <v>1786</v>
      </c>
      <c r="X76" s="20" t="s">
        <v>1786</v>
      </c>
      <c r="Y76" s="20" t="s">
        <v>1786</v>
      </c>
      <c r="Z76" s="20" t="s">
        <v>1786</v>
      </c>
      <c r="AA76" s="87"/>
      <c r="AB76" s="87"/>
      <c r="AC76" s="87"/>
      <c r="AD76" s="87"/>
      <c r="AE76" s="87"/>
      <c r="AF76" s="87"/>
      <c r="AG76" s="87"/>
      <c r="AH76" s="490"/>
      <c r="AI76" s="490"/>
      <c r="AJ76" s="87"/>
      <c r="AK76" s="87"/>
      <c r="AL76" s="87"/>
      <c r="AM76" s="87"/>
      <c r="AN76" s="87"/>
      <c r="AO76" s="87"/>
      <c r="AP76" s="87"/>
      <c r="AQ76" s="87"/>
      <c r="AR76" s="87"/>
      <c r="AS76" s="87"/>
    </row>
    <row r="77" spans="1:45" x14ac:dyDescent="0.2">
      <c r="A77" s="20" t="s">
        <v>638</v>
      </c>
      <c r="B77" s="20" t="s">
        <v>3559</v>
      </c>
      <c r="C77" s="500" t="s">
        <v>2754</v>
      </c>
      <c r="D77" s="21" t="s">
        <v>3560</v>
      </c>
      <c r="E77" s="20" t="s">
        <v>3561</v>
      </c>
      <c r="F77" s="20">
        <v>2014</v>
      </c>
      <c r="G77" s="26">
        <f>81*235</f>
        <v>19035</v>
      </c>
      <c r="H77" s="26">
        <v>1990</v>
      </c>
      <c r="I77" s="20" t="s">
        <v>3274</v>
      </c>
      <c r="J77" s="20" t="s">
        <v>3562</v>
      </c>
      <c r="K77" s="20" t="s">
        <v>2790</v>
      </c>
      <c r="L77" s="8">
        <v>17848307</v>
      </c>
      <c r="M77" s="8">
        <v>13502064</v>
      </c>
      <c r="N77" s="20" t="s">
        <v>3278</v>
      </c>
      <c r="O77" s="475">
        <v>8.4</v>
      </c>
      <c r="P77" s="20" t="s">
        <v>1786</v>
      </c>
      <c r="Q77" s="20" t="s">
        <v>1361</v>
      </c>
      <c r="R77" s="20" t="s">
        <v>3365</v>
      </c>
      <c r="S77" s="20" t="s">
        <v>3358</v>
      </c>
      <c r="T77" s="20" t="s">
        <v>1786</v>
      </c>
      <c r="U77" s="20" t="s">
        <v>1786</v>
      </c>
      <c r="V77" s="20" t="s">
        <v>1786</v>
      </c>
      <c r="W77" s="20" t="s">
        <v>1786</v>
      </c>
      <c r="X77" s="20" t="s">
        <v>1786</v>
      </c>
      <c r="Y77" s="20" t="s">
        <v>1786</v>
      </c>
      <c r="Z77" s="20" t="s">
        <v>1786</v>
      </c>
      <c r="AA77" s="87"/>
      <c r="AB77" s="87"/>
      <c r="AC77" s="87"/>
      <c r="AD77" s="87"/>
      <c r="AE77" s="87"/>
      <c r="AF77" s="87"/>
      <c r="AG77" s="87"/>
      <c r="AH77" s="490"/>
      <c r="AI77" s="490"/>
      <c r="AJ77" s="87"/>
      <c r="AK77" s="87"/>
      <c r="AL77" s="87"/>
      <c r="AM77" s="87"/>
      <c r="AN77" s="87"/>
      <c r="AO77" s="87"/>
      <c r="AP77" s="87"/>
      <c r="AQ77" s="87"/>
      <c r="AR77" s="87"/>
      <c r="AS77" s="87"/>
    </row>
    <row r="78" spans="1:45" x14ac:dyDescent="0.2">
      <c r="A78" s="20" t="s">
        <v>638</v>
      </c>
      <c r="B78" s="21" t="s">
        <v>3559</v>
      </c>
      <c r="C78" s="500" t="s">
        <v>2754</v>
      </c>
      <c r="D78" s="21" t="s">
        <v>3560</v>
      </c>
      <c r="E78" s="20" t="s">
        <v>3564</v>
      </c>
      <c r="F78" s="20">
        <v>2014</v>
      </c>
      <c r="G78" s="26">
        <f>81/5*235</f>
        <v>3807</v>
      </c>
      <c r="H78" s="26">
        <v>1990</v>
      </c>
      <c r="I78" s="20" t="s">
        <v>3274</v>
      </c>
      <c r="J78" s="20" t="s">
        <v>3562</v>
      </c>
      <c r="K78" s="20" t="s">
        <v>2790</v>
      </c>
      <c r="L78" s="8">
        <v>17848202</v>
      </c>
      <c r="M78" s="8">
        <v>13505758</v>
      </c>
      <c r="N78" s="20" t="s">
        <v>3278</v>
      </c>
      <c r="O78" s="475">
        <v>4.5999999999999996</v>
      </c>
      <c r="P78" s="20" t="s">
        <v>1786</v>
      </c>
      <c r="Q78" s="20" t="s">
        <v>2484</v>
      </c>
      <c r="R78" s="20" t="s">
        <v>3565</v>
      </c>
      <c r="S78" s="20" t="s">
        <v>3563</v>
      </c>
      <c r="T78" s="20" t="s">
        <v>1786</v>
      </c>
      <c r="U78" s="20" t="s">
        <v>1786</v>
      </c>
      <c r="V78" s="20" t="s">
        <v>1786</v>
      </c>
      <c r="W78" s="20" t="s">
        <v>1786</v>
      </c>
      <c r="X78" s="20" t="s">
        <v>1786</v>
      </c>
      <c r="Y78" s="20" t="s">
        <v>1786</v>
      </c>
      <c r="Z78" s="20" t="s">
        <v>1786</v>
      </c>
      <c r="AA78" s="87"/>
      <c r="AB78" s="87"/>
      <c r="AC78" s="87"/>
      <c r="AD78" s="87"/>
      <c r="AE78" s="87"/>
      <c r="AF78" s="87"/>
      <c r="AG78" s="87"/>
      <c r="AH78" s="490"/>
      <c r="AI78" s="490"/>
      <c r="AJ78" s="87"/>
      <c r="AK78" s="87"/>
      <c r="AL78" s="87"/>
      <c r="AM78" s="87"/>
      <c r="AN78" s="87"/>
      <c r="AO78" s="87"/>
      <c r="AP78" s="87"/>
      <c r="AQ78" s="87"/>
      <c r="AR78" s="87"/>
      <c r="AS78" s="87"/>
    </row>
    <row r="79" spans="1:45" ht="22.5" x14ac:dyDescent="0.2">
      <c r="A79" s="20" t="s">
        <v>638</v>
      </c>
      <c r="B79" s="21" t="s">
        <v>3566</v>
      </c>
      <c r="C79" s="500" t="s">
        <v>2754</v>
      </c>
      <c r="D79" s="21" t="s">
        <v>3567</v>
      </c>
      <c r="E79" s="20" t="s">
        <v>3564</v>
      </c>
      <c r="F79" s="20">
        <v>2008</v>
      </c>
      <c r="G79" s="26">
        <f>(81+486)*235</f>
        <v>133245</v>
      </c>
      <c r="H79" s="26">
        <v>2550</v>
      </c>
      <c r="I79" s="20" t="s">
        <v>3274</v>
      </c>
      <c r="J79" s="21" t="s">
        <v>3568</v>
      </c>
      <c r="K79" s="20" t="s">
        <v>2790</v>
      </c>
      <c r="L79" s="8">
        <v>17848203</v>
      </c>
      <c r="M79" s="8">
        <v>13505759</v>
      </c>
      <c r="N79" s="20" t="s">
        <v>3278</v>
      </c>
      <c r="O79" s="475">
        <v>4.5999999999999996</v>
      </c>
      <c r="P79" s="20" t="s">
        <v>1786</v>
      </c>
      <c r="Q79" s="20" t="s">
        <v>2484</v>
      </c>
      <c r="R79" s="20" t="s">
        <v>3565</v>
      </c>
      <c r="S79" s="20" t="s">
        <v>3358</v>
      </c>
      <c r="T79" s="20" t="s">
        <v>1786</v>
      </c>
      <c r="U79" s="20" t="s">
        <v>1786</v>
      </c>
      <c r="V79" s="20" t="s">
        <v>1786</v>
      </c>
      <c r="W79" s="20" t="s">
        <v>1786</v>
      </c>
      <c r="X79" s="20" t="s">
        <v>1786</v>
      </c>
      <c r="Y79" s="20" t="s">
        <v>1786</v>
      </c>
      <c r="Z79" s="20" t="s">
        <v>1786</v>
      </c>
      <c r="AA79" s="87"/>
      <c r="AB79" s="87"/>
      <c r="AC79" s="87"/>
      <c r="AD79" s="87"/>
      <c r="AE79" s="87"/>
      <c r="AF79" s="87"/>
      <c r="AG79" s="87"/>
      <c r="AH79" s="490"/>
      <c r="AI79" s="490"/>
      <c r="AJ79" s="87"/>
      <c r="AK79" s="87"/>
      <c r="AL79" s="87"/>
      <c r="AM79" s="87"/>
      <c r="AN79" s="87"/>
      <c r="AO79" s="87"/>
      <c r="AP79" s="87"/>
      <c r="AQ79" s="87"/>
      <c r="AR79" s="87"/>
      <c r="AS79" s="87"/>
    </row>
    <row r="80" spans="1:45" x14ac:dyDescent="0.2">
      <c r="A80" s="20" t="s">
        <v>638</v>
      </c>
      <c r="B80" s="21" t="s">
        <v>3559</v>
      </c>
      <c r="C80" s="500" t="s">
        <v>2754</v>
      </c>
      <c r="D80" s="21" t="s">
        <v>3569</v>
      </c>
      <c r="E80" s="20" t="s">
        <v>3570</v>
      </c>
      <c r="F80" s="20">
        <v>2014</v>
      </c>
      <c r="G80" s="26">
        <f>821*235</f>
        <v>192935</v>
      </c>
      <c r="H80" s="26">
        <v>1990</v>
      </c>
      <c r="I80" s="20" t="s">
        <v>3274</v>
      </c>
      <c r="J80" s="20" t="s">
        <v>3571</v>
      </c>
      <c r="K80" s="20" t="s">
        <v>2790</v>
      </c>
      <c r="L80" s="8">
        <v>17848103</v>
      </c>
      <c r="M80" s="8">
        <v>13502050</v>
      </c>
      <c r="N80" s="20" t="s">
        <v>3278</v>
      </c>
      <c r="O80" s="475">
        <v>6.8</v>
      </c>
      <c r="P80" s="20" t="s">
        <v>1786</v>
      </c>
      <c r="Q80" s="20" t="s">
        <v>2484</v>
      </c>
      <c r="R80" s="20" t="s">
        <v>3357</v>
      </c>
      <c r="S80" s="20" t="s">
        <v>3358</v>
      </c>
      <c r="T80" s="20" t="s">
        <v>1786</v>
      </c>
      <c r="U80" s="20" t="s">
        <v>1786</v>
      </c>
      <c r="V80" s="20" t="s">
        <v>1786</v>
      </c>
      <c r="W80" s="20" t="s">
        <v>1786</v>
      </c>
      <c r="X80" s="20" t="s">
        <v>1786</v>
      </c>
      <c r="Y80" s="20" t="s">
        <v>1786</v>
      </c>
      <c r="Z80" s="20" t="s">
        <v>1786</v>
      </c>
      <c r="AA80" s="87"/>
      <c r="AB80" s="87"/>
      <c r="AC80" s="87"/>
      <c r="AD80" s="87"/>
      <c r="AE80" s="87"/>
      <c r="AF80" s="87"/>
      <c r="AG80" s="87"/>
      <c r="AH80" s="490"/>
      <c r="AI80" s="490"/>
      <c r="AJ80" s="87"/>
      <c r="AK80" s="87"/>
      <c r="AL80" s="87"/>
      <c r="AM80" s="87"/>
      <c r="AN80" s="87"/>
      <c r="AO80" s="87"/>
      <c r="AP80" s="87"/>
      <c r="AQ80" s="87"/>
      <c r="AR80" s="87"/>
      <c r="AS80" s="87"/>
    </row>
    <row r="81" spans="1:45" ht="12" thickBot="1" x14ac:dyDescent="0.25">
      <c r="A81" s="456" t="s">
        <v>638</v>
      </c>
      <c r="B81" s="457" t="s">
        <v>3556</v>
      </c>
      <c r="C81" s="501" t="s">
        <v>2754</v>
      </c>
      <c r="D81" s="457" t="s">
        <v>3572</v>
      </c>
      <c r="E81" s="456" t="s">
        <v>3555</v>
      </c>
      <c r="F81" s="456">
        <v>2008</v>
      </c>
      <c r="G81" s="458">
        <f>(324+81)*235</f>
        <v>95175</v>
      </c>
      <c r="H81" s="458">
        <v>2550</v>
      </c>
      <c r="I81" s="456" t="s">
        <v>3274</v>
      </c>
      <c r="J81" s="456" t="s">
        <v>3573</v>
      </c>
      <c r="K81" s="456" t="s">
        <v>2790</v>
      </c>
      <c r="L81" s="497">
        <v>17848405</v>
      </c>
      <c r="M81" s="497">
        <v>13588340</v>
      </c>
      <c r="N81" s="456" t="s">
        <v>3278</v>
      </c>
      <c r="O81" s="498">
        <v>5.3</v>
      </c>
      <c r="P81" s="456" t="s">
        <v>1786</v>
      </c>
      <c r="Q81" s="456" t="s">
        <v>1361</v>
      </c>
      <c r="R81" s="456" t="s">
        <v>3511</v>
      </c>
      <c r="S81" s="456" t="s">
        <v>3574</v>
      </c>
      <c r="T81" s="456" t="s">
        <v>1786</v>
      </c>
      <c r="U81" s="456" t="s">
        <v>1786</v>
      </c>
      <c r="V81" s="456" t="s">
        <v>1786</v>
      </c>
      <c r="W81" s="456" t="s">
        <v>1786</v>
      </c>
      <c r="X81" s="456" t="s">
        <v>1786</v>
      </c>
      <c r="Y81" s="456" t="s">
        <v>1786</v>
      </c>
      <c r="Z81" s="456" t="s">
        <v>1786</v>
      </c>
      <c r="AA81" s="87"/>
      <c r="AB81" s="87"/>
      <c r="AC81" s="87"/>
      <c r="AD81" s="87"/>
      <c r="AE81" s="87"/>
      <c r="AF81" s="87"/>
      <c r="AG81" s="87"/>
      <c r="AH81" s="490"/>
      <c r="AI81" s="490"/>
      <c r="AJ81" s="87"/>
      <c r="AK81" s="87"/>
      <c r="AL81" s="87"/>
      <c r="AM81" s="87"/>
      <c r="AN81" s="87"/>
      <c r="AO81" s="87"/>
      <c r="AP81" s="87"/>
      <c r="AQ81" s="87"/>
      <c r="AR81" s="87"/>
      <c r="AS81" s="87"/>
    </row>
    <row r="82" spans="1:45" ht="15.75" x14ac:dyDescent="0.25">
      <c r="A82" s="86"/>
      <c r="B82" s="86"/>
      <c r="C82" s="87"/>
      <c r="D82" s="87"/>
      <c r="E82" s="87"/>
      <c r="J82" s="87"/>
      <c r="K82" s="87"/>
      <c r="L82" s="503"/>
      <c r="M82" s="504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K82" s="87"/>
      <c r="AL82" s="87"/>
      <c r="AM82" s="87"/>
      <c r="AN82" s="87"/>
      <c r="AO82" s="87"/>
      <c r="AP82" s="87"/>
      <c r="AQ82" s="87"/>
      <c r="AR82" s="87"/>
      <c r="AS82" s="87"/>
    </row>
    <row r="83" spans="1:45" s="505" customFormat="1" ht="10.5" x14ac:dyDescent="0.15">
      <c r="B83" s="506" t="s">
        <v>1935</v>
      </c>
      <c r="G83" s="507"/>
      <c r="AC83" s="508"/>
      <c r="AD83" s="508"/>
      <c r="AF83" s="508"/>
      <c r="AG83" s="508"/>
      <c r="AH83" s="508"/>
      <c r="AI83" s="508"/>
      <c r="AJ83" s="508"/>
      <c r="AK83" s="508"/>
      <c r="AL83" s="508"/>
    </row>
    <row r="84" spans="1:45" s="505" customFormat="1" ht="10.5" x14ac:dyDescent="0.15">
      <c r="A84" s="509"/>
      <c r="B84" s="509"/>
      <c r="C84" s="508"/>
      <c r="D84" s="508"/>
      <c r="E84" s="508"/>
      <c r="F84" s="509"/>
      <c r="G84" s="510"/>
      <c r="H84" s="508"/>
      <c r="I84" s="509"/>
      <c r="J84" s="508"/>
      <c r="K84" s="508"/>
      <c r="L84" s="508"/>
      <c r="M84" s="508"/>
      <c r="N84" s="508"/>
      <c r="O84" s="508"/>
      <c r="P84" s="508"/>
      <c r="Q84" s="508"/>
      <c r="R84" s="508"/>
      <c r="S84" s="508"/>
      <c r="T84" s="508"/>
      <c r="U84" s="508"/>
      <c r="V84" s="508"/>
      <c r="W84" s="508"/>
      <c r="X84" s="508"/>
      <c r="Y84" s="508"/>
      <c r="Z84" s="508"/>
      <c r="AA84" s="508"/>
      <c r="AB84" s="508"/>
      <c r="AC84" s="508"/>
      <c r="AD84" s="508"/>
      <c r="AF84" s="508"/>
      <c r="AG84" s="508"/>
      <c r="AH84" s="508"/>
      <c r="AI84" s="508"/>
      <c r="AK84" s="508"/>
      <c r="AL84" s="508"/>
      <c r="AM84" s="508"/>
      <c r="AN84" s="508"/>
      <c r="AO84" s="508"/>
      <c r="AP84" s="508"/>
      <c r="AQ84" s="508"/>
      <c r="AR84" s="508"/>
      <c r="AS84" s="508"/>
    </row>
    <row r="85" spans="1:45" s="505" customFormat="1" ht="31.5" x14ac:dyDescent="0.15">
      <c r="A85" s="511" t="s">
        <v>2728</v>
      </c>
      <c r="B85" s="511" t="s">
        <v>2729</v>
      </c>
      <c r="C85" s="511" t="s">
        <v>2730</v>
      </c>
      <c r="D85" s="511" t="s">
        <v>2731</v>
      </c>
      <c r="E85" s="511" t="s">
        <v>2732</v>
      </c>
      <c r="F85" s="443" t="s">
        <v>2733</v>
      </c>
      <c r="G85" s="444" t="s">
        <v>2734</v>
      </c>
      <c r="H85" s="443" t="s">
        <v>2735</v>
      </c>
      <c r="I85" s="443" t="s">
        <v>2736</v>
      </c>
      <c r="J85" s="443" t="s">
        <v>2737</v>
      </c>
      <c r="K85" s="443" t="s">
        <v>2738</v>
      </c>
      <c r="L85" s="511" t="s">
        <v>2739</v>
      </c>
      <c r="M85" s="511" t="s">
        <v>2740</v>
      </c>
      <c r="N85" s="443" t="s">
        <v>2741</v>
      </c>
      <c r="O85" s="443" t="s">
        <v>2742</v>
      </c>
      <c r="P85" s="443" t="s">
        <v>3575</v>
      </c>
      <c r="Q85" s="443" t="s">
        <v>2743</v>
      </c>
      <c r="R85" s="511" t="s">
        <v>2744</v>
      </c>
      <c r="S85" s="443" t="s">
        <v>2745</v>
      </c>
      <c r="T85" s="443" t="s">
        <v>2746</v>
      </c>
      <c r="U85" s="443" t="s">
        <v>2747</v>
      </c>
      <c r="V85" s="443" t="s">
        <v>2748</v>
      </c>
      <c r="W85" s="443" t="s">
        <v>2749</v>
      </c>
      <c r="X85" s="511" t="s">
        <v>2750</v>
      </c>
      <c r="Y85" s="511" t="s">
        <v>2751</v>
      </c>
      <c r="Z85" s="511" t="s">
        <v>2752</v>
      </c>
      <c r="AC85" s="508"/>
      <c r="AD85" s="508"/>
      <c r="AE85" s="508"/>
      <c r="AF85" s="508"/>
      <c r="AG85" s="508"/>
      <c r="AH85" s="508"/>
      <c r="AI85" s="508"/>
      <c r="AK85" s="508"/>
      <c r="AL85" s="508"/>
    </row>
    <row r="86" spans="1:45" x14ac:dyDescent="0.2">
      <c r="A86" s="20" t="s">
        <v>638</v>
      </c>
      <c r="B86" s="20" t="s">
        <v>3576</v>
      </c>
      <c r="C86" s="20" t="s">
        <v>2276</v>
      </c>
      <c r="D86" s="20" t="s">
        <v>3577</v>
      </c>
      <c r="E86" s="20" t="s">
        <v>1738</v>
      </c>
      <c r="F86" s="21">
        <v>2013</v>
      </c>
      <c r="G86" s="28">
        <v>3055</v>
      </c>
      <c r="H86" s="28" t="s">
        <v>92</v>
      </c>
      <c r="I86" s="21" t="s">
        <v>3274</v>
      </c>
      <c r="J86" s="21" t="s">
        <v>3325</v>
      </c>
      <c r="K86" s="21" t="s">
        <v>2790</v>
      </c>
      <c r="L86" s="20" t="s">
        <v>3578</v>
      </c>
      <c r="M86" s="20" t="s">
        <v>3579</v>
      </c>
      <c r="N86" s="21"/>
      <c r="O86" s="28" t="s">
        <v>92</v>
      </c>
      <c r="P86" s="28" t="s">
        <v>92</v>
      </c>
      <c r="Q86" s="28" t="s">
        <v>92</v>
      </c>
      <c r="R86" s="28" t="s">
        <v>92</v>
      </c>
      <c r="S86" s="28" t="s">
        <v>92</v>
      </c>
      <c r="T86" s="28" t="s">
        <v>92</v>
      </c>
      <c r="U86" s="28" t="s">
        <v>92</v>
      </c>
      <c r="V86" s="28" t="s">
        <v>92</v>
      </c>
      <c r="W86" s="28" t="s">
        <v>92</v>
      </c>
      <c r="X86" s="28" t="s">
        <v>92</v>
      </c>
      <c r="Y86" s="28" t="s">
        <v>92</v>
      </c>
      <c r="Z86" s="28" t="s">
        <v>92</v>
      </c>
      <c r="AC86" s="87"/>
      <c r="AD86" s="87"/>
      <c r="AE86" s="87"/>
      <c r="AF86" s="87"/>
      <c r="AG86" s="87"/>
      <c r="AH86" s="87"/>
      <c r="AI86" s="87"/>
      <c r="AK86" s="87"/>
      <c r="AL86" s="87"/>
    </row>
    <row r="87" spans="1:45" x14ac:dyDescent="0.2">
      <c r="A87" s="20" t="s">
        <v>638</v>
      </c>
      <c r="B87" s="20" t="s">
        <v>3576</v>
      </c>
      <c r="C87" s="20" t="s">
        <v>2276</v>
      </c>
      <c r="D87" s="20" t="s">
        <v>3577</v>
      </c>
      <c r="E87" s="20" t="s">
        <v>1797</v>
      </c>
      <c r="F87" s="21">
        <v>2013</v>
      </c>
      <c r="G87" s="28">
        <v>3055</v>
      </c>
      <c r="H87" s="28" t="s">
        <v>92</v>
      </c>
      <c r="I87" s="21" t="s">
        <v>3274</v>
      </c>
      <c r="J87" s="21" t="s">
        <v>3325</v>
      </c>
      <c r="K87" s="21" t="s">
        <v>2790</v>
      </c>
      <c r="L87" s="20" t="s">
        <v>3580</v>
      </c>
      <c r="M87" s="20" t="s">
        <v>3581</v>
      </c>
      <c r="N87" s="21"/>
      <c r="O87" s="28" t="s">
        <v>92</v>
      </c>
      <c r="P87" s="28" t="s">
        <v>92</v>
      </c>
      <c r="Q87" s="28" t="s">
        <v>92</v>
      </c>
      <c r="R87" s="28" t="s">
        <v>92</v>
      </c>
      <c r="S87" s="28" t="s">
        <v>92</v>
      </c>
      <c r="T87" s="28" t="s">
        <v>92</v>
      </c>
      <c r="U87" s="28" t="s">
        <v>92</v>
      </c>
      <c r="V87" s="28" t="s">
        <v>92</v>
      </c>
      <c r="W87" s="28" t="s">
        <v>92</v>
      </c>
      <c r="X87" s="28" t="s">
        <v>92</v>
      </c>
      <c r="Y87" s="28" t="s">
        <v>92</v>
      </c>
      <c r="Z87" s="28" t="s">
        <v>92</v>
      </c>
      <c r="AC87" s="87"/>
      <c r="AD87" s="87"/>
      <c r="AE87" s="87"/>
      <c r="AF87" s="87"/>
      <c r="AG87" s="87"/>
      <c r="AH87" s="87"/>
      <c r="AI87" s="87"/>
      <c r="AK87" s="87"/>
      <c r="AL87" s="87"/>
    </row>
    <row r="88" spans="1:45" x14ac:dyDescent="0.2">
      <c r="A88" s="20" t="s">
        <v>638</v>
      </c>
      <c r="B88" s="20" t="s">
        <v>3582</v>
      </c>
      <c r="C88" s="20" t="s">
        <v>2276</v>
      </c>
      <c r="D88" s="20" t="s">
        <v>3583</v>
      </c>
      <c r="E88" s="20" t="s">
        <v>3584</v>
      </c>
      <c r="F88" s="21">
        <v>2009</v>
      </c>
      <c r="G88" s="28" t="s">
        <v>92</v>
      </c>
      <c r="H88" s="28" t="s">
        <v>92</v>
      </c>
      <c r="I88" s="21" t="s">
        <v>3274</v>
      </c>
      <c r="J88" s="28" t="s">
        <v>92</v>
      </c>
      <c r="K88" s="21" t="s">
        <v>2790</v>
      </c>
      <c r="L88" s="20" t="s">
        <v>3585</v>
      </c>
      <c r="M88" s="20" t="s">
        <v>3586</v>
      </c>
      <c r="N88" s="21" t="s">
        <v>3278</v>
      </c>
      <c r="O88" s="28" t="s">
        <v>92</v>
      </c>
      <c r="P88" s="28" t="s">
        <v>92</v>
      </c>
      <c r="Q88" s="28" t="s">
        <v>92</v>
      </c>
      <c r="R88" s="28" t="s">
        <v>92</v>
      </c>
      <c r="S88" s="28" t="s">
        <v>92</v>
      </c>
      <c r="T88" s="28" t="s">
        <v>92</v>
      </c>
      <c r="U88" s="28" t="s">
        <v>92</v>
      </c>
      <c r="V88" s="28" t="s">
        <v>92</v>
      </c>
      <c r="W88" s="28" t="s">
        <v>92</v>
      </c>
      <c r="X88" s="28" t="s">
        <v>92</v>
      </c>
      <c r="Y88" s="28" t="s">
        <v>92</v>
      </c>
      <c r="Z88" s="28" t="s">
        <v>92</v>
      </c>
      <c r="AC88" s="87"/>
      <c r="AD88" s="87"/>
      <c r="AE88" s="87"/>
      <c r="AF88" s="87"/>
      <c r="AG88" s="87"/>
      <c r="AH88" s="87"/>
      <c r="AI88" s="87"/>
      <c r="AK88" s="87"/>
      <c r="AL88" s="87"/>
    </row>
    <row r="89" spans="1:45" x14ac:dyDescent="0.2">
      <c r="A89" s="20" t="s">
        <v>638</v>
      </c>
      <c r="B89" s="20" t="s">
        <v>3582</v>
      </c>
      <c r="C89" s="20" t="s">
        <v>2276</v>
      </c>
      <c r="D89" s="20" t="s">
        <v>3583</v>
      </c>
      <c r="E89" s="20" t="s">
        <v>3587</v>
      </c>
      <c r="F89" s="21">
        <v>2009</v>
      </c>
      <c r="G89" s="28" t="s">
        <v>92</v>
      </c>
      <c r="H89" s="28" t="s">
        <v>92</v>
      </c>
      <c r="I89" s="21" t="s">
        <v>3274</v>
      </c>
      <c r="J89" s="28" t="s">
        <v>92</v>
      </c>
      <c r="K89" s="21" t="s">
        <v>2790</v>
      </c>
      <c r="L89" s="20" t="s">
        <v>3588</v>
      </c>
      <c r="M89" s="20" t="s">
        <v>3589</v>
      </c>
      <c r="N89" s="21" t="s">
        <v>3278</v>
      </c>
      <c r="O89" s="28" t="s">
        <v>92</v>
      </c>
      <c r="P89" s="28" t="s">
        <v>92</v>
      </c>
      <c r="Q89" s="28" t="s">
        <v>92</v>
      </c>
      <c r="R89" s="28" t="s">
        <v>92</v>
      </c>
      <c r="S89" s="28" t="s">
        <v>92</v>
      </c>
      <c r="T89" s="28" t="s">
        <v>92</v>
      </c>
      <c r="U89" s="28" t="s">
        <v>92</v>
      </c>
      <c r="V89" s="28" t="s">
        <v>92</v>
      </c>
      <c r="W89" s="28" t="s">
        <v>92</v>
      </c>
      <c r="X89" s="28" t="s">
        <v>92</v>
      </c>
      <c r="Y89" s="28" t="s">
        <v>92</v>
      </c>
      <c r="Z89" s="28" t="s">
        <v>92</v>
      </c>
      <c r="AC89" s="87"/>
      <c r="AD89" s="87"/>
      <c r="AE89" s="87"/>
      <c r="AF89" s="87"/>
      <c r="AG89" s="87"/>
      <c r="AH89" s="87"/>
      <c r="AI89" s="87"/>
      <c r="AK89" s="87"/>
      <c r="AL89" s="87"/>
    </row>
    <row r="90" spans="1:45" ht="22.5" x14ac:dyDescent="0.2">
      <c r="A90" s="20" t="s">
        <v>638</v>
      </c>
      <c r="B90" s="20" t="s">
        <v>3590</v>
      </c>
      <c r="C90" s="20" t="s">
        <v>2276</v>
      </c>
      <c r="D90" s="21" t="s">
        <v>3591</v>
      </c>
      <c r="E90" s="20" t="s">
        <v>3584</v>
      </c>
      <c r="F90" s="21">
        <v>2009</v>
      </c>
      <c r="G90" s="28" t="s">
        <v>92</v>
      </c>
      <c r="H90" s="28" t="s">
        <v>92</v>
      </c>
      <c r="I90" s="21" t="s">
        <v>3274</v>
      </c>
      <c r="J90" s="28" t="s">
        <v>92</v>
      </c>
      <c r="K90" s="21" t="s">
        <v>2790</v>
      </c>
      <c r="L90" s="20" t="s">
        <v>3592</v>
      </c>
      <c r="M90" s="20" t="s">
        <v>3593</v>
      </c>
      <c r="N90" s="21" t="s">
        <v>3278</v>
      </c>
      <c r="O90" s="28" t="s">
        <v>92</v>
      </c>
      <c r="P90" s="28" t="s">
        <v>92</v>
      </c>
      <c r="Q90" s="28" t="s">
        <v>92</v>
      </c>
      <c r="R90" s="28" t="s">
        <v>92</v>
      </c>
      <c r="S90" s="28" t="s">
        <v>92</v>
      </c>
      <c r="T90" s="28" t="s">
        <v>92</v>
      </c>
      <c r="U90" s="28" t="s">
        <v>92</v>
      </c>
      <c r="V90" s="28" t="s">
        <v>92</v>
      </c>
      <c r="W90" s="28" t="s">
        <v>92</v>
      </c>
      <c r="X90" s="28" t="s">
        <v>92</v>
      </c>
      <c r="Y90" s="28" t="s">
        <v>92</v>
      </c>
      <c r="Z90" s="28" t="s">
        <v>92</v>
      </c>
      <c r="AC90" s="87"/>
      <c r="AD90" s="87"/>
      <c r="AE90" s="87"/>
      <c r="AF90" s="87"/>
      <c r="AG90" s="87"/>
      <c r="AH90" s="87"/>
      <c r="AI90" s="87"/>
      <c r="AK90" s="87"/>
      <c r="AL90" s="87"/>
    </row>
    <row r="91" spans="1:45" ht="22.5" x14ac:dyDescent="0.2">
      <c r="A91" s="20" t="s">
        <v>638</v>
      </c>
      <c r="B91" s="20" t="s">
        <v>3590</v>
      </c>
      <c r="C91" s="20" t="s">
        <v>2276</v>
      </c>
      <c r="D91" s="21" t="s">
        <v>3591</v>
      </c>
      <c r="E91" s="20" t="s">
        <v>3587</v>
      </c>
      <c r="F91" s="21">
        <v>2009</v>
      </c>
      <c r="G91" s="28" t="s">
        <v>92</v>
      </c>
      <c r="H91" s="28" t="s">
        <v>92</v>
      </c>
      <c r="I91" s="21" t="s">
        <v>3274</v>
      </c>
      <c r="J91" s="28" t="s">
        <v>92</v>
      </c>
      <c r="K91" s="21" t="s">
        <v>2790</v>
      </c>
      <c r="L91" s="20" t="s">
        <v>3594</v>
      </c>
      <c r="M91" s="20" t="s">
        <v>3595</v>
      </c>
      <c r="N91" s="21" t="s">
        <v>3278</v>
      </c>
      <c r="O91" s="28" t="s">
        <v>92</v>
      </c>
      <c r="P91" s="28" t="s">
        <v>92</v>
      </c>
      <c r="Q91" s="28" t="s">
        <v>92</v>
      </c>
      <c r="R91" s="28" t="s">
        <v>92</v>
      </c>
      <c r="S91" s="28" t="s">
        <v>92</v>
      </c>
      <c r="T91" s="28" t="s">
        <v>92</v>
      </c>
      <c r="U91" s="28" t="s">
        <v>92</v>
      </c>
      <c r="V91" s="28" t="s">
        <v>92</v>
      </c>
      <c r="W91" s="28" t="s">
        <v>92</v>
      </c>
      <c r="X91" s="28" t="s">
        <v>92</v>
      </c>
      <c r="Y91" s="28" t="s">
        <v>92</v>
      </c>
      <c r="Z91" s="28" t="s">
        <v>92</v>
      </c>
      <c r="AC91" s="87"/>
      <c r="AD91" s="87"/>
      <c r="AE91" s="87"/>
      <c r="AF91" s="87"/>
      <c r="AG91" s="87"/>
      <c r="AH91" s="87"/>
      <c r="AI91" s="87"/>
      <c r="AK91" s="87"/>
      <c r="AL91" s="87"/>
    </row>
    <row r="92" spans="1:45" ht="22.5" x14ac:dyDescent="0.2">
      <c r="A92" s="20" t="s">
        <v>638</v>
      </c>
      <c r="B92" s="20" t="s">
        <v>3590</v>
      </c>
      <c r="C92" s="20" t="s">
        <v>2276</v>
      </c>
      <c r="D92" s="21" t="s">
        <v>3591</v>
      </c>
      <c r="E92" s="20" t="s">
        <v>3596</v>
      </c>
      <c r="F92" s="21">
        <v>2009</v>
      </c>
      <c r="G92" s="28" t="s">
        <v>92</v>
      </c>
      <c r="H92" s="28" t="s">
        <v>92</v>
      </c>
      <c r="I92" s="21" t="s">
        <v>3274</v>
      </c>
      <c r="J92" s="28" t="s">
        <v>92</v>
      </c>
      <c r="K92" s="21" t="s">
        <v>2790</v>
      </c>
      <c r="L92" s="20" t="s">
        <v>3597</v>
      </c>
      <c r="M92" s="20" t="s">
        <v>3598</v>
      </c>
      <c r="N92" s="21" t="s">
        <v>3278</v>
      </c>
      <c r="O92" s="28" t="s">
        <v>92</v>
      </c>
      <c r="P92" s="28" t="s">
        <v>92</v>
      </c>
      <c r="Q92" s="28" t="s">
        <v>92</v>
      </c>
      <c r="R92" s="28" t="s">
        <v>92</v>
      </c>
      <c r="S92" s="28" t="s">
        <v>92</v>
      </c>
      <c r="T92" s="28" t="s">
        <v>92</v>
      </c>
      <c r="U92" s="28" t="s">
        <v>92</v>
      </c>
      <c r="V92" s="28" t="s">
        <v>92</v>
      </c>
      <c r="W92" s="28" t="s">
        <v>92</v>
      </c>
      <c r="X92" s="28" t="s">
        <v>92</v>
      </c>
      <c r="Y92" s="28" t="s">
        <v>92</v>
      </c>
      <c r="Z92" s="28" t="s">
        <v>92</v>
      </c>
      <c r="AC92" s="87"/>
      <c r="AD92" s="87"/>
      <c r="AE92" s="87"/>
      <c r="AF92" s="87"/>
      <c r="AG92" s="87"/>
      <c r="AH92" s="87"/>
      <c r="AI92" s="87"/>
      <c r="AK92" s="87"/>
      <c r="AL92" s="87"/>
    </row>
    <row r="93" spans="1:45" x14ac:dyDescent="0.2">
      <c r="A93" s="20" t="s">
        <v>638</v>
      </c>
      <c r="B93" s="20" t="s">
        <v>3599</v>
      </c>
      <c r="C93" s="20" t="s">
        <v>2276</v>
      </c>
      <c r="D93" s="21" t="s">
        <v>3600</v>
      </c>
      <c r="E93" s="20" t="s">
        <v>3601</v>
      </c>
      <c r="F93" s="21">
        <v>2008</v>
      </c>
      <c r="G93" s="28" t="s">
        <v>92</v>
      </c>
      <c r="H93" s="28" t="s">
        <v>92</v>
      </c>
      <c r="I93" s="21" t="s">
        <v>3274</v>
      </c>
      <c r="J93" s="28" t="s">
        <v>92</v>
      </c>
      <c r="K93" s="21" t="s">
        <v>2790</v>
      </c>
      <c r="L93" s="20" t="s">
        <v>3602</v>
      </c>
      <c r="M93" s="20" t="s">
        <v>3603</v>
      </c>
      <c r="N93" s="21" t="s">
        <v>3278</v>
      </c>
      <c r="O93" s="28" t="s">
        <v>92</v>
      </c>
      <c r="P93" s="28" t="s">
        <v>92</v>
      </c>
      <c r="Q93" s="28" t="s">
        <v>92</v>
      </c>
      <c r="R93" s="28" t="s">
        <v>92</v>
      </c>
      <c r="S93" s="28" t="s">
        <v>92</v>
      </c>
      <c r="T93" s="28" t="s">
        <v>92</v>
      </c>
      <c r="U93" s="28" t="s">
        <v>92</v>
      </c>
      <c r="V93" s="28" t="s">
        <v>92</v>
      </c>
      <c r="W93" s="28" t="s">
        <v>92</v>
      </c>
      <c r="X93" s="28" t="s">
        <v>92</v>
      </c>
      <c r="Y93" s="28" t="s">
        <v>92</v>
      </c>
      <c r="Z93" s="28" t="s">
        <v>92</v>
      </c>
      <c r="AC93" s="87"/>
      <c r="AD93" s="87"/>
      <c r="AE93" s="87"/>
      <c r="AF93" s="87"/>
      <c r="AG93" s="87"/>
      <c r="AH93" s="87"/>
      <c r="AI93" s="87"/>
      <c r="AK93" s="87"/>
      <c r="AL93" s="87"/>
    </row>
    <row r="94" spans="1:45" x14ac:dyDescent="0.2">
      <c r="A94" s="20" t="s">
        <v>638</v>
      </c>
      <c r="B94" s="20" t="s">
        <v>3599</v>
      </c>
      <c r="C94" s="20" t="s">
        <v>2276</v>
      </c>
      <c r="D94" s="21" t="s">
        <v>3604</v>
      </c>
      <c r="E94" s="20" t="s">
        <v>3605</v>
      </c>
      <c r="F94" s="21">
        <v>2008</v>
      </c>
      <c r="G94" s="28" t="s">
        <v>92</v>
      </c>
      <c r="H94" s="28" t="s">
        <v>92</v>
      </c>
      <c r="I94" s="21" t="s">
        <v>3274</v>
      </c>
      <c r="J94" s="28" t="s">
        <v>92</v>
      </c>
      <c r="K94" s="21" t="s">
        <v>2790</v>
      </c>
      <c r="L94" s="20" t="s">
        <v>3606</v>
      </c>
      <c r="M94" s="20" t="s">
        <v>3607</v>
      </c>
      <c r="N94" s="21" t="s">
        <v>3278</v>
      </c>
      <c r="O94" s="28" t="s">
        <v>92</v>
      </c>
      <c r="P94" s="28" t="s">
        <v>92</v>
      </c>
      <c r="Q94" s="28" t="s">
        <v>92</v>
      </c>
      <c r="R94" s="28" t="s">
        <v>92</v>
      </c>
      <c r="S94" s="28" t="s">
        <v>92</v>
      </c>
      <c r="T94" s="28" t="s">
        <v>92</v>
      </c>
      <c r="U94" s="28" t="s">
        <v>92</v>
      </c>
      <c r="V94" s="28" t="s">
        <v>92</v>
      </c>
      <c r="W94" s="28" t="s">
        <v>92</v>
      </c>
      <c r="X94" s="28" t="s">
        <v>92</v>
      </c>
      <c r="Y94" s="28" t="s">
        <v>92</v>
      </c>
      <c r="Z94" s="28" t="s">
        <v>92</v>
      </c>
      <c r="AC94" s="87"/>
      <c r="AD94" s="87"/>
      <c r="AE94" s="87"/>
      <c r="AF94" s="87"/>
      <c r="AG94" s="87"/>
      <c r="AH94" s="87"/>
      <c r="AI94" s="87"/>
      <c r="AK94" s="87"/>
      <c r="AL94" s="87"/>
    </row>
    <row r="95" spans="1:45" x14ac:dyDescent="0.2">
      <c r="A95" s="20" t="s">
        <v>638</v>
      </c>
      <c r="B95" s="20" t="s">
        <v>3599</v>
      </c>
      <c r="C95" s="20" t="s">
        <v>2276</v>
      </c>
      <c r="D95" s="21" t="s">
        <v>3608</v>
      </c>
      <c r="E95" s="20" t="s">
        <v>3609</v>
      </c>
      <c r="F95" s="21">
        <v>2008</v>
      </c>
      <c r="G95" s="28" t="s">
        <v>92</v>
      </c>
      <c r="H95" s="28" t="s">
        <v>92</v>
      </c>
      <c r="I95" s="21" t="s">
        <v>3274</v>
      </c>
      <c r="J95" s="28" t="s">
        <v>92</v>
      </c>
      <c r="K95" s="21" t="s">
        <v>2790</v>
      </c>
      <c r="L95" s="20" t="s">
        <v>3610</v>
      </c>
      <c r="M95" s="20" t="s">
        <v>3611</v>
      </c>
      <c r="N95" s="21" t="s">
        <v>3278</v>
      </c>
      <c r="O95" s="28" t="s">
        <v>92</v>
      </c>
      <c r="P95" s="28" t="s">
        <v>92</v>
      </c>
      <c r="Q95" s="28" t="s">
        <v>92</v>
      </c>
      <c r="R95" s="28" t="s">
        <v>92</v>
      </c>
      <c r="S95" s="28" t="s">
        <v>92</v>
      </c>
      <c r="T95" s="28" t="s">
        <v>92</v>
      </c>
      <c r="U95" s="28" t="s">
        <v>92</v>
      </c>
      <c r="V95" s="28" t="s">
        <v>92</v>
      </c>
      <c r="W95" s="28" t="s">
        <v>92</v>
      </c>
      <c r="X95" s="28" t="s">
        <v>92</v>
      </c>
      <c r="Y95" s="28" t="s">
        <v>92</v>
      </c>
      <c r="Z95" s="28" t="s">
        <v>92</v>
      </c>
      <c r="AC95" s="87"/>
      <c r="AD95" s="87"/>
      <c r="AE95" s="87"/>
      <c r="AF95" s="87"/>
      <c r="AG95" s="87"/>
      <c r="AH95" s="87"/>
      <c r="AI95" s="87"/>
      <c r="AK95" s="87"/>
      <c r="AL95" s="87"/>
    </row>
    <row r="96" spans="1:45" x14ac:dyDescent="0.2">
      <c r="A96" s="20" t="s">
        <v>638</v>
      </c>
      <c r="B96" s="20" t="s">
        <v>3612</v>
      </c>
      <c r="C96" s="20" t="s">
        <v>2276</v>
      </c>
      <c r="D96" s="20" t="s">
        <v>3613</v>
      </c>
      <c r="E96" s="20" t="s">
        <v>3614</v>
      </c>
      <c r="F96" s="21">
        <v>2009</v>
      </c>
      <c r="G96" s="28" t="s">
        <v>92</v>
      </c>
      <c r="H96" s="28" t="s">
        <v>92</v>
      </c>
      <c r="I96" s="21" t="s">
        <v>3274</v>
      </c>
      <c r="J96" s="28" t="s">
        <v>92</v>
      </c>
      <c r="K96" s="21" t="s">
        <v>2790</v>
      </c>
      <c r="L96" s="20" t="s">
        <v>3615</v>
      </c>
      <c r="M96" s="20" t="s">
        <v>3616</v>
      </c>
      <c r="N96" s="21" t="s">
        <v>3278</v>
      </c>
      <c r="O96" s="28" t="s">
        <v>92</v>
      </c>
      <c r="P96" s="28" t="s">
        <v>92</v>
      </c>
      <c r="Q96" s="28" t="s">
        <v>92</v>
      </c>
      <c r="R96" s="28" t="s">
        <v>92</v>
      </c>
      <c r="S96" s="28" t="s">
        <v>92</v>
      </c>
      <c r="T96" s="28" t="s">
        <v>92</v>
      </c>
      <c r="U96" s="28" t="s">
        <v>92</v>
      </c>
      <c r="V96" s="28" t="s">
        <v>92</v>
      </c>
      <c r="W96" s="28" t="s">
        <v>92</v>
      </c>
      <c r="X96" s="28" t="s">
        <v>92</v>
      </c>
      <c r="Y96" s="28" t="s">
        <v>92</v>
      </c>
      <c r="Z96" s="28" t="s">
        <v>92</v>
      </c>
      <c r="AC96" s="87"/>
      <c r="AD96" s="87"/>
      <c r="AE96" s="87"/>
      <c r="AF96" s="87"/>
      <c r="AG96" s="87"/>
      <c r="AH96" s="87"/>
      <c r="AI96" s="87"/>
      <c r="AK96" s="87"/>
      <c r="AL96" s="87"/>
    </row>
    <row r="97" spans="1:45" ht="22.5" x14ac:dyDescent="0.2">
      <c r="A97" s="20" t="s">
        <v>638</v>
      </c>
      <c r="B97" s="21" t="s">
        <v>3617</v>
      </c>
      <c r="C97" s="20" t="s">
        <v>2276</v>
      </c>
      <c r="D97" s="20" t="s">
        <v>3618</v>
      </c>
      <c r="E97" s="20" t="s">
        <v>3619</v>
      </c>
      <c r="F97" s="21">
        <v>2009</v>
      </c>
      <c r="G97" s="28" t="s">
        <v>92</v>
      </c>
      <c r="H97" s="28" t="s">
        <v>92</v>
      </c>
      <c r="I97" s="21" t="s">
        <v>3274</v>
      </c>
      <c r="J97" s="28" t="s">
        <v>92</v>
      </c>
      <c r="K97" s="21" t="s">
        <v>2790</v>
      </c>
      <c r="L97" s="20" t="s">
        <v>3620</v>
      </c>
      <c r="M97" s="20" t="s">
        <v>3621</v>
      </c>
      <c r="N97" s="21" t="s">
        <v>3278</v>
      </c>
      <c r="O97" s="28" t="s">
        <v>92</v>
      </c>
      <c r="P97" s="28" t="s">
        <v>92</v>
      </c>
      <c r="Q97" s="28" t="s">
        <v>92</v>
      </c>
      <c r="R97" s="28" t="s">
        <v>92</v>
      </c>
      <c r="S97" s="28" t="s">
        <v>92</v>
      </c>
      <c r="T97" s="28" t="s">
        <v>92</v>
      </c>
      <c r="U97" s="28" t="s">
        <v>92</v>
      </c>
      <c r="V97" s="28" t="s">
        <v>92</v>
      </c>
      <c r="W97" s="28" t="s">
        <v>92</v>
      </c>
      <c r="X97" s="28" t="s">
        <v>92</v>
      </c>
      <c r="Y97" s="28" t="s">
        <v>92</v>
      </c>
      <c r="Z97" s="28" t="s">
        <v>92</v>
      </c>
      <c r="AC97" s="87"/>
      <c r="AD97" s="87"/>
      <c r="AE97" s="87"/>
      <c r="AF97" s="87"/>
      <c r="AG97" s="87"/>
      <c r="AH97" s="87"/>
      <c r="AI97" s="87"/>
      <c r="AK97" s="87"/>
      <c r="AL97" s="87"/>
    </row>
    <row r="98" spans="1:45" ht="22.5" x14ac:dyDescent="0.2">
      <c r="A98" s="20" t="s">
        <v>638</v>
      </c>
      <c r="B98" s="21" t="s">
        <v>3617</v>
      </c>
      <c r="C98" s="20" t="s">
        <v>2276</v>
      </c>
      <c r="D98" s="20" t="s">
        <v>3618</v>
      </c>
      <c r="E98" s="20" t="s">
        <v>3622</v>
      </c>
      <c r="F98" s="21">
        <v>2009</v>
      </c>
      <c r="G98" s="28" t="s">
        <v>92</v>
      </c>
      <c r="H98" s="28" t="s">
        <v>92</v>
      </c>
      <c r="I98" s="21" t="s">
        <v>3274</v>
      </c>
      <c r="J98" s="28" t="s">
        <v>92</v>
      </c>
      <c r="K98" s="21" t="s">
        <v>2790</v>
      </c>
      <c r="L98" s="20" t="s">
        <v>3623</v>
      </c>
      <c r="M98" s="20" t="s">
        <v>3624</v>
      </c>
      <c r="N98" s="21" t="s">
        <v>3278</v>
      </c>
      <c r="O98" s="28" t="s">
        <v>92</v>
      </c>
      <c r="P98" s="28" t="s">
        <v>92</v>
      </c>
      <c r="Q98" s="28" t="s">
        <v>92</v>
      </c>
      <c r="R98" s="28" t="s">
        <v>92</v>
      </c>
      <c r="S98" s="28" t="s">
        <v>92</v>
      </c>
      <c r="T98" s="28" t="s">
        <v>92</v>
      </c>
      <c r="U98" s="28" t="s">
        <v>92</v>
      </c>
      <c r="V98" s="28" t="s">
        <v>92</v>
      </c>
      <c r="W98" s="28" t="s">
        <v>92</v>
      </c>
      <c r="X98" s="28" t="s">
        <v>92</v>
      </c>
      <c r="Y98" s="28" t="s">
        <v>92</v>
      </c>
      <c r="Z98" s="28" t="s">
        <v>92</v>
      </c>
      <c r="AC98" s="87"/>
      <c r="AD98" s="87"/>
      <c r="AE98" s="87"/>
      <c r="AF98" s="87"/>
      <c r="AG98" s="87"/>
      <c r="AH98" s="87"/>
      <c r="AI98" s="87"/>
      <c r="AK98" s="87"/>
      <c r="AL98" s="87"/>
    </row>
    <row r="99" spans="1:45" ht="22.5" x14ac:dyDescent="0.2">
      <c r="A99" s="20" t="s">
        <v>638</v>
      </c>
      <c r="B99" s="21" t="s">
        <v>3617</v>
      </c>
      <c r="C99" s="20" t="s">
        <v>2276</v>
      </c>
      <c r="D99" s="20" t="s">
        <v>3618</v>
      </c>
      <c r="E99" s="20" t="s">
        <v>3619</v>
      </c>
      <c r="F99" s="21">
        <v>2009</v>
      </c>
      <c r="G99" s="28" t="s">
        <v>92</v>
      </c>
      <c r="H99" s="28" t="s">
        <v>92</v>
      </c>
      <c r="I99" s="21" t="s">
        <v>3274</v>
      </c>
      <c r="J99" s="28" t="s">
        <v>92</v>
      </c>
      <c r="K99" s="21" t="s">
        <v>2790</v>
      </c>
      <c r="L99" s="20" t="s">
        <v>3625</v>
      </c>
      <c r="M99" s="20" t="s">
        <v>3626</v>
      </c>
      <c r="N99" s="21" t="s">
        <v>3278</v>
      </c>
      <c r="O99" s="28" t="s">
        <v>92</v>
      </c>
      <c r="P99" s="28" t="s">
        <v>92</v>
      </c>
      <c r="Q99" s="28" t="s">
        <v>92</v>
      </c>
      <c r="R99" s="28" t="s">
        <v>92</v>
      </c>
      <c r="S99" s="28" t="s">
        <v>92</v>
      </c>
      <c r="T99" s="28" t="s">
        <v>92</v>
      </c>
      <c r="U99" s="28" t="s">
        <v>92</v>
      </c>
      <c r="V99" s="28" t="s">
        <v>92</v>
      </c>
      <c r="W99" s="28" t="s">
        <v>92</v>
      </c>
      <c r="X99" s="28" t="s">
        <v>92</v>
      </c>
      <c r="Y99" s="28" t="s">
        <v>92</v>
      </c>
      <c r="Z99" s="28" t="s">
        <v>92</v>
      </c>
      <c r="AC99" s="87"/>
      <c r="AD99" s="87"/>
      <c r="AE99" s="87"/>
      <c r="AF99" s="87"/>
      <c r="AG99" s="87"/>
      <c r="AH99" s="87"/>
      <c r="AI99" s="87"/>
      <c r="AK99" s="87"/>
      <c r="AL99" s="87"/>
    </row>
    <row r="100" spans="1:45" ht="22.5" x14ac:dyDescent="0.2">
      <c r="A100" s="20" t="s">
        <v>638</v>
      </c>
      <c r="B100" s="21" t="s">
        <v>3617</v>
      </c>
      <c r="C100" s="20" t="s">
        <v>2276</v>
      </c>
      <c r="D100" s="20" t="s">
        <v>3618</v>
      </c>
      <c r="E100" s="20" t="s">
        <v>3622</v>
      </c>
      <c r="F100" s="21">
        <v>2009</v>
      </c>
      <c r="G100" s="28" t="s">
        <v>92</v>
      </c>
      <c r="H100" s="28" t="s">
        <v>92</v>
      </c>
      <c r="I100" s="21" t="s">
        <v>3274</v>
      </c>
      <c r="J100" s="28" t="s">
        <v>92</v>
      </c>
      <c r="K100" s="21" t="s">
        <v>2790</v>
      </c>
      <c r="L100" s="20" t="s">
        <v>3627</v>
      </c>
      <c r="M100" s="20" t="s">
        <v>3628</v>
      </c>
      <c r="N100" s="21" t="s">
        <v>3278</v>
      </c>
      <c r="O100" s="28" t="s">
        <v>92</v>
      </c>
      <c r="P100" s="28" t="s">
        <v>92</v>
      </c>
      <c r="Q100" s="28" t="s">
        <v>92</v>
      </c>
      <c r="R100" s="28" t="s">
        <v>92</v>
      </c>
      <c r="S100" s="28" t="s">
        <v>92</v>
      </c>
      <c r="T100" s="28" t="s">
        <v>92</v>
      </c>
      <c r="U100" s="28" t="s">
        <v>92</v>
      </c>
      <c r="V100" s="28" t="s">
        <v>92</v>
      </c>
      <c r="W100" s="28" t="s">
        <v>92</v>
      </c>
      <c r="X100" s="28" t="s">
        <v>92</v>
      </c>
      <c r="Y100" s="28" t="s">
        <v>92</v>
      </c>
      <c r="Z100" s="28" t="s">
        <v>92</v>
      </c>
      <c r="AC100" s="87"/>
      <c r="AD100" s="87"/>
      <c r="AE100" s="87"/>
      <c r="AF100" s="87"/>
      <c r="AG100" s="87"/>
      <c r="AH100" s="87"/>
      <c r="AI100" s="87"/>
      <c r="AK100" s="87"/>
      <c r="AL100" s="87"/>
    </row>
    <row r="101" spans="1:45" x14ac:dyDescent="0.2">
      <c r="A101" s="20" t="s">
        <v>638</v>
      </c>
      <c r="B101" s="20" t="s">
        <v>3629</v>
      </c>
      <c r="C101" s="20" t="s">
        <v>2276</v>
      </c>
      <c r="D101" s="20" t="s">
        <v>3630</v>
      </c>
      <c r="E101" s="20" t="s">
        <v>1738</v>
      </c>
      <c r="F101" s="21">
        <v>2010</v>
      </c>
      <c r="G101" s="28" t="s">
        <v>92</v>
      </c>
      <c r="H101" s="28" t="s">
        <v>92</v>
      </c>
      <c r="I101" s="21" t="s">
        <v>3274</v>
      </c>
      <c r="J101" s="28" t="s">
        <v>92</v>
      </c>
      <c r="K101" s="21" t="s">
        <v>2790</v>
      </c>
      <c r="L101" s="20" t="s">
        <v>3631</v>
      </c>
      <c r="M101" s="20" t="s">
        <v>3632</v>
      </c>
      <c r="N101" s="21" t="s">
        <v>3278</v>
      </c>
      <c r="O101" s="28" t="s">
        <v>92</v>
      </c>
      <c r="P101" s="28" t="s">
        <v>92</v>
      </c>
      <c r="Q101" s="28" t="s">
        <v>92</v>
      </c>
      <c r="R101" s="28" t="s">
        <v>92</v>
      </c>
      <c r="S101" s="28" t="s">
        <v>92</v>
      </c>
      <c r="T101" s="28" t="s">
        <v>92</v>
      </c>
      <c r="U101" s="28" t="s">
        <v>92</v>
      </c>
      <c r="V101" s="28" t="s">
        <v>92</v>
      </c>
      <c r="W101" s="28" t="s">
        <v>92</v>
      </c>
      <c r="X101" s="28" t="s">
        <v>92</v>
      </c>
      <c r="Y101" s="28" t="s">
        <v>92</v>
      </c>
      <c r="Z101" s="28" t="s">
        <v>92</v>
      </c>
      <c r="AC101" s="87"/>
      <c r="AD101" s="87"/>
      <c r="AE101" s="87"/>
      <c r="AF101" s="87"/>
      <c r="AG101" s="87"/>
      <c r="AH101" s="87"/>
      <c r="AI101" s="87"/>
      <c r="AK101" s="87"/>
      <c r="AL101" s="87"/>
    </row>
    <row r="102" spans="1:45" x14ac:dyDescent="0.2">
      <c r="A102" s="20" t="s">
        <v>638</v>
      </c>
      <c r="B102" s="20" t="s">
        <v>3633</v>
      </c>
      <c r="C102" s="20" t="s">
        <v>2276</v>
      </c>
      <c r="D102" s="20" t="s">
        <v>3634</v>
      </c>
      <c r="E102" s="20" t="s">
        <v>3635</v>
      </c>
      <c r="F102" s="21">
        <v>2009</v>
      </c>
      <c r="G102" s="28" t="s">
        <v>92</v>
      </c>
      <c r="H102" s="28" t="s">
        <v>92</v>
      </c>
      <c r="I102" s="21" t="s">
        <v>3274</v>
      </c>
      <c r="J102" s="28" t="s">
        <v>92</v>
      </c>
      <c r="K102" s="21" t="s">
        <v>2790</v>
      </c>
      <c r="L102" s="20" t="s">
        <v>3636</v>
      </c>
      <c r="M102" s="20" t="s">
        <v>3637</v>
      </c>
      <c r="N102" s="21" t="s">
        <v>3278</v>
      </c>
      <c r="O102" s="28" t="s">
        <v>92</v>
      </c>
      <c r="P102" s="28" t="s">
        <v>92</v>
      </c>
      <c r="Q102" s="28" t="s">
        <v>92</v>
      </c>
      <c r="R102" s="28" t="s">
        <v>92</v>
      </c>
      <c r="S102" s="28" t="s">
        <v>92</v>
      </c>
      <c r="T102" s="28" t="s">
        <v>92</v>
      </c>
      <c r="U102" s="28" t="s">
        <v>92</v>
      </c>
      <c r="V102" s="28" t="s">
        <v>92</v>
      </c>
      <c r="W102" s="28" t="s">
        <v>92</v>
      </c>
      <c r="X102" s="28" t="s">
        <v>92</v>
      </c>
      <c r="Y102" s="28" t="s">
        <v>92</v>
      </c>
      <c r="Z102" s="28" t="s">
        <v>92</v>
      </c>
      <c r="AC102" s="87"/>
      <c r="AD102" s="87"/>
      <c r="AE102" s="87"/>
      <c r="AF102" s="87"/>
      <c r="AG102" s="87"/>
      <c r="AH102" s="87"/>
      <c r="AI102" s="87"/>
      <c r="AK102" s="87"/>
      <c r="AL102" s="87"/>
    </row>
    <row r="103" spans="1:45" x14ac:dyDescent="0.2">
      <c r="A103" s="20" t="s">
        <v>638</v>
      </c>
      <c r="B103" s="20" t="s">
        <v>3633</v>
      </c>
      <c r="C103" s="20" t="s">
        <v>2276</v>
      </c>
      <c r="D103" s="20" t="s">
        <v>3634</v>
      </c>
      <c r="E103" s="20" t="s">
        <v>3638</v>
      </c>
      <c r="F103" s="21">
        <v>2009</v>
      </c>
      <c r="G103" s="28" t="s">
        <v>92</v>
      </c>
      <c r="H103" s="28" t="s">
        <v>92</v>
      </c>
      <c r="I103" s="21" t="s">
        <v>3274</v>
      </c>
      <c r="J103" s="28" t="s">
        <v>92</v>
      </c>
      <c r="K103" s="21" t="s">
        <v>2790</v>
      </c>
      <c r="L103" s="20" t="s">
        <v>3639</v>
      </c>
      <c r="M103" s="20" t="s">
        <v>3640</v>
      </c>
      <c r="N103" s="21" t="s">
        <v>3278</v>
      </c>
      <c r="O103" s="28" t="s">
        <v>92</v>
      </c>
      <c r="P103" s="28" t="s">
        <v>92</v>
      </c>
      <c r="Q103" s="28" t="s">
        <v>92</v>
      </c>
      <c r="R103" s="28" t="s">
        <v>92</v>
      </c>
      <c r="S103" s="28" t="s">
        <v>92</v>
      </c>
      <c r="T103" s="28" t="s">
        <v>92</v>
      </c>
      <c r="U103" s="28" t="s">
        <v>92</v>
      </c>
      <c r="V103" s="28" t="s">
        <v>92</v>
      </c>
      <c r="W103" s="28" t="s">
        <v>92</v>
      </c>
      <c r="X103" s="28" t="s">
        <v>92</v>
      </c>
      <c r="Y103" s="28" t="s">
        <v>92</v>
      </c>
      <c r="Z103" s="28" t="s">
        <v>92</v>
      </c>
      <c r="AC103" s="87"/>
      <c r="AD103" s="87"/>
      <c r="AE103" s="87"/>
      <c r="AF103" s="87"/>
      <c r="AG103" s="87"/>
      <c r="AH103" s="87"/>
      <c r="AI103" s="87"/>
      <c r="AK103" s="87"/>
      <c r="AL103" s="87"/>
    </row>
    <row r="104" spans="1:45" x14ac:dyDescent="0.2">
      <c r="A104" s="20" t="s">
        <v>638</v>
      </c>
      <c r="B104" s="20" t="s">
        <v>3633</v>
      </c>
      <c r="C104" s="20" t="s">
        <v>2276</v>
      </c>
      <c r="D104" s="20" t="s">
        <v>3634</v>
      </c>
      <c r="E104" s="20" t="s">
        <v>3641</v>
      </c>
      <c r="F104" s="21">
        <v>2009</v>
      </c>
      <c r="G104" s="28" t="s">
        <v>92</v>
      </c>
      <c r="H104" s="28" t="s">
        <v>92</v>
      </c>
      <c r="I104" s="21" t="s">
        <v>3274</v>
      </c>
      <c r="J104" s="28" t="s">
        <v>92</v>
      </c>
      <c r="K104" s="21" t="s">
        <v>2790</v>
      </c>
      <c r="L104" s="20" t="s">
        <v>3642</v>
      </c>
      <c r="M104" s="20" t="s">
        <v>3643</v>
      </c>
      <c r="N104" s="21" t="s">
        <v>3278</v>
      </c>
      <c r="O104" s="28" t="s">
        <v>92</v>
      </c>
      <c r="P104" s="28" t="s">
        <v>92</v>
      </c>
      <c r="Q104" s="28" t="s">
        <v>92</v>
      </c>
      <c r="R104" s="28" t="s">
        <v>92</v>
      </c>
      <c r="S104" s="28" t="s">
        <v>92</v>
      </c>
      <c r="T104" s="28" t="s">
        <v>92</v>
      </c>
      <c r="U104" s="28" t="s">
        <v>92</v>
      </c>
      <c r="V104" s="28" t="s">
        <v>92</v>
      </c>
      <c r="W104" s="28" t="s">
        <v>92</v>
      </c>
      <c r="X104" s="28" t="s">
        <v>92</v>
      </c>
      <c r="Y104" s="28" t="s">
        <v>92</v>
      </c>
      <c r="Z104" s="28" t="s">
        <v>92</v>
      </c>
      <c r="AC104" s="87"/>
      <c r="AD104" s="87"/>
      <c r="AE104" s="87"/>
      <c r="AF104" s="87"/>
      <c r="AG104" s="87"/>
      <c r="AH104" s="87"/>
      <c r="AI104" s="87"/>
      <c r="AK104" s="87"/>
      <c r="AL104" s="87"/>
    </row>
    <row r="105" spans="1:45" x14ac:dyDescent="0.2">
      <c r="A105" s="20" t="s">
        <v>638</v>
      </c>
      <c r="B105" s="20" t="s">
        <v>3644</v>
      </c>
      <c r="C105" s="20" t="s">
        <v>2276</v>
      </c>
      <c r="D105" s="20" t="s">
        <v>3545</v>
      </c>
      <c r="E105" s="20" t="s">
        <v>3546</v>
      </c>
      <c r="F105" s="21">
        <v>2009</v>
      </c>
      <c r="G105" s="28" t="s">
        <v>92</v>
      </c>
      <c r="H105" s="28" t="s">
        <v>92</v>
      </c>
      <c r="I105" s="21" t="s">
        <v>3274</v>
      </c>
      <c r="J105" s="28" t="s">
        <v>92</v>
      </c>
      <c r="K105" s="21" t="s">
        <v>2790</v>
      </c>
      <c r="L105" s="20" t="s">
        <v>3645</v>
      </c>
      <c r="M105" s="20" t="s">
        <v>3646</v>
      </c>
      <c r="N105" s="21" t="s">
        <v>3278</v>
      </c>
      <c r="O105" s="28" t="s">
        <v>92</v>
      </c>
      <c r="P105" s="28" t="s">
        <v>92</v>
      </c>
      <c r="Q105" s="28" t="s">
        <v>92</v>
      </c>
      <c r="R105" s="28" t="s">
        <v>92</v>
      </c>
      <c r="S105" s="28" t="s">
        <v>92</v>
      </c>
      <c r="T105" s="28" t="s">
        <v>92</v>
      </c>
      <c r="U105" s="28" t="s">
        <v>92</v>
      </c>
      <c r="V105" s="28" t="s">
        <v>92</v>
      </c>
      <c r="W105" s="28" t="s">
        <v>92</v>
      </c>
      <c r="X105" s="28" t="s">
        <v>92</v>
      </c>
      <c r="Y105" s="28" t="s">
        <v>92</v>
      </c>
      <c r="Z105" s="28" t="s">
        <v>92</v>
      </c>
      <c r="AC105" s="490"/>
      <c r="AD105" s="490"/>
      <c r="AE105" s="490"/>
      <c r="AF105" s="490"/>
      <c r="AG105" s="490"/>
      <c r="AH105" s="490"/>
      <c r="AI105" s="490"/>
      <c r="AK105" s="490"/>
      <c r="AL105" s="490"/>
    </row>
    <row r="106" spans="1:45" ht="22.5" x14ac:dyDescent="0.2">
      <c r="A106" s="1069" t="s">
        <v>638</v>
      </c>
      <c r="B106" s="21" t="s">
        <v>2753</v>
      </c>
      <c r="C106" s="20" t="s">
        <v>2276</v>
      </c>
      <c r="D106" s="20" t="s">
        <v>2755</v>
      </c>
      <c r="E106" s="20" t="s">
        <v>2756</v>
      </c>
      <c r="F106" s="20">
        <v>2001</v>
      </c>
      <c r="G106" s="26">
        <v>75000</v>
      </c>
      <c r="H106" s="26">
        <v>2430</v>
      </c>
      <c r="I106" s="20" t="s">
        <v>2757</v>
      </c>
      <c r="J106" s="20" t="s">
        <v>2789</v>
      </c>
      <c r="K106" s="20" t="s">
        <v>2790</v>
      </c>
      <c r="L106" s="20" t="s">
        <v>2791</v>
      </c>
      <c r="M106" s="20" t="s">
        <v>2792</v>
      </c>
      <c r="N106" s="20" t="s">
        <v>1454</v>
      </c>
      <c r="O106" s="20">
        <v>20.5</v>
      </c>
      <c r="P106" s="20" t="s">
        <v>1402</v>
      </c>
      <c r="Q106" s="20" t="s">
        <v>2484</v>
      </c>
      <c r="R106" s="22">
        <v>275</v>
      </c>
      <c r="S106" s="20" t="s">
        <v>2793</v>
      </c>
      <c r="T106" s="20" t="s">
        <v>2794</v>
      </c>
      <c r="U106" s="20" t="s">
        <v>2795</v>
      </c>
      <c r="V106" s="20" t="s">
        <v>2796</v>
      </c>
      <c r="W106" s="20" t="s">
        <v>1127</v>
      </c>
      <c r="X106" s="20" t="s">
        <v>119</v>
      </c>
      <c r="Y106" s="20" t="s">
        <v>2797</v>
      </c>
      <c r="Z106" s="20" t="s">
        <v>2798</v>
      </c>
      <c r="AC106" s="87"/>
      <c r="AD106" s="87"/>
      <c r="AE106" s="87"/>
      <c r="AF106" s="87"/>
      <c r="AG106" s="87"/>
      <c r="AJ106" s="87"/>
      <c r="AK106" s="87"/>
      <c r="AL106" s="87"/>
    </row>
    <row r="107" spans="1:45" x14ac:dyDescent="0.2">
      <c r="A107" s="1069"/>
      <c r="B107" s="20" t="s">
        <v>2799</v>
      </c>
      <c r="C107" s="20" t="s">
        <v>2276</v>
      </c>
      <c r="D107" s="20"/>
      <c r="E107" s="20" t="s">
        <v>2756</v>
      </c>
      <c r="F107" s="20"/>
      <c r="G107" s="26">
        <v>30000</v>
      </c>
      <c r="H107" s="26">
        <v>2430</v>
      </c>
      <c r="I107" s="20" t="s">
        <v>2757</v>
      </c>
      <c r="J107" s="20" t="s">
        <v>2789</v>
      </c>
      <c r="K107" s="20" t="s">
        <v>2790</v>
      </c>
      <c r="L107" s="20" t="s">
        <v>2800</v>
      </c>
      <c r="M107" s="20" t="s">
        <v>2801</v>
      </c>
      <c r="N107" s="20" t="s">
        <v>1454</v>
      </c>
      <c r="O107" s="20"/>
      <c r="P107" s="20" t="s">
        <v>1402</v>
      </c>
      <c r="Q107" s="20" t="s">
        <v>2484</v>
      </c>
      <c r="R107" s="22">
        <v>275</v>
      </c>
      <c r="S107" s="20" t="s">
        <v>2793</v>
      </c>
      <c r="T107" s="20" t="s">
        <v>2794</v>
      </c>
      <c r="U107" s="20" t="s">
        <v>2795</v>
      </c>
      <c r="V107" s="20" t="s">
        <v>2796</v>
      </c>
      <c r="W107" s="20" t="s">
        <v>1127</v>
      </c>
      <c r="X107" s="20" t="s">
        <v>119</v>
      </c>
      <c r="Y107" s="20" t="s">
        <v>2797</v>
      </c>
      <c r="Z107" s="20" t="s">
        <v>2798</v>
      </c>
      <c r="AA107" s="87"/>
      <c r="AB107" s="87"/>
      <c r="AC107" s="87"/>
      <c r="AE107" s="87"/>
      <c r="AF107" s="87"/>
      <c r="AG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</row>
    <row r="108" spans="1:45" ht="22.5" x14ac:dyDescent="0.2">
      <c r="A108" s="1069"/>
      <c r="B108" s="21" t="s">
        <v>177</v>
      </c>
      <c r="C108" s="21" t="s">
        <v>178</v>
      </c>
      <c r="D108" s="21" t="s">
        <v>179</v>
      </c>
      <c r="E108" s="20" t="s">
        <v>2756</v>
      </c>
      <c r="F108" s="20">
        <v>2004</v>
      </c>
      <c r="G108" s="26">
        <v>162150</v>
      </c>
      <c r="H108" s="26">
        <v>2150</v>
      </c>
      <c r="I108" s="20" t="s">
        <v>180</v>
      </c>
      <c r="J108" s="20" t="s">
        <v>181</v>
      </c>
      <c r="K108" s="20" t="s">
        <v>2790</v>
      </c>
      <c r="L108" s="20" t="s">
        <v>819</v>
      </c>
      <c r="M108" s="20" t="s">
        <v>819</v>
      </c>
      <c r="N108" s="20" t="s">
        <v>1454</v>
      </c>
      <c r="O108" s="21" t="s">
        <v>1403</v>
      </c>
      <c r="P108" s="20" t="s">
        <v>1402</v>
      </c>
      <c r="Q108" s="20" t="s">
        <v>182</v>
      </c>
      <c r="R108" s="20" t="s">
        <v>183</v>
      </c>
      <c r="S108" s="20" t="s">
        <v>819</v>
      </c>
      <c r="T108" s="20" t="s">
        <v>184</v>
      </c>
      <c r="U108" s="20" t="s">
        <v>2795</v>
      </c>
      <c r="V108" s="20" t="s">
        <v>2796</v>
      </c>
      <c r="W108" s="20" t="s">
        <v>1127</v>
      </c>
      <c r="X108" s="20" t="s">
        <v>819</v>
      </c>
      <c r="Y108" s="20" t="s">
        <v>2797</v>
      </c>
      <c r="Z108" s="20" t="s">
        <v>2798</v>
      </c>
      <c r="AA108" s="87"/>
      <c r="AB108" s="87"/>
      <c r="AC108" s="87"/>
      <c r="AE108" s="87"/>
      <c r="AF108" s="87"/>
      <c r="AG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</row>
    <row r="109" spans="1:45" ht="22.5" x14ac:dyDescent="0.2">
      <c r="A109" s="1069"/>
      <c r="B109" s="21" t="s">
        <v>177</v>
      </c>
      <c r="C109" s="21" t="s">
        <v>178</v>
      </c>
      <c r="D109" s="21" t="s">
        <v>179</v>
      </c>
      <c r="E109" s="20" t="s">
        <v>185</v>
      </c>
      <c r="F109" s="20">
        <v>2004</v>
      </c>
      <c r="G109" s="26">
        <v>162150</v>
      </c>
      <c r="H109" s="26">
        <v>2150</v>
      </c>
      <c r="I109" s="20" t="s">
        <v>180</v>
      </c>
      <c r="J109" s="20" t="s">
        <v>181</v>
      </c>
      <c r="K109" s="20" t="s">
        <v>2790</v>
      </c>
      <c r="L109" s="20" t="s">
        <v>186</v>
      </c>
      <c r="M109" s="20" t="s">
        <v>187</v>
      </c>
      <c r="N109" s="20" t="s">
        <v>1454</v>
      </c>
      <c r="O109" s="21" t="s">
        <v>1455</v>
      </c>
      <c r="P109" s="20" t="s">
        <v>1402</v>
      </c>
      <c r="Q109" s="20" t="s">
        <v>1361</v>
      </c>
      <c r="R109" s="20" t="s">
        <v>2365</v>
      </c>
      <c r="S109" s="20" t="s">
        <v>819</v>
      </c>
      <c r="T109" s="20" t="s">
        <v>2366</v>
      </c>
      <c r="U109" s="20" t="s">
        <v>2795</v>
      </c>
      <c r="V109" s="20" t="s">
        <v>2796</v>
      </c>
      <c r="W109" s="20" t="s">
        <v>1127</v>
      </c>
      <c r="X109" s="20" t="s">
        <v>819</v>
      </c>
      <c r="Y109" s="20" t="s">
        <v>2797</v>
      </c>
      <c r="Z109" s="20" t="s">
        <v>2798</v>
      </c>
      <c r="AA109" s="87"/>
      <c r="AB109" s="87"/>
      <c r="AE109" s="87"/>
      <c r="AF109" s="87"/>
      <c r="AG109" s="87"/>
      <c r="AJ109" s="87"/>
      <c r="AM109" s="87"/>
      <c r="AN109" s="87"/>
      <c r="AO109" s="87"/>
      <c r="AP109" s="87"/>
      <c r="AQ109" s="87"/>
      <c r="AR109" s="87"/>
      <c r="AS109" s="87"/>
    </row>
    <row r="110" spans="1:45" x14ac:dyDescent="0.2">
      <c r="A110" s="1069"/>
      <c r="B110" s="21" t="s">
        <v>2367</v>
      </c>
      <c r="C110" s="21" t="s">
        <v>178</v>
      </c>
      <c r="D110" s="21" t="s">
        <v>2368</v>
      </c>
      <c r="E110" s="20" t="s">
        <v>2756</v>
      </c>
      <c r="F110" s="20">
        <v>2005</v>
      </c>
      <c r="G110" s="26">
        <v>180000</v>
      </c>
      <c r="H110" s="26">
        <v>3000</v>
      </c>
      <c r="I110" s="20" t="s">
        <v>819</v>
      </c>
      <c r="J110" s="20" t="s">
        <v>819</v>
      </c>
      <c r="K110" s="20" t="s">
        <v>2790</v>
      </c>
      <c r="L110" s="20" t="s">
        <v>2369</v>
      </c>
      <c r="M110" s="20" t="s">
        <v>819</v>
      </c>
      <c r="N110" s="20" t="s">
        <v>157</v>
      </c>
      <c r="O110" s="21">
        <v>25</v>
      </c>
      <c r="P110" s="20" t="s">
        <v>819</v>
      </c>
      <c r="Q110" s="20" t="s">
        <v>2370</v>
      </c>
      <c r="R110" s="20" t="s">
        <v>2371</v>
      </c>
      <c r="S110" s="20" t="s">
        <v>819</v>
      </c>
      <c r="T110" s="20" t="s">
        <v>2372</v>
      </c>
      <c r="U110" s="20" t="s">
        <v>2795</v>
      </c>
      <c r="V110" s="20" t="s">
        <v>2796</v>
      </c>
      <c r="W110" s="20" t="s">
        <v>1127</v>
      </c>
      <c r="X110" s="20" t="s">
        <v>819</v>
      </c>
      <c r="Y110" s="20" t="s">
        <v>2373</v>
      </c>
      <c r="Z110" s="20" t="s">
        <v>2798</v>
      </c>
      <c r="AA110" s="87"/>
      <c r="AB110" s="87"/>
      <c r="AE110" s="87"/>
      <c r="AF110" s="87"/>
      <c r="AG110" s="87"/>
      <c r="AJ110" s="87"/>
      <c r="AM110" s="87"/>
      <c r="AN110" s="87"/>
      <c r="AO110" s="87"/>
      <c r="AP110" s="87"/>
      <c r="AQ110" s="87"/>
      <c r="AR110" s="87"/>
      <c r="AS110" s="87"/>
    </row>
    <row r="111" spans="1:45" x14ac:dyDescent="0.2">
      <c r="A111" s="1069"/>
      <c r="B111" s="21" t="s">
        <v>2367</v>
      </c>
      <c r="C111" s="21" t="s">
        <v>178</v>
      </c>
      <c r="D111" s="21" t="s">
        <v>2368</v>
      </c>
      <c r="E111" s="21" t="s">
        <v>185</v>
      </c>
      <c r="F111" s="21">
        <v>2005</v>
      </c>
      <c r="G111" s="28">
        <v>180000</v>
      </c>
      <c r="H111" s="28">
        <v>3000</v>
      </c>
      <c r="I111" s="21" t="s">
        <v>819</v>
      </c>
      <c r="J111" s="21" t="s">
        <v>819</v>
      </c>
      <c r="K111" s="21" t="s">
        <v>2790</v>
      </c>
      <c r="L111" s="29" t="s">
        <v>2374</v>
      </c>
      <c r="M111" s="21" t="s">
        <v>819</v>
      </c>
      <c r="N111" s="20" t="s">
        <v>157</v>
      </c>
      <c r="O111" s="21">
        <v>22.5</v>
      </c>
      <c r="P111" s="21" t="s">
        <v>819</v>
      </c>
      <c r="Q111" s="21" t="s">
        <v>2370</v>
      </c>
      <c r="R111" s="21" t="s">
        <v>2375</v>
      </c>
      <c r="S111" s="21" t="s">
        <v>819</v>
      </c>
      <c r="T111" s="21" t="s">
        <v>2376</v>
      </c>
      <c r="U111" s="21" t="s">
        <v>2795</v>
      </c>
      <c r="V111" s="20" t="s">
        <v>2796</v>
      </c>
      <c r="W111" s="21" t="s">
        <v>1127</v>
      </c>
      <c r="X111" s="21" t="s">
        <v>819</v>
      </c>
      <c r="Y111" s="21" t="s">
        <v>2797</v>
      </c>
      <c r="Z111" s="21" t="s">
        <v>2798</v>
      </c>
      <c r="AA111" s="87"/>
      <c r="AB111" s="87"/>
      <c r="AE111" s="87"/>
      <c r="AJ111" s="87"/>
      <c r="AM111" s="87"/>
      <c r="AN111" s="87"/>
      <c r="AO111" s="87"/>
      <c r="AP111" s="87"/>
      <c r="AQ111" s="87"/>
      <c r="AR111" s="87"/>
      <c r="AS111" s="87"/>
    </row>
    <row r="112" spans="1:45" x14ac:dyDescent="0.2">
      <c r="A112" s="1069" t="s">
        <v>702</v>
      </c>
      <c r="B112" s="20" t="s">
        <v>2377</v>
      </c>
      <c r="C112" s="20" t="s">
        <v>2276</v>
      </c>
      <c r="D112" s="20" t="s">
        <v>2378</v>
      </c>
      <c r="E112" s="20" t="s">
        <v>2756</v>
      </c>
      <c r="F112" s="20">
        <v>1999</v>
      </c>
      <c r="G112" s="26">
        <v>300000</v>
      </c>
      <c r="H112" s="26">
        <v>2570</v>
      </c>
      <c r="I112" s="20" t="s">
        <v>2379</v>
      </c>
      <c r="J112" s="20" t="s">
        <v>2380</v>
      </c>
      <c r="K112" s="20" t="s">
        <v>2381</v>
      </c>
      <c r="L112" s="20" t="s">
        <v>2382</v>
      </c>
      <c r="M112" s="20" t="s">
        <v>2383</v>
      </c>
      <c r="N112" s="20" t="s">
        <v>2384</v>
      </c>
      <c r="O112" s="20">
        <v>22.7</v>
      </c>
      <c r="P112" s="20" t="s">
        <v>1404</v>
      </c>
      <c r="Q112" s="20" t="s">
        <v>2385</v>
      </c>
      <c r="R112" s="20" t="s">
        <v>2386</v>
      </c>
      <c r="S112" s="20" t="s">
        <v>819</v>
      </c>
      <c r="T112" s="20" t="s">
        <v>2387</v>
      </c>
      <c r="U112" s="20" t="s">
        <v>2795</v>
      </c>
      <c r="V112" s="20" t="s">
        <v>2388</v>
      </c>
      <c r="W112" s="20" t="s">
        <v>2389</v>
      </c>
      <c r="X112" s="20" t="s">
        <v>2390</v>
      </c>
      <c r="Y112" s="20" t="s">
        <v>2797</v>
      </c>
      <c r="Z112" s="20" t="s">
        <v>2391</v>
      </c>
      <c r="AA112" s="87"/>
      <c r="AB112" s="87"/>
      <c r="AE112" s="87"/>
      <c r="AJ112" s="87"/>
      <c r="AM112" s="87"/>
      <c r="AN112" s="87"/>
      <c r="AO112" s="87"/>
      <c r="AP112" s="87"/>
      <c r="AQ112" s="87"/>
      <c r="AR112" s="87"/>
      <c r="AS112" s="87"/>
    </row>
    <row r="113" spans="1:45" x14ac:dyDescent="0.2">
      <c r="A113" s="1069"/>
      <c r="B113" s="20" t="s">
        <v>2392</v>
      </c>
      <c r="C113" s="20" t="s">
        <v>2276</v>
      </c>
      <c r="D113" s="20" t="s">
        <v>2378</v>
      </c>
      <c r="E113" s="20" t="s">
        <v>2756</v>
      </c>
      <c r="F113" s="27">
        <v>2003.5</v>
      </c>
      <c r="G113" s="26">
        <v>300000</v>
      </c>
      <c r="H113" s="26">
        <v>2700</v>
      </c>
      <c r="I113" s="20" t="s">
        <v>2379</v>
      </c>
      <c r="J113" s="20" t="s">
        <v>2380</v>
      </c>
      <c r="K113" s="20" t="s">
        <v>700</v>
      </c>
      <c r="L113" s="20" t="s">
        <v>2393</v>
      </c>
      <c r="M113" s="20" t="s">
        <v>2394</v>
      </c>
      <c r="N113" s="20" t="s">
        <v>2384</v>
      </c>
      <c r="O113" s="20" t="s">
        <v>819</v>
      </c>
      <c r="P113" s="20" t="s">
        <v>1404</v>
      </c>
      <c r="Q113" s="20" t="s">
        <v>182</v>
      </c>
      <c r="R113" s="20" t="s">
        <v>2395</v>
      </c>
      <c r="S113" s="20" t="s">
        <v>819</v>
      </c>
      <c r="T113" s="20" t="s">
        <v>2396</v>
      </c>
      <c r="U113" s="20" t="s">
        <v>2795</v>
      </c>
      <c r="V113" s="20" t="s">
        <v>2796</v>
      </c>
      <c r="W113" s="20" t="s">
        <v>1127</v>
      </c>
      <c r="X113" s="20" t="s">
        <v>819</v>
      </c>
      <c r="Y113" s="20" t="s">
        <v>2797</v>
      </c>
      <c r="Z113" s="20" t="s">
        <v>275</v>
      </c>
      <c r="AA113" s="87"/>
      <c r="AB113" s="87"/>
      <c r="AE113" s="87"/>
      <c r="AJ113" s="87"/>
      <c r="AM113" s="87"/>
      <c r="AN113" s="87"/>
      <c r="AO113" s="87"/>
      <c r="AP113" s="87"/>
      <c r="AQ113" s="87"/>
      <c r="AR113" s="87"/>
      <c r="AS113" s="87"/>
    </row>
    <row r="114" spans="1:45" x14ac:dyDescent="0.2">
      <c r="A114" s="1069"/>
      <c r="B114" s="20" t="s">
        <v>2397</v>
      </c>
      <c r="C114" s="20" t="s">
        <v>178</v>
      </c>
      <c r="D114" s="20" t="s">
        <v>1929</v>
      </c>
      <c r="E114" s="20" t="s">
        <v>2756</v>
      </c>
      <c r="F114" s="20" t="s">
        <v>2398</v>
      </c>
      <c r="G114" s="26">
        <v>61000</v>
      </c>
      <c r="H114" s="26">
        <v>3175</v>
      </c>
      <c r="I114" s="20" t="s">
        <v>2399</v>
      </c>
      <c r="J114" s="20" t="s">
        <v>2400</v>
      </c>
      <c r="K114" s="20" t="s">
        <v>700</v>
      </c>
      <c r="L114" s="20">
        <v>136492</v>
      </c>
      <c r="M114" s="20" t="s">
        <v>2401</v>
      </c>
      <c r="N114" s="20" t="s">
        <v>2384</v>
      </c>
      <c r="O114" s="20">
        <v>33.299999999999997</v>
      </c>
      <c r="P114" s="20" t="s">
        <v>412</v>
      </c>
      <c r="Q114" s="20" t="s">
        <v>1361</v>
      </c>
      <c r="R114" s="20" t="s">
        <v>2402</v>
      </c>
      <c r="S114" s="20" t="s">
        <v>1127</v>
      </c>
      <c r="T114" s="20" t="s">
        <v>2403</v>
      </c>
      <c r="U114" s="20" t="s">
        <v>2404</v>
      </c>
      <c r="V114" s="20" t="s">
        <v>2388</v>
      </c>
      <c r="W114" s="20" t="s">
        <v>1127</v>
      </c>
      <c r="X114" s="20" t="s">
        <v>2405</v>
      </c>
      <c r="Y114" s="20" t="s">
        <v>2373</v>
      </c>
      <c r="Z114" s="20" t="s">
        <v>2406</v>
      </c>
      <c r="AA114" s="87"/>
      <c r="AB114" s="87"/>
      <c r="AE114" s="87"/>
      <c r="AJ114" s="87"/>
      <c r="AM114" s="87"/>
      <c r="AN114" s="87"/>
      <c r="AO114" s="87"/>
      <c r="AP114" s="87"/>
      <c r="AQ114" s="87"/>
      <c r="AR114" s="87"/>
      <c r="AS114" s="87"/>
    </row>
    <row r="115" spans="1:45" x14ac:dyDescent="0.2">
      <c r="A115" s="1069"/>
      <c r="B115" s="20" t="s">
        <v>2397</v>
      </c>
      <c r="C115" s="20" t="s">
        <v>2276</v>
      </c>
      <c r="D115" s="21" t="s">
        <v>304</v>
      </c>
      <c r="E115" s="20" t="s">
        <v>305</v>
      </c>
      <c r="F115" s="20">
        <v>1996</v>
      </c>
      <c r="G115" s="26">
        <v>114000</v>
      </c>
      <c r="H115" s="26">
        <v>4350</v>
      </c>
      <c r="I115" s="20" t="s">
        <v>2399</v>
      </c>
      <c r="J115" s="20" t="s">
        <v>2400</v>
      </c>
      <c r="K115" s="20" t="s">
        <v>700</v>
      </c>
      <c r="L115" s="20">
        <v>135393</v>
      </c>
      <c r="M115" s="20" t="s">
        <v>306</v>
      </c>
      <c r="N115" s="20" t="s">
        <v>2384</v>
      </c>
      <c r="O115" s="20">
        <v>40.4</v>
      </c>
      <c r="P115" s="20" t="s">
        <v>412</v>
      </c>
      <c r="Q115" s="20" t="s">
        <v>1361</v>
      </c>
      <c r="R115" s="20" t="s">
        <v>307</v>
      </c>
      <c r="S115" s="20" t="s">
        <v>1127</v>
      </c>
      <c r="T115" s="20" t="s">
        <v>308</v>
      </c>
      <c r="U115" s="20" t="s">
        <v>2404</v>
      </c>
      <c r="V115" s="20" t="s">
        <v>2388</v>
      </c>
      <c r="W115" s="20" t="s">
        <v>1127</v>
      </c>
      <c r="X115" s="20" t="s">
        <v>309</v>
      </c>
      <c r="Y115" s="20" t="s">
        <v>2373</v>
      </c>
      <c r="Z115" s="20" t="s">
        <v>2406</v>
      </c>
      <c r="AA115" s="87"/>
      <c r="AB115" s="87"/>
      <c r="AE115" s="87"/>
      <c r="AJ115" s="87"/>
      <c r="AM115" s="87"/>
      <c r="AN115" s="87"/>
      <c r="AO115" s="87"/>
      <c r="AP115" s="87"/>
      <c r="AQ115" s="87"/>
      <c r="AR115" s="87"/>
      <c r="AS115" s="87"/>
    </row>
    <row r="116" spans="1:45" x14ac:dyDescent="0.2">
      <c r="A116" s="1069"/>
      <c r="B116" s="20" t="s">
        <v>2397</v>
      </c>
      <c r="C116" s="20" t="s">
        <v>2276</v>
      </c>
      <c r="D116" s="21" t="s">
        <v>310</v>
      </c>
      <c r="E116" s="20" t="s">
        <v>305</v>
      </c>
      <c r="F116" s="20">
        <v>1996</v>
      </c>
      <c r="G116" s="26">
        <v>45000</v>
      </c>
      <c r="H116" s="26">
        <v>6370</v>
      </c>
      <c r="I116" s="20" t="s">
        <v>2399</v>
      </c>
      <c r="J116" s="20" t="s">
        <v>2400</v>
      </c>
      <c r="K116" s="20" t="s">
        <v>700</v>
      </c>
      <c r="L116" s="20">
        <v>135394</v>
      </c>
      <c r="M116" s="20" t="s">
        <v>311</v>
      </c>
      <c r="N116" s="20" t="s">
        <v>2384</v>
      </c>
      <c r="O116" s="20">
        <v>46</v>
      </c>
      <c r="P116" s="20" t="s">
        <v>412</v>
      </c>
      <c r="Q116" s="20" t="s">
        <v>1361</v>
      </c>
      <c r="R116" s="20" t="s">
        <v>307</v>
      </c>
      <c r="S116" s="20" t="s">
        <v>1127</v>
      </c>
      <c r="T116" s="20" t="s">
        <v>308</v>
      </c>
      <c r="U116" s="20" t="s">
        <v>2404</v>
      </c>
      <c r="V116" s="20" t="s">
        <v>2388</v>
      </c>
      <c r="W116" s="20" t="s">
        <v>1127</v>
      </c>
      <c r="X116" s="20" t="s">
        <v>309</v>
      </c>
      <c r="Y116" s="20" t="s">
        <v>2373</v>
      </c>
      <c r="Z116" s="20" t="s">
        <v>2406</v>
      </c>
      <c r="AA116" s="87"/>
      <c r="AB116" s="87"/>
      <c r="AE116" s="87"/>
      <c r="AJ116" s="87"/>
      <c r="AM116" s="87"/>
      <c r="AN116" s="87"/>
      <c r="AO116" s="87"/>
      <c r="AP116" s="87"/>
      <c r="AQ116" s="87"/>
      <c r="AR116" s="87"/>
      <c r="AS116" s="87"/>
    </row>
    <row r="117" spans="1:45" x14ac:dyDescent="0.2">
      <c r="A117" s="1069" t="s">
        <v>312</v>
      </c>
      <c r="B117" s="20"/>
      <c r="C117" s="20" t="s">
        <v>2276</v>
      </c>
      <c r="D117" s="20" t="s">
        <v>313</v>
      </c>
      <c r="E117" s="20" t="s">
        <v>305</v>
      </c>
      <c r="F117" s="20">
        <v>1997</v>
      </c>
      <c r="G117" s="26">
        <v>6000</v>
      </c>
      <c r="H117" s="26">
        <v>1450</v>
      </c>
      <c r="I117" s="20" t="s">
        <v>314</v>
      </c>
      <c r="J117" s="20" t="s">
        <v>315</v>
      </c>
      <c r="K117" s="20" t="s">
        <v>716</v>
      </c>
      <c r="L117" s="20"/>
      <c r="M117" s="20"/>
      <c r="N117" s="20" t="s">
        <v>157</v>
      </c>
      <c r="O117" s="20"/>
      <c r="P117" s="20" t="s">
        <v>1402</v>
      </c>
      <c r="Q117" s="20" t="s">
        <v>1450</v>
      </c>
      <c r="R117" s="20" t="s">
        <v>316</v>
      </c>
      <c r="S117" s="20" t="s">
        <v>317</v>
      </c>
      <c r="T117" s="20" t="s">
        <v>318</v>
      </c>
      <c r="U117" s="20" t="s">
        <v>319</v>
      </c>
      <c r="V117" s="20" t="s">
        <v>320</v>
      </c>
      <c r="W117" s="20" t="s">
        <v>1127</v>
      </c>
      <c r="X117" s="20"/>
      <c r="Y117" s="20"/>
      <c r="Z117" s="20" t="s">
        <v>1127</v>
      </c>
      <c r="AA117" s="87"/>
      <c r="AB117" s="87"/>
      <c r="AE117" s="87"/>
      <c r="AJ117" s="87"/>
      <c r="AM117" s="87"/>
      <c r="AN117" s="87"/>
      <c r="AO117" s="87"/>
      <c r="AP117" s="87"/>
      <c r="AQ117" s="87"/>
      <c r="AR117" s="87"/>
      <c r="AS117" s="87"/>
    </row>
    <row r="118" spans="1:45" x14ac:dyDescent="0.2">
      <c r="A118" s="1069"/>
      <c r="B118" s="20"/>
      <c r="C118" s="20" t="s">
        <v>2276</v>
      </c>
      <c r="D118" s="20" t="s">
        <v>313</v>
      </c>
      <c r="E118" s="21" t="s">
        <v>548</v>
      </c>
      <c r="F118" s="20">
        <v>1997</v>
      </c>
      <c r="G118" s="26">
        <v>6000</v>
      </c>
      <c r="H118" s="26">
        <v>1450</v>
      </c>
      <c r="I118" s="20" t="s">
        <v>314</v>
      </c>
      <c r="J118" s="20" t="s">
        <v>315</v>
      </c>
      <c r="K118" s="20" t="s">
        <v>716</v>
      </c>
      <c r="L118" s="20"/>
      <c r="M118" s="20"/>
      <c r="N118" s="20" t="s">
        <v>157</v>
      </c>
      <c r="O118" s="20"/>
      <c r="P118" s="20" t="s">
        <v>1402</v>
      </c>
      <c r="Q118" s="20" t="s">
        <v>1450</v>
      </c>
      <c r="R118" s="20" t="s">
        <v>316</v>
      </c>
      <c r="S118" s="21" t="s">
        <v>317</v>
      </c>
      <c r="T118" s="21" t="s">
        <v>2758</v>
      </c>
      <c r="U118" s="20" t="s">
        <v>319</v>
      </c>
      <c r="V118" s="20" t="s">
        <v>320</v>
      </c>
      <c r="W118" s="20" t="s">
        <v>1127</v>
      </c>
      <c r="X118" s="20" t="s">
        <v>2759</v>
      </c>
      <c r="Y118" s="20"/>
      <c r="Z118" s="20" t="s">
        <v>1127</v>
      </c>
      <c r="AA118" s="87"/>
      <c r="AB118" s="87"/>
      <c r="AE118" s="87"/>
      <c r="AJ118" s="87"/>
      <c r="AM118" s="87"/>
      <c r="AN118" s="87"/>
      <c r="AO118" s="87"/>
      <c r="AP118" s="87"/>
      <c r="AQ118" s="87"/>
      <c r="AR118" s="87"/>
      <c r="AS118" s="87"/>
    </row>
    <row r="119" spans="1:45" x14ac:dyDescent="0.2">
      <c r="A119" s="1080" t="s">
        <v>2760</v>
      </c>
      <c r="B119" s="20" t="s">
        <v>2761</v>
      </c>
      <c r="C119" s="21" t="s">
        <v>178</v>
      </c>
      <c r="D119" s="21" t="s">
        <v>2762</v>
      </c>
      <c r="E119" s="21" t="s">
        <v>2756</v>
      </c>
      <c r="F119" s="30">
        <v>2003.5</v>
      </c>
      <c r="G119" s="26">
        <v>160000</v>
      </c>
      <c r="H119" s="26">
        <v>3266</v>
      </c>
      <c r="I119" s="20" t="s">
        <v>2763</v>
      </c>
      <c r="J119" s="20" t="s">
        <v>2764</v>
      </c>
      <c r="K119" s="20" t="s">
        <v>2765</v>
      </c>
      <c r="L119" s="20" t="s">
        <v>819</v>
      </c>
      <c r="M119" s="20" t="s">
        <v>2766</v>
      </c>
      <c r="N119" s="20" t="s">
        <v>1454</v>
      </c>
      <c r="O119" s="20" t="s">
        <v>819</v>
      </c>
      <c r="P119" s="20" t="s">
        <v>413</v>
      </c>
      <c r="Q119" s="20" t="s">
        <v>197</v>
      </c>
      <c r="R119" s="20" t="s">
        <v>2767</v>
      </c>
      <c r="S119" s="21" t="s">
        <v>819</v>
      </c>
      <c r="T119" s="21" t="s">
        <v>2403</v>
      </c>
      <c r="U119" s="20" t="s">
        <v>2768</v>
      </c>
      <c r="V119" s="20" t="s">
        <v>2388</v>
      </c>
      <c r="W119" s="20" t="s">
        <v>819</v>
      </c>
      <c r="X119" s="20" t="s">
        <v>819</v>
      </c>
      <c r="Y119" s="20" t="s">
        <v>2373</v>
      </c>
      <c r="Z119" s="20" t="s">
        <v>2798</v>
      </c>
      <c r="AA119" s="87"/>
      <c r="AB119" s="87"/>
      <c r="AJ119" s="87"/>
      <c r="AM119" s="87"/>
      <c r="AN119" s="87"/>
      <c r="AO119" s="87"/>
      <c r="AP119" s="87"/>
      <c r="AQ119" s="87"/>
      <c r="AR119" s="87"/>
      <c r="AS119" s="87"/>
    </row>
    <row r="120" spans="1:45" x14ac:dyDescent="0.2">
      <c r="A120" s="1080"/>
      <c r="B120" s="21" t="s">
        <v>2761</v>
      </c>
      <c r="C120" s="21" t="s">
        <v>178</v>
      </c>
      <c r="D120" s="21" t="s">
        <v>2762</v>
      </c>
      <c r="E120" s="21" t="s">
        <v>185</v>
      </c>
      <c r="F120" s="30">
        <v>2003.5</v>
      </c>
      <c r="G120" s="26">
        <v>60000</v>
      </c>
      <c r="H120" s="28">
        <v>3266</v>
      </c>
      <c r="I120" s="21" t="s">
        <v>2763</v>
      </c>
      <c r="J120" s="21" t="s">
        <v>2769</v>
      </c>
      <c r="K120" s="21" t="s">
        <v>2765</v>
      </c>
      <c r="L120" s="21" t="s">
        <v>819</v>
      </c>
      <c r="M120" s="21" t="s">
        <v>876</v>
      </c>
      <c r="N120" s="21" t="s">
        <v>1454</v>
      </c>
      <c r="O120" s="21" t="s">
        <v>819</v>
      </c>
      <c r="P120" s="21" t="s">
        <v>414</v>
      </c>
      <c r="Q120" s="21" t="s">
        <v>197</v>
      </c>
      <c r="R120" s="21" t="s">
        <v>877</v>
      </c>
      <c r="S120" s="21" t="s">
        <v>819</v>
      </c>
      <c r="T120" s="21" t="s">
        <v>878</v>
      </c>
      <c r="U120" s="21" t="s">
        <v>2768</v>
      </c>
      <c r="V120" s="20" t="s">
        <v>2388</v>
      </c>
      <c r="W120" s="21" t="s">
        <v>819</v>
      </c>
      <c r="X120" s="21" t="s">
        <v>819</v>
      </c>
      <c r="Y120" s="21" t="s">
        <v>2797</v>
      </c>
      <c r="Z120" s="21" t="s">
        <v>879</v>
      </c>
      <c r="AA120" s="87"/>
      <c r="AB120" s="87"/>
      <c r="AM120" s="87"/>
      <c r="AN120" s="87"/>
      <c r="AO120" s="87"/>
      <c r="AP120" s="87"/>
      <c r="AQ120" s="87"/>
      <c r="AR120" s="87"/>
      <c r="AS120" s="87"/>
    </row>
  </sheetData>
  <customSheetViews>
    <customSheetView guid="{21F37784-ACDF-4AA9-A8FA-2D6F1A2FCD6C}" scale="85" fitToPage="1">
      <selection activeCell="I26" sqref="I26:I37"/>
      <colBreaks count="1" manualBreakCount="1">
        <brk id="14" max="1048575" man="1"/>
      </colBreaks>
      <pageMargins left="0.25" right="0.25" top="0.25" bottom="0.25" header="0.5" footer="0.5"/>
      <printOptions horizontalCentered="1"/>
      <pageSetup paperSize="17" scale="55" orientation="landscape" r:id="rId1"/>
      <headerFooter alignWithMargins="0"/>
    </customSheetView>
    <customSheetView guid="{BD983C39-643B-49A4-A851-3C307533663B}" scale="85" fitToPage="1">
      <selection activeCell="I26" sqref="I26:I37"/>
      <colBreaks count="1" manualBreakCount="1">
        <brk id="14" max="1048575" man="1"/>
      </colBreaks>
      <pageMargins left="0.25" right="0.25" top="0.25" bottom="0.25" header="0.5" footer="0.5"/>
      <printOptions horizontalCentered="1"/>
      <pageSetup paperSize="17" scale="55" orientation="landscape" r:id="rId2"/>
      <headerFooter alignWithMargins="0"/>
    </customSheetView>
  </customSheetViews>
  <mergeCells count="138">
    <mergeCell ref="A106:A111"/>
    <mergeCell ref="A112:A116"/>
    <mergeCell ref="A117:A118"/>
    <mergeCell ref="A119:A120"/>
    <mergeCell ref="U45:U71"/>
    <mergeCell ref="V45:V56"/>
    <mergeCell ref="A45:A71"/>
    <mergeCell ref="B45:B71"/>
    <mergeCell ref="C45:C71"/>
    <mergeCell ref="I45:I71"/>
    <mergeCell ref="W45:W56"/>
    <mergeCell ref="Y45:Y71"/>
    <mergeCell ref="Z45:Z71"/>
    <mergeCell ref="T57:T67"/>
    <mergeCell ref="X57:X71"/>
    <mergeCell ref="T68:T69"/>
    <mergeCell ref="T70:T71"/>
    <mergeCell ref="K45:K71"/>
    <mergeCell ref="N45:N71"/>
    <mergeCell ref="J38:J44"/>
    <mergeCell ref="K38:K44"/>
    <mergeCell ref="N38:N44"/>
    <mergeCell ref="Q38:Q44"/>
    <mergeCell ref="U38:U44"/>
    <mergeCell ref="Z38:Z44"/>
    <mergeCell ref="Y39:Y42"/>
    <mergeCell ref="Y43:Y44"/>
    <mergeCell ref="A38:A44"/>
    <mergeCell ref="B38:B44"/>
    <mergeCell ref="C38:C44"/>
    <mergeCell ref="F38:F44"/>
    <mergeCell ref="H38:H44"/>
    <mergeCell ref="I38:I44"/>
    <mergeCell ref="V26:V37"/>
    <mergeCell ref="W26:W37"/>
    <mergeCell ref="Z26:Z37"/>
    <mergeCell ref="D29:D30"/>
    <mergeCell ref="D31:D32"/>
    <mergeCell ref="D33:D34"/>
    <mergeCell ref="D35:D36"/>
    <mergeCell ref="I26:I37"/>
    <mergeCell ref="J26:J37"/>
    <mergeCell ref="K26:K37"/>
    <mergeCell ref="N26:N37"/>
    <mergeCell ref="Q26:Q37"/>
    <mergeCell ref="U26:U37"/>
    <mergeCell ref="A26:A37"/>
    <mergeCell ref="B26:B37"/>
    <mergeCell ref="C26:C37"/>
    <mergeCell ref="D26:D27"/>
    <mergeCell ref="F26:F37"/>
    <mergeCell ref="H26:H37"/>
    <mergeCell ref="K23:K25"/>
    <mergeCell ref="N23:N25"/>
    <mergeCell ref="Q23:Q25"/>
    <mergeCell ref="Y23:Y25"/>
    <mergeCell ref="Z23:Z25"/>
    <mergeCell ref="T24:T25"/>
    <mergeCell ref="X24:X25"/>
    <mergeCell ref="A23:A25"/>
    <mergeCell ref="B23:B25"/>
    <mergeCell ref="C23:C25"/>
    <mergeCell ref="H23:H25"/>
    <mergeCell ref="I23:I25"/>
    <mergeCell ref="J23:J24"/>
    <mergeCell ref="A19:A22"/>
    <mergeCell ref="B19:B22"/>
    <mergeCell ref="C19:C22"/>
    <mergeCell ref="D19:D20"/>
    <mergeCell ref="F19:F22"/>
    <mergeCell ref="G19:G20"/>
    <mergeCell ref="D21:D22"/>
    <mergeCell ref="G21:G22"/>
    <mergeCell ref="U23:U25"/>
    <mergeCell ref="Y16:Y18"/>
    <mergeCell ref="Z16:Z18"/>
    <mergeCell ref="I16:I18"/>
    <mergeCell ref="J16:J18"/>
    <mergeCell ref="K16:K18"/>
    <mergeCell ref="N16:N18"/>
    <mergeCell ref="P16:P18"/>
    <mergeCell ref="S16:S18"/>
    <mergeCell ref="H19:H20"/>
    <mergeCell ref="I19:I22"/>
    <mergeCell ref="J19:J22"/>
    <mergeCell ref="K19:K22"/>
    <mergeCell ref="N19:N22"/>
    <mergeCell ref="Q19:Q20"/>
    <mergeCell ref="H21:H22"/>
    <mergeCell ref="Q21:Q22"/>
    <mergeCell ref="N8:N11"/>
    <mergeCell ref="P8:P11"/>
    <mergeCell ref="R8:R11"/>
    <mergeCell ref="S8:S11"/>
    <mergeCell ref="X12:X15"/>
    <mergeCell ref="Y12:Y15"/>
    <mergeCell ref="Z12:Z15"/>
    <mergeCell ref="A16:A18"/>
    <mergeCell ref="B16:B18"/>
    <mergeCell ref="C16:C18"/>
    <mergeCell ref="E16:E18"/>
    <mergeCell ref="F16:F18"/>
    <mergeCell ref="G16:G17"/>
    <mergeCell ref="H16:H18"/>
    <mergeCell ref="R12:R15"/>
    <mergeCell ref="S12:S15"/>
    <mergeCell ref="T12:T15"/>
    <mergeCell ref="U12:U15"/>
    <mergeCell ref="V12:V15"/>
    <mergeCell ref="W12:W15"/>
    <mergeCell ref="U16:U18"/>
    <mergeCell ref="V16:V18"/>
    <mergeCell ref="W16:W18"/>
    <mergeCell ref="X16:X18"/>
    <mergeCell ref="A2:A7"/>
    <mergeCell ref="A8:A11"/>
    <mergeCell ref="B8:B11"/>
    <mergeCell ref="C8:C11"/>
    <mergeCell ref="E8:E11"/>
    <mergeCell ref="F8:F11"/>
    <mergeCell ref="Z8:Z11"/>
    <mergeCell ref="A12:A15"/>
    <mergeCell ref="B12:B15"/>
    <mergeCell ref="C12:C15"/>
    <mergeCell ref="E12:E15"/>
    <mergeCell ref="F12:F15"/>
    <mergeCell ref="I12:I15"/>
    <mergeCell ref="K12:K15"/>
    <mergeCell ref="N12:N15"/>
    <mergeCell ref="P12:P15"/>
    <mergeCell ref="T8:T11"/>
    <mergeCell ref="U8:U11"/>
    <mergeCell ref="V8:V11"/>
    <mergeCell ref="W8:W11"/>
    <mergeCell ref="X8:X11"/>
    <mergeCell ref="Y8:Y11"/>
    <mergeCell ref="I8:I11"/>
    <mergeCell ref="K8:K11"/>
  </mergeCells>
  <printOptions horizontalCentered="1"/>
  <pageMargins left="0.25" right="0.25" top="0.25" bottom="0.25" header="0.5" footer="0.5"/>
  <pageSetup paperSize="17" scale="55" orientation="landscape" r:id="rId3"/>
  <headerFooter alignWithMargins="0"/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Calipers</vt:lpstr>
      <vt:lpstr>Front Rotors</vt:lpstr>
      <vt:lpstr>Rear Rotors</vt:lpstr>
      <vt:lpstr>Hubs</vt:lpstr>
      <vt:lpstr>Uni-cast Front Rotor Assys</vt:lpstr>
      <vt:lpstr>Rotor Assys</vt:lpstr>
      <vt:lpstr>Drum &amp; DIH Brakes</vt:lpstr>
      <vt:lpstr>Drums</vt:lpstr>
      <vt:lpstr>Corner Modules</vt:lpstr>
      <vt:lpstr>Sheet1</vt:lpstr>
      <vt:lpstr>'Drum &amp; DIH Brakes'!Print_Area</vt:lpstr>
      <vt:lpstr>'Rear Rotors'!Print_Area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Porter</dc:creator>
  <cp:lastModifiedBy>Charles Giacomazza</cp:lastModifiedBy>
  <cp:lastPrinted>2012-05-21T13:36:42Z</cp:lastPrinted>
  <dcterms:created xsi:type="dcterms:W3CDTF">1996-10-14T23:33:28Z</dcterms:created>
  <dcterms:modified xsi:type="dcterms:W3CDTF">2020-03-09T12:49:13Z</dcterms:modified>
</cp:coreProperties>
</file>