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4"/>
  </bookViews>
  <sheets>
    <sheet name="Sheet1" sheetId="1" r:id="rId1"/>
    <sheet name="格式化" sheetId="2" r:id="rId2"/>
    <sheet name="Sheet3" sheetId="3" r:id="rId3"/>
    <sheet name="Sheet4" sheetId="4" r:id="rId4"/>
    <sheet name="分区表" sheetId="5" r:id="rId5"/>
    <sheet name="FAT文件分配表" sheetId="6" r:id="rId6"/>
    <sheet name="簇" sheetId="7" r:id="rId7"/>
    <sheet name="Sheet7" sheetId="8" r:id="rId8"/>
    <sheet name="Sheet8" sheetId="9" r:id="rId9"/>
  </sheets>
  <calcPr calcId="125725"/>
</workbook>
</file>

<file path=xl/calcChain.xml><?xml version="1.0" encoding="utf-8"?>
<calcChain xmlns="http://schemas.openxmlformats.org/spreadsheetml/2006/main">
  <c r="A80" i="5"/>
  <c r="C80"/>
  <c r="G80"/>
  <c r="E80"/>
  <c r="I80"/>
  <c r="J80" s="1"/>
  <c r="K80" s="1"/>
  <c r="L80" s="1"/>
  <c r="M80" s="1"/>
  <c r="N80" s="1"/>
  <c r="O80" s="1"/>
  <c r="P80" s="1"/>
  <c r="I76"/>
  <c r="J76" s="1"/>
  <c r="K76" s="1"/>
  <c r="L76" s="1"/>
  <c r="M76" s="1"/>
  <c r="N76" s="1"/>
  <c r="O76" s="1"/>
  <c r="P76" s="1"/>
  <c r="G76"/>
  <c r="F76"/>
  <c r="E76"/>
  <c r="C76"/>
  <c r="X78"/>
  <c r="Y78" s="1"/>
  <c r="X77"/>
  <c r="Y77" s="1"/>
  <c r="X75"/>
  <c r="Y75" s="1"/>
  <c r="X74"/>
  <c r="Y74" s="1"/>
  <c r="X73"/>
  <c r="Y73" s="1"/>
  <c r="X72"/>
  <c r="Y72" s="1"/>
  <c r="X71"/>
  <c r="Y71" s="1"/>
  <c r="Y70"/>
  <c r="X70"/>
  <c r="V69"/>
  <c r="V78"/>
  <c r="W78" s="1"/>
  <c r="V77"/>
  <c r="W77" s="1"/>
  <c r="V75"/>
  <c r="W75" s="1"/>
  <c r="V74"/>
  <c r="W74" s="1"/>
  <c r="V73"/>
  <c r="W73" s="1"/>
  <c r="V72"/>
  <c r="W72" s="1"/>
  <c r="V71"/>
  <c r="W71" s="1"/>
  <c r="W70"/>
  <c r="V70"/>
  <c r="U78"/>
  <c r="U77"/>
  <c r="U75"/>
  <c r="U74"/>
  <c r="U73"/>
  <c r="U72"/>
  <c r="U71"/>
  <c r="U70"/>
  <c r="F80" l="1"/>
  <c r="A75"/>
  <c r="I75"/>
  <c r="J75" s="1"/>
  <c r="K75" s="1"/>
  <c r="L75" s="1"/>
  <c r="M75" s="1"/>
  <c r="N75" s="1"/>
  <c r="O75" s="1"/>
  <c r="P75" s="1"/>
  <c r="G75"/>
  <c r="F75"/>
  <c r="E75"/>
  <c r="I78"/>
  <c r="J78" s="1"/>
  <c r="K78" s="1"/>
  <c r="L78" s="1"/>
  <c r="M78" s="1"/>
  <c r="N78" s="1"/>
  <c r="O78" s="1"/>
  <c r="P78" s="1"/>
  <c r="G78"/>
  <c r="F78"/>
  <c r="E78"/>
  <c r="C78"/>
  <c r="I77"/>
  <c r="J77" s="1"/>
  <c r="K77" s="1"/>
  <c r="L77" s="1"/>
  <c r="M77" s="1"/>
  <c r="N77" s="1"/>
  <c r="O77" s="1"/>
  <c r="P77" s="1"/>
  <c r="I74"/>
  <c r="J74" s="1"/>
  <c r="K74" s="1"/>
  <c r="L74" s="1"/>
  <c r="M74" s="1"/>
  <c r="N74" s="1"/>
  <c r="O74" s="1"/>
  <c r="P74" s="1"/>
  <c r="G74"/>
  <c r="F74"/>
  <c r="E74"/>
  <c r="C74"/>
  <c r="I73"/>
  <c r="J73" s="1"/>
  <c r="K73" s="1"/>
  <c r="L73" s="1"/>
  <c r="M73" s="1"/>
  <c r="N73" s="1"/>
  <c r="O73" s="1"/>
  <c r="P73" s="1"/>
  <c r="P68"/>
  <c r="P69"/>
  <c r="P70"/>
  <c r="P72"/>
  <c r="P71"/>
  <c r="A72"/>
  <c r="G72"/>
  <c r="I71"/>
  <c r="J71" s="1"/>
  <c r="K71" s="1"/>
  <c r="L71" s="1"/>
  <c r="M71" s="1"/>
  <c r="N71" s="1"/>
  <c r="O71" s="1"/>
  <c r="G71"/>
  <c r="F71"/>
  <c r="E71"/>
  <c r="C71"/>
  <c r="I68"/>
  <c r="J68" s="1"/>
  <c r="K68" s="1"/>
  <c r="L68" s="1"/>
  <c r="M68" s="1"/>
  <c r="N68" s="1"/>
  <c r="O68" s="1"/>
  <c r="J69"/>
  <c r="K69" s="1"/>
  <c r="L69" s="1"/>
  <c r="M69" s="1"/>
  <c r="N69" s="1"/>
  <c r="O69" s="1"/>
  <c r="I69"/>
  <c r="J70"/>
  <c r="K70" s="1"/>
  <c r="L70" s="1"/>
  <c r="M70" s="1"/>
  <c r="N70" s="1"/>
  <c r="O70" s="1"/>
  <c r="I70"/>
  <c r="G70"/>
  <c r="F70"/>
  <c r="E70"/>
  <c r="C70"/>
  <c r="G69"/>
  <c r="F69"/>
  <c r="E69"/>
  <c r="C69"/>
  <c r="G68"/>
  <c r="F68"/>
  <c r="E68"/>
  <c r="C68"/>
  <c r="M66"/>
  <c r="L66"/>
  <c r="K66"/>
  <c r="J66"/>
  <c r="I66"/>
  <c r="F21" i="6"/>
  <c r="D21"/>
  <c r="D23"/>
  <c r="D22"/>
  <c r="R33" i="5"/>
  <c r="AF33" s="1"/>
  <c r="AG33" s="1"/>
  <c r="AF32"/>
  <c r="AG32" s="1"/>
  <c r="AG30"/>
  <c r="AG29"/>
  <c r="AG28"/>
  <c r="AF30"/>
  <c r="AF29"/>
  <c r="AF28"/>
  <c r="F5" i="7"/>
  <c r="N5"/>
  <c r="N8" s="1"/>
  <c r="P3"/>
  <c r="Q2"/>
  <c r="Q6" s="1"/>
  <c r="Q9" s="1"/>
  <c r="F6"/>
  <c r="F4"/>
  <c r="O6"/>
  <c r="O9" s="1"/>
  <c r="N6"/>
  <c r="N9" s="1"/>
  <c r="M6"/>
  <c r="M9" s="1"/>
  <c r="L6"/>
  <c r="L9" s="1"/>
  <c r="K6"/>
  <c r="K9" s="1"/>
  <c r="J6"/>
  <c r="J9" s="1"/>
  <c r="O5"/>
  <c r="O8" s="1"/>
  <c r="M5"/>
  <c r="M8" s="1"/>
  <c r="K5"/>
  <c r="K8" s="1"/>
  <c r="I6"/>
  <c r="I9" s="1"/>
  <c r="P2"/>
  <c r="P5" s="1"/>
  <c r="P8" s="1"/>
  <c r="O2"/>
  <c r="N2"/>
  <c r="M2"/>
  <c r="L2"/>
  <c r="K2"/>
  <c r="J2"/>
  <c r="I2"/>
  <c r="O3"/>
  <c r="N3"/>
  <c r="M3"/>
  <c r="L3"/>
  <c r="K3"/>
  <c r="J3"/>
  <c r="A81"/>
  <c r="C6"/>
  <c r="C5"/>
  <c r="C4"/>
  <c r="M4" i="6"/>
  <c r="M3"/>
  <c r="M2"/>
  <c r="M1"/>
  <c r="L4"/>
  <c r="K4"/>
  <c r="L3"/>
  <c r="K3"/>
  <c r="L2"/>
  <c r="K2"/>
  <c r="L1"/>
  <c r="K1"/>
  <c r="J4"/>
  <c r="J3"/>
  <c r="J2"/>
  <c r="J1"/>
  <c r="I4"/>
  <c r="I3"/>
  <c r="I2"/>
  <c r="I1"/>
  <c r="H5"/>
  <c r="E4"/>
  <c r="F4" s="1"/>
  <c r="G4" s="1"/>
  <c r="H4" s="1"/>
  <c r="D4"/>
  <c r="D3"/>
  <c r="E3" s="1"/>
  <c r="F3" s="1"/>
  <c r="G3" s="1"/>
  <c r="H3" s="1"/>
  <c r="E2"/>
  <c r="F2" s="1"/>
  <c r="G2" s="1"/>
  <c r="H2" s="1"/>
  <c r="D2"/>
  <c r="H1"/>
  <c r="G1"/>
  <c r="F1"/>
  <c r="E1"/>
  <c r="D1"/>
  <c r="E77" i="5" l="1"/>
  <c r="G77"/>
  <c r="C77"/>
  <c r="F77"/>
  <c r="E73"/>
  <c r="G73"/>
  <c r="C73"/>
  <c r="F73"/>
  <c r="C72"/>
  <c r="F72"/>
  <c r="I72"/>
  <c r="J72" s="1"/>
  <c r="K72" s="1"/>
  <c r="L72" s="1"/>
  <c r="M72" s="1"/>
  <c r="N72" s="1"/>
  <c r="O72" s="1"/>
  <c r="E72"/>
  <c r="I5" i="7"/>
  <c r="I8" s="1"/>
  <c r="J5"/>
  <c r="J8" s="1"/>
  <c r="L5"/>
  <c r="L8" s="1"/>
  <c r="P6"/>
  <c r="P9" s="1"/>
  <c r="Q5"/>
  <c r="Q8" s="1"/>
  <c r="P4"/>
  <c r="P7" s="1"/>
  <c r="Q4"/>
  <c r="Q7" s="1"/>
  <c r="I4"/>
  <c r="I7" s="1"/>
  <c r="K4"/>
  <c r="K7" s="1"/>
  <c r="M4"/>
  <c r="M7" s="1"/>
  <c r="O4"/>
  <c r="O7" s="1"/>
  <c r="J4"/>
  <c r="J7" s="1"/>
  <c r="L4"/>
  <c r="L7" s="1"/>
  <c r="N4"/>
  <c r="N7" s="1"/>
  <c r="T32" i="5"/>
  <c r="U32" s="1"/>
  <c r="V32" s="1"/>
  <c r="W32" s="1"/>
  <c r="X32" s="1"/>
  <c r="Y32" s="1"/>
  <c r="Z32" s="1"/>
  <c r="AA32" s="1"/>
  <c r="AB32" s="1"/>
  <c r="AC32" s="1"/>
  <c r="R32"/>
  <c r="T30"/>
  <c r="U30" s="1"/>
  <c r="V30" s="1"/>
  <c r="W30" s="1"/>
  <c r="X30" s="1"/>
  <c r="Y30" s="1"/>
  <c r="Z30" s="1"/>
  <c r="AA30" s="1"/>
  <c r="AB30" s="1"/>
  <c r="AC30" s="1"/>
  <c r="T29"/>
  <c r="U29" s="1"/>
  <c r="V29" s="1"/>
  <c r="W29" s="1"/>
  <c r="X29" s="1"/>
  <c r="Y29" s="1"/>
  <c r="Z29" s="1"/>
  <c r="AA29" s="1"/>
  <c r="AB29" s="1"/>
  <c r="AC27"/>
  <c r="S27"/>
  <c r="V27"/>
  <c r="W27" s="1"/>
  <c r="X27" s="1"/>
  <c r="Y27" s="1"/>
  <c r="Z27" s="1"/>
  <c r="AA27" s="1"/>
  <c r="AB27" s="1"/>
  <c r="U27"/>
  <c r="AB28"/>
  <c r="AA28"/>
  <c r="Z28"/>
  <c r="Y28"/>
  <c r="X28"/>
  <c r="W28"/>
  <c r="V28"/>
  <c r="U28"/>
  <c r="T28"/>
  <c r="R28"/>
  <c r="R30"/>
  <c r="R29"/>
  <c r="A23"/>
  <c r="E23"/>
  <c r="I23"/>
  <c r="Q33"/>
  <c r="Q32"/>
  <c r="Q30"/>
  <c r="Q29"/>
  <c r="Q28"/>
  <c r="A21"/>
  <c r="E21"/>
  <c r="I21"/>
  <c r="A22"/>
  <c r="E22"/>
  <c r="I22"/>
  <c r="L24"/>
  <c r="K24"/>
  <c r="J24"/>
  <c r="A33"/>
  <c r="E33" s="1"/>
  <c r="I33" s="1"/>
  <c r="N33"/>
  <c r="L33"/>
  <c r="K33"/>
  <c r="J33"/>
  <c r="H33"/>
  <c r="O33" s="1"/>
  <c r="H32"/>
  <c r="O32" s="1"/>
  <c r="L32"/>
  <c r="K32"/>
  <c r="J32"/>
  <c r="L30"/>
  <c r="K30"/>
  <c r="J30"/>
  <c r="L29"/>
  <c r="K29"/>
  <c r="J29"/>
  <c r="L28"/>
  <c r="K28"/>
  <c r="J28"/>
  <c r="N32"/>
  <c r="E32"/>
  <c r="I32" s="1"/>
  <c r="H30"/>
  <c r="O30" s="1"/>
  <c r="E30"/>
  <c r="I30" s="1"/>
  <c r="H29"/>
  <c r="N29" s="1"/>
  <c r="E29"/>
  <c r="I29" s="1"/>
  <c r="M33" l="1"/>
  <c r="M32"/>
  <c r="N30"/>
  <c r="M30"/>
  <c r="M29"/>
  <c r="O29"/>
  <c r="H28" l="1"/>
  <c r="E28"/>
  <c r="I28" s="1"/>
  <c r="B9"/>
  <c r="B8"/>
  <c r="B7"/>
  <c r="B6"/>
  <c r="B5"/>
  <c r="B4"/>
  <c r="B3"/>
  <c r="B2"/>
  <c r="B1"/>
  <c r="B10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F2"/>
  <c r="G2" s="1"/>
  <c r="F1"/>
  <c r="G1" s="1"/>
  <c r="C9"/>
  <c r="D9" s="1"/>
  <c r="C8"/>
  <c r="D8" s="1"/>
  <c r="C7"/>
  <c r="D7" s="1"/>
  <c r="C6"/>
  <c r="D6" s="1"/>
  <c r="C5"/>
  <c r="D5" s="1"/>
  <c r="C4"/>
  <c r="D4" s="1"/>
  <c r="C3"/>
  <c r="D3" s="1"/>
  <c r="C2"/>
  <c r="D2" s="1"/>
  <c r="C1"/>
  <c r="Z8"/>
  <c r="Z7"/>
  <c r="Z6"/>
  <c r="Z5"/>
  <c r="Z4"/>
  <c r="Z3"/>
  <c r="Z2"/>
  <c r="Z1"/>
  <c r="X1"/>
  <c r="W2" s="1"/>
  <c r="V8"/>
  <c r="V7"/>
  <c r="V6"/>
  <c r="V5"/>
  <c r="V4"/>
  <c r="V3"/>
  <c r="V2"/>
  <c r="V1"/>
  <c r="I11"/>
  <c r="N11" s="1"/>
  <c r="I10"/>
  <c r="N10" s="1"/>
  <c r="I9"/>
  <c r="J9" s="1"/>
  <c r="K9" s="1"/>
  <c r="I8"/>
  <c r="N8" s="1"/>
  <c r="I7"/>
  <c r="J7" s="1"/>
  <c r="K7" s="1"/>
  <c r="I6"/>
  <c r="N6" s="1"/>
  <c r="I5"/>
  <c r="J5" s="1"/>
  <c r="K5" s="1"/>
  <c r="I4"/>
  <c r="N4" s="1"/>
  <c r="I3"/>
  <c r="J3" s="1"/>
  <c r="K3" s="1"/>
  <c r="I2"/>
  <c r="N2" s="1"/>
  <c r="S2" s="1"/>
  <c r="I1"/>
  <c r="O1" s="1"/>
  <c r="B5" i="4"/>
  <c r="B6"/>
  <c r="B4"/>
  <c r="D6" s="1"/>
  <c r="E6" s="1"/>
  <c r="B3"/>
  <c r="H3" i="3"/>
  <c r="I3" s="1"/>
  <c r="H4" s="1"/>
  <c r="I4" s="1"/>
  <c r="H5" s="1"/>
  <c r="I5" s="1"/>
  <c r="H6" s="1"/>
  <c r="I6" s="1"/>
  <c r="H7" s="1"/>
  <c r="I7" s="1"/>
  <c r="H8" s="1"/>
  <c r="I8" s="1"/>
  <c r="H9" s="1"/>
  <c r="I9" s="1"/>
  <c r="I2"/>
  <c r="B3"/>
  <c r="E3" s="1"/>
  <c r="E4" s="1"/>
  <c r="C2"/>
  <c r="E2" s="1"/>
  <c r="J4" i="1"/>
  <c r="K4" s="1"/>
  <c r="J3"/>
  <c r="K3" s="1"/>
  <c r="J2"/>
  <c r="K2" s="1"/>
  <c r="K5"/>
  <c r="J5"/>
  <c r="I4"/>
  <c r="I5"/>
  <c r="C5"/>
  <c r="G5" s="1"/>
  <c r="H5" s="1"/>
  <c r="I3"/>
  <c r="I2"/>
  <c r="C4"/>
  <c r="G4" s="1"/>
  <c r="H4" s="1"/>
  <c r="C3"/>
  <c r="E3" s="1"/>
  <c r="C2"/>
  <c r="E2" s="1"/>
  <c r="X2" i="5" l="1"/>
  <c r="W3" s="1"/>
  <c r="L3"/>
  <c r="L5"/>
  <c r="L7"/>
  <c r="L9"/>
  <c r="L4"/>
  <c r="M4" s="1"/>
  <c r="L8"/>
  <c r="M8" s="1"/>
  <c r="O28"/>
  <c r="N28"/>
  <c r="M28"/>
  <c r="N5"/>
  <c r="Y1"/>
  <c r="O2"/>
  <c r="O4"/>
  <c r="O6"/>
  <c r="O8"/>
  <c r="O10"/>
  <c r="J1"/>
  <c r="K1" s="1"/>
  <c r="L1" s="1"/>
  <c r="M1" s="1"/>
  <c r="J2"/>
  <c r="K2" s="1"/>
  <c r="L2" s="1"/>
  <c r="J4"/>
  <c r="K4" s="1"/>
  <c r="J6"/>
  <c r="K6" s="1"/>
  <c r="L6" s="1"/>
  <c r="M6" s="1"/>
  <c r="J8"/>
  <c r="K8" s="1"/>
  <c r="J10"/>
  <c r="K10" s="1"/>
  <c r="L10" s="1"/>
  <c r="N3"/>
  <c r="N7"/>
  <c r="N9"/>
  <c r="O3"/>
  <c r="O5"/>
  <c r="O7"/>
  <c r="O9"/>
  <c r="B11"/>
  <c r="B12" s="1"/>
  <c r="B13" s="1"/>
  <c r="B14" s="1"/>
  <c r="B15" s="1"/>
  <c r="B16" s="1"/>
  <c r="B17" s="1"/>
  <c r="G2" i="1"/>
  <c r="H2" s="1"/>
  <c r="E4"/>
  <c r="E5"/>
  <c r="G3"/>
  <c r="H3" s="1"/>
  <c r="M2" i="5" l="1"/>
  <c r="M9"/>
  <c r="M5"/>
  <c r="Y2"/>
  <c r="X3"/>
  <c r="W4" s="1"/>
  <c r="Y3"/>
  <c r="M7"/>
  <c r="M3"/>
  <c r="X4" l="1"/>
  <c r="W5" s="1"/>
  <c r="Y4"/>
  <c r="X5" l="1"/>
  <c r="W6" s="1"/>
  <c r="Y5"/>
  <c r="X6" l="1"/>
  <c r="W7" s="1"/>
  <c r="Y6"/>
  <c r="X7" l="1"/>
  <c r="W8" s="1"/>
  <c r="Y7"/>
  <c r="X8" l="1"/>
  <c r="Y8"/>
</calcChain>
</file>

<file path=xl/sharedStrings.xml><?xml version="1.0" encoding="utf-8"?>
<sst xmlns="http://schemas.openxmlformats.org/spreadsheetml/2006/main" count="467" uniqueCount="259">
  <si>
    <t>FAT</t>
    <phoneticPr fontId="1"/>
  </si>
  <si>
    <t>簇</t>
    <phoneticPr fontId="1"/>
  </si>
  <si>
    <t>1.44-16</t>
    <phoneticPr fontId="1"/>
  </si>
  <si>
    <t>17-512</t>
    <phoneticPr fontId="1"/>
  </si>
  <si>
    <t>513-MAX</t>
    <phoneticPr fontId="1"/>
  </si>
  <si>
    <t>..\qemu-img create -f qcow2 qcow2_10m.qcow2 10M</t>
  </si>
  <si>
    <t>Formating 'qcow2_10m.qcow2', fmt=qcow2, size=10240 kB</t>
  </si>
  <si>
    <t>..\qemu-img create -f qcow2 qcow2_20m.qcow2 20M</t>
  </si>
  <si>
    <t>Formating 'qcow2_20m.qcow2', fmt=qcow2, size=20480 kB</t>
  </si>
  <si>
    <t>..\qemu-img create -f qcow2 qcow2_600m.qcow2 600M</t>
  </si>
  <si>
    <t>Formating 'qcow2_600m.qcow2', fmt=qcow2, size=614400 kB</t>
  </si>
  <si>
    <t xml:space="preserve">1:80 00 00 00 00 09 C0 00 </t>
  </si>
  <si>
    <t xml:space="preserve">1:00 00 00 00 00 00 00 00 </t>
  </si>
  <si>
    <t xml:space="preserve">1:80 00 00 00 00 00 50 00 </t>
  </si>
  <si>
    <t>索引</t>
    <phoneticPr fontId="1"/>
  </si>
  <si>
    <t>5E00</t>
    <phoneticPr fontId="1"/>
  </si>
  <si>
    <t>119C00</t>
    <phoneticPr fontId="1"/>
  </si>
  <si>
    <t>FAT2</t>
    <phoneticPr fontId="1"/>
  </si>
  <si>
    <t>FAT1</t>
    <phoneticPr fontId="1"/>
  </si>
  <si>
    <t>VBR</t>
  </si>
  <si>
    <t>6C00</t>
  </si>
  <si>
    <t>7A00</t>
  </si>
  <si>
    <t>A000</t>
  </si>
  <si>
    <t>A400</t>
  </si>
  <si>
    <t>B000</t>
  </si>
  <si>
    <t>B200</t>
  </si>
  <si>
    <t>C000</t>
  </si>
  <si>
    <t>D000</t>
  </si>
  <si>
    <t>DE00</t>
  </si>
  <si>
    <t>E000</t>
  </si>
  <si>
    <t>MBR</t>
  </si>
  <si>
    <t>EC00</t>
  </si>
  <si>
    <t>5000</t>
  </si>
  <si>
    <t>5E00</t>
  </si>
  <si>
    <t>-512</t>
  </si>
  <si>
    <t>6000</t>
  </si>
  <si>
    <t>7000</t>
  </si>
  <si>
    <t>8000</t>
  </si>
  <si>
    <t>8800</t>
  </si>
  <si>
    <t>9000</t>
  </si>
  <si>
    <t>9600</t>
  </si>
  <si>
    <t>63</t>
    <phoneticPr fontId="1"/>
  </si>
  <si>
    <t>1</t>
    <phoneticPr fontId="1"/>
  </si>
  <si>
    <t>E</t>
    <phoneticPr fontId="1"/>
  </si>
  <si>
    <t>2</t>
    <phoneticPr fontId="1"/>
  </si>
  <si>
    <t>C</t>
    <phoneticPr fontId="1"/>
  </si>
  <si>
    <t>3</t>
    <phoneticPr fontId="1"/>
  </si>
  <si>
    <t>A</t>
    <phoneticPr fontId="1"/>
  </si>
  <si>
    <t>4</t>
    <phoneticPr fontId="1"/>
  </si>
  <si>
    <t>8</t>
    <phoneticPr fontId="1"/>
  </si>
  <si>
    <t>5</t>
    <phoneticPr fontId="1"/>
  </si>
  <si>
    <t>6</t>
    <phoneticPr fontId="1"/>
  </si>
  <si>
    <t>7</t>
    <phoneticPr fontId="1"/>
  </si>
  <si>
    <t>0</t>
    <phoneticPr fontId="1"/>
  </si>
  <si>
    <t>000</t>
  </si>
  <si>
    <t>007</t>
  </si>
  <si>
    <t>015</t>
  </si>
  <si>
    <t>023</t>
  </si>
  <si>
    <t>031</t>
  </si>
  <si>
    <t>039</t>
  </si>
  <si>
    <t>047</t>
  </si>
  <si>
    <t>055</t>
  </si>
  <si>
    <t>063</t>
  </si>
  <si>
    <t>070</t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</si>
  <si>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</si>
  <si>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</si>
  <si>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</si>
  <si>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</si>
  <si>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</si>
  <si>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</si>
  <si>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</si>
  <si>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M</t>
    <phoneticPr fontId="1"/>
  </si>
  <si>
    <t>2</t>
    <phoneticPr fontId="1"/>
  </si>
  <si>
    <r>
      <t>大小字</t>
    </r>
    <r>
      <rPr>
        <sz val="11"/>
        <color theme="1"/>
        <rFont val="FangSong"/>
        <family val="3"/>
        <charset val="134"/>
      </rPr>
      <t>节</t>
    </r>
    <phoneticPr fontId="1"/>
  </si>
  <si>
    <t>起始扇区</t>
    <phoneticPr fontId="1"/>
  </si>
  <si>
    <t>扇区数</t>
    <phoneticPr fontId="1"/>
  </si>
  <si>
    <t>总扇区数</t>
    <phoneticPr fontId="1"/>
  </si>
  <si>
    <r>
      <t>理</t>
    </r>
    <r>
      <rPr>
        <sz val="11"/>
        <color theme="1"/>
        <rFont val="FangSong"/>
        <family val="3"/>
        <charset val="134"/>
      </rPr>
      <t>论扇区数</t>
    </r>
    <phoneticPr fontId="1"/>
  </si>
  <si>
    <t>PS</t>
    <phoneticPr fontId="1"/>
  </si>
  <si>
    <t>PH</t>
    <phoneticPr fontId="1"/>
  </si>
  <si>
    <t>每磁道有多少个扇区</t>
    <phoneticPr fontId="1"/>
  </si>
  <si>
    <t>每柱面有多少个磁道</t>
    <phoneticPr fontId="1"/>
  </si>
  <si>
    <t>10</t>
    <phoneticPr fontId="1"/>
  </si>
  <si>
    <t>20</t>
    <phoneticPr fontId="1"/>
  </si>
  <si>
    <t>600</t>
    <phoneticPr fontId="1"/>
  </si>
  <si>
    <r>
      <t>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（Heads）</t>
    </r>
    <phoneticPr fontId="1"/>
  </si>
  <si>
    <t>柱面(Cylinder)</t>
    <phoneticPr fontId="1"/>
  </si>
  <si>
    <t>扇区(Sector)</t>
    <phoneticPr fontId="1"/>
  </si>
  <si>
    <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分区的最小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位是磁柱（Cylinder）</t>
    </r>
    <phoneticPr fontId="1"/>
  </si>
  <si>
    <r>
      <t>柱面: n 个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面的相同磁道 (位置相同) 共同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成一个柱面。柱面数最大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1023 (10 个二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制位)。</t>
    </r>
    <phoneticPr fontId="1"/>
  </si>
  <si>
    <r>
      <t>扇区: 从磁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中心向外画直</t>
    </r>
    <r>
      <rPr>
        <sz val="11"/>
        <color theme="1"/>
        <rFont val="FangSong"/>
        <family val="3"/>
        <charset val="134"/>
      </rPr>
      <t>线</t>
    </r>
    <r>
      <rPr>
        <sz val="11"/>
        <color theme="1"/>
        <rFont val="ＭＳ Ｐゴシック"/>
        <family val="2"/>
        <charset val="128"/>
      </rPr>
      <t>，可以将磁道划分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若干个弧段。每个磁道上一个弧段被称之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一个扇区。扇区是硬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的最小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成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元，通常是 512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。磁道上的扇区数最大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63 (6 个二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制位)。</t>
    </r>
    <phoneticPr fontId="1"/>
  </si>
  <si>
    <r>
      <t>普通硬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数最多也就是4个</t>
    </r>
    <phoneticPr fontId="1"/>
  </si>
  <si>
    <r>
      <rPr>
        <sz val="11"/>
        <color theme="1"/>
        <rFont val="FangSong"/>
        <family val="3"/>
        <charset val="134"/>
      </rPr>
      <t>简单</t>
    </r>
    <r>
      <rPr>
        <sz val="11"/>
        <color theme="1"/>
        <rFont val="ＭＳ Ｐゴシック"/>
        <family val="2"/>
        <charset val="128"/>
      </rPr>
      <t>地理解，柱面就是磁道。</t>
    </r>
    <phoneticPr fontId="1"/>
  </si>
  <si>
    <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容量＝磁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数×柱面数×扇区数×512字</t>
    </r>
    <r>
      <rPr>
        <sz val="11"/>
        <color theme="1"/>
        <rFont val="FangSong"/>
        <family val="3"/>
        <charset val="134"/>
      </rPr>
      <t>节</t>
    </r>
    <phoneticPr fontId="1"/>
  </si>
  <si>
    <r>
      <t>早期的磁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每个磁道上的扇区数目是一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，限制了磁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的容量；后来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了增大磁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容量采用了新技</t>
    </r>
    <r>
      <rPr>
        <sz val="11"/>
        <color theme="1"/>
        <rFont val="FangSong"/>
        <family val="3"/>
        <charset val="134"/>
      </rPr>
      <t>术</t>
    </r>
    <r>
      <rPr>
        <sz val="11"/>
        <color theme="1"/>
        <rFont val="ＭＳ Ｐゴシック"/>
        <family val="2"/>
        <charset val="128"/>
      </rPr>
      <t>，也就是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 xml:space="preserve">越往外每磁道扇区数目越多 </t>
    </r>
    <phoneticPr fontId="1"/>
  </si>
  <si>
    <r>
      <t>早期的硬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是每个磁道有相同的扇区,但是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在的硬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采用</t>
    </r>
    <r>
      <rPr>
        <sz val="11"/>
        <color theme="1"/>
        <rFont val="FangSong"/>
        <family val="3"/>
        <charset val="134"/>
      </rPr>
      <t>线</t>
    </r>
    <r>
      <rPr>
        <sz val="11"/>
        <color theme="1"/>
        <rFont val="ＭＳ Ｐゴシック"/>
        <family val="2"/>
        <charset val="128"/>
      </rPr>
      <t>性</t>
    </r>
    <r>
      <rPr>
        <sz val="11"/>
        <color theme="1"/>
        <rFont val="FangSong"/>
        <family val="3"/>
        <charset val="134"/>
      </rPr>
      <t>寻</t>
    </r>
    <r>
      <rPr>
        <sz val="11"/>
        <color theme="1"/>
        <rFont val="ＭＳ Ｐゴシック"/>
        <family val="2"/>
        <charset val="128"/>
      </rPr>
      <t>址,所以每个磁道上扇区数不一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,外面的多,里面的少.</t>
    </r>
    <phoneticPr fontId="1"/>
  </si>
  <si>
    <r>
      <t>光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跟硬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差不多.但是用螺</t>
    </r>
    <r>
      <rPr>
        <sz val="11"/>
        <color theme="1"/>
        <rFont val="FangSong"/>
        <family val="3"/>
        <charset val="134"/>
      </rPr>
      <t>线</t>
    </r>
    <r>
      <rPr>
        <sz val="11"/>
        <color theme="1"/>
        <rFont val="ＭＳ Ｐゴシック"/>
        <family val="2"/>
        <charset val="128"/>
      </rPr>
      <t>的.不像硬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采用同心</t>
    </r>
    <r>
      <rPr>
        <sz val="11"/>
        <color theme="1"/>
        <rFont val="FangSong"/>
        <family val="3"/>
        <charset val="134"/>
      </rPr>
      <t>圆</t>
    </r>
    <phoneticPr fontId="1"/>
  </si>
  <si>
    <r>
      <t>由于</t>
    </r>
    <r>
      <rPr>
        <sz val="11"/>
        <color theme="1"/>
        <rFont val="FangSong"/>
        <family val="3"/>
        <charset val="134"/>
      </rPr>
      <t>历</t>
    </r>
    <r>
      <rPr>
        <sz val="11"/>
        <color theme="1"/>
        <rFont val="ＭＳ Ｐゴシック"/>
        <family val="2"/>
        <charset val="128"/>
      </rPr>
      <t>史原因 ， 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的0磁道在最外圈（</t>
    </r>
    <r>
      <rPr>
        <sz val="11"/>
        <color theme="1"/>
        <rFont val="FangSong"/>
        <family val="3"/>
        <charset val="134"/>
      </rPr>
      <t>过</t>
    </r>
    <r>
      <rPr>
        <sz val="11"/>
        <color theme="1"/>
        <rFont val="ＭＳ Ｐゴシック"/>
        <family val="2"/>
        <charset val="128"/>
      </rPr>
      <t>去的老式硬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，每条磁道上的簇的数量都是一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多的。也就是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>最里面和最外面的磁道的簇的数目是一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的。</t>
    </r>
    <r>
      <rPr>
        <sz val="11"/>
        <color theme="1"/>
        <rFont val="FangSong"/>
        <family val="3"/>
        <charset val="134"/>
      </rPr>
      <t>显</t>
    </r>
    <r>
      <rPr>
        <sz val="11"/>
        <color theme="1"/>
        <rFont val="ＭＳ Ｐゴシック"/>
        <family val="2"/>
        <charset val="128"/>
      </rPr>
      <t>然，磁密度越低，数据的安全越有保障。而MBR放在0柱面的，第0个磁道的，第1个簇上面，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了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个关</t>
    </r>
    <r>
      <rPr>
        <sz val="11"/>
        <color theme="1"/>
        <rFont val="FangSong"/>
        <family val="3"/>
        <charset val="134"/>
      </rPr>
      <t>键</t>
    </r>
    <r>
      <rPr>
        <sz val="11"/>
        <color theme="1"/>
        <rFont val="ＭＳ Ｐゴシック"/>
        <family val="2"/>
        <charset val="128"/>
      </rPr>
      <t xml:space="preserve">数据的安全，所以磁道要从最外开始安排。） </t>
    </r>
    <phoneticPr fontId="1"/>
  </si>
  <si>
    <r>
      <t>但是，光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的0磁道和磁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，</t>
    </r>
    <r>
      <rPr>
        <sz val="11"/>
        <color theme="1"/>
        <rFont val="FangSong"/>
        <family val="3"/>
        <charset val="134"/>
      </rPr>
      <t>软盘刚</t>
    </r>
    <r>
      <rPr>
        <sz val="11"/>
        <color theme="1"/>
        <rFont val="ＭＳ Ｐゴシック"/>
        <family val="2"/>
        <charset val="128"/>
      </rPr>
      <t>好向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，光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 xml:space="preserve">的0磁道是在最内圈的 </t>
    </r>
    <phoneticPr fontId="1"/>
  </si>
  <si>
    <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的最小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位是扇区（Sector）</t>
    </r>
    <phoneticPr fontId="1"/>
  </si>
  <si>
    <r>
      <t>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的最小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位是区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（Block）</t>
    </r>
    <phoneticPr fontId="1"/>
  </si>
  <si>
    <r>
      <t>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数最大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255 (8 个二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制位)。</t>
    </r>
    <phoneticPr fontId="1"/>
  </si>
  <si>
    <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物理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构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代硬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(非固</t>
    </r>
    <r>
      <rPr>
        <sz val="11"/>
        <color theme="1"/>
        <rFont val="FangSong"/>
        <family val="3"/>
        <charset val="134"/>
      </rPr>
      <t>态</t>
    </r>
    <r>
      <rPr>
        <sz val="11"/>
        <color theme="1"/>
        <rFont val="ＭＳ Ｐゴシック"/>
        <family val="2"/>
        <charset val="128"/>
      </rP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SSD)通常由一个或多个</t>
    </r>
    <r>
      <rPr>
        <sz val="11"/>
        <color theme="1"/>
        <rFont val="FangSong"/>
        <family val="3"/>
        <charset val="134"/>
      </rPr>
      <t>圆</t>
    </r>
    <r>
      <rPr>
        <sz val="11"/>
        <color theme="1"/>
        <rFont val="ＭＳ Ｐゴシック"/>
        <family val="2"/>
        <charset val="128"/>
      </rPr>
      <t>形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片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成，每个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片都是两面存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的(</t>
    </r>
    <r>
      <rPr>
        <sz val="11"/>
        <color theme="1"/>
        <rFont val="FangSong"/>
        <family val="3"/>
        <charset val="134"/>
      </rPr>
      <t>还记</t>
    </r>
    <r>
      <rPr>
        <sz val="11"/>
        <color theme="1"/>
        <rFont val="ＭＳ Ｐゴシック"/>
        <family val="2"/>
        <charset val="128"/>
      </rPr>
      <t>得以前的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有双面双密之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>)，通</t>
    </r>
    <r>
      <rPr>
        <sz val="11"/>
        <color theme="1"/>
        <rFont val="FangSong"/>
        <family val="3"/>
        <charset val="134"/>
      </rPr>
      <t>过</t>
    </r>
    <r>
      <rPr>
        <sz val="11"/>
        <color theme="1"/>
        <rFont val="ＭＳ Ｐゴシック"/>
        <family val="2"/>
        <charset val="128"/>
      </rPr>
      <t>机械臂上的磁</t>
    </r>
    <r>
      <rPr>
        <sz val="11"/>
        <color theme="1"/>
        <rFont val="FangSong"/>
        <family val="3"/>
        <charset val="134"/>
      </rPr>
      <t>头进</t>
    </r>
    <r>
      <rPr>
        <sz val="11"/>
        <color theme="1"/>
        <rFont val="ＭＳ Ｐゴシック"/>
        <family val="2"/>
        <charset val="128"/>
      </rPr>
      <t>行数据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写操作。一个硬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的参数通常称之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3D 参数 (Disk Geometry)，即柱面数(Cylinder)、磁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数(Head)和扇区数(Sector)。</t>
    </r>
    <phoneticPr fontId="1"/>
  </si>
  <si>
    <r>
      <t>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: 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固定在可移</t>
    </r>
    <r>
      <rPr>
        <sz val="11"/>
        <color theme="1"/>
        <rFont val="FangSong"/>
        <family val="3"/>
        <charset val="134"/>
      </rPr>
      <t>动</t>
    </r>
    <r>
      <rPr>
        <sz val="11"/>
        <color theme="1"/>
        <rFont val="ＭＳ Ｐゴシック"/>
        <family val="2"/>
        <charset val="128"/>
      </rPr>
      <t>的机械臂上，用于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写数据。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代硬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都是双面可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写，因此磁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数量等于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片数的 2 倍。</t>
    </r>
    <phoneticPr fontId="1"/>
  </si>
  <si>
    <t>0</t>
    <phoneticPr fontId="1"/>
  </si>
  <si>
    <t>5</t>
    <phoneticPr fontId="1"/>
  </si>
  <si>
    <t>154</t>
    <phoneticPr fontId="1"/>
  </si>
  <si>
    <t>10</t>
    <phoneticPr fontId="1"/>
  </si>
  <si>
    <t>11</t>
    <phoneticPr fontId="1"/>
  </si>
  <si>
    <t>2079</t>
    <phoneticPr fontId="1"/>
  </si>
  <si>
    <t>FAT12</t>
    <phoneticPr fontId="1"/>
  </si>
  <si>
    <t>000H</t>
    <phoneticPr fontId="1"/>
  </si>
  <si>
    <t>0000H</t>
    <phoneticPr fontId="1"/>
  </si>
  <si>
    <t>00000000H</t>
    <phoneticPr fontId="1"/>
  </si>
  <si>
    <r>
      <t xml:space="preserve"> "0"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（未分配使用）</t>
    </r>
    <phoneticPr fontId="1"/>
  </si>
  <si>
    <t>001H--FEFH</t>
    <phoneticPr fontId="1"/>
  </si>
  <si>
    <t>0001--FFEFH</t>
    <phoneticPr fontId="1"/>
  </si>
  <si>
    <t>00000001--FFFFFFEFH</t>
    <phoneticPr fontId="1"/>
  </si>
  <si>
    <t>"一个簇号"（已占用）</t>
    <phoneticPr fontId="1"/>
  </si>
  <si>
    <t>FF0H--FF6H</t>
    <phoneticPr fontId="1"/>
  </si>
  <si>
    <t>FFF0--FFF6H</t>
    <phoneticPr fontId="1"/>
  </si>
  <si>
    <t>FFFFFFF0--FFFFFFF6H</t>
    <phoneticPr fontId="1"/>
  </si>
  <si>
    <t>保留</t>
    <phoneticPr fontId="1"/>
  </si>
  <si>
    <t>FF7H</t>
    <phoneticPr fontId="1"/>
  </si>
  <si>
    <t>FFF7H</t>
    <phoneticPr fontId="1"/>
  </si>
  <si>
    <t>FFFFFFF7H</t>
    <phoneticPr fontId="1"/>
  </si>
  <si>
    <t>坏簇</t>
    <phoneticPr fontId="1"/>
  </si>
  <si>
    <t>FAT12</t>
    <phoneticPr fontId="1"/>
  </si>
  <si>
    <t>FAT16</t>
    <phoneticPr fontId="1"/>
  </si>
  <si>
    <t>FAT32</t>
    <phoneticPr fontId="1"/>
  </si>
  <si>
    <r>
      <t>簇描述信息含</t>
    </r>
    <r>
      <rPr>
        <sz val="11"/>
        <color theme="1"/>
        <rFont val="FangSong"/>
        <family val="3"/>
        <charset val="134"/>
      </rPr>
      <t>义</t>
    </r>
    <phoneticPr fontId="1"/>
  </si>
  <si>
    <t>FF8H--FFFH</t>
    <phoneticPr fontId="1"/>
  </si>
  <si>
    <t>FFF8H--FFFFH</t>
    <phoneticPr fontId="1"/>
  </si>
  <si>
    <t>FFFFFFF8--FFFFFFFFH</t>
    <phoneticPr fontId="1"/>
  </si>
  <si>
    <r>
      <t>"EOF"（文件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束簇）</t>
    </r>
    <phoneticPr fontId="1"/>
  </si>
  <si>
    <r>
      <t>文件分配表中的每个簇号可取的表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及其含</t>
    </r>
    <r>
      <rPr>
        <sz val="11"/>
        <color theme="1"/>
        <rFont val="FangSong"/>
        <family val="3"/>
        <charset val="134"/>
      </rPr>
      <t>义</t>
    </r>
    <phoneticPr fontId="1"/>
  </si>
  <si>
    <r>
      <t>在FAT的簇登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中，0号登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和1号登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是表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，簇的登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从2号开始。系</t>
    </r>
    <r>
      <rPr>
        <sz val="11"/>
        <color theme="1"/>
        <rFont val="FangSong"/>
        <family val="3"/>
        <charset val="134"/>
      </rPr>
      <t>统隐</t>
    </r>
    <r>
      <rPr>
        <sz val="11"/>
        <color theme="1"/>
        <rFont val="ＭＳ Ｐゴシック"/>
        <family val="2"/>
        <charset val="128"/>
      </rPr>
      <t>含文件IO.SYS所在的首簇号</t>
    </r>
    <r>
      <rPr>
        <sz val="11"/>
        <color theme="1"/>
        <rFont val="FangSong"/>
        <family val="3"/>
        <charset val="134"/>
      </rPr>
      <t>总</t>
    </r>
    <r>
      <rPr>
        <sz val="11"/>
        <color theme="1"/>
        <rFont val="ＭＳ Ｐゴシック"/>
        <family val="2"/>
        <charset val="128"/>
      </rPr>
      <t>是0002。</t>
    </r>
    <phoneticPr fontId="1"/>
  </si>
  <si>
    <t>F0-FF</t>
    <phoneticPr fontId="1"/>
  </si>
  <si>
    <t>FAT16</t>
    <phoneticPr fontId="1"/>
  </si>
  <si>
    <t>FAT32</t>
    <phoneticPr fontId="1"/>
  </si>
  <si>
    <t>NORMAL</t>
  </si>
  <si>
    <t>528M</t>
  </si>
  <si>
    <t>LBA</t>
  </si>
  <si>
    <t>8.4GB</t>
  </si>
  <si>
    <t>LARGE</t>
  </si>
  <si>
    <r>
      <t>5.25英寸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，双面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密度是 1.2MB，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密度是 360KB。</t>
    </r>
  </si>
  <si>
    <r>
      <t>软盘</t>
    </r>
    <r>
      <rPr>
        <sz val="11"/>
        <color theme="1"/>
        <rFont val="ＭＳ Ｐゴシック"/>
        <family val="2"/>
        <charset val="128"/>
      </rPr>
      <t>有八寸、五又四分一寸、三寸半之分，8英寸的</t>
    </r>
    <r>
      <rPr>
        <sz val="11"/>
        <color theme="1"/>
        <rFont val="FangSong"/>
        <family val="3"/>
        <charset val="134"/>
      </rPr>
      <t>软盘虽</t>
    </r>
    <r>
      <rPr>
        <sz val="11"/>
        <color theme="1"/>
        <rFont val="ＭＳ Ｐゴシック"/>
        <family val="2"/>
        <charset val="128"/>
      </rPr>
      <t>然从技</t>
    </r>
    <r>
      <rPr>
        <sz val="11"/>
        <color theme="1"/>
        <rFont val="FangSong"/>
        <family val="3"/>
        <charset val="134"/>
      </rPr>
      <t>术</t>
    </r>
    <r>
      <rPr>
        <sz val="11"/>
        <color theme="1"/>
        <rFont val="ＭＳ Ｐゴシック"/>
        <family val="2"/>
        <charset val="128"/>
      </rPr>
      <t>原理上已</t>
    </r>
    <r>
      <rPr>
        <sz val="11"/>
        <color theme="1"/>
        <rFont val="FangSong"/>
        <family val="3"/>
        <charset val="134"/>
      </rPr>
      <t>经</t>
    </r>
    <r>
      <rPr>
        <sz val="11"/>
        <color theme="1"/>
        <rFont val="ＭＳ Ｐゴシック"/>
        <family val="2"/>
        <charset val="128"/>
      </rPr>
      <t>很接近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代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，但缺陷就是体</t>
    </r>
    <r>
      <rPr>
        <sz val="11"/>
        <color theme="1"/>
        <rFont val="FangSong"/>
        <family val="3"/>
        <charset val="134"/>
      </rPr>
      <t>积过</t>
    </r>
    <r>
      <rPr>
        <sz val="11"/>
        <color theme="1"/>
        <rFont val="ＭＳ Ｐゴシック"/>
        <family val="2"/>
        <charset val="128"/>
      </rPr>
      <t>大，携</t>
    </r>
    <r>
      <rPr>
        <sz val="11"/>
        <color theme="1"/>
        <rFont val="FangSong"/>
        <family val="3"/>
        <charset val="134"/>
      </rPr>
      <t>带</t>
    </r>
    <r>
      <rPr>
        <sz val="11"/>
        <color theme="1"/>
        <rFont val="ＭＳ Ｐゴシック"/>
        <family val="2"/>
        <charset val="128"/>
      </rPr>
      <t>很不方便，于是5.25英寸的</t>
    </r>
    <r>
      <rPr>
        <sz val="11"/>
        <color theme="1"/>
        <rFont val="FangSong"/>
        <family val="3"/>
        <charset val="134"/>
      </rPr>
      <t>软盘诞</t>
    </r>
    <r>
      <rPr>
        <sz val="11"/>
        <color theme="1"/>
        <rFont val="ＭＳ Ｐゴシック"/>
        <family val="2"/>
        <charset val="128"/>
      </rPr>
      <t>生了。</t>
    </r>
  </si>
  <si>
    <r>
      <t>世界上第一个5.25英寸的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，是1976年的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候由Shugart Associates公司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IBM的大型机研</t>
    </r>
    <r>
      <rPr>
        <sz val="11"/>
        <color theme="1"/>
        <rFont val="FangSong"/>
        <family val="3"/>
        <charset val="134"/>
      </rPr>
      <t>发</t>
    </r>
    <r>
      <rPr>
        <sz val="11"/>
        <color theme="1"/>
        <rFont val="ＭＳ Ｐゴシック"/>
        <family val="2"/>
        <charset val="128"/>
      </rPr>
      <t>的。后来才用在IBM早期的PC中。1980年，索尼公司推出了3.5英寸的磁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。到90年代初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到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在，3.5英寸、1.44MB的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一直用于PC的</t>
    </r>
    <r>
      <rPr>
        <sz val="11"/>
        <color theme="1"/>
        <rFont val="FangSong"/>
        <family val="3"/>
        <charset val="134"/>
      </rPr>
      <t>标</t>
    </r>
    <r>
      <rPr>
        <sz val="11"/>
        <color theme="1"/>
        <rFont val="ＭＳ Ｐゴシック"/>
        <family val="2"/>
        <charset val="128"/>
      </rPr>
      <t>准的数据</t>
    </r>
    <r>
      <rPr>
        <sz val="11"/>
        <color theme="1"/>
        <rFont val="FangSong"/>
        <family val="3"/>
        <charset val="134"/>
      </rPr>
      <t>传输</t>
    </r>
    <r>
      <rPr>
        <sz val="11"/>
        <color theme="1"/>
        <rFont val="ＭＳ Ｐゴシック"/>
        <family val="2"/>
        <charset val="128"/>
      </rPr>
      <t>方式。</t>
    </r>
  </si>
  <si>
    <r>
      <t>早期的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算机一般使用5.25英寸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，5.25英寸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主要有两种。一种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5.25英寸双面高密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(也叫5.25寸1.2M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)，可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写5.25英寸双面高密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（1.2M）、5.25英寸双面低密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（360K）、5.25英寸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面低密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（180K）。另一种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双面低密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，与前者的主要区</t>
    </r>
    <r>
      <rPr>
        <sz val="11"/>
        <color theme="1"/>
        <rFont val="FangSong"/>
        <family val="3"/>
        <charset val="134"/>
      </rPr>
      <t>别</t>
    </r>
    <r>
      <rPr>
        <sz val="11"/>
        <color theme="1"/>
        <rFont val="ＭＳ Ｐゴシック"/>
        <family val="2"/>
        <charset val="128"/>
      </rPr>
      <t>是不能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写5.25英寸双面高密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（1.2M）。</t>
    </r>
  </si>
  <si>
    <r>
      <t>8 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 xml:space="preserve"> 固定扇区（hard-sectored），每一扇区有一光学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引孔，另在两孔</t>
    </r>
    <r>
      <rPr>
        <sz val="11"/>
        <color theme="1"/>
        <rFont val="FangSong"/>
        <family val="3"/>
        <charset val="134"/>
      </rPr>
      <t>间</t>
    </r>
    <r>
      <rPr>
        <sz val="11"/>
        <color theme="1"/>
        <rFont val="ＭＳ Ｐゴシック"/>
        <family val="2"/>
        <charset val="128"/>
      </rPr>
      <t>加一孔以</t>
    </r>
    <r>
      <rPr>
        <sz val="11"/>
        <color theme="1"/>
        <rFont val="FangSong"/>
        <family val="3"/>
        <charset val="134"/>
      </rPr>
      <t>识别</t>
    </r>
    <r>
      <rPr>
        <sz val="11"/>
        <color theme="1"/>
        <rFont val="ＭＳ Ｐゴシック"/>
        <family val="2"/>
        <charset val="128"/>
      </rPr>
      <t xml:space="preserve">第一扇区 </t>
    </r>
    <r>
      <rPr>
        <sz val="11"/>
        <color theme="1"/>
        <rFont val="FangSong"/>
        <family val="3"/>
        <charset val="134"/>
      </rPr>
      <t>软</t>
    </r>
    <r>
      <rPr>
        <sz val="11"/>
        <color theme="1"/>
        <rFont val="ＭＳ Ｐゴシック"/>
        <family val="2"/>
        <charset val="128"/>
      </rPr>
      <t>件扇区（soft-sectored），每一圈只有一个光学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引孔，扇区分配由</t>
    </r>
    <r>
      <rPr>
        <sz val="11"/>
        <color theme="1"/>
        <rFont val="FangSong"/>
        <family val="3"/>
        <charset val="134"/>
      </rPr>
      <t>软</t>
    </r>
    <r>
      <rPr>
        <sz val="11"/>
        <color theme="1"/>
        <rFont val="ＭＳ Ｐゴシック"/>
        <family val="2"/>
        <charset val="128"/>
      </rPr>
      <t>件自行决定与判断。（以后的 5.25吋与3.5吋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基本上都是</t>
    </r>
    <r>
      <rPr>
        <sz val="11"/>
        <color theme="1"/>
        <rFont val="FangSong"/>
        <family val="3"/>
        <charset val="134"/>
      </rPr>
      <t>软</t>
    </r>
    <r>
      <rPr>
        <sz val="11"/>
        <color theme="1"/>
        <rFont val="ＭＳ Ｐゴシック"/>
        <family val="2"/>
        <charset val="128"/>
      </rPr>
      <t>件扇区）</t>
    </r>
  </si>
  <si>
    <r>
      <t>5.25 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FangSong"/>
        <family val="3"/>
        <charset val="134"/>
      </rPr>
      <t>标</t>
    </r>
    <r>
      <rPr>
        <sz val="11"/>
        <color theme="1"/>
        <rFont val="ＭＳ Ｐゴシック"/>
        <family val="2"/>
        <charset val="128"/>
      </rPr>
      <t>准MFM格式，使用于 IBM PC 及兼容</t>
    </r>
    <r>
      <rPr>
        <sz val="11"/>
        <color theme="1"/>
        <rFont val="FangSong"/>
        <family val="3"/>
        <charset val="134"/>
      </rPr>
      <t>电脑</t>
    </r>
    <r>
      <rPr>
        <sz val="11"/>
        <color theme="1"/>
        <rFont val="ＭＳ Ｐゴシック"/>
        <family val="2"/>
        <charset val="128"/>
      </rPr>
      <t xml:space="preserve"> 早期的 40 </t>
    </r>
    <r>
      <rPr>
        <sz val="11"/>
        <color theme="1"/>
        <rFont val="FangSong"/>
        <family val="3"/>
        <charset val="134"/>
      </rPr>
      <t>轨单</t>
    </r>
    <r>
      <rPr>
        <sz val="11"/>
        <color theme="1"/>
        <rFont val="ＭＳ Ｐゴシック"/>
        <family val="2"/>
        <charset val="128"/>
      </rPr>
      <t>密度格式 320KB，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面80</t>
    </r>
    <r>
      <rPr>
        <sz val="11"/>
        <color theme="1"/>
        <rFont val="FangSong"/>
        <family val="3"/>
        <charset val="134"/>
      </rPr>
      <t>轨</t>
    </r>
    <r>
      <rPr>
        <sz val="11"/>
        <color theme="1"/>
        <rFont val="ＭＳ Ｐゴシック"/>
        <family val="2"/>
        <charset val="128"/>
      </rPr>
      <t>，随即由 360KB 取代 360KB，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面80</t>
    </r>
    <r>
      <rPr>
        <sz val="11"/>
        <color theme="1"/>
        <rFont val="FangSong"/>
        <family val="3"/>
        <charset val="134"/>
      </rPr>
      <t>轨</t>
    </r>
    <r>
      <rPr>
        <sz val="11"/>
        <color theme="1"/>
        <rFont val="ＭＳ Ｐゴシック"/>
        <family val="2"/>
        <charset val="128"/>
      </rPr>
      <t>，改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型 1.2MB，双面80</t>
    </r>
    <r>
      <rPr>
        <sz val="11"/>
        <color theme="1"/>
        <rFont val="FangSong"/>
        <family val="3"/>
        <charset val="134"/>
      </rPr>
      <t>轨</t>
    </r>
    <r>
      <rPr>
        <sz val="11"/>
        <color theme="1"/>
        <rFont val="ＭＳ Ｐゴシック"/>
        <family val="2"/>
        <charset val="128"/>
      </rPr>
      <t xml:space="preserve"> 私有</t>
    </r>
    <r>
      <rPr>
        <sz val="11"/>
        <color theme="1"/>
        <rFont val="FangSong"/>
        <family val="3"/>
        <charset val="134"/>
      </rPr>
      <t>编码</t>
    </r>
    <r>
      <rPr>
        <sz val="11"/>
        <color theme="1"/>
        <rFont val="ＭＳ Ｐゴシック"/>
        <family val="2"/>
        <charset val="128"/>
      </rPr>
      <t xml:space="preserve">格式 Apple II </t>
    </r>
    <r>
      <rPr>
        <sz val="11"/>
        <color theme="1"/>
        <rFont val="FangSong"/>
        <family val="3"/>
        <charset val="134"/>
      </rPr>
      <t>电脑</t>
    </r>
    <r>
      <rPr>
        <sz val="11"/>
        <color theme="1"/>
        <rFont val="ＭＳ Ｐゴシック"/>
        <family val="2"/>
        <charset val="128"/>
      </rPr>
      <t>的 Disk II 所使用的</t>
    </r>
    <r>
      <rPr>
        <sz val="11"/>
        <color theme="1"/>
        <rFont val="FangSong"/>
        <family val="3"/>
        <charset val="134"/>
      </rPr>
      <t>专</t>
    </r>
    <r>
      <rPr>
        <sz val="11"/>
        <color theme="1"/>
        <rFont val="ＭＳ Ｐゴシック"/>
        <family val="2"/>
        <charset val="128"/>
      </rPr>
      <t>属</t>
    </r>
    <r>
      <rPr>
        <sz val="11"/>
        <color theme="1"/>
        <rFont val="FangSong"/>
        <family val="3"/>
        <charset val="134"/>
      </rPr>
      <t>编码</t>
    </r>
    <r>
      <rPr>
        <sz val="11"/>
        <color theme="1"/>
        <rFont val="ＭＳ Ｐゴシック"/>
        <family val="2"/>
        <charset val="128"/>
      </rPr>
      <t>格式。</t>
    </r>
  </si>
  <si>
    <r>
      <t>3.5 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 xml:space="preserve"> 360KB，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 720KB，双面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 1.44MB，双面高密度 1.68MB 或其他容量，在 1.44MB 的</t>
    </r>
    <r>
      <rPr>
        <sz val="11"/>
        <color theme="1"/>
        <rFont val="FangSong"/>
        <family val="3"/>
        <charset val="134"/>
      </rPr>
      <t>设备</t>
    </r>
    <r>
      <rPr>
        <sz val="11"/>
        <color theme="1"/>
        <rFont val="ＭＳ Ｐゴシック"/>
        <family val="2"/>
        <charset val="128"/>
      </rPr>
      <t>上作成的</t>
    </r>
    <r>
      <rPr>
        <sz val="11"/>
        <color theme="1"/>
        <rFont val="FangSong"/>
        <family val="3"/>
        <charset val="134"/>
      </rPr>
      <t>较</t>
    </r>
    <r>
      <rPr>
        <sz val="11"/>
        <color theme="1"/>
        <rFont val="ＭＳ Ｐゴシック"/>
        <family val="2"/>
        <charset val="128"/>
      </rPr>
      <t>高容量格式 2.88MB，双面高密度 高容量特殊</t>
    </r>
    <r>
      <rPr>
        <sz val="11"/>
        <color theme="1"/>
        <rFont val="FangSong"/>
        <family val="3"/>
        <charset val="134"/>
      </rPr>
      <t>软盘</t>
    </r>
  </si>
  <si>
    <t>MAX</t>
    <phoneticPr fontId="1"/>
  </si>
  <si>
    <t>NTFS 的默认簇大小</t>
  </si>
  <si>
    <t>下表描述为 NTFS 默认的簇大小。</t>
  </si>
  <si>
    <t>卷大小</t>
  </si>
  <si>
    <t>Windows NT 3.51</t>
  </si>
  <si>
    <t>Windows NT 4.0</t>
  </si>
  <si>
    <t>Windows 7 ，Windows Server 2008 R2，Windows Server 2008，Windows Vista ，Windows Server 2003 ，Windows XP 和 Windows 2000</t>
  </si>
  <si>
    <t>7 MB – 512 MB</t>
  </si>
  <si>
    <t>512 字节</t>
  </si>
  <si>
    <t>4 KB</t>
  </si>
  <si>
    <t>512 MB – 1 GB</t>
  </si>
  <si>
    <t>1 KB</t>
  </si>
  <si>
    <t>1 GB – 2 GB</t>
  </si>
  <si>
    <t>2 KB</t>
  </si>
  <si>
    <t>2 GB–2 TB</t>
  </si>
  <si>
    <t>2 TB – 16 TB</t>
  </si>
  <si>
    <t>不支持 *</t>
  </si>
  <si>
    <t>时为 16 TB 到 32 TB</t>
  </si>
  <si>
    <t>8 KB</t>
  </si>
  <si>
    <t>32 TB – 64 TB</t>
  </si>
  <si>
    <t>16 KB</t>
  </si>
  <si>
    <t>64 TB – 128 TB</t>
  </si>
  <si>
    <t>32 KB</t>
  </si>
  <si>
    <t>128 TB-256TB</t>
  </si>
  <si>
    <t>64 KB</t>
  </si>
  <si>
    <t>256TB &gt;</t>
  </si>
  <si>
    <t>不受支持</t>
  </si>
  <si>
    <t>注意</t>
  </si>
  <si>
    <t>FAT16 的默认簇大小</t>
  </si>
  <si>
    <t>下表描述为 FAT16 默认的簇大小。</t>
  </si>
  <si>
    <t>7 MB – 8 MB</t>
  </si>
  <si>
    <t>8 MB – 32 MB</t>
  </si>
  <si>
    <t>32 MB – 64 MB</t>
  </si>
  <si>
    <t>64 MB – 128 MB</t>
  </si>
  <si>
    <t>128 MB-256 MB</t>
  </si>
  <si>
    <t>256 MB-512 MB</t>
  </si>
  <si>
    <t>2 GB – 4 GB</t>
  </si>
  <si>
    <t>4 GB – 8 GB</t>
  </si>
  <si>
    <t>128 KB *</t>
  </si>
  <si>
    <t>8 GB – 16 GB</t>
  </si>
  <si>
    <t>256 KB *</t>
  </si>
  <si>
    <t>&gt; 16 GB</t>
  </si>
  <si>
    <t>FAT32 的默认簇大小</t>
  </si>
  <si>
    <t>下表描述为 FAT32 的默认群集大小。</t>
  </si>
  <si>
    <t>7 MB – 16 MB</t>
  </si>
  <si>
    <t>16 MB – 32 MB</t>
  </si>
  <si>
    <t>256 MB – 8 GB</t>
  </si>
  <si>
    <t>16 GB-32 GB</t>
  </si>
  <si>
    <t>32 GB – 2 TB</t>
  </si>
  <si>
    <t>&gt; 2 TB</t>
  </si>
  <si>
    <t>ExFAT 的默认簇大小</t>
  </si>
  <si>
    <t>下表描述了 exFAT 的默认群集大小。</t>
  </si>
  <si>
    <t>Windows 7，Windows Server 2008 R2，Windows Server 2008，Windows Vista 和 Windows Server 2003，Windows XP</t>
  </si>
  <si>
    <t>7 MB-256 MB</t>
  </si>
  <si>
    <t>256 MB-32 GB</t>
  </si>
  <si>
    <t>32 GB-256TB</t>
  </si>
  <si>
    <t>128KB</t>
  </si>
  <si>
    <t>属性</t>
  </si>
  <si>
    <r>
      <t>FAT 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 xml:space="preserve">支持的最大簇数目和簇的最大大小决定了 2-GB 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一分区限制。FAT 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限于 65,525 个簇。簇大小必</t>
    </r>
    <r>
      <rPr>
        <sz val="11"/>
        <color theme="1"/>
        <rFont val="FangSong"/>
        <family val="3"/>
        <charset val="134"/>
      </rPr>
      <t>须为</t>
    </r>
    <r>
      <rPr>
        <sz val="11"/>
        <color theme="1"/>
        <rFont val="ＭＳ Ｐゴシック"/>
        <family val="2"/>
        <charset val="128"/>
      </rPr>
      <t xml:space="preserve"> 2 的次方而且小于 65,536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，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果是最大簇大小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32,768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 (32K)。将最大簇数 (65,525) 乘以最大簇大小 (32,768) 等于 2 GB。 </t>
    </r>
    <phoneticPr fontId="1"/>
  </si>
  <si>
    <t>簇个数</t>
    <phoneticPr fontId="1"/>
  </si>
  <si>
    <t>簇大小KB</t>
    <phoneticPr fontId="1"/>
  </si>
  <si>
    <r>
      <t>在BPB中是用1字</t>
    </r>
    <r>
      <rPr>
        <sz val="11"/>
        <color theme="1"/>
        <rFont val="FangSong"/>
        <family val="3"/>
        <charset val="134"/>
      </rPr>
      <t>节来存储每个簇的扇区数的。</t>
    </r>
    <phoneticPr fontId="1"/>
  </si>
  <si>
    <t>扇区数</t>
    <phoneticPr fontId="1"/>
  </si>
  <si>
    <t>512-1023</t>
    <phoneticPr fontId="1"/>
  </si>
  <si>
    <t>256-511</t>
    <phoneticPr fontId="1"/>
  </si>
  <si>
    <t>128-255</t>
    <phoneticPr fontId="1"/>
  </si>
  <si>
    <t>64-127</t>
    <phoneticPr fontId="1"/>
  </si>
  <si>
    <t>32-63</t>
    <phoneticPr fontId="1"/>
  </si>
  <si>
    <t>16-31</t>
    <phoneticPr fontId="1"/>
  </si>
  <si>
    <t>600M</t>
    <phoneticPr fontId="1"/>
  </si>
  <si>
    <t>&lt;2,1.44M</t>
    <phoneticPr fontId="1"/>
  </si>
  <si>
    <t>2-15,2M,10M</t>
    <phoneticPr fontId="1"/>
  </si>
  <si>
    <t>16-127,20M</t>
    <phoneticPr fontId="1"/>
  </si>
  <si>
    <t>1024-2047,2047M</t>
    <phoneticPr fontId="1"/>
  </si>
  <si>
    <r>
      <t>format</t>
    </r>
    <r>
      <rPr>
        <sz val="11"/>
        <color theme="1"/>
        <rFont val="FangSong"/>
        <family val="3"/>
        <charset val="134"/>
      </rPr>
      <t>时显示</t>
    </r>
    <phoneticPr fontId="1"/>
  </si>
  <si>
    <r>
      <t>文件分配表的大小</t>
    </r>
    <r>
      <rPr>
        <sz val="11"/>
        <color theme="1"/>
        <rFont val="FangSong"/>
        <family val="3"/>
        <charset val="134"/>
      </rPr>
      <t>计算</t>
    </r>
    <phoneticPr fontId="1"/>
  </si>
  <si>
    <t>n * 1.5 /512</t>
    <phoneticPr fontId="1"/>
  </si>
  <si>
    <t>n * 2 / 512</t>
    <phoneticPr fontId="1"/>
  </si>
  <si>
    <t>n * 4 /512</t>
    <phoneticPr fontId="1"/>
  </si>
  <si>
    <t>总扇区数</t>
    <phoneticPr fontId="1"/>
  </si>
  <si>
    <t>32</t>
    <phoneticPr fontId="1"/>
  </si>
  <si>
    <t>K</t>
    <phoneticPr fontId="1"/>
  </si>
  <si>
    <t>M</t>
    <phoneticPr fontId="1"/>
  </si>
  <si>
    <t>G</t>
    <phoneticPr fontId="1"/>
  </si>
  <si>
    <t>T</t>
    <phoneticPr fontId="1"/>
  </si>
  <si>
    <t>K</t>
    <phoneticPr fontId="1"/>
  </si>
  <si>
    <t>M</t>
    <phoneticPr fontId="1"/>
  </si>
  <si>
    <t>472</t>
    <phoneticPr fontId="1"/>
  </si>
  <si>
    <t>NG</t>
    <phoneticPr fontId="1"/>
  </si>
  <si>
    <t>OK</t>
    <phoneticPr fontId="1"/>
  </si>
  <si>
    <t>FAT12</t>
    <phoneticPr fontId="1"/>
  </si>
  <si>
    <t>15.22</t>
    <phoneticPr fontId="1"/>
  </si>
  <si>
    <t>M</t>
    <phoneticPr fontId="1"/>
  </si>
  <si>
    <t>15.71</t>
    <phoneticPr fontId="1"/>
  </si>
  <si>
    <t>FAT16</t>
    <phoneticPr fontId="1"/>
  </si>
  <si>
    <t>16.21</t>
    <phoneticPr fontId="1"/>
  </si>
  <si>
    <t>▼</t>
    <phoneticPr fontId="1"/>
  </si>
  <si>
    <t>511.84</t>
    <phoneticPr fontId="1"/>
  </si>
  <si>
    <t>512.33</t>
    <phoneticPr fontId="1"/>
  </si>
  <si>
    <t>FAT32</t>
    <phoneticPr fontId="1"/>
  </si>
  <si>
    <t>FAT16</t>
    <phoneticPr fontId="1"/>
  </si>
  <si>
    <t>19.65</t>
    <phoneticPr fontId="1"/>
  </si>
  <si>
    <t>F6</t>
    <phoneticPr fontId="1"/>
  </si>
  <si>
    <t>▼M</t>
    <phoneticPr fontId="1"/>
  </si>
  <si>
    <t>K</t>
    <phoneticPr fontId="1"/>
  </si>
  <si>
    <t>2047.46</t>
    <phoneticPr fontId="1"/>
  </si>
  <si>
    <t>FAT32</t>
    <phoneticPr fontId="1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</si>
</sst>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.000_ "/>
  </numFmts>
  <fonts count="10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  <font>
      <sz val="11"/>
      <color rgb="FF000000"/>
      <name val="Segoe UI"/>
      <family val="2"/>
    </font>
    <font>
      <sz val="13.5"/>
      <color rgb="FF000000"/>
      <name val="Segoe UI"/>
      <family val="2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24"/>
      <color rgb="FF000000"/>
      <name val="Segoe UI"/>
      <family val="2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1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0" fontId="0" fillId="2" borderId="0" xfId="0" applyNumberForma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top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56" fontId="0" fillId="8" borderId="0" xfId="0" quotePrefix="1" applyNumberFormat="1" applyFill="1" applyAlignment="1">
      <alignment vertical="center"/>
    </xf>
    <xf numFmtId="176" fontId="0" fillId="7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77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9" fillId="0" borderId="0" xfId="0" applyFont="1">
      <alignment vertical="center"/>
    </xf>
    <xf numFmtId="0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7" borderId="2" xfId="0" applyNumberFormat="1" applyFill="1" applyBorder="1">
      <alignment vertical="center"/>
    </xf>
    <xf numFmtId="0" fontId="0" fillId="0" borderId="3" xfId="0" applyNumberFormat="1" applyBorder="1">
      <alignment vertical="center"/>
    </xf>
    <xf numFmtId="49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7" borderId="3" xfId="0" applyNumberFormat="1" applyFill="1" applyBorder="1">
      <alignment vertical="center"/>
    </xf>
    <xf numFmtId="0" fontId="0" fillId="6" borderId="0" xfId="0" applyNumberFormat="1" applyFill="1">
      <alignment vertical="center"/>
    </xf>
    <xf numFmtId="49" fontId="0" fillId="6" borderId="0" xfId="0" applyNumberFormat="1" applyFill="1">
      <alignment vertical="center"/>
    </xf>
    <xf numFmtId="178" fontId="0" fillId="6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8</xdr:col>
      <xdr:colOff>561975</xdr:colOff>
      <xdr:row>32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43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18</xdr:col>
      <xdr:colOff>457200</xdr:colOff>
      <xdr:row>32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24725" y="1543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567419</xdr:colOff>
      <xdr:row>58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6191250"/>
          <a:ext cx="6894740" cy="41733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18</xdr:col>
      <xdr:colOff>457200</xdr:colOff>
      <xdr:row>58</xdr:row>
      <xdr:rowOff>104775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24725" y="60007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8</xdr:col>
      <xdr:colOff>561975</xdr:colOff>
      <xdr:row>84</xdr:row>
      <xdr:rowOff>104775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0458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18</xdr:col>
      <xdr:colOff>457200</xdr:colOff>
      <xdr:row>84</xdr:row>
      <xdr:rowOff>104775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324725" y="10458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8</xdr:col>
      <xdr:colOff>561975</xdr:colOff>
      <xdr:row>111</xdr:row>
      <xdr:rowOff>104775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50876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18</xdr:col>
      <xdr:colOff>457200</xdr:colOff>
      <xdr:row>111</xdr:row>
      <xdr:rowOff>104775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324725" y="150876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8</xdr:col>
      <xdr:colOff>561975</xdr:colOff>
      <xdr:row>136</xdr:row>
      <xdr:rowOff>104775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9373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113</xdr:row>
      <xdr:rowOff>0</xdr:rowOff>
    </xdr:from>
    <xdr:to>
      <xdr:col>18</xdr:col>
      <xdr:colOff>457200</xdr:colOff>
      <xdr:row>136</xdr:row>
      <xdr:rowOff>104775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324725" y="19373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8</xdr:col>
      <xdr:colOff>561975</xdr:colOff>
      <xdr:row>161</xdr:row>
      <xdr:rowOff>104775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23660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138</xdr:row>
      <xdr:rowOff>0</xdr:rowOff>
    </xdr:from>
    <xdr:to>
      <xdr:col>18</xdr:col>
      <xdr:colOff>457200</xdr:colOff>
      <xdr:row>161</xdr:row>
      <xdr:rowOff>104775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324725" y="23660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8</xdr:col>
      <xdr:colOff>561975</xdr:colOff>
      <xdr:row>188</xdr:row>
      <xdr:rowOff>104775</xdr:rowOff>
    </xdr:to>
    <xdr:pic>
      <xdr:nvPicPr>
        <xdr:cNvPr id="206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28289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165</xdr:row>
      <xdr:rowOff>0</xdr:rowOff>
    </xdr:from>
    <xdr:to>
      <xdr:col>18</xdr:col>
      <xdr:colOff>457200</xdr:colOff>
      <xdr:row>188</xdr:row>
      <xdr:rowOff>104775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324725" y="28289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8</xdr:col>
      <xdr:colOff>561975</xdr:colOff>
      <xdr:row>213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325755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190</xdr:row>
      <xdr:rowOff>0</xdr:rowOff>
    </xdr:from>
    <xdr:to>
      <xdr:col>18</xdr:col>
      <xdr:colOff>457200</xdr:colOff>
      <xdr:row>213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7324725" y="325755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8</xdr:col>
      <xdr:colOff>561975</xdr:colOff>
      <xdr:row>238</xdr:row>
      <xdr:rowOff>104775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0" y="368617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215</xdr:row>
      <xdr:rowOff>0</xdr:rowOff>
    </xdr:from>
    <xdr:to>
      <xdr:col>18</xdr:col>
      <xdr:colOff>457200</xdr:colOff>
      <xdr:row>238</xdr:row>
      <xdr:rowOff>104775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324725" y="368617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5</xdr:col>
      <xdr:colOff>38100</xdr:colOff>
      <xdr:row>36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228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5</xdr:col>
      <xdr:colOff>38100</xdr:colOff>
      <xdr:row>62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686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5</xdr:col>
      <xdr:colOff>38100</xdr:colOff>
      <xdr:row>88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144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495300</xdr:colOff>
      <xdr:row>26</xdr:row>
      <xdr:rowOff>133350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10100" cy="4591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11</xdr:col>
      <xdr:colOff>76200</xdr:colOff>
      <xdr:row>64</xdr:row>
      <xdr:rowOff>57150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314950"/>
          <a:ext cx="7620000" cy="5715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opLeftCell="A214" zoomScale="70" zoomScaleNormal="70" workbookViewId="0">
      <selection activeCell="J245" sqref="J245"/>
    </sheetView>
  </sheetViews>
  <sheetFormatPr defaultRowHeight="13.5"/>
  <cols>
    <col min="3" max="3" width="11.625" bestFit="1" customWidth="1"/>
    <col min="4" max="4" width="11.375" bestFit="1" customWidth="1"/>
    <col min="5" max="5" width="11.625" bestFit="1" customWidth="1"/>
    <col min="7" max="7" width="12.75" bestFit="1" customWidth="1"/>
    <col min="9" max="10" width="12.75" bestFit="1" customWidth="1"/>
  </cols>
  <sheetData>
    <row r="1" spans="1:12">
      <c r="A1" t="s">
        <v>0</v>
      </c>
      <c r="C1" t="s">
        <v>1</v>
      </c>
    </row>
    <row r="2" spans="1:12">
      <c r="A2">
        <v>12</v>
      </c>
      <c r="B2">
        <v>2</v>
      </c>
      <c r="C2">
        <f>POWER(B2,A2)</f>
        <v>4096</v>
      </c>
      <c r="D2">
        <v>4078</v>
      </c>
      <c r="E2">
        <f>C2-D2</f>
        <v>18</v>
      </c>
      <c r="F2">
        <v>4096</v>
      </c>
      <c r="G2">
        <f>C2*F2</f>
        <v>16777216</v>
      </c>
      <c r="H2">
        <f>G2/I2</f>
        <v>16</v>
      </c>
      <c r="I2">
        <f>1024*1024</f>
        <v>1048576</v>
      </c>
      <c r="J2">
        <f t="shared" ref="J2:J4" si="0">D2*F2</f>
        <v>16703488</v>
      </c>
      <c r="K2">
        <f t="shared" ref="K2:K4" si="1">J2/I2</f>
        <v>15.9296875</v>
      </c>
      <c r="L2" t="s">
        <v>2</v>
      </c>
    </row>
    <row r="3" spans="1:12">
      <c r="A3">
        <v>16</v>
      </c>
      <c r="B3">
        <v>2</v>
      </c>
      <c r="C3">
        <f>POWER(B3,A3)</f>
        <v>65536</v>
      </c>
      <c r="D3">
        <v>65517</v>
      </c>
      <c r="E3">
        <f>C3-D3</f>
        <v>19</v>
      </c>
      <c r="F3">
        <v>4096</v>
      </c>
      <c r="G3">
        <f>C3*F3</f>
        <v>268435456</v>
      </c>
      <c r="H3">
        <f>G3/I3</f>
        <v>256</v>
      </c>
      <c r="I3">
        <f>1024*1024</f>
        <v>1048576</v>
      </c>
      <c r="J3">
        <f t="shared" si="0"/>
        <v>268357632</v>
      </c>
      <c r="K3">
        <f t="shared" si="1"/>
        <v>255.92578125</v>
      </c>
      <c r="L3" t="s">
        <v>3</v>
      </c>
    </row>
    <row r="4" spans="1:12">
      <c r="A4">
        <v>28</v>
      </c>
      <c r="B4">
        <v>2</v>
      </c>
      <c r="C4">
        <f>POWER(B4,A4)</f>
        <v>268435456</v>
      </c>
      <c r="D4" s="1">
        <v>268435438</v>
      </c>
      <c r="E4">
        <f>C4-D4</f>
        <v>18</v>
      </c>
      <c r="F4">
        <v>4096</v>
      </c>
      <c r="G4">
        <f>C4*F4</f>
        <v>1099511627776</v>
      </c>
      <c r="H4">
        <f>G4/I4</f>
        <v>1024</v>
      </c>
      <c r="I4">
        <f>1024*1024*1024</f>
        <v>1073741824</v>
      </c>
      <c r="J4">
        <f t="shared" si="0"/>
        <v>1099511554048</v>
      </c>
      <c r="K4">
        <f t="shared" si="1"/>
        <v>1023.9999313354492</v>
      </c>
      <c r="L4" t="s">
        <v>4</v>
      </c>
    </row>
    <row r="5" spans="1:12">
      <c r="A5">
        <v>22</v>
      </c>
      <c r="B5">
        <v>2</v>
      </c>
      <c r="C5">
        <f>POWER(B5,A5)</f>
        <v>4194304</v>
      </c>
      <c r="D5" s="1">
        <v>4177920</v>
      </c>
      <c r="E5">
        <f>C5-D5</f>
        <v>16384</v>
      </c>
      <c r="F5">
        <v>4096</v>
      </c>
      <c r="G5">
        <f>C5*F5</f>
        <v>17179869184</v>
      </c>
      <c r="H5">
        <f>G5/I5</f>
        <v>16</v>
      </c>
      <c r="I5">
        <f>1024*1024*1024</f>
        <v>1073741824</v>
      </c>
      <c r="J5">
        <f>D5*F5</f>
        <v>17112760320</v>
      </c>
      <c r="K5">
        <f>J5/I5</f>
        <v>15.9375</v>
      </c>
    </row>
    <row r="36" spans="10:10">
      <c r="J36" s="37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topLeftCell="A55" workbookViewId="0"/>
  </sheetViews>
  <sheetFormatPr defaultRowHeight="13.5"/>
  <cols>
    <col min="1" max="1" width="54.25" bestFit="1" customWidth="1"/>
  </cols>
  <sheetData>
    <row r="1" spans="1:1">
      <c r="A1" t="s">
        <v>5</v>
      </c>
    </row>
    <row r="2" spans="1:1">
      <c r="A2" t="s">
        <v>6</v>
      </c>
    </row>
    <row r="4" spans="1:1">
      <c r="A4" t="s">
        <v>7</v>
      </c>
    </row>
    <row r="5" spans="1:1">
      <c r="A5" t="s">
        <v>8</v>
      </c>
    </row>
    <row r="7" spans="1:1">
      <c r="A7" t="s">
        <v>9</v>
      </c>
    </row>
    <row r="8" spans="1:1">
      <c r="A8" t="s">
        <v>10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M16" sqref="A1:M16"/>
    </sheetView>
  </sheetViews>
  <sheetFormatPr defaultRowHeight="13.5"/>
  <cols>
    <col min="6" max="6" width="5.25" bestFit="1" customWidth="1"/>
    <col min="7" max="7" width="25.625" bestFit="1" customWidth="1"/>
    <col min="8" max="9" width="3.5" style="1" bestFit="1" customWidth="1"/>
  </cols>
  <sheetData>
    <row r="1" spans="1:10">
      <c r="F1" t="s">
        <v>14</v>
      </c>
    </row>
    <row r="2" spans="1:10">
      <c r="A2">
        <v>63</v>
      </c>
      <c r="B2">
        <v>512</v>
      </c>
      <c r="C2">
        <f>A2*B2</f>
        <v>32256</v>
      </c>
      <c r="D2">
        <v>4096</v>
      </c>
      <c r="E2">
        <f>C2/D2</f>
        <v>7.875</v>
      </c>
      <c r="F2">
        <v>0</v>
      </c>
      <c r="G2" t="s">
        <v>11</v>
      </c>
      <c r="H2" s="1">
        <v>0</v>
      </c>
      <c r="I2" s="1">
        <f>H2+7</f>
        <v>7</v>
      </c>
    </row>
    <row r="3" spans="1:10">
      <c r="B3">
        <f>D2/B2</f>
        <v>8</v>
      </c>
      <c r="E3">
        <f>MOD(A2,B3)</f>
        <v>7</v>
      </c>
      <c r="F3">
        <v>1</v>
      </c>
      <c r="G3" t="s">
        <v>12</v>
      </c>
      <c r="H3" s="2">
        <f>I2+1</f>
        <v>8</v>
      </c>
      <c r="I3" s="1">
        <f>H3+7</f>
        <v>15</v>
      </c>
    </row>
    <row r="4" spans="1:10">
      <c r="E4">
        <f>B2*E3</f>
        <v>3584</v>
      </c>
      <c r="F4">
        <v>2</v>
      </c>
      <c r="G4" t="s">
        <v>12</v>
      </c>
      <c r="H4" s="2">
        <f t="shared" ref="H4:H9" si="0">I3+1</f>
        <v>16</v>
      </c>
      <c r="I4" s="1">
        <f t="shared" ref="I4:I9" si="1">H4+7</f>
        <v>23</v>
      </c>
    </row>
    <row r="5" spans="1:10">
      <c r="F5">
        <v>3</v>
      </c>
      <c r="G5" t="s">
        <v>12</v>
      </c>
      <c r="H5" s="2">
        <f t="shared" si="0"/>
        <v>24</v>
      </c>
      <c r="I5" s="1">
        <f t="shared" si="1"/>
        <v>31</v>
      </c>
    </row>
    <row r="6" spans="1:10">
      <c r="F6">
        <v>4</v>
      </c>
      <c r="G6" t="s">
        <v>12</v>
      </c>
      <c r="H6" s="2">
        <f t="shared" si="0"/>
        <v>32</v>
      </c>
      <c r="I6" s="1">
        <f t="shared" si="1"/>
        <v>39</v>
      </c>
    </row>
    <row r="7" spans="1:10">
      <c r="F7">
        <v>5</v>
      </c>
      <c r="G7" t="s">
        <v>12</v>
      </c>
      <c r="H7" s="2">
        <f t="shared" si="0"/>
        <v>40</v>
      </c>
      <c r="I7" s="1">
        <f t="shared" si="1"/>
        <v>47</v>
      </c>
    </row>
    <row r="8" spans="1:10">
      <c r="F8">
        <v>6</v>
      </c>
      <c r="G8" t="s">
        <v>12</v>
      </c>
      <c r="H8" s="2">
        <f t="shared" si="0"/>
        <v>48</v>
      </c>
      <c r="I8" s="1">
        <f t="shared" si="1"/>
        <v>55</v>
      </c>
    </row>
    <row r="9" spans="1:10">
      <c r="F9">
        <v>7</v>
      </c>
      <c r="G9" t="s">
        <v>13</v>
      </c>
      <c r="H9" s="2">
        <f t="shared" si="0"/>
        <v>56</v>
      </c>
      <c r="I9" s="1">
        <f t="shared" si="1"/>
        <v>63</v>
      </c>
      <c r="J9" s="3" t="s">
        <v>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E6"/>
  <sheetViews>
    <sheetView workbookViewId="0">
      <selection activeCell="A4" sqref="A4"/>
    </sheetView>
  </sheetViews>
  <sheetFormatPr defaultRowHeight="13.5"/>
  <sheetData>
    <row r="3" spans="1:5">
      <c r="A3">
        <v>117800</v>
      </c>
      <c r="B3">
        <f>HEX2DEC(A3)</f>
        <v>1144832</v>
      </c>
    </row>
    <row r="4" spans="1:5">
      <c r="A4">
        <v>273000</v>
      </c>
      <c r="B4">
        <f>HEX2DEC(A4)</f>
        <v>2568192</v>
      </c>
      <c r="C4" t="s">
        <v>18</v>
      </c>
    </row>
    <row r="5" spans="1:5">
      <c r="A5">
        <v>274000</v>
      </c>
      <c r="B5">
        <f>HEX2DEC(A5)</f>
        <v>2572288</v>
      </c>
    </row>
    <row r="6" spans="1:5">
      <c r="A6" t="s">
        <v>16</v>
      </c>
      <c r="B6">
        <f>HEX2DEC(A6)</f>
        <v>1154048</v>
      </c>
      <c r="C6" t="s">
        <v>17</v>
      </c>
      <c r="D6">
        <f>B6-B4</f>
        <v>-1414144</v>
      </c>
      <c r="E6">
        <f>D6/2</f>
        <v>-707072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83"/>
  <sheetViews>
    <sheetView tabSelected="1" topLeftCell="A56" zoomScale="85" zoomScaleNormal="85" workbookViewId="0">
      <selection activeCell="Q81" sqref="Q81"/>
    </sheetView>
  </sheetViews>
  <sheetFormatPr defaultRowHeight="13.5"/>
  <cols>
    <col min="1" max="1" width="8.5" style="4" bestFit="1" customWidth="1"/>
    <col min="2" max="2" width="4.5" style="4" customWidth="1"/>
    <col min="3" max="3" width="8.5" style="1" bestFit="1" customWidth="1"/>
    <col min="4" max="4" width="2.5" style="1" bestFit="1" customWidth="1"/>
    <col min="5" max="5" width="13.125" style="4" customWidth="1"/>
    <col min="6" max="6" width="8.875" style="1" customWidth="1"/>
    <col min="7" max="7" width="10.375" style="1" customWidth="1"/>
    <col min="8" max="8" width="10.125" style="4" customWidth="1"/>
    <col min="9" max="9" width="14" style="4" customWidth="1"/>
    <col min="10" max="10" width="10.75" style="1" customWidth="1"/>
    <col min="11" max="11" width="5.75" style="1" customWidth="1"/>
    <col min="12" max="13" width="8.875" style="1" customWidth="1"/>
    <col min="14" max="17" width="9" style="4"/>
    <col min="18" max="18" width="12.375" style="4" customWidth="1"/>
    <col min="19" max="20" width="4" style="4" customWidth="1"/>
    <col min="21" max="21" width="10" style="4" customWidth="1"/>
    <col min="22" max="22" width="7.25" style="4" customWidth="1"/>
    <col min="23" max="23" width="9.25" style="1" customWidth="1"/>
    <col min="24" max="24" width="9.125" style="1" customWidth="1"/>
    <col min="25" max="29" width="4" style="4" customWidth="1"/>
    <col min="30" max="16384" width="9" style="4"/>
  </cols>
  <sheetData>
    <row r="1" spans="1:26">
      <c r="A1" s="4" t="s">
        <v>55</v>
      </c>
      <c r="B1" s="1">
        <f>(A1+1)*8</f>
        <v>64</v>
      </c>
      <c r="C1" s="4">
        <f>A1+1</f>
        <v>8</v>
      </c>
      <c r="D1" s="4"/>
      <c r="E1" s="4" t="s">
        <v>32</v>
      </c>
      <c r="F1" s="1">
        <f>HEX2DEC(E1)</f>
        <v>20480</v>
      </c>
      <c r="G1" s="1">
        <f>F1/512</f>
        <v>40</v>
      </c>
      <c r="H1" s="4" t="s">
        <v>33</v>
      </c>
      <c r="I1" s="1">
        <f>HEX2DEC(H1)</f>
        <v>24064</v>
      </c>
      <c r="J1" s="1">
        <f>I1/512</f>
        <v>47</v>
      </c>
      <c r="K1" s="1">
        <f>J1-G1</f>
        <v>7</v>
      </c>
      <c r="L1" s="1">
        <f>B1-8+K1</f>
        <v>63</v>
      </c>
      <c r="M1" s="1">
        <f>L1-L10</f>
        <v>63</v>
      </c>
      <c r="N1" s="1"/>
      <c r="O1" s="1">
        <f>I1-F1</f>
        <v>3584</v>
      </c>
      <c r="P1" s="4" t="s">
        <v>34</v>
      </c>
      <c r="Q1" s="4" t="s">
        <v>19</v>
      </c>
      <c r="R1" s="4" t="s">
        <v>41</v>
      </c>
      <c r="T1" s="4" t="s">
        <v>42</v>
      </c>
      <c r="U1" s="4" t="s">
        <v>43</v>
      </c>
      <c r="V1" s="4">
        <f>15-HEX2DEC(U1)</f>
        <v>1</v>
      </c>
      <c r="W1" s="1">
        <v>0</v>
      </c>
      <c r="X1" s="1">
        <f>W1+1</f>
        <v>1</v>
      </c>
      <c r="Y1" s="1" t="str">
        <f>DEC2HEX(15-W1-X1)</f>
        <v>E</v>
      </c>
      <c r="Z1" s="1" t="str">
        <f>DEC2HEX(16-2*T1)</f>
        <v>E</v>
      </c>
    </row>
    <row r="2" spans="1:26">
      <c r="A2" s="4" t="s">
        <v>56</v>
      </c>
      <c r="B2" s="1">
        <f>(A2+1)*8</f>
        <v>128</v>
      </c>
      <c r="C2" s="4">
        <f t="shared" ref="C2:C9" si="0">A2+1</f>
        <v>16</v>
      </c>
      <c r="D2" s="4">
        <f>C2-C1</f>
        <v>8</v>
      </c>
      <c r="E2" s="4" t="s">
        <v>35</v>
      </c>
      <c r="F2" s="1">
        <f t="shared" ref="F2:F10" si="1">HEX2DEC(E2)</f>
        <v>24576</v>
      </c>
      <c r="G2" s="1">
        <f t="shared" ref="G2:G10" si="2">F2/512</f>
        <v>48</v>
      </c>
      <c r="H2" s="4" t="s">
        <v>20</v>
      </c>
      <c r="I2" s="1">
        <f t="shared" ref="I2:I11" si="3">HEX2DEC(H2)</f>
        <v>27648</v>
      </c>
      <c r="J2" s="1">
        <f t="shared" ref="J2:J10" si="4">I2/512</f>
        <v>54</v>
      </c>
      <c r="K2" s="1">
        <f t="shared" ref="K2:K10" si="5">J2-G2</f>
        <v>6</v>
      </c>
      <c r="L2" s="1">
        <f t="shared" ref="L2:L10" si="6">B2-8+K2</f>
        <v>126</v>
      </c>
      <c r="M2" s="1">
        <f>L2-L1</f>
        <v>63</v>
      </c>
      <c r="N2" s="1">
        <f t="shared" ref="N2:N10" si="7">I2-I1</f>
        <v>3584</v>
      </c>
      <c r="O2" s="1">
        <f t="shared" ref="O2:O10" si="8">I2-F2</f>
        <v>3072</v>
      </c>
      <c r="P2" s="4" t="s">
        <v>34</v>
      </c>
      <c r="S2" s="1">
        <f>N2/512</f>
        <v>7</v>
      </c>
      <c r="T2" s="4" t="s">
        <v>44</v>
      </c>
      <c r="U2" s="4" t="s">
        <v>45</v>
      </c>
      <c r="V2" s="4">
        <f t="shared" ref="V2:V8" si="9">15-HEX2DEC(U2)</f>
        <v>3</v>
      </c>
      <c r="W2" s="1">
        <f>X1</f>
        <v>1</v>
      </c>
      <c r="X2" s="1">
        <f>W2+1</f>
        <v>2</v>
      </c>
      <c r="Y2" s="1" t="str">
        <f t="shared" ref="Y2:Y8" si="10">DEC2HEX(15-W2-X2)</f>
        <v>C</v>
      </c>
      <c r="Z2" s="1" t="str">
        <f t="shared" ref="Z2:Z8" si="11">DEC2HEX(16-2*T2)</f>
        <v>C</v>
      </c>
    </row>
    <row r="3" spans="1:26">
      <c r="A3" s="4" t="s">
        <v>57</v>
      </c>
      <c r="B3" s="1">
        <f>(A3+1)*8</f>
        <v>192</v>
      </c>
      <c r="C3" s="4">
        <f t="shared" si="0"/>
        <v>24</v>
      </c>
      <c r="D3" s="4">
        <f t="shared" ref="D3:D9" si="12">C3-C2</f>
        <v>8</v>
      </c>
      <c r="E3" s="4" t="s">
        <v>36</v>
      </c>
      <c r="F3" s="1">
        <f t="shared" si="1"/>
        <v>28672</v>
      </c>
      <c r="G3" s="1">
        <f t="shared" si="2"/>
        <v>56</v>
      </c>
      <c r="H3" s="4" t="s">
        <v>21</v>
      </c>
      <c r="I3" s="1">
        <f t="shared" si="3"/>
        <v>31232</v>
      </c>
      <c r="J3" s="1">
        <f t="shared" si="4"/>
        <v>61</v>
      </c>
      <c r="K3" s="1">
        <f t="shared" si="5"/>
        <v>5</v>
      </c>
      <c r="L3" s="1">
        <f t="shared" si="6"/>
        <v>189</v>
      </c>
      <c r="M3" s="1">
        <f t="shared" ref="M3:M9" si="13">L3-L2</f>
        <v>63</v>
      </c>
      <c r="N3" s="1">
        <f t="shared" si="7"/>
        <v>3584</v>
      </c>
      <c r="O3" s="1">
        <f t="shared" si="8"/>
        <v>2560</v>
      </c>
      <c r="P3" s="4" t="s">
        <v>34</v>
      </c>
      <c r="T3" s="4" t="s">
        <v>46</v>
      </c>
      <c r="U3" s="4" t="s">
        <v>47</v>
      </c>
      <c r="V3" s="4">
        <f t="shared" si="9"/>
        <v>5</v>
      </c>
      <c r="W3" s="1">
        <f t="shared" ref="W3:W8" si="14">X2</f>
        <v>2</v>
      </c>
      <c r="X3" s="1">
        <f t="shared" ref="X3:X8" si="15">W3+1</f>
        <v>3</v>
      </c>
      <c r="Y3" s="1" t="str">
        <f t="shared" si="10"/>
        <v>A</v>
      </c>
      <c r="Z3" s="1" t="str">
        <f t="shared" si="11"/>
        <v>A</v>
      </c>
    </row>
    <row r="4" spans="1:26">
      <c r="A4" s="4" t="s">
        <v>58</v>
      </c>
      <c r="B4" s="1">
        <f>(A4+1)*8</f>
        <v>256</v>
      </c>
      <c r="C4" s="4">
        <f t="shared" si="0"/>
        <v>32</v>
      </c>
      <c r="D4" s="4">
        <f t="shared" si="12"/>
        <v>8</v>
      </c>
      <c r="E4" s="4" t="s">
        <v>37</v>
      </c>
      <c r="F4" s="1">
        <f t="shared" si="1"/>
        <v>32768</v>
      </c>
      <c r="G4" s="1">
        <f t="shared" si="2"/>
        <v>64</v>
      </c>
      <c r="H4" s="4" t="s">
        <v>38</v>
      </c>
      <c r="I4" s="1">
        <f t="shared" si="3"/>
        <v>34816</v>
      </c>
      <c r="J4" s="1">
        <f t="shared" si="4"/>
        <v>68</v>
      </c>
      <c r="K4" s="1">
        <f t="shared" si="5"/>
        <v>4</v>
      </c>
      <c r="L4" s="1">
        <f t="shared" si="6"/>
        <v>252</v>
      </c>
      <c r="M4" s="1">
        <f t="shared" si="13"/>
        <v>63</v>
      </c>
      <c r="N4" s="1">
        <f t="shared" si="7"/>
        <v>3584</v>
      </c>
      <c r="O4" s="1">
        <f t="shared" si="8"/>
        <v>2048</v>
      </c>
      <c r="P4" s="4" t="s">
        <v>34</v>
      </c>
      <c r="T4" s="4" t="s">
        <v>48</v>
      </c>
      <c r="U4" s="4" t="s">
        <v>49</v>
      </c>
      <c r="V4" s="4">
        <f t="shared" si="9"/>
        <v>7</v>
      </c>
      <c r="W4" s="1">
        <f t="shared" si="14"/>
        <v>3</v>
      </c>
      <c r="X4" s="1">
        <f t="shared" si="15"/>
        <v>4</v>
      </c>
      <c r="Y4" s="1" t="str">
        <f t="shared" si="10"/>
        <v>8</v>
      </c>
      <c r="Z4" s="1" t="str">
        <f t="shared" si="11"/>
        <v>8</v>
      </c>
    </row>
    <row r="5" spans="1:26">
      <c r="A5" s="4" t="s">
        <v>59</v>
      </c>
      <c r="B5" s="1">
        <f t="shared" ref="B5:B9" si="16">(A5+1)*8</f>
        <v>320</v>
      </c>
      <c r="C5" s="4">
        <f t="shared" si="0"/>
        <v>40</v>
      </c>
      <c r="D5" s="4">
        <f t="shared" si="12"/>
        <v>8</v>
      </c>
      <c r="E5" s="4" t="s">
        <v>39</v>
      </c>
      <c r="F5" s="1">
        <f t="shared" si="1"/>
        <v>36864</v>
      </c>
      <c r="G5" s="1">
        <f t="shared" si="2"/>
        <v>72</v>
      </c>
      <c r="H5" s="4" t="s">
        <v>40</v>
      </c>
      <c r="I5" s="1">
        <f t="shared" si="3"/>
        <v>38400</v>
      </c>
      <c r="J5" s="1">
        <f t="shared" si="4"/>
        <v>75</v>
      </c>
      <c r="K5" s="1">
        <f t="shared" si="5"/>
        <v>3</v>
      </c>
      <c r="L5" s="1">
        <f t="shared" si="6"/>
        <v>315</v>
      </c>
      <c r="M5" s="1">
        <f t="shared" si="13"/>
        <v>63</v>
      </c>
      <c r="N5" s="1">
        <f t="shared" si="7"/>
        <v>3584</v>
      </c>
      <c r="O5" s="1">
        <f t="shared" si="8"/>
        <v>1536</v>
      </c>
      <c r="P5" s="4" t="s">
        <v>34</v>
      </c>
      <c r="T5" s="4" t="s">
        <v>50</v>
      </c>
      <c r="U5" s="4" t="s">
        <v>51</v>
      </c>
      <c r="V5" s="4">
        <f t="shared" si="9"/>
        <v>9</v>
      </c>
      <c r="W5" s="1">
        <f t="shared" si="14"/>
        <v>4</v>
      </c>
      <c r="X5" s="1">
        <f t="shared" si="15"/>
        <v>5</v>
      </c>
      <c r="Y5" s="1" t="str">
        <f t="shared" si="10"/>
        <v>6</v>
      </c>
      <c r="Z5" s="1" t="str">
        <f t="shared" si="11"/>
        <v>6</v>
      </c>
    </row>
    <row r="6" spans="1:26">
      <c r="A6" s="4" t="s">
        <v>60</v>
      </c>
      <c r="B6" s="1">
        <f t="shared" si="16"/>
        <v>384</v>
      </c>
      <c r="C6" s="4">
        <f t="shared" si="0"/>
        <v>48</v>
      </c>
      <c r="D6" s="4">
        <f t="shared" si="12"/>
        <v>8</v>
      </c>
      <c r="E6" s="4" t="s">
        <v>22</v>
      </c>
      <c r="F6" s="1">
        <f t="shared" si="1"/>
        <v>40960</v>
      </c>
      <c r="G6" s="1">
        <f t="shared" si="2"/>
        <v>80</v>
      </c>
      <c r="H6" s="4" t="s">
        <v>23</v>
      </c>
      <c r="I6" s="1">
        <f t="shared" si="3"/>
        <v>41984</v>
      </c>
      <c r="J6" s="1">
        <f t="shared" si="4"/>
        <v>82</v>
      </c>
      <c r="K6" s="1">
        <f t="shared" si="5"/>
        <v>2</v>
      </c>
      <c r="L6" s="1">
        <f t="shared" si="6"/>
        <v>378</v>
      </c>
      <c r="M6" s="1">
        <f t="shared" si="13"/>
        <v>63</v>
      </c>
      <c r="N6" s="1">
        <f t="shared" si="7"/>
        <v>3584</v>
      </c>
      <c r="O6" s="1">
        <f t="shared" si="8"/>
        <v>1024</v>
      </c>
      <c r="P6" s="4" t="s">
        <v>34</v>
      </c>
      <c r="T6" s="4" t="s">
        <v>51</v>
      </c>
      <c r="U6" s="4" t="s">
        <v>48</v>
      </c>
      <c r="V6" s="4">
        <f t="shared" si="9"/>
        <v>11</v>
      </c>
      <c r="W6" s="1">
        <f t="shared" si="14"/>
        <v>5</v>
      </c>
      <c r="X6" s="1">
        <f t="shared" si="15"/>
        <v>6</v>
      </c>
      <c r="Y6" s="1" t="str">
        <f t="shared" si="10"/>
        <v>4</v>
      </c>
      <c r="Z6" s="1" t="str">
        <f t="shared" si="11"/>
        <v>4</v>
      </c>
    </row>
    <row r="7" spans="1:26">
      <c r="A7" s="4" t="s">
        <v>61</v>
      </c>
      <c r="B7" s="1">
        <f t="shared" si="16"/>
        <v>448</v>
      </c>
      <c r="C7" s="4">
        <f t="shared" si="0"/>
        <v>56</v>
      </c>
      <c r="D7" s="4">
        <f t="shared" si="12"/>
        <v>8</v>
      </c>
      <c r="E7" s="4" t="s">
        <v>24</v>
      </c>
      <c r="F7" s="1">
        <f t="shared" si="1"/>
        <v>45056</v>
      </c>
      <c r="G7" s="1">
        <f t="shared" si="2"/>
        <v>88</v>
      </c>
      <c r="H7" s="4" t="s">
        <v>25</v>
      </c>
      <c r="I7" s="1">
        <f t="shared" si="3"/>
        <v>45568</v>
      </c>
      <c r="J7" s="1">
        <f t="shared" si="4"/>
        <v>89</v>
      </c>
      <c r="K7" s="1">
        <f t="shared" si="5"/>
        <v>1</v>
      </c>
      <c r="L7" s="1">
        <f t="shared" si="6"/>
        <v>441</v>
      </c>
      <c r="M7" s="1">
        <f t="shared" si="13"/>
        <v>63</v>
      </c>
      <c r="N7" s="1">
        <f t="shared" si="7"/>
        <v>3584</v>
      </c>
      <c r="O7" s="1">
        <f t="shared" si="8"/>
        <v>512</v>
      </c>
      <c r="P7" s="4" t="s">
        <v>34</v>
      </c>
      <c r="T7" s="4" t="s">
        <v>52</v>
      </c>
      <c r="U7" s="4" t="s">
        <v>44</v>
      </c>
      <c r="V7" s="4">
        <f t="shared" si="9"/>
        <v>13</v>
      </c>
      <c r="W7" s="1">
        <f t="shared" si="14"/>
        <v>6</v>
      </c>
      <c r="X7" s="1">
        <f t="shared" si="15"/>
        <v>7</v>
      </c>
      <c r="Y7" s="1" t="str">
        <f t="shared" si="10"/>
        <v>2</v>
      </c>
      <c r="Z7" s="1" t="str">
        <f t="shared" si="11"/>
        <v>2</v>
      </c>
    </row>
    <row r="8" spans="1:26">
      <c r="A8" s="4" t="s">
        <v>62</v>
      </c>
      <c r="B8" s="1">
        <f t="shared" si="16"/>
        <v>512</v>
      </c>
      <c r="C8" s="4">
        <f t="shared" si="0"/>
        <v>64</v>
      </c>
      <c r="D8" s="4">
        <f t="shared" si="12"/>
        <v>8</v>
      </c>
      <c r="E8" s="4" t="s">
        <v>26</v>
      </c>
      <c r="F8" s="1">
        <f t="shared" si="1"/>
        <v>49152</v>
      </c>
      <c r="G8" s="1">
        <f t="shared" si="2"/>
        <v>96</v>
      </c>
      <c r="H8" s="4" t="s">
        <v>26</v>
      </c>
      <c r="I8" s="1">
        <f t="shared" si="3"/>
        <v>49152</v>
      </c>
      <c r="J8" s="1">
        <f t="shared" si="4"/>
        <v>96</v>
      </c>
      <c r="K8" s="1">
        <f t="shared" si="5"/>
        <v>0</v>
      </c>
      <c r="L8" s="1">
        <f t="shared" si="6"/>
        <v>504</v>
      </c>
      <c r="M8" s="1">
        <f t="shared" si="13"/>
        <v>63</v>
      </c>
      <c r="N8" s="1">
        <f t="shared" si="7"/>
        <v>3584</v>
      </c>
      <c r="O8" s="1">
        <f t="shared" si="8"/>
        <v>0</v>
      </c>
      <c r="P8" s="4" t="s">
        <v>34</v>
      </c>
      <c r="T8" s="4" t="s">
        <v>49</v>
      </c>
      <c r="U8" s="4" t="s">
        <v>53</v>
      </c>
      <c r="V8" s="4">
        <f t="shared" si="9"/>
        <v>15</v>
      </c>
      <c r="W8" s="1">
        <f t="shared" si="14"/>
        <v>7</v>
      </c>
      <c r="X8" s="1">
        <f t="shared" si="15"/>
        <v>8</v>
      </c>
      <c r="Y8" s="1" t="str">
        <f t="shared" si="10"/>
        <v>0</v>
      </c>
      <c r="Z8" s="1" t="str">
        <f t="shared" si="11"/>
        <v>0</v>
      </c>
    </row>
    <row r="9" spans="1:26">
      <c r="A9" s="4" t="s">
        <v>63</v>
      </c>
      <c r="B9" s="1">
        <f t="shared" si="16"/>
        <v>568</v>
      </c>
      <c r="C9" s="4">
        <f t="shared" si="0"/>
        <v>71</v>
      </c>
      <c r="D9" s="4">
        <f t="shared" si="12"/>
        <v>7</v>
      </c>
      <c r="E9" s="4" t="s">
        <v>27</v>
      </c>
      <c r="F9" s="1">
        <f t="shared" si="1"/>
        <v>53248</v>
      </c>
      <c r="G9" s="1">
        <f t="shared" si="2"/>
        <v>104</v>
      </c>
      <c r="H9" s="4" t="s">
        <v>28</v>
      </c>
      <c r="I9" s="1">
        <f t="shared" si="3"/>
        <v>56832</v>
      </c>
      <c r="J9" s="1">
        <f t="shared" si="4"/>
        <v>111</v>
      </c>
      <c r="K9" s="1">
        <f t="shared" si="5"/>
        <v>7</v>
      </c>
      <c r="L9" s="1">
        <f t="shared" si="6"/>
        <v>567</v>
      </c>
      <c r="M9" s="1">
        <f t="shared" si="13"/>
        <v>63</v>
      </c>
      <c r="N9" s="1">
        <f t="shared" si="7"/>
        <v>7680</v>
      </c>
      <c r="O9" s="1">
        <f t="shared" si="8"/>
        <v>3584</v>
      </c>
      <c r="P9" s="4" t="s">
        <v>34</v>
      </c>
    </row>
    <row r="10" spans="1:26">
      <c r="A10" s="4" t="s">
        <v>54</v>
      </c>
      <c r="B10" s="1">
        <f>(A10+1)*8</f>
        <v>8</v>
      </c>
      <c r="E10" s="4" t="s">
        <v>29</v>
      </c>
      <c r="F10" s="1">
        <f t="shared" si="1"/>
        <v>57344</v>
      </c>
      <c r="G10" s="1">
        <f t="shared" si="2"/>
        <v>112</v>
      </c>
      <c r="H10" s="4" t="s">
        <v>29</v>
      </c>
      <c r="I10" s="1">
        <f t="shared" si="3"/>
        <v>57344</v>
      </c>
      <c r="J10" s="1">
        <f t="shared" si="4"/>
        <v>112</v>
      </c>
      <c r="K10" s="1">
        <f t="shared" si="5"/>
        <v>0</v>
      </c>
      <c r="L10" s="1">
        <f t="shared" si="6"/>
        <v>0</v>
      </c>
      <c r="N10" s="1">
        <f t="shared" si="7"/>
        <v>512</v>
      </c>
      <c r="O10" s="1">
        <f t="shared" si="8"/>
        <v>0</v>
      </c>
      <c r="P10" s="4" t="s">
        <v>34</v>
      </c>
      <c r="Q10" s="4" t="s">
        <v>30</v>
      </c>
    </row>
    <row r="11" spans="1:26">
      <c r="A11" s="4" t="s">
        <v>64</v>
      </c>
      <c r="B11" s="1">
        <f t="shared" ref="B11:B14" si="17">B10+8</f>
        <v>16</v>
      </c>
      <c r="H11" s="4" t="s">
        <v>31</v>
      </c>
      <c r="I11" s="1">
        <f t="shared" si="3"/>
        <v>60416</v>
      </c>
      <c r="N11" s="1">
        <f>I11-I9</f>
        <v>3584</v>
      </c>
      <c r="O11" s="1"/>
      <c r="P11" s="4" t="s">
        <v>34</v>
      </c>
    </row>
    <row r="12" spans="1:26">
      <c r="A12" s="4" t="s">
        <v>65</v>
      </c>
      <c r="B12" s="1">
        <f t="shared" si="17"/>
        <v>24</v>
      </c>
    </row>
    <row r="13" spans="1:26">
      <c r="A13" s="4" t="s">
        <v>66</v>
      </c>
      <c r="B13" s="1">
        <f t="shared" si="17"/>
        <v>32</v>
      </c>
    </row>
    <row r="14" spans="1:26">
      <c r="A14" s="4" t="s">
        <v>67</v>
      </c>
      <c r="B14" s="1">
        <f t="shared" si="17"/>
        <v>40</v>
      </c>
    </row>
    <row r="15" spans="1:26">
      <c r="A15" s="4" t="s">
        <v>68</v>
      </c>
      <c r="B15" s="1">
        <f>B14+8</f>
        <v>48</v>
      </c>
    </row>
    <row r="16" spans="1:26">
      <c r="A16" s="4" t="s">
        <v>69</v>
      </c>
      <c r="B16" s="1">
        <f>B15+8</f>
        <v>56</v>
      </c>
    </row>
    <row r="17" spans="1:33">
      <c r="A17" s="4" t="s">
        <v>70</v>
      </c>
      <c r="B17" s="1">
        <f>B16+8</f>
        <v>64</v>
      </c>
    </row>
    <row r="18" spans="1:33">
      <c r="B18" s="1"/>
    </row>
    <row r="19" spans="1:33">
      <c r="B19" s="1"/>
    </row>
    <row r="20" spans="1:33">
      <c r="B20" s="1"/>
    </row>
    <row r="21" spans="1:33">
      <c r="A21" s="1">
        <f>E21/(1024*1024)</f>
        <v>0.4921875</v>
      </c>
      <c r="B21" s="1"/>
      <c r="E21" s="1">
        <f>I21*512</f>
        <v>516096</v>
      </c>
      <c r="I21" s="7">
        <f>J21*K21*L21</f>
        <v>1008</v>
      </c>
      <c r="J21" s="7">
        <v>1</v>
      </c>
      <c r="K21" s="7">
        <v>16</v>
      </c>
      <c r="L21" s="7">
        <v>63</v>
      </c>
    </row>
    <row r="22" spans="1:33">
      <c r="A22" s="1">
        <f>E22/(1024*1024)</f>
        <v>504</v>
      </c>
      <c r="E22" s="1">
        <f>I22*512</f>
        <v>528482304</v>
      </c>
      <c r="I22" s="1">
        <f>J22*K22*L22</f>
        <v>1032192</v>
      </c>
      <c r="J22" s="1">
        <v>1024</v>
      </c>
      <c r="K22" s="1">
        <v>16</v>
      </c>
      <c r="L22" s="1">
        <v>63</v>
      </c>
    </row>
    <row r="23" spans="1:33">
      <c r="A23" s="1">
        <f>E23/(1024*1024)</f>
        <v>8032.5</v>
      </c>
      <c r="E23" s="1">
        <f>I23*512</f>
        <v>8422686720</v>
      </c>
      <c r="I23" s="1">
        <f>J23*K23*L23</f>
        <v>16450560</v>
      </c>
      <c r="J23" s="1">
        <v>1024</v>
      </c>
      <c r="K23" s="1">
        <v>255</v>
      </c>
      <c r="L23" s="1">
        <v>63</v>
      </c>
    </row>
    <row r="24" spans="1:33">
      <c r="J24" s="1">
        <f>POWER(2,10)</f>
        <v>1024</v>
      </c>
      <c r="K24" s="1">
        <f>POWER(2,8)</f>
        <v>256</v>
      </c>
      <c r="L24" s="1">
        <f>POWER(2,6)</f>
        <v>64</v>
      </c>
    </row>
    <row r="25" spans="1:33">
      <c r="M25" t="s">
        <v>80</v>
      </c>
      <c r="N25" t="s">
        <v>81</v>
      </c>
    </row>
    <row r="26" spans="1:33">
      <c r="J26" s="1" t="s">
        <v>86</v>
      </c>
      <c r="K26" s="1" t="s">
        <v>85</v>
      </c>
      <c r="L26" s="1" t="s">
        <v>87</v>
      </c>
      <c r="M26" s="1" t="s">
        <v>78</v>
      </c>
      <c r="N26" s="4" t="s">
        <v>79</v>
      </c>
    </row>
    <row r="27" spans="1:33">
      <c r="A27" s="4" t="s">
        <v>71</v>
      </c>
      <c r="E27" s="4" t="s">
        <v>73</v>
      </c>
      <c r="F27" s="1" t="s">
        <v>74</v>
      </c>
      <c r="G27" s="1" t="s">
        <v>75</v>
      </c>
      <c r="H27" s="5" t="s">
        <v>76</v>
      </c>
      <c r="I27" s="4" t="s">
        <v>77</v>
      </c>
      <c r="J27" s="1">
        <v>0</v>
      </c>
      <c r="K27" s="1">
        <v>0</v>
      </c>
      <c r="L27" s="1">
        <v>1</v>
      </c>
      <c r="M27" s="1">
        <v>63</v>
      </c>
      <c r="N27" s="1">
        <v>16</v>
      </c>
      <c r="S27" s="4">
        <f>AB27+1</f>
        <v>14</v>
      </c>
      <c r="T27" s="4" t="s">
        <v>105</v>
      </c>
      <c r="U27" s="4">
        <f>T27+1</f>
        <v>6</v>
      </c>
      <c r="V27" s="4">
        <f t="shared" ref="V27:AC27" si="18">U27+1</f>
        <v>7</v>
      </c>
      <c r="W27" s="4">
        <f t="shared" si="18"/>
        <v>8</v>
      </c>
      <c r="X27" s="4">
        <f t="shared" si="18"/>
        <v>9</v>
      </c>
      <c r="Y27" s="4">
        <f t="shared" si="18"/>
        <v>10</v>
      </c>
      <c r="Z27" s="4">
        <f t="shared" si="18"/>
        <v>11</v>
      </c>
      <c r="AA27" s="4">
        <f t="shared" si="18"/>
        <v>12</v>
      </c>
      <c r="AB27" s="4">
        <f t="shared" si="18"/>
        <v>13</v>
      </c>
      <c r="AC27" s="4">
        <f t="shared" si="18"/>
        <v>14</v>
      </c>
      <c r="AG27" s="4" t="s">
        <v>226</v>
      </c>
    </row>
    <row r="28" spans="1:33">
      <c r="A28" s="6" t="s">
        <v>72</v>
      </c>
      <c r="E28" s="6">
        <f>A28*1024*1024</f>
        <v>2097152</v>
      </c>
      <c r="F28" s="1">
        <v>63</v>
      </c>
      <c r="G28" s="1">
        <v>3969</v>
      </c>
      <c r="H28" s="1">
        <f>F28+G28-1</f>
        <v>4031</v>
      </c>
      <c r="I28" s="4">
        <f>E28/512</f>
        <v>4096</v>
      </c>
      <c r="J28" s="1">
        <f>INT(F28/($M$27*$N$27))</f>
        <v>0</v>
      </c>
      <c r="K28" s="1">
        <f>MOD(INT(F28/$M$27),$N$27)</f>
        <v>1</v>
      </c>
      <c r="L28" s="1">
        <f>MOD(F28,$M$27)+1</f>
        <v>1</v>
      </c>
      <c r="M28" s="1">
        <f>INT(H28/($M$27*$N$27))</f>
        <v>3</v>
      </c>
      <c r="N28" s="7">
        <f>MOD(INT(H28/$M$27),$N$27)</f>
        <v>15</v>
      </c>
      <c r="O28" s="7">
        <f>MOD(H28,$M$27)+1</f>
        <v>63</v>
      </c>
      <c r="Q28" s="1">
        <f>(H28+1)/$I$21</f>
        <v>4</v>
      </c>
      <c r="R28" s="1">
        <f>G28*512</f>
        <v>2032128</v>
      </c>
      <c r="S28" s="4" t="s">
        <v>104</v>
      </c>
      <c r="T28" s="4">
        <f t="shared" ref="T28:AB28" si="19">S28+63</f>
        <v>63</v>
      </c>
      <c r="U28" s="4">
        <f t="shared" si="19"/>
        <v>126</v>
      </c>
      <c r="V28" s="4">
        <f t="shared" si="19"/>
        <v>189</v>
      </c>
      <c r="W28" s="4">
        <f t="shared" si="19"/>
        <v>252</v>
      </c>
      <c r="X28" s="4">
        <f t="shared" si="19"/>
        <v>315</v>
      </c>
      <c r="Y28" s="4">
        <f t="shared" si="19"/>
        <v>378</v>
      </c>
      <c r="Z28" s="4">
        <f t="shared" si="19"/>
        <v>441</v>
      </c>
      <c r="AA28" s="4">
        <f t="shared" si="19"/>
        <v>504</v>
      </c>
      <c r="AB28" s="4">
        <f t="shared" si="19"/>
        <v>567</v>
      </c>
      <c r="AE28" s="4" t="s">
        <v>107</v>
      </c>
      <c r="AF28" s="1">
        <f>R28/1024</f>
        <v>1984.5</v>
      </c>
      <c r="AG28" s="33">
        <f>ROUNDDOWN(AF28/1024,2)</f>
        <v>1.93</v>
      </c>
    </row>
    <row r="29" spans="1:33">
      <c r="A29" s="6" t="s">
        <v>82</v>
      </c>
      <c r="E29" s="6">
        <f>A29*1024*1024</f>
        <v>10485760</v>
      </c>
      <c r="F29" s="1">
        <v>63</v>
      </c>
      <c r="G29" s="1">
        <v>20097</v>
      </c>
      <c r="H29" s="1">
        <f>F29+G29-1</f>
        <v>20159</v>
      </c>
      <c r="I29" s="4">
        <f>E29/512</f>
        <v>20480</v>
      </c>
      <c r="J29" s="1">
        <f t="shared" ref="J29:J32" si="20">INT(F29/($M$27*$N$27))</f>
        <v>0</v>
      </c>
      <c r="K29" s="1">
        <f t="shared" ref="K29:K32" si="21">MOD(INT(F29/$M$27),$N$27)</f>
        <v>1</v>
      </c>
      <c r="L29" s="1">
        <f t="shared" ref="L29:L32" si="22">MOD(F29,$M$27)+1</f>
        <v>1</v>
      </c>
      <c r="M29" s="1">
        <f>INT(H29/($M$27*$N$27))</f>
        <v>19</v>
      </c>
      <c r="N29" s="7">
        <f>MOD(INT(H29/$M$27),$N$27)</f>
        <v>15</v>
      </c>
      <c r="O29" s="7">
        <f>MOD(H29,$M$27)+1</f>
        <v>63</v>
      </c>
      <c r="Q29" s="1">
        <f>(H29+1)/$I$21</f>
        <v>20</v>
      </c>
      <c r="R29" s="1">
        <f>G29*512</f>
        <v>10289664</v>
      </c>
      <c r="S29" s="4" t="s">
        <v>104</v>
      </c>
      <c r="T29" s="4">
        <f t="shared" ref="T29:AB29" si="23">S29+63</f>
        <v>63</v>
      </c>
      <c r="U29" s="4">
        <f t="shared" si="23"/>
        <v>126</v>
      </c>
      <c r="V29" s="4">
        <f t="shared" si="23"/>
        <v>189</v>
      </c>
      <c r="W29" s="4">
        <f t="shared" si="23"/>
        <v>252</v>
      </c>
      <c r="X29" s="4">
        <f t="shared" si="23"/>
        <v>315</v>
      </c>
      <c r="Y29" s="4">
        <f t="shared" si="23"/>
        <v>378</v>
      </c>
      <c r="Z29" s="4">
        <f t="shared" si="23"/>
        <v>441</v>
      </c>
      <c r="AA29" s="4">
        <f t="shared" si="23"/>
        <v>504</v>
      </c>
      <c r="AB29" s="4">
        <f t="shared" si="23"/>
        <v>567</v>
      </c>
      <c r="AE29" s="4" t="s">
        <v>107</v>
      </c>
      <c r="AF29" s="1">
        <f>R29/1024</f>
        <v>10048.5</v>
      </c>
      <c r="AG29" s="33">
        <f>ROUNDDOWN(AF29/1024,2)</f>
        <v>9.81</v>
      </c>
    </row>
    <row r="30" spans="1:33">
      <c r="A30" s="6" t="s">
        <v>83</v>
      </c>
      <c r="E30" s="6">
        <f>A30*1024*1024</f>
        <v>20971520</v>
      </c>
      <c r="F30" s="1">
        <v>63</v>
      </c>
      <c r="G30" s="1">
        <v>40257</v>
      </c>
      <c r="H30" s="1">
        <f>F30+G30-1</f>
        <v>40319</v>
      </c>
      <c r="I30" s="4">
        <f>E30/512</f>
        <v>40960</v>
      </c>
      <c r="J30" s="1">
        <f t="shared" si="20"/>
        <v>0</v>
      </c>
      <c r="K30" s="1">
        <f t="shared" si="21"/>
        <v>1</v>
      </c>
      <c r="L30" s="1">
        <f t="shared" si="22"/>
        <v>1</v>
      </c>
      <c r="M30" s="1">
        <f>INT(H30/($M$27*$N$27))</f>
        <v>39</v>
      </c>
      <c r="N30" s="7">
        <f>MOD(INT(H30/$M$27),$N$27)</f>
        <v>15</v>
      </c>
      <c r="O30" s="7">
        <f>MOD(H30,$M$27)+1</f>
        <v>63</v>
      </c>
      <c r="Q30" s="1">
        <f>(H30+1)/$I$21</f>
        <v>40</v>
      </c>
      <c r="R30" s="1">
        <f>G30*512</f>
        <v>20611584</v>
      </c>
      <c r="S30" s="4" t="s">
        <v>104</v>
      </c>
      <c r="T30" s="4">
        <f t="shared" ref="T30:AB30" si="24">S30+63</f>
        <v>63</v>
      </c>
      <c r="U30" s="4">
        <f t="shared" si="24"/>
        <v>126</v>
      </c>
      <c r="V30" s="4">
        <f t="shared" si="24"/>
        <v>189</v>
      </c>
      <c r="W30" s="4">
        <f t="shared" si="24"/>
        <v>252</v>
      </c>
      <c r="X30" s="4">
        <f t="shared" si="24"/>
        <v>315</v>
      </c>
      <c r="Y30" s="4">
        <f t="shared" si="24"/>
        <v>378</v>
      </c>
      <c r="Z30" s="4">
        <f t="shared" si="24"/>
        <v>441</v>
      </c>
      <c r="AA30" s="4">
        <f t="shared" si="24"/>
        <v>504</v>
      </c>
      <c r="AB30" s="4">
        <f t="shared" si="24"/>
        <v>567</v>
      </c>
      <c r="AC30" s="4">
        <f>AB30+63</f>
        <v>630</v>
      </c>
      <c r="AE30" s="4" t="s">
        <v>108</v>
      </c>
      <c r="AF30" s="1">
        <f>R30/1024</f>
        <v>20128.5</v>
      </c>
      <c r="AG30" s="33">
        <f>ROUNDDOWN(AF30/1024,2)</f>
        <v>19.649999999999999</v>
      </c>
    </row>
    <row r="31" spans="1:33">
      <c r="A31" s="6"/>
      <c r="E31" s="6"/>
      <c r="H31" s="1"/>
      <c r="N31" s="1"/>
      <c r="O31" s="1"/>
    </row>
    <row r="32" spans="1:33">
      <c r="A32" s="6" t="s">
        <v>84</v>
      </c>
      <c r="E32" s="6">
        <f>A32*1024*1024</f>
        <v>629145600</v>
      </c>
      <c r="F32" s="1">
        <v>63</v>
      </c>
      <c r="G32" s="1">
        <v>1227681</v>
      </c>
      <c r="H32" s="1">
        <f t="shared" ref="H32:H33" si="25">F32+G32-1</f>
        <v>1227743</v>
      </c>
      <c r="I32" s="4">
        <f>E32/512</f>
        <v>1228800</v>
      </c>
      <c r="J32" s="1">
        <f t="shared" si="20"/>
        <v>0</v>
      </c>
      <c r="K32" s="1">
        <f t="shared" si="21"/>
        <v>1</v>
      </c>
      <c r="L32" s="1">
        <f t="shared" si="22"/>
        <v>1</v>
      </c>
      <c r="M32" s="1">
        <f>INT(H32/($M$27*$N$27))</f>
        <v>1217</v>
      </c>
      <c r="N32" s="1">
        <f>MOD(INT(H32/$M$27),$N$27)</f>
        <v>15</v>
      </c>
      <c r="O32" s="1">
        <f>MOD(H32,$M$27)+1</f>
        <v>63</v>
      </c>
      <c r="Q32" s="1">
        <f>(H32+1)/$I$21</f>
        <v>1218</v>
      </c>
      <c r="R32" s="1">
        <f>G32*512</f>
        <v>628572672</v>
      </c>
      <c r="S32" s="4" t="s">
        <v>104</v>
      </c>
      <c r="T32" s="4">
        <f t="shared" ref="T32:AC32" si="26">S32+63</f>
        <v>63</v>
      </c>
      <c r="U32" s="4">
        <f t="shared" si="26"/>
        <v>126</v>
      </c>
      <c r="V32" s="4">
        <f t="shared" si="26"/>
        <v>189</v>
      </c>
      <c r="W32" s="4">
        <f t="shared" si="26"/>
        <v>252</v>
      </c>
      <c r="X32" s="4">
        <f t="shared" si="26"/>
        <v>315</v>
      </c>
      <c r="Y32" s="4">
        <f t="shared" si="26"/>
        <v>378</v>
      </c>
      <c r="Z32" s="4">
        <f t="shared" si="26"/>
        <v>441</v>
      </c>
      <c r="AA32" s="4">
        <f t="shared" si="26"/>
        <v>504</v>
      </c>
      <c r="AB32" s="4">
        <f t="shared" si="26"/>
        <v>567</v>
      </c>
      <c r="AC32" s="4">
        <f t="shared" si="26"/>
        <v>630</v>
      </c>
      <c r="AE32" s="4" t="s">
        <v>106</v>
      </c>
      <c r="AF32" s="1">
        <f>R32/1024</f>
        <v>613840.5</v>
      </c>
      <c r="AG32" s="33">
        <f>ROUNDDOWN(AF32/1024,2)</f>
        <v>599.45000000000005</v>
      </c>
    </row>
    <row r="33" spans="1:33">
      <c r="A33" s="1">
        <f>2047</f>
        <v>2047</v>
      </c>
      <c r="E33" s="6">
        <f>A33*1024*1024</f>
        <v>2146435072</v>
      </c>
      <c r="F33" s="1">
        <v>63</v>
      </c>
      <c r="G33" s="1">
        <v>4192902</v>
      </c>
      <c r="H33" s="1">
        <f t="shared" si="25"/>
        <v>4192964</v>
      </c>
      <c r="I33" s="4">
        <f>E33/512</f>
        <v>4192256</v>
      </c>
      <c r="J33" s="1">
        <f t="shared" ref="J33" si="27">INT(F33/($M$27*$N$27))</f>
        <v>0</v>
      </c>
      <c r="K33" s="1">
        <f t="shared" ref="K33" si="28">MOD(INT(F33/$M$27),$N$27)</f>
        <v>1</v>
      </c>
      <c r="L33" s="1">
        <f t="shared" ref="L33" si="29">MOD(F33,$M$27)+1</f>
        <v>1</v>
      </c>
      <c r="M33" s="1">
        <f>INT(H33/($M$27*$N$27))</f>
        <v>4159</v>
      </c>
      <c r="N33" s="1">
        <f>MOD(INT(H33/$M$27),$N$27)</f>
        <v>10</v>
      </c>
      <c r="O33" s="1">
        <f>MOD(H33,$M$27)+1</f>
        <v>63</v>
      </c>
      <c r="Q33" s="1">
        <f>(H33+1)/$I$21</f>
        <v>4159.6875</v>
      </c>
      <c r="R33" s="1">
        <f>G33*512</f>
        <v>2146765824</v>
      </c>
      <c r="AE33" s="4" t="s">
        <v>109</v>
      </c>
      <c r="AF33" s="1">
        <f>R33/1024</f>
        <v>2096451</v>
      </c>
      <c r="AG33" s="33">
        <f>ROUNDDOWN(AF33/1024,2)</f>
        <v>2047.31</v>
      </c>
    </row>
    <row r="34" spans="1:33">
      <c r="G34" s="1">
        <v>4192965</v>
      </c>
    </row>
    <row r="35" spans="1:33">
      <c r="J35" s="1" t="s">
        <v>88</v>
      </c>
    </row>
    <row r="36" spans="1:33">
      <c r="J36" s="1" t="s">
        <v>89</v>
      </c>
    </row>
    <row r="37" spans="1:33">
      <c r="L37" s="1" t="s">
        <v>90</v>
      </c>
    </row>
    <row r="38" spans="1:33">
      <c r="J38" s="1" t="s">
        <v>92</v>
      </c>
    </row>
    <row r="39" spans="1:33">
      <c r="J39" s="1" t="s">
        <v>93</v>
      </c>
    </row>
    <row r="40" spans="1:33">
      <c r="L40" s="1" t="s">
        <v>99</v>
      </c>
    </row>
    <row r="43" spans="1:33">
      <c r="J43" s="1" t="s">
        <v>91</v>
      </c>
    </row>
    <row r="44" spans="1:33">
      <c r="J44" s="1" t="s">
        <v>94</v>
      </c>
    </row>
    <row r="45" spans="1:33">
      <c r="J45" s="1" t="s">
        <v>95</v>
      </c>
    </row>
    <row r="46" spans="1:33">
      <c r="J46" s="1" t="s">
        <v>97</v>
      </c>
    </row>
    <row r="49" spans="10:11">
      <c r="J49" s="1" t="s">
        <v>96</v>
      </c>
    </row>
    <row r="50" spans="10:11">
      <c r="J50" s="1" t="s">
        <v>98</v>
      </c>
    </row>
    <row r="53" spans="10:11">
      <c r="J53" s="1" t="s">
        <v>100</v>
      </c>
    </row>
    <row r="56" spans="10:11" ht="15.75">
      <c r="K56" s="1" t="s">
        <v>101</v>
      </c>
    </row>
    <row r="57" spans="10:11">
      <c r="K57" s="1" t="s">
        <v>103</v>
      </c>
    </row>
    <row r="59" spans="10:11">
      <c r="J59" s="1" t="s">
        <v>102</v>
      </c>
    </row>
    <row r="65" spans="1:25">
      <c r="J65" s="1" t="s">
        <v>233</v>
      </c>
      <c r="K65" s="1" t="s">
        <v>234</v>
      </c>
      <c r="L65" s="1" t="s">
        <v>235</v>
      </c>
      <c r="M65" s="1" t="s">
        <v>236</v>
      </c>
    </row>
    <row r="66" spans="1:25">
      <c r="G66" s="34" t="s">
        <v>231</v>
      </c>
      <c r="H66" s="1" t="s">
        <v>232</v>
      </c>
      <c r="I66" s="1">
        <f>POWER(2,H66)</f>
        <v>4294967296</v>
      </c>
      <c r="J66" s="1">
        <f>I66/2</f>
        <v>2147483648</v>
      </c>
      <c r="K66" s="1">
        <f>J66/1024</f>
        <v>2097152</v>
      </c>
      <c r="L66" s="1">
        <f>K66/1024</f>
        <v>2048</v>
      </c>
      <c r="M66" s="1">
        <f>L66/1024</f>
        <v>2</v>
      </c>
    </row>
    <row r="67" spans="1:25">
      <c r="C67" s="1" t="s">
        <v>248</v>
      </c>
      <c r="O67" s="4" t="s">
        <v>256</v>
      </c>
      <c r="P67" s="4" t="s">
        <v>255</v>
      </c>
      <c r="T67" s="4" t="s">
        <v>254</v>
      </c>
    </row>
    <row r="68" spans="1:25" s="1" customFormat="1">
      <c r="A68" s="1">
        <v>0</v>
      </c>
      <c r="B68" s="1" t="s">
        <v>237</v>
      </c>
      <c r="C68" s="35">
        <f t="shared" ref="C68:C80" si="30">A68/1024</f>
        <v>0</v>
      </c>
      <c r="D68" s="1" t="s">
        <v>238</v>
      </c>
      <c r="E68" s="36" t="str">
        <f t="shared" ref="E68:E78" si="31">"C:\Users\DBJ\git\hos\tools\qemu\qemu-img create -f qcow2 C:\Users\DBJ\git\hos\tools\qemu\qemu_img\create\qcow2_"&amp;A68&amp;B68&amp;".qcow2 "&amp;A68</f>
        <v>C:\Users\DBJ\git\hos\tools\qemu\qemu-img create -f qcow2 C:\Users\DBJ\git\hos\tools\qemu\qemu_img\create\qcow2_0K.qcow2 0</v>
      </c>
      <c r="F68" s="36" t="str">
        <f t="shared" ref="F68:F78" si="32">"C:\Users\DBJ\git\hos\tools\qemu\run.bat qcow2_"&amp;A68&amp;B68&amp;".qcow2 fdisk create"</f>
        <v>C:\Users\DBJ\git\hos\tools\qemu\run.bat qcow2_0K.qcow2 fdisk create</v>
      </c>
      <c r="G68" s="36" t="str">
        <f t="shared" ref="G68:G78" si="33">"C:\Users\DBJ\git\hos\tools\qemu\run.bat qcow2_"&amp;A68&amp;B68&amp;".qcow2 format fdisk"</f>
        <v>C:\Users\DBJ\git\hos\tools\qemu\run.bat qcow2_0K.qcow2 format fdisk</v>
      </c>
      <c r="H68" s="46" t="s">
        <v>240</v>
      </c>
      <c r="I68" s="47">
        <f t="shared" ref="I68:I78" si="34">A68*1024</f>
        <v>0</v>
      </c>
      <c r="J68" s="48">
        <f t="shared" ref="J68:J78" si="35">I68/(1008*512)</f>
        <v>0</v>
      </c>
      <c r="K68" s="46">
        <f>INT(J68)</f>
        <v>0</v>
      </c>
      <c r="L68" s="46">
        <f t="shared" ref="L68:L69" si="36">K68*1008</f>
        <v>0</v>
      </c>
      <c r="M68" s="46">
        <f t="shared" ref="M68:M69" si="37">L68-1</f>
        <v>-1</v>
      </c>
      <c r="N68" s="46">
        <f t="shared" ref="N68:N69" si="38">M68-63</f>
        <v>-64</v>
      </c>
      <c r="O68" s="46">
        <f t="shared" ref="O68:O69" si="39">N68/2</f>
        <v>-32</v>
      </c>
      <c r="P68" s="48">
        <f t="shared" ref="P68:P78" si="40">O68/1024</f>
        <v>-3.125E-2</v>
      </c>
      <c r="Q68" s="46"/>
      <c r="R68" s="46"/>
      <c r="S68" s="46"/>
      <c r="T68" s="46"/>
    </row>
    <row r="69" spans="1:25">
      <c r="A69" s="1">
        <v>503</v>
      </c>
      <c r="B69" s="4" t="s">
        <v>237</v>
      </c>
      <c r="C69" s="35">
        <f t="shared" si="30"/>
        <v>0.4912109375</v>
      </c>
      <c r="D69" s="1" t="s">
        <v>238</v>
      </c>
      <c r="E69" s="36" t="str">
        <f t="shared" si="31"/>
        <v>C:\Users\DBJ\git\hos\tools\qemu\qemu-img create -f qcow2 C:\Users\DBJ\git\hos\tools\qemu\qemu_img\create\qcow2_503K.qcow2 503</v>
      </c>
      <c r="F69" s="36" t="str">
        <f t="shared" si="32"/>
        <v>C:\Users\DBJ\git\hos\tools\qemu\run.bat qcow2_503K.qcow2 fdisk create</v>
      </c>
      <c r="G69" s="36" t="str">
        <f t="shared" si="33"/>
        <v>C:\Users\DBJ\git\hos\tools\qemu\run.bat qcow2_503K.qcow2 format fdisk</v>
      </c>
      <c r="H69" s="47" t="s">
        <v>240</v>
      </c>
      <c r="I69" s="47">
        <f t="shared" si="34"/>
        <v>515072</v>
      </c>
      <c r="J69" s="48">
        <f t="shared" si="35"/>
        <v>0.99801587301587302</v>
      </c>
      <c r="K69" s="46">
        <f t="shared" ref="K69:K78" si="41">INT(J69)</f>
        <v>0</v>
      </c>
      <c r="L69" s="46">
        <f t="shared" si="36"/>
        <v>0</v>
      </c>
      <c r="M69" s="46">
        <f t="shared" si="37"/>
        <v>-1</v>
      </c>
      <c r="N69" s="46">
        <f t="shared" si="38"/>
        <v>-64</v>
      </c>
      <c r="O69" s="46">
        <f t="shared" si="39"/>
        <v>-32</v>
      </c>
      <c r="P69" s="48">
        <f t="shared" si="40"/>
        <v>-3.125E-2</v>
      </c>
      <c r="Q69" s="47"/>
      <c r="R69" s="47"/>
      <c r="S69" s="47"/>
      <c r="T69" s="47"/>
      <c r="V69" s="1">
        <f>1024*1024</f>
        <v>1048576</v>
      </c>
    </row>
    <row r="70" spans="1:25">
      <c r="A70" s="1">
        <v>504</v>
      </c>
      <c r="B70" s="4" t="s">
        <v>237</v>
      </c>
      <c r="C70" s="35">
        <f t="shared" si="30"/>
        <v>0.4921875</v>
      </c>
      <c r="D70" s="1" t="s">
        <v>238</v>
      </c>
      <c r="E70" s="36" t="str">
        <f t="shared" si="31"/>
        <v>C:\Users\DBJ\git\hos\tools\qemu\qemu-img create -f qcow2 C:\Users\DBJ\git\hos\tools\qemu\qemu_img\create\qcow2_504K.qcow2 504</v>
      </c>
      <c r="F70" s="36" t="str">
        <f t="shared" si="32"/>
        <v>C:\Users\DBJ\git\hos\tools\qemu\run.bat qcow2_504K.qcow2 fdisk create</v>
      </c>
      <c r="G70" s="36" t="str">
        <f t="shared" si="33"/>
        <v>C:\Users\DBJ\git\hos\tools\qemu\run.bat qcow2_504K.qcow2 format fdisk</v>
      </c>
      <c r="H70" s="4" t="s">
        <v>241</v>
      </c>
      <c r="I70" s="4">
        <f t="shared" si="34"/>
        <v>516096</v>
      </c>
      <c r="J70" s="35">
        <f t="shared" si="35"/>
        <v>1</v>
      </c>
      <c r="K70" s="1">
        <f t="shared" si="41"/>
        <v>1</v>
      </c>
      <c r="L70" s="1">
        <f t="shared" ref="L70:L78" si="42">K70*1008</f>
        <v>1008</v>
      </c>
      <c r="M70" s="1">
        <f t="shared" ref="M70:M78" si="43">L70-1</f>
        <v>1007</v>
      </c>
      <c r="N70" s="1">
        <f t="shared" ref="N70:N78" si="44">M70-63</f>
        <v>944</v>
      </c>
      <c r="O70" s="1">
        <f t="shared" ref="O70:O78" si="45">N70/2</f>
        <v>472</v>
      </c>
      <c r="P70" s="35">
        <f t="shared" si="40"/>
        <v>0.4609375</v>
      </c>
      <c r="Q70" s="4" t="s">
        <v>242</v>
      </c>
      <c r="R70" s="4" t="s">
        <v>239</v>
      </c>
      <c r="S70" s="4" t="s">
        <v>237</v>
      </c>
      <c r="T70" s="1">
        <v>10</v>
      </c>
      <c r="U70" s="1">
        <f>N70*512</f>
        <v>483328</v>
      </c>
      <c r="V70" s="1">
        <f>U70/1024</f>
        <v>472</v>
      </c>
      <c r="W70" s="35">
        <f>V70/1024</f>
        <v>0.4609375</v>
      </c>
      <c r="X70" s="1">
        <f>U70+512</f>
        <v>483840</v>
      </c>
      <c r="Y70" s="1">
        <f>X70/1048576</f>
        <v>0.46142578125</v>
      </c>
    </row>
    <row r="71" spans="1:25">
      <c r="A71" s="1">
        <v>16127</v>
      </c>
      <c r="B71" s="4" t="s">
        <v>237</v>
      </c>
      <c r="C71" s="35">
        <f t="shared" si="30"/>
        <v>15.7490234375</v>
      </c>
      <c r="D71" s="1" t="s">
        <v>238</v>
      </c>
      <c r="E71" s="36" t="str">
        <f t="shared" si="31"/>
        <v>C:\Users\DBJ\git\hos\tools\qemu\qemu-img create -f qcow2 C:\Users\DBJ\git\hos\tools\qemu\qemu_img\create\qcow2_16127K.qcow2 16127</v>
      </c>
      <c r="F71" s="36" t="str">
        <f t="shared" si="32"/>
        <v>C:\Users\DBJ\git\hos\tools\qemu\run.bat qcow2_16127K.qcow2 fdisk create</v>
      </c>
      <c r="G71" s="36" t="str">
        <f t="shared" si="33"/>
        <v>C:\Users\DBJ\git\hos\tools\qemu\run.bat qcow2_16127K.qcow2 format fdisk</v>
      </c>
      <c r="H71" s="4" t="s">
        <v>241</v>
      </c>
      <c r="I71" s="4">
        <f t="shared" si="34"/>
        <v>16514048</v>
      </c>
      <c r="J71" s="35">
        <f t="shared" si="35"/>
        <v>31.998015873015873</v>
      </c>
      <c r="K71" s="1">
        <f t="shared" si="41"/>
        <v>31</v>
      </c>
      <c r="L71" s="1">
        <f t="shared" si="42"/>
        <v>31248</v>
      </c>
      <c r="M71" s="1">
        <f t="shared" si="43"/>
        <v>31247</v>
      </c>
      <c r="N71" s="1">
        <f t="shared" si="44"/>
        <v>31184</v>
      </c>
      <c r="O71" s="1">
        <f t="shared" si="45"/>
        <v>15592</v>
      </c>
      <c r="P71" s="35">
        <f t="shared" si="40"/>
        <v>15.2265625</v>
      </c>
      <c r="Q71" s="4" t="s">
        <v>242</v>
      </c>
      <c r="R71" s="4" t="s">
        <v>243</v>
      </c>
      <c r="S71" s="4" t="s">
        <v>244</v>
      </c>
      <c r="T71" s="1">
        <v>10</v>
      </c>
      <c r="U71" s="1">
        <f t="shared" ref="U71:U78" si="46">N71*512</f>
        <v>15966208</v>
      </c>
      <c r="V71" s="1">
        <f t="shared" ref="V71:W71" si="47">U71/1024</f>
        <v>15592</v>
      </c>
      <c r="W71" s="35">
        <f t="shared" si="47"/>
        <v>15.2265625</v>
      </c>
      <c r="X71" s="1">
        <f t="shared" ref="X71:X78" si="48">U71+512</f>
        <v>15966720</v>
      </c>
      <c r="Y71" s="1">
        <f t="shared" ref="Y71:Y78" si="49">X71/1048576</f>
        <v>15.22705078125</v>
      </c>
    </row>
    <row r="72" spans="1:25">
      <c r="A72" s="1">
        <f>504*32</f>
        <v>16128</v>
      </c>
      <c r="B72" s="4" t="s">
        <v>237</v>
      </c>
      <c r="C72" s="35">
        <f t="shared" si="30"/>
        <v>15.75</v>
      </c>
      <c r="D72" s="1" t="s">
        <v>238</v>
      </c>
      <c r="E72" s="36" t="str">
        <f t="shared" si="31"/>
        <v>C:\Users\DBJ\git\hos\tools\qemu\qemu-img create -f qcow2 C:\Users\DBJ\git\hos\tools\qemu\qemu_img\create\qcow2_16128K.qcow2 16128</v>
      </c>
      <c r="F72" s="36" t="str">
        <f t="shared" si="32"/>
        <v>C:\Users\DBJ\git\hos\tools\qemu\run.bat qcow2_16128K.qcow2 fdisk create</v>
      </c>
      <c r="G72" s="36" t="str">
        <f t="shared" si="33"/>
        <v>C:\Users\DBJ\git\hos\tools\qemu\run.bat qcow2_16128K.qcow2 format fdisk</v>
      </c>
      <c r="H72" s="4" t="s">
        <v>241</v>
      </c>
      <c r="I72" s="4">
        <f t="shared" si="34"/>
        <v>16515072</v>
      </c>
      <c r="J72" s="35">
        <f t="shared" si="35"/>
        <v>32</v>
      </c>
      <c r="K72" s="1">
        <f t="shared" si="41"/>
        <v>32</v>
      </c>
      <c r="L72" s="1">
        <f t="shared" si="42"/>
        <v>32256</v>
      </c>
      <c r="M72" s="1">
        <f t="shared" si="43"/>
        <v>32255</v>
      </c>
      <c r="N72" s="1">
        <f t="shared" si="44"/>
        <v>32192</v>
      </c>
      <c r="O72" s="1">
        <f t="shared" si="45"/>
        <v>16096</v>
      </c>
      <c r="P72" s="35">
        <f t="shared" si="40"/>
        <v>15.71875</v>
      </c>
      <c r="Q72" s="4" t="s">
        <v>242</v>
      </c>
      <c r="R72" s="4" t="s">
        <v>245</v>
      </c>
      <c r="S72" s="4" t="s">
        <v>244</v>
      </c>
      <c r="T72" s="1">
        <v>10</v>
      </c>
      <c r="U72" s="1">
        <f t="shared" si="46"/>
        <v>16482304</v>
      </c>
      <c r="V72" s="1">
        <f t="shared" ref="V72:W72" si="50">U72/1024</f>
        <v>16096</v>
      </c>
      <c r="W72" s="35">
        <f t="shared" si="50"/>
        <v>15.71875</v>
      </c>
      <c r="X72" s="1">
        <f t="shared" si="48"/>
        <v>16482816</v>
      </c>
      <c r="Y72" s="1">
        <f t="shared" si="49"/>
        <v>15.71923828125</v>
      </c>
    </row>
    <row r="73" spans="1:25" ht="14.25" thickBot="1">
      <c r="A73" s="38">
        <v>16631</v>
      </c>
      <c r="B73" s="39" t="s">
        <v>237</v>
      </c>
      <c r="C73" s="40">
        <f t="shared" si="30"/>
        <v>16.2412109375</v>
      </c>
      <c r="D73" s="38" t="s">
        <v>238</v>
      </c>
      <c r="E73" s="41" t="str">
        <f t="shared" si="31"/>
        <v>C:\Users\DBJ\git\hos\tools\qemu\qemu-img create -f qcow2 C:\Users\DBJ\git\hos\tools\qemu\qemu_img\create\qcow2_16631K.qcow2 16631</v>
      </c>
      <c r="F73" s="41" t="str">
        <f t="shared" si="32"/>
        <v>C:\Users\DBJ\git\hos\tools\qemu\run.bat qcow2_16631K.qcow2 fdisk create</v>
      </c>
      <c r="G73" s="41" t="str">
        <f t="shared" si="33"/>
        <v>C:\Users\DBJ\git\hos\tools\qemu\run.bat qcow2_16631K.qcow2 format fdisk</v>
      </c>
      <c r="H73" s="39" t="s">
        <v>241</v>
      </c>
      <c r="I73" s="39">
        <f t="shared" si="34"/>
        <v>17030144</v>
      </c>
      <c r="J73" s="40">
        <f t="shared" si="35"/>
        <v>32.998015873015873</v>
      </c>
      <c r="K73" s="38">
        <f t="shared" si="41"/>
        <v>32</v>
      </c>
      <c r="L73" s="38">
        <f t="shared" si="42"/>
        <v>32256</v>
      </c>
      <c r="M73" s="38">
        <f t="shared" si="43"/>
        <v>32255</v>
      </c>
      <c r="N73" s="38">
        <f t="shared" si="44"/>
        <v>32192</v>
      </c>
      <c r="O73" s="38">
        <f t="shared" si="45"/>
        <v>16096</v>
      </c>
      <c r="P73" s="40">
        <f t="shared" si="40"/>
        <v>15.71875</v>
      </c>
      <c r="Q73" s="39" t="s">
        <v>242</v>
      </c>
      <c r="R73" s="39" t="s">
        <v>245</v>
      </c>
      <c r="S73" s="39" t="s">
        <v>244</v>
      </c>
      <c r="T73" s="1">
        <v>10</v>
      </c>
      <c r="U73" s="1">
        <f t="shared" si="46"/>
        <v>16482304</v>
      </c>
      <c r="V73" s="1">
        <f t="shared" ref="V73:W73" si="51">U73/1024</f>
        <v>16096</v>
      </c>
      <c r="W73" s="35">
        <f t="shared" si="51"/>
        <v>15.71875</v>
      </c>
      <c r="X73" s="1">
        <f t="shared" si="48"/>
        <v>16482816</v>
      </c>
      <c r="Y73" s="1">
        <f t="shared" si="49"/>
        <v>15.71923828125</v>
      </c>
    </row>
    <row r="74" spans="1:25" ht="14.25" thickTop="1">
      <c r="A74" s="42">
        <v>16632</v>
      </c>
      <c r="B74" s="43" t="s">
        <v>237</v>
      </c>
      <c r="C74" s="44">
        <f t="shared" si="30"/>
        <v>16.2421875</v>
      </c>
      <c r="D74" s="42" t="s">
        <v>238</v>
      </c>
      <c r="E74" s="45" t="str">
        <f t="shared" si="31"/>
        <v>C:\Users\DBJ\git\hos\tools\qemu\qemu-img create -f qcow2 C:\Users\DBJ\git\hos\tools\qemu\qemu_img\create\qcow2_16632K.qcow2 16632</v>
      </c>
      <c r="F74" s="45" t="str">
        <f t="shared" si="32"/>
        <v>C:\Users\DBJ\git\hos\tools\qemu\run.bat qcow2_16632K.qcow2 fdisk create</v>
      </c>
      <c r="G74" s="45" t="str">
        <f t="shared" si="33"/>
        <v>C:\Users\DBJ\git\hos\tools\qemu\run.bat qcow2_16632K.qcow2 format fdisk</v>
      </c>
      <c r="H74" s="43" t="s">
        <v>241</v>
      </c>
      <c r="I74" s="43">
        <f t="shared" si="34"/>
        <v>17031168</v>
      </c>
      <c r="J74" s="44">
        <f t="shared" si="35"/>
        <v>33</v>
      </c>
      <c r="K74" s="42">
        <f t="shared" si="41"/>
        <v>33</v>
      </c>
      <c r="L74" s="42">
        <f t="shared" si="42"/>
        <v>33264</v>
      </c>
      <c r="M74" s="42">
        <f t="shared" si="43"/>
        <v>33263</v>
      </c>
      <c r="N74" s="42">
        <f t="shared" si="44"/>
        <v>33200</v>
      </c>
      <c r="O74" s="42">
        <f t="shared" si="45"/>
        <v>16600</v>
      </c>
      <c r="P74" s="44">
        <f t="shared" si="40"/>
        <v>16.2109375</v>
      </c>
      <c r="Q74" s="43" t="s">
        <v>246</v>
      </c>
      <c r="R74" s="43" t="s">
        <v>247</v>
      </c>
      <c r="S74" s="43" t="s">
        <v>244</v>
      </c>
      <c r="T74" s="1">
        <v>11</v>
      </c>
      <c r="U74" s="1">
        <f t="shared" si="46"/>
        <v>16998400</v>
      </c>
      <c r="V74" s="1">
        <f t="shared" ref="V74:W74" si="52">U74/1024</f>
        <v>16600</v>
      </c>
      <c r="W74" s="35">
        <f t="shared" si="52"/>
        <v>16.2109375</v>
      </c>
      <c r="X74" s="1">
        <f t="shared" si="48"/>
        <v>16998912</v>
      </c>
      <c r="Y74" s="1">
        <f t="shared" si="49"/>
        <v>16.21142578125</v>
      </c>
    </row>
    <row r="75" spans="1:25">
      <c r="A75" s="1">
        <f>C75*1024</f>
        <v>20480</v>
      </c>
      <c r="B75" s="4" t="s">
        <v>233</v>
      </c>
      <c r="C75" s="35">
        <v>20</v>
      </c>
      <c r="D75" s="1" t="s">
        <v>71</v>
      </c>
      <c r="E75" s="36" t="str">
        <f t="shared" ref="E75" si="53">"C:\Users\DBJ\git\hos\tools\qemu\qemu-img create -f qcow2 C:\Users\DBJ\git\hos\tools\qemu\qemu_img\create\qcow2_"&amp;A75&amp;B75&amp;".qcow2 "&amp;A75</f>
        <v>C:\Users\DBJ\git\hos\tools\qemu\qemu-img create -f qcow2 C:\Users\DBJ\git\hos\tools\qemu\qemu_img\create\qcow2_20480K.qcow2 20480</v>
      </c>
      <c r="F75" s="36" t="str">
        <f t="shared" ref="F75" si="54">"C:\Users\DBJ\git\hos\tools\qemu\run.bat qcow2_"&amp;A75&amp;B75&amp;".qcow2 fdisk create"</f>
        <v>C:\Users\DBJ\git\hos\tools\qemu\run.bat qcow2_20480K.qcow2 fdisk create</v>
      </c>
      <c r="G75" s="36" t="str">
        <f t="shared" ref="G75" si="55">"C:\Users\DBJ\git\hos\tools\qemu\run.bat qcow2_"&amp;A75&amp;B75&amp;".qcow2 format fdisk"</f>
        <v>C:\Users\DBJ\git\hos\tools\qemu\run.bat qcow2_20480K.qcow2 format fdisk</v>
      </c>
      <c r="H75" s="4" t="s">
        <v>241</v>
      </c>
      <c r="I75" s="4">
        <f t="shared" ref="I75" si="56">A75*1024</f>
        <v>20971520</v>
      </c>
      <c r="J75" s="35">
        <f t="shared" si="35"/>
        <v>40.634920634920633</v>
      </c>
      <c r="K75" s="1">
        <f t="shared" ref="K75" si="57">INT(J75)</f>
        <v>40</v>
      </c>
      <c r="L75" s="1">
        <f t="shared" si="42"/>
        <v>40320</v>
      </c>
      <c r="M75" s="1">
        <f t="shared" si="43"/>
        <v>40319</v>
      </c>
      <c r="N75" s="1">
        <f t="shared" si="44"/>
        <v>40256</v>
      </c>
      <c r="O75" s="1">
        <f t="shared" si="45"/>
        <v>20128</v>
      </c>
      <c r="P75" s="35">
        <f t="shared" si="40"/>
        <v>19.65625</v>
      </c>
      <c r="Q75" s="4" t="s">
        <v>252</v>
      </c>
      <c r="R75" s="4" t="s">
        <v>253</v>
      </c>
      <c r="S75" s="4" t="s">
        <v>71</v>
      </c>
      <c r="T75" s="1">
        <v>11</v>
      </c>
      <c r="U75" s="1">
        <f t="shared" si="46"/>
        <v>20611072</v>
      </c>
      <c r="V75" s="1">
        <f t="shared" ref="V75:W75" si="58">U75/1024</f>
        <v>20128</v>
      </c>
      <c r="W75" s="35">
        <f t="shared" si="58"/>
        <v>19.65625</v>
      </c>
      <c r="X75" s="1">
        <f t="shared" si="48"/>
        <v>20611584</v>
      </c>
      <c r="Y75" s="1">
        <f t="shared" si="49"/>
        <v>19.65673828125</v>
      </c>
    </row>
    <row r="76" spans="1:25">
      <c r="A76" s="1">
        <v>32255</v>
      </c>
      <c r="B76" s="4" t="s">
        <v>233</v>
      </c>
      <c r="C76" s="35">
        <f t="shared" si="30"/>
        <v>31.4990234375</v>
      </c>
      <c r="D76" s="1" t="s">
        <v>71</v>
      </c>
      <c r="E76" s="36" t="str">
        <f t="shared" ref="E76" si="59">"C:\Users\DBJ\git\hos\tools\qemu\qemu-img create -f qcow2 C:\Users\DBJ\git\hos\tools\qemu\qemu_img\create\qcow2_"&amp;A76&amp;B76&amp;".qcow2 "&amp;A76</f>
        <v>C:\Users\DBJ\git\hos\tools\qemu\qemu-img create -f qcow2 C:\Users\DBJ\git\hos\tools\qemu\qemu_img\create\qcow2_32255K.qcow2 32255</v>
      </c>
      <c r="F76" s="36" t="str">
        <f t="shared" ref="F76" si="60">"C:\Users\DBJ\git\hos\tools\qemu\run.bat qcow2_"&amp;A76&amp;B76&amp;".qcow2 fdisk create"</f>
        <v>C:\Users\DBJ\git\hos\tools\qemu\run.bat qcow2_32255K.qcow2 fdisk create</v>
      </c>
      <c r="G76" s="36" t="str">
        <f t="shared" ref="G76" si="61">"C:\Users\DBJ\git\hos\tools\qemu\run.bat qcow2_"&amp;A76&amp;B76&amp;".qcow2 format fdisk"</f>
        <v>C:\Users\DBJ\git\hos\tools\qemu\run.bat qcow2_32255K.qcow2 format fdisk</v>
      </c>
      <c r="H76" s="4" t="s">
        <v>241</v>
      </c>
      <c r="I76" s="4">
        <f t="shared" ref="I76" si="62">A76*1024</f>
        <v>33029120</v>
      </c>
      <c r="J76" s="35">
        <f t="shared" ref="J76" si="63">I76/(1008*512)</f>
        <v>63.998015873015873</v>
      </c>
      <c r="K76" s="1">
        <f t="shared" ref="K76" si="64">INT(J76)</f>
        <v>63</v>
      </c>
      <c r="L76" s="1">
        <f t="shared" ref="L76" si="65">K76*1008</f>
        <v>63504</v>
      </c>
      <c r="M76" s="1">
        <f t="shared" ref="M76" si="66">L76-1</f>
        <v>63503</v>
      </c>
      <c r="N76" s="1">
        <f t="shared" ref="N76" si="67">M76-63</f>
        <v>63440</v>
      </c>
      <c r="O76" s="1">
        <f t="shared" ref="O76" si="68">N76/2</f>
        <v>31720</v>
      </c>
      <c r="P76" s="35">
        <f t="shared" ref="P76" si="69">O76/1024</f>
        <v>30.9765625</v>
      </c>
      <c r="Q76" s="4" t="s">
        <v>128</v>
      </c>
      <c r="R76" s="4" t="s">
        <v>253</v>
      </c>
      <c r="S76" s="4" t="s">
        <v>71</v>
      </c>
      <c r="T76" s="1"/>
      <c r="U76" s="1"/>
      <c r="V76" s="1"/>
      <c r="W76" s="35"/>
      <c r="Y76" s="1"/>
    </row>
    <row r="77" spans="1:25" ht="14.25" thickBot="1">
      <c r="A77" s="38">
        <v>524663</v>
      </c>
      <c r="B77" s="39" t="s">
        <v>237</v>
      </c>
      <c r="C77" s="40">
        <f t="shared" si="30"/>
        <v>512.3662109375</v>
      </c>
      <c r="D77" s="38" t="s">
        <v>238</v>
      </c>
      <c r="E77" s="41" t="str">
        <f t="shared" si="31"/>
        <v>C:\Users\DBJ\git\hos\tools\qemu\qemu-img create -f qcow2 C:\Users\DBJ\git\hos\tools\qemu\qemu_img\create\qcow2_524663K.qcow2 524663</v>
      </c>
      <c r="F77" s="41" t="str">
        <f t="shared" si="32"/>
        <v>C:\Users\DBJ\git\hos\tools\qemu\run.bat qcow2_524663K.qcow2 fdisk create</v>
      </c>
      <c r="G77" s="41" t="str">
        <f t="shared" si="33"/>
        <v>C:\Users\DBJ\git\hos\tools\qemu\run.bat qcow2_524663K.qcow2 format fdisk</v>
      </c>
      <c r="H77" s="39" t="s">
        <v>241</v>
      </c>
      <c r="I77" s="39">
        <f t="shared" si="34"/>
        <v>537254912</v>
      </c>
      <c r="J77" s="40">
        <f t="shared" si="35"/>
        <v>1040.9980158730159</v>
      </c>
      <c r="K77" s="38">
        <f t="shared" si="41"/>
        <v>1040</v>
      </c>
      <c r="L77" s="38">
        <f t="shared" si="42"/>
        <v>1048320</v>
      </c>
      <c r="M77" s="38">
        <f t="shared" si="43"/>
        <v>1048319</v>
      </c>
      <c r="N77" s="38">
        <f t="shared" si="44"/>
        <v>1048256</v>
      </c>
      <c r="O77" s="38">
        <f t="shared" si="45"/>
        <v>524128</v>
      </c>
      <c r="P77" s="40">
        <f t="shared" si="40"/>
        <v>511.84375</v>
      </c>
      <c r="Q77" s="39" t="s">
        <v>246</v>
      </c>
      <c r="R77" s="39" t="s">
        <v>249</v>
      </c>
      <c r="S77" s="39" t="s">
        <v>244</v>
      </c>
      <c r="T77" s="1">
        <v>42</v>
      </c>
      <c r="U77" s="1">
        <f t="shared" si="46"/>
        <v>536707072</v>
      </c>
      <c r="V77" s="1">
        <f t="shared" ref="V77:W77" si="70">U77/1024</f>
        <v>524128</v>
      </c>
      <c r="W77" s="35">
        <f t="shared" si="70"/>
        <v>511.84375</v>
      </c>
      <c r="X77" s="1">
        <f t="shared" si="48"/>
        <v>536707584</v>
      </c>
      <c r="Y77" s="1">
        <f t="shared" si="49"/>
        <v>511.84423828125</v>
      </c>
    </row>
    <row r="78" spans="1:25" ht="14.25" thickTop="1">
      <c r="A78" s="42">
        <v>524664</v>
      </c>
      <c r="B78" s="43" t="s">
        <v>237</v>
      </c>
      <c r="C78" s="44">
        <f t="shared" si="30"/>
        <v>512.3671875</v>
      </c>
      <c r="D78" s="42" t="s">
        <v>238</v>
      </c>
      <c r="E78" s="45" t="str">
        <f t="shared" si="31"/>
        <v>C:\Users\DBJ\git\hos\tools\qemu\qemu-img create -f qcow2 C:\Users\DBJ\git\hos\tools\qemu\qemu_img\create\qcow2_524664K.qcow2 524664</v>
      </c>
      <c r="F78" s="45" t="str">
        <f t="shared" si="32"/>
        <v>C:\Users\DBJ\git\hos\tools\qemu\run.bat qcow2_524664K.qcow2 fdisk create</v>
      </c>
      <c r="G78" s="45" t="str">
        <f t="shared" si="33"/>
        <v>C:\Users\DBJ\git\hos\tools\qemu\run.bat qcow2_524664K.qcow2 format fdisk</v>
      </c>
      <c r="H78" s="43" t="s">
        <v>241</v>
      </c>
      <c r="I78" s="43">
        <f t="shared" si="34"/>
        <v>537255936</v>
      </c>
      <c r="J78" s="44">
        <f t="shared" si="35"/>
        <v>1041</v>
      </c>
      <c r="K78" s="42">
        <f t="shared" si="41"/>
        <v>1041</v>
      </c>
      <c r="L78" s="42">
        <f t="shared" si="42"/>
        <v>1049328</v>
      </c>
      <c r="M78" s="42">
        <f t="shared" si="43"/>
        <v>1049327</v>
      </c>
      <c r="N78" s="42">
        <f t="shared" si="44"/>
        <v>1049264</v>
      </c>
      <c r="O78" s="42">
        <f t="shared" si="45"/>
        <v>524632</v>
      </c>
      <c r="P78" s="44">
        <f t="shared" si="40"/>
        <v>512.3359375</v>
      </c>
      <c r="Q78" s="43" t="s">
        <v>251</v>
      </c>
      <c r="R78" s="43" t="s">
        <v>250</v>
      </c>
      <c r="S78" s="43" t="s">
        <v>244</v>
      </c>
      <c r="T78" s="1">
        <v>10</v>
      </c>
      <c r="U78" s="1">
        <f t="shared" si="46"/>
        <v>537223168</v>
      </c>
      <c r="V78" s="1">
        <f t="shared" ref="V78:W78" si="71">U78/1024</f>
        <v>524632</v>
      </c>
      <c r="W78" s="35">
        <f t="shared" si="71"/>
        <v>512.3359375</v>
      </c>
      <c r="X78" s="1">
        <f t="shared" si="48"/>
        <v>537223680</v>
      </c>
      <c r="Y78" s="1">
        <f t="shared" si="49"/>
        <v>512.33642578125</v>
      </c>
    </row>
    <row r="79" spans="1:25" s="1" customFormat="1">
      <c r="C79" s="35"/>
      <c r="E79" s="36"/>
      <c r="F79" s="36"/>
      <c r="G79" s="36"/>
      <c r="I79" s="4"/>
      <c r="J79" s="35"/>
      <c r="P79" s="35"/>
    </row>
    <row r="80" spans="1:25" s="1" customFormat="1">
      <c r="A80" s="1">
        <f>2047*1024+512</f>
        <v>2096640</v>
      </c>
      <c r="B80" s="4" t="s">
        <v>233</v>
      </c>
      <c r="C80" s="35">
        <f t="shared" si="30"/>
        <v>2047.5</v>
      </c>
      <c r="D80" s="1" t="s">
        <v>71</v>
      </c>
      <c r="E80" s="36" t="str">
        <f t="shared" ref="E80" si="72">"C:\Users\DBJ\git\hos\tools\qemu\qemu-img create -f qcow2 C:\Users\DBJ\git\hos\tools\qemu\qemu_img\create\qcow2_"&amp;A80&amp;B80&amp;".qcow2 "&amp;A80</f>
        <v>C:\Users\DBJ\git\hos\tools\qemu\qemu-img create -f qcow2 C:\Users\DBJ\git\hos\tools\qemu\qemu_img\create\qcow2_2096640K.qcow2 2096640</v>
      </c>
      <c r="F80" s="36" t="str">
        <f t="shared" ref="F80" si="73">"C:\Users\DBJ\git\hos\tools\qemu\run.bat qcow2_"&amp;A80&amp;B80&amp;".qcow2 fdisk create"</f>
        <v>C:\Users\DBJ\git\hos\tools\qemu\run.bat qcow2_2096640K.qcow2 fdisk create</v>
      </c>
      <c r="G80" s="36" t="str">
        <f t="shared" ref="G80" si="74">"C:\Users\DBJ\git\hos\tools\qemu\run.bat qcow2_"&amp;A80&amp;B80&amp;".qcow2 format fdisk"</f>
        <v>C:\Users\DBJ\git\hos\tools\qemu\run.bat qcow2_2096640K.qcow2 format fdisk</v>
      </c>
      <c r="H80" s="4" t="s">
        <v>241</v>
      </c>
      <c r="I80" s="4">
        <f t="shared" ref="I80" si="75">A80*1024</f>
        <v>2146959360</v>
      </c>
      <c r="J80" s="35">
        <f t="shared" ref="J80" si="76">I80/(1008*512)</f>
        <v>4160</v>
      </c>
      <c r="K80" s="1">
        <f t="shared" ref="K80" si="77">INT(J80)</f>
        <v>4160</v>
      </c>
      <c r="L80" s="1">
        <f t="shared" ref="L80" si="78">K80*1008</f>
        <v>4193280</v>
      </c>
      <c r="M80" s="1">
        <f t="shared" ref="M80" si="79">L80-1</f>
        <v>4193279</v>
      </c>
      <c r="N80" s="1">
        <f t="shared" ref="N80" si="80">M80-63</f>
        <v>4193216</v>
      </c>
      <c r="O80" s="1">
        <f t="shared" ref="O80" si="81">N80/2</f>
        <v>2096608</v>
      </c>
      <c r="P80" s="35">
        <f t="shared" ref="P80" si="82">O80/1024</f>
        <v>2047.46875</v>
      </c>
      <c r="Q80" s="4" t="s">
        <v>258</v>
      </c>
      <c r="R80" s="4" t="s">
        <v>257</v>
      </c>
      <c r="S80" s="4" t="s">
        <v>71</v>
      </c>
      <c r="T80" s="1">
        <v>11</v>
      </c>
    </row>
    <row r="81" spans="3:16" s="1" customFormat="1">
      <c r="C81" s="35"/>
      <c r="E81" s="36"/>
      <c r="F81" s="36"/>
      <c r="G81" s="36"/>
      <c r="I81" s="4"/>
      <c r="J81" s="35"/>
      <c r="P81" s="35"/>
    </row>
    <row r="82" spans="3:16" s="1" customFormat="1">
      <c r="C82" s="35"/>
      <c r="E82" s="36"/>
      <c r="F82" s="36"/>
      <c r="G82" s="36"/>
      <c r="I82" s="4"/>
      <c r="J82" s="35"/>
      <c r="P82" s="35"/>
    </row>
    <row r="83" spans="3:16" s="1" customFormat="1">
      <c r="C83" s="35"/>
      <c r="E83" s="36"/>
      <c r="F83" s="36"/>
      <c r="G83" s="36"/>
      <c r="I83" s="4"/>
      <c r="J83" s="35"/>
      <c r="P83" s="35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M23"/>
  <sheetViews>
    <sheetView workbookViewId="0">
      <selection activeCell="E22" sqref="E22"/>
    </sheetView>
  </sheetViews>
  <sheetFormatPr defaultRowHeight="13.5"/>
  <cols>
    <col min="3" max="3" width="12.25" bestFit="1" customWidth="1"/>
    <col min="4" max="4" width="13" bestFit="1" customWidth="1"/>
    <col min="5" max="5" width="21.875" bestFit="1" customWidth="1"/>
    <col min="6" max="6" width="19.5" bestFit="1" customWidth="1"/>
  </cols>
  <sheetData>
    <row r="1" spans="2:13">
      <c r="B1" s="8" t="s">
        <v>110</v>
      </c>
      <c r="C1" s="9">
        <v>224150</v>
      </c>
      <c r="D1" s="9">
        <f>C1/4096</f>
        <v>54.72412109375</v>
      </c>
      <c r="E1" s="9">
        <f>ROUNDUP(D1,0)</f>
        <v>55</v>
      </c>
      <c r="F1" s="9">
        <f>E1/2</f>
        <v>27.5</v>
      </c>
      <c r="G1" s="9">
        <f>ROUNDUP(F1,0)</f>
        <v>28</v>
      </c>
      <c r="H1" s="9">
        <f>G1*3</f>
        <v>84</v>
      </c>
      <c r="I1">
        <f>INT(F1)</f>
        <v>27</v>
      </c>
      <c r="J1">
        <f>I1*3</f>
        <v>81</v>
      </c>
      <c r="K1">
        <f>ROUNDUP((F1-I1)*3,0)</f>
        <v>2</v>
      </c>
      <c r="L1">
        <f>J1+K1</f>
        <v>83</v>
      </c>
      <c r="M1" t="str">
        <f>DEC2HEX(C1)</f>
        <v>36B96</v>
      </c>
    </row>
    <row r="2" spans="2:13">
      <c r="C2">
        <v>9</v>
      </c>
      <c r="D2" s="9">
        <f>C2/4096</f>
        <v>2.197265625E-3</v>
      </c>
      <c r="E2" s="9">
        <f>ROUNDUP(D2,0)</f>
        <v>1</v>
      </c>
      <c r="F2" s="9">
        <f>E2/2</f>
        <v>0.5</v>
      </c>
      <c r="G2" s="9">
        <f>ROUNDUP(F2,0)</f>
        <v>1</v>
      </c>
      <c r="H2" s="9">
        <f>G2*3</f>
        <v>3</v>
      </c>
      <c r="I2" s="9">
        <f t="shared" ref="I2:I4" si="0">INT(F2)</f>
        <v>0</v>
      </c>
      <c r="J2" s="9">
        <f t="shared" ref="J2:J4" si="1">I2*3</f>
        <v>0</v>
      </c>
      <c r="K2" s="9">
        <f t="shared" ref="K2:K4" si="2">ROUNDUP((F2-I2)*3,0)</f>
        <v>2</v>
      </c>
      <c r="L2" s="9">
        <f t="shared" ref="L2:L4" si="3">J2+K2</f>
        <v>2</v>
      </c>
      <c r="M2" s="9" t="str">
        <f t="shared" ref="M2:M4" si="4">DEC2HEX(C2)</f>
        <v>9</v>
      </c>
    </row>
    <row r="3" spans="2:13">
      <c r="C3">
        <v>94292</v>
      </c>
      <c r="D3" s="9">
        <f t="shared" ref="D3:D4" si="5">C3/4096</f>
        <v>23.0205078125</v>
      </c>
      <c r="E3" s="9">
        <f t="shared" ref="E3:E4" si="6">ROUNDUP(D3,0)</f>
        <v>24</v>
      </c>
      <c r="F3" s="9">
        <f t="shared" ref="F3:F4" si="7">E3/2</f>
        <v>12</v>
      </c>
      <c r="G3" s="9">
        <f t="shared" ref="G3:G4" si="8">ROUNDUP(F3,0)</f>
        <v>12</v>
      </c>
      <c r="H3" s="9">
        <f t="shared" ref="H3:H4" si="9">G3*3</f>
        <v>36</v>
      </c>
      <c r="I3" s="9">
        <f t="shared" si="0"/>
        <v>12</v>
      </c>
      <c r="J3" s="9">
        <f t="shared" si="1"/>
        <v>36</v>
      </c>
      <c r="K3" s="9">
        <f t="shared" si="2"/>
        <v>0</v>
      </c>
      <c r="L3" s="9">
        <f t="shared" si="3"/>
        <v>36</v>
      </c>
      <c r="M3" s="9" t="str">
        <f t="shared" si="4"/>
        <v>17054</v>
      </c>
    </row>
    <row r="4" spans="2:13">
      <c r="C4">
        <v>68871</v>
      </c>
      <c r="D4" s="9">
        <f t="shared" si="5"/>
        <v>16.814208984375</v>
      </c>
      <c r="E4" s="9">
        <f t="shared" si="6"/>
        <v>17</v>
      </c>
      <c r="F4" s="9">
        <f t="shared" si="7"/>
        <v>8.5</v>
      </c>
      <c r="G4" s="9">
        <f t="shared" si="8"/>
        <v>9</v>
      </c>
      <c r="H4" s="9">
        <f t="shared" si="9"/>
        <v>27</v>
      </c>
      <c r="I4" s="9">
        <f t="shared" si="0"/>
        <v>8</v>
      </c>
      <c r="J4" s="9">
        <f t="shared" si="1"/>
        <v>24</v>
      </c>
      <c r="K4" s="9">
        <f t="shared" si="2"/>
        <v>2</v>
      </c>
      <c r="L4" s="9">
        <f t="shared" si="3"/>
        <v>26</v>
      </c>
      <c r="M4" s="9" t="str">
        <f t="shared" si="4"/>
        <v>10D07</v>
      </c>
    </row>
    <row r="5" spans="2:13">
      <c r="H5">
        <f>SUM(H1:H4)</f>
        <v>150</v>
      </c>
    </row>
    <row r="6" spans="2:13" ht="15.75">
      <c r="C6" s="9" t="s">
        <v>135</v>
      </c>
    </row>
    <row r="7" spans="2:13" s="4" customFormat="1">
      <c r="C7" s="11" t="s">
        <v>127</v>
      </c>
      <c r="D7" s="11" t="s">
        <v>128</v>
      </c>
      <c r="E7" s="11" t="s">
        <v>129</v>
      </c>
      <c r="F7" s="11" t="s">
        <v>130</v>
      </c>
    </row>
    <row r="8" spans="2:13" s="4" customFormat="1" ht="15.75">
      <c r="C8" s="10" t="s">
        <v>111</v>
      </c>
      <c r="D8" s="10" t="s">
        <v>112</v>
      </c>
      <c r="E8" s="10" t="s">
        <v>113</v>
      </c>
      <c r="F8" s="10" t="s">
        <v>114</v>
      </c>
    </row>
    <row r="9" spans="2:13" s="4" customFormat="1">
      <c r="C9" s="10" t="s">
        <v>115</v>
      </c>
      <c r="D9" s="10" t="s">
        <v>116</v>
      </c>
      <c r="E9" s="10" t="s">
        <v>117</v>
      </c>
      <c r="F9" s="10" t="s">
        <v>118</v>
      </c>
    </row>
    <row r="10" spans="2:13" s="4" customFormat="1">
      <c r="C10" s="10" t="s">
        <v>119</v>
      </c>
      <c r="D10" s="10" t="s">
        <v>120</v>
      </c>
      <c r="E10" s="10" t="s">
        <v>121</v>
      </c>
      <c r="F10" s="10" t="s">
        <v>122</v>
      </c>
    </row>
    <row r="11" spans="2:13" s="4" customFormat="1">
      <c r="C11" s="10" t="s">
        <v>123</v>
      </c>
      <c r="D11" s="10" t="s">
        <v>124</v>
      </c>
      <c r="E11" s="10" t="s">
        <v>125</v>
      </c>
      <c r="F11" s="10" t="s">
        <v>126</v>
      </c>
    </row>
    <row r="12" spans="2:13">
      <c r="C12" s="10" t="s">
        <v>131</v>
      </c>
      <c r="D12" s="10" t="s">
        <v>132</v>
      </c>
      <c r="E12" s="10" t="s">
        <v>133</v>
      </c>
      <c r="F12" s="10" t="s">
        <v>134</v>
      </c>
    </row>
    <row r="13" spans="2:13">
      <c r="C13" s="4" t="s">
        <v>136</v>
      </c>
    </row>
    <row r="18" spans="3:6">
      <c r="C18" s="9" t="s">
        <v>227</v>
      </c>
    </row>
    <row r="21" spans="3:6">
      <c r="C21" s="9" t="s">
        <v>228</v>
      </c>
      <c r="D21">
        <f>512/1.5</f>
        <v>341.33333333333331</v>
      </c>
      <c r="E21">
        <v>3969</v>
      </c>
      <c r="F21">
        <f>E21/D21</f>
        <v>11.6279296875</v>
      </c>
    </row>
    <row r="22" spans="3:6">
      <c r="C22" s="9" t="s">
        <v>229</v>
      </c>
      <c r="D22">
        <f>512/2</f>
        <v>256</v>
      </c>
    </row>
    <row r="23" spans="3:6">
      <c r="C23" s="9" t="s">
        <v>230</v>
      </c>
      <c r="D23">
        <f>512/4</f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3"/>
  <sheetViews>
    <sheetView zoomScale="85" zoomScaleNormal="85" workbookViewId="0">
      <selection activeCell="G27" sqref="G27"/>
    </sheetView>
  </sheetViews>
  <sheetFormatPr defaultRowHeight="13.5"/>
  <cols>
    <col min="1" max="1" width="9" style="13"/>
    <col min="2" max="2" width="18.25" style="13" customWidth="1"/>
    <col min="3" max="3" width="11.625" style="13" bestFit="1" customWidth="1"/>
    <col min="4" max="4" width="15.5" style="13" bestFit="1" customWidth="1"/>
    <col min="5" max="5" width="15.625" style="13" customWidth="1"/>
    <col min="6" max="6" width="11.625" style="13" bestFit="1" customWidth="1"/>
    <col min="7" max="8" width="9" style="13"/>
    <col min="9" max="11" width="10.5" style="13" bestFit="1" customWidth="1"/>
    <col min="12" max="15" width="11.625" style="13" bestFit="1" customWidth="1"/>
    <col min="16" max="17" width="12.75" style="13" bestFit="1" customWidth="1"/>
    <col min="18" max="16384" width="9" style="13"/>
  </cols>
  <sheetData>
    <row r="1" spans="1:17">
      <c r="H1" s="13" t="s">
        <v>213</v>
      </c>
      <c r="I1" s="13">
        <v>0</v>
      </c>
      <c r="J1" s="13">
        <v>1</v>
      </c>
      <c r="K1" s="13">
        <v>2</v>
      </c>
      <c r="L1" s="13">
        <v>3</v>
      </c>
      <c r="M1" s="13">
        <v>4</v>
      </c>
      <c r="N1" s="13">
        <v>5</v>
      </c>
      <c r="O1" s="13">
        <v>6</v>
      </c>
      <c r="P1" s="13">
        <v>7</v>
      </c>
      <c r="Q1" s="26">
        <v>8</v>
      </c>
    </row>
    <row r="2" spans="1:17">
      <c r="H2" s="15" t="s">
        <v>212</v>
      </c>
      <c r="I2" s="15">
        <f t="shared" ref="I2:Q2" si="0">I3*512/1024</f>
        <v>0.5</v>
      </c>
      <c r="J2" s="15">
        <f t="shared" si="0"/>
        <v>1</v>
      </c>
      <c r="K2" s="15">
        <f t="shared" si="0"/>
        <v>2</v>
      </c>
      <c r="L2" s="15">
        <f t="shared" si="0"/>
        <v>4</v>
      </c>
      <c r="M2" s="15">
        <f t="shared" si="0"/>
        <v>8</v>
      </c>
      <c r="N2" s="15">
        <f t="shared" si="0"/>
        <v>16</v>
      </c>
      <c r="O2" s="15">
        <f t="shared" si="0"/>
        <v>32</v>
      </c>
      <c r="P2" s="15">
        <f t="shared" si="0"/>
        <v>64</v>
      </c>
      <c r="Q2" s="26">
        <f t="shared" si="0"/>
        <v>127.5</v>
      </c>
    </row>
    <row r="3" spans="1:17">
      <c r="D3" s="13">
        <v>1</v>
      </c>
      <c r="F3" s="13" t="s">
        <v>211</v>
      </c>
      <c r="H3" s="15" t="s">
        <v>214</v>
      </c>
      <c r="I3" s="15">
        <v>1</v>
      </c>
      <c r="J3" s="15">
        <f t="shared" ref="J3:P3" si="1">I3*2</f>
        <v>2</v>
      </c>
      <c r="K3" s="15">
        <f t="shared" si="1"/>
        <v>4</v>
      </c>
      <c r="L3" s="15">
        <f t="shared" si="1"/>
        <v>8</v>
      </c>
      <c r="M3" s="15">
        <f t="shared" si="1"/>
        <v>16</v>
      </c>
      <c r="N3" s="15">
        <f t="shared" si="1"/>
        <v>32</v>
      </c>
      <c r="O3" s="15">
        <f t="shared" si="1"/>
        <v>64</v>
      </c>
      <c r="P3" s="32">
        <f t="shared" si="1"/>
        <v>128</v>
      </c>
      <c r="Q3" s="26">
        <v>255</v>
      </c>
    </row>
    <row r="4" spans="1:17">
      <c r="B4" s="13" t="s">
        <v>110</v>
      </c>
      <c r="C4" s="13">
        <f>POWER(2,12)</f>
        <v>4096</v>
      </c>
      <c r="D4" s="13">
        <v>0</v>
      </c>
      <c r="E4" s="13" t="s">
        <v>137</v>
      </c>
      <c r="F4" s="15">
        <f>HEX2DEC("FEF")-1</f>
        <v>4078</v>
      </c>
      <c r="G4" s="13">
        <v>1.44</v>
      </c>
      <c r="H4" s="13">
        <v>16</v>
      </c>
      <c r="I4" s="13">
        <f t="shared" ref="I4:Q4" si="2">$F$4*I2</f>
        <v>2039</v>
      </c>
      <c r="J4" s="13">
        <f t="shared" si="2"/>
        <v>4078</v>
      </c>
      <c r="K4" s="13">
        <f t="shared" si="2"/>
        <v>8156</v>
      </c>
      <c r="L4" s="13">
        <f t="shared" si="2"/>
        <v>16312</v>
      </c>
      <c r="M4" s="13">
        <f t="shared" si="2"/>
        <v>32624</v>
      </c>
      <c r="N4" s="13">
        <f t="shared" si="2"/>
        <v>65248</v>
      </c>
      <c r="O4" s="13">
        <f t="shared" si="2"/>
        <v>130496</v>
      </c>
      <c r="P4" s="13">
        <f t="shared" si="2"/>
        <v>260992</v>
      </c>
      <c r="Q4" s="26">
        <f t="shared" si="2"/>
        <v>519945</v>
      </c>
    </row>
    <row r="5" spans="1:17">
      <c r="B5" s="13" t="s">
        <v>138</v>
      </c>
      <c r="C5" s="13">
        <f>POWER(2,16)</f>
        <v>65536</v>
      </c>
      <c r="F5" s="15">
        <f>C5-17</f>
        <v>65519</v>
      </c>
      <c r="G5" s="13">
        <v>17</v>
      </c>
      <c r="H5" s="13">
        <v>512</v>
      </c>
      <c r="I5" s="13">
        <f>$F$5*I2</f>
        <v>32759.5</v>
      </c>
      <c r="J5" s="13">
        <f t="shared" ref="J5:P5" si="3">$F$5*J2</f>
        <v>65519</v>
      </c>
      <c r="K5" s="13">
        <f t="shared" si="3"/>
        <v>131038</v>
      </c>
      <c r="L5" s="13">
        <f t="shared" si="3"/>
        <v>262076</v>
      </c>
      <c r="M5" s="13">
        <f t="shared" si="3"/>
        <v>524152</v>
      </c>
      <c r="N5" s="13">
        <f t="shared" si="3"/>
        <v>1048304</v>
      </c>
      <c r="O5" s="13">
        <f t="shared" si="3"/>
        <v>2096608</v>
      </c>
      <c r="P5" s="13">
        <f t="shared" si="3"/>
        <v>4193216</v>
      </c>
      <c r="Q5" s="26">
        <f t="shared" ref="Q5" si="4">$F$5*Q2</f>
        <v>8353672.5</v>
      </c>
    </row>
    <row r="6" spans="1:17">
      <c r="B6" s="13" t="s">
        <v>139</v>
      </c>
      <c r="C6" s="13">
        <f>POWER(2,28)</f>
        <v>268435456</v>
      </c>
      <c r="F6" s="13">
        <f>C6-17</f>
        <v>268435439</v>
      </c>
      <c r="G6" s="13">
        <v>513</v>
      </c>
      <c r="H6" s="13" t="s">
        <v>152</v>
      </c>
      <c r="I6" s="13">
        <f>$F$6*I2</f>
        <v>134217719.5</v>
      </c>
      <c r="J6" s="13">
        <f t="shared" ref="J6:P6" si="5">$F$6*J2</f>
        <v>268435439</v>
      </c>
      <c r="K6" s="13">
        <f t="shared" si="5"/>
        <v>536870878</v>
      </c>
      <c r="L6" s="13">
        <f t="shared" si="5"/>
        <v>1073741756</v>
      </c>
      <c r="M6" s="13">
        <f t="shared" si="5"/>
        <v>2147483512</v>
      </c>
      <c r="N6" s="13">
        <f t="shared" si="5"/>
        <v>4294967024</v>
      </c>
      <c r="O6" s="13">
        <f t="shared" si="5"/>
        <v>8589934048</v>
      </c>
      <c r="P6" s="13">
        <f t="shared" si="5"/>
        <v>17179868096</v>
      </c>
      <c r="Q6" s="26">
        <f t="shared" ref="Q6" si="6">$F$6*Q2</f>
        <v>34225518472.5</v>
      </c>
    </row>
    <row r="7" spans="1:17">
      <c r="I7" s="30">
        <f>I4/1024</f>
        <v>1.9912109375</v>
      </c>
      <c r="J7" s="30">
        <f t="shared" ref="J7:P7" si="7">J4/1024</f>
        <v>3.982421875</v>
      </c>
      <c r="K7" s="30">
        <f t="shared" si="7"/>
        <v>7.96484375</v>
      </c>
      <c r="L7" s="30">
        <f t="shared" si="7"/>
        <v>15.9296875</v>
      </c>
      <c r="M7" s="31">
        <f t="shared" si="7"/>
        <v>31.859375</v>
      </c>
      <c r="N7" s="31">
        <f t="shared" si="7"/>
        <v>63.71875</v>
      </c>
      <c r="O7" s="31">
        <f t="shared" si="7"/>
        <v>127.4375</v>
      </c>
      <c r="P7" s="31">
        <f t="shared" si="7"/>
        <v>254.875</v>
      </c>
      <c r="Q7" s="27">
        <f t="shared" ref="Q7" si="8">Q4/1024</f>
        <v>507.7587890625</v>
      </c>
    </row>
    <row r="8" spans="1:17">
      <c r="I8" s="30">
        <f>I5/1024</f>
        <v>31.99169921875</v>
      </c>
      <c r="J8" s="30">
        <f t="shared" ref="J8:P8" si="9">J5/1024</f>
        <v>63.9833984375</v>
      </c>
      <c r="K8" s="30">
        <f t="shared" si="9"/>
        <v>127.966796875</v>
      </c>
      <c r="L8" s="30">
        <f t="shared" si="9"/>
        <v>255.93359375</v>
      </c>
      <c r="M8" s="30">
        <f t="shared" si="9"/>
        <v>511.8671875</v>
      </c>
      <c r="N8" s="31">
        <f t="shared" si="9"/>
        <v>1023.734375</v>
      </c>
      <c r="O8" s="31">
        <f t="shared" si="9"/>
        <v>2047.46875</v>
      </c>
      <c r="P8" s="31">
        <f t="shared" si="9"/>
        <v>4094.9375</v>
      </c>
      <c r="Q8" s="27">
        <f t="shared" ref="Q8" si="10">Q5/1024</f>
        <v>8157.88330078125</v>
      </c>
    </row>
    <row r="9" spans="1:17">
      <c r="I9" s="24">
        <f>I6/1024</f>
        <v>131071.99169921875</v>
      </c>
      <c r="J9" s="24">
        <f t="shared" ref="J9:P9" si="11">J6/1024</f>
        <v>262143.9833984375</v>
      </c>
      <c r="K9" s="24">
        <f t="shared" si="11"/>
        <v>524287.966796875</v>
      </c>
      <c r="L9" s="24">
        <f t="shared" si="11"/>
        <v>1048575.93359375</v>
      </c>
      <c r="M9" s="24">
        <f t="shared" si="11"/>
        <v>2097151.8671875</v>
      </c>
      <c r="N9" s="24">
        <f t="shared" si="11"/>
        <v>4194303.734375</v>
      </c>
      <c r="O9" s="24">
        <f t="shared" si="11"/>
        <v>8388607.46875</v>
      </c>
      <c r="P9" s="24">
        <f t="shared" si="11"/>
        <v>16777214.9375</v>
      </c>
      <c r="Q9" s="27">
        <f t="shared" ref="Q9" si="12">Q6/1024</f>
        <v>33423357.883300781</v>
      </c>
    </row>
    <row r="10" spans="1:17">
      <c r="A10" s="13" t="s">
        <v>140</v>
      </c>
      <c r="B10" s="13" t="s">
        <v>141</v>
      </c>
      <c r="I10" s="28" t="s">
        <v>222</v>
      </c>
      <c r="L10" s="29" t="s">
        <v>223</v>
      </c>
      <c r="M10" s="13" t="s">
        <v>220</v>
      </c>
      <c r="N10" s="13" t="s">
        <v>219</v>
      </c>
      <c r="O10" s="13" t="s">
        <v>218</v>
      </c>
    </row>
    <row r="11" spans="1:17">
      <c r="A11" s="13" t="s">
        <v>142</v>
      </c>
      <c r="B11" s="13" t="s">
        <v>143</v>
      </c>
      <c r="K11" s="28" t="s">
        <v>224</v>
      </c>
      <c r="L11" s="25" t="s">
        <v>217</v>
      </c>
      <c r="M11" s="25" t="s">
        <v>216</v>
      </c>
      <c r="N11" s="13" t="s">
        <v>215</v>
      </c>
      <c r="O11" s="28" t="s">
        <v>225</v>
      </c>
    </row>
    <row r="12" spans="1:17">
      <c r="A12" s="13" t="s">
        <v>144</v>
      </c>
      <c r="M12" s="28" t="s">
        <v>221</v>
      </c>
    </row>
    <row r="20" spans="2:5" ht="21">
      <c r="B20" s="14" t="s">
        <v>153</v>
      </c>
      <c r="C20" s="15"/>
      <c r="D20" s="15"/>
      <c r="E20" s="15"/>
    </row>
    <row r="21" spans="2:5" ht="16.5">
      <c r="B21" s="16" t="s">
        <v>154</v>
      </c>
      <c r="C21" s="15"/>
      <c r="D21" s="15"/>
      <c r="E21" s="15"/>
    </row>
    <row r="22" spans="2:5" ht="16.5">
      <c r="B22" s="17" t="s">
        <v>155</v>
      </c>
      <c r="C22" s="17" t="s">
        <v>156</v>
      </c>
      <c r="D22" s="17" t="s">
        <v>157</v>
      </c>
      <c r="E22" s="17" t="s">
        <v>158</v>
      </c>
    </row>
    <row r="23" spans="2:5" ht="16.5">
      <c r="B23" s="18" t="s">
        <v>159</v>
      </c>
      <c r="C23" s="18" t="s">
        <v>160</v>
      </c>
      <c r="D23" s="18" t="s">
        <v>161</v>
      </c>
      <c r="E23" s="18" t="s">
        <v>161</v>
      </c>
    </row>
    <row r="24" spans="2:5" ht="16.5">
      <c r="B24" s="19" t="s">
        <v>162</v>
      </c>
      <c r="C24" s="19" t="s">
        <v>163</v>
      </c>
      <c r="D24" s="19" t="s">
        <v>161</v>
      </c>
      <c r="E24" s="19" t="s">
        <v>161</v>
      </c>
    </row>
    <row r="25" spans="2:5" ht="16.5">
      <c r="B25" s="18" t="s">
        <v>164</v>
      </c>
      <c r="C25" s="18" t="s">
        <v>165</v>
      </c>
      <c r="D25" s="18" t="s">
        <v>161</v>
      </c>
      <c r="E25" s="18" t="s">
        <v>161</v>
      </c>
    </row>
    <row r="26" spans="2:5" ht="16.5">
      <c r="B26" s="19" t="s">
        <v>166</v>
      </c>
      <c r="C26" s="19" t="s">
        <v>161</v>
      </c>
      <c r="D26" s="19" t="s">
        <v>161</v>
      </c>
      <c r="E26" s="19" t="s">
        <v>161</v>
      </c>
    </row>
    <row r="27" spans="2:5" ht="16.5">
      <c r="B27" s="18" t="s">
        <v>167</v>
      </c>
      <c r="C27" s="18" t="s">
        <v>168</v>
      </c>
      <c r="D27" s="18" t="s">
        <v>168</v>
      </c>
      <c r="E27" s="18" t="s">
        <v>161</v>
      </c>
    </row>
    <row r="28" spans="2:5" ht="16.5">
      <c r="B28" s="19" t="s">
        <v>169</v>
      </c>
      <c r="C28" s="19" t="s">
        <v>168</v>
      </c>
      <c r="D28" s="19" t="s">
        <v>168</v>
      </c>
      <c r="E28" s="19" t="s">
        <v>170</v>
      </c>
    </row>
    <row r="29" spans="2:5" ht="16.5">
      <c r="B29" s="18" t="s">
        <v>171</v>
      </c>
      <c r="C29" s="18" t="s">
        <v>168</v>
      </c>
      <c r="D29" s="18" t="s">
        <v>168</v>
      </c>
      <c r="E29" s="18" t="s">
        <v>172</v>
      </c>
    </row>
    <row r="30" spans="2:5" ht="16.5">
      <c r="B30" s="19" t="s">
        <v>173</v>
      </c>
      <c r="C30" s="19" t="s">
        <v>168</v>
      </c>
      <c r="D30" s="19" t="s">
        <v>168</v>
      </c>
      <c r="E30" s="19" t="s">
        <v>174</v>
      </c>
    </row>
    <row r="31" spans="2:5" ht="16.5">
      <c r="B31" s="18" t="s">
        <v>175</v>
      </c>
      <c r="C31" s="18" t="s">
        <v>168</v>
      </c>
      <c r="D31" s="18" t="s">
        <v>168</v>
      </c>
      <c r="E31" s="18" t="s">
        <v>176</v>
      </c>
    </row>
    <row r="32" spans="2:5" ht="16.5">
      <c r="B32" s="19" t="s">
        <v>177</v>
      </c>
      <c r="C32" s="19" t="s">
        <v>178</v>
      </c>
      <c r="D32" s="19" t="s">
        <v>178</v>
      </c>
      <c r="E32" s="19" t="s">
        <v>178</v>
      </c>
    </row>
    <row r="33" spans="2:5">
      <c r="B33" s="20"/>
      <c r="C33" s="15"/>
      <c r="D33" s="15"/>
      <c r="E33" s="15"/>
    </row>
    <row r="34" spans="2:5" ht="16.5">
      <c r="B34" s="21" t="s">
        <v>179</v>
      </c>
      <c r="C34" s="15"/>
      <c r="D34" s="15"/>
      <c r="E34" s="15"/>
    </row>
    <row r="35" spans="2:5" ht="21">
      <c r="B35" s="14" t="s">
        <v>180</v>
      </c>
      <c r="C35" s="15"/>
      <c r="D35" s="15"/>
      <c r="E35" s="15"/>
    </row>
    <row r="36" spans="2:5" ht="16.5">
      <c r="B36" s="16" t="s">
        <v>181</v>
      </c>
      <c r="C36" s="15"/>
      <c r="D36" s="15"/>
      <c r="E36" s="15"/>
    </row>
    <row r="37" spans="2:5" ht="16.5">
      <c r="B37" s="17" t="s">
        <v>155</v>
      </c>
      <c r="C37" s="17" t="s">
        <v>156</v>
      </c>
      <c r="D37" s="17" t="s">
        <v>157</v>
      </c>
      <c r="E37" s="17" t="s">
        <v>158</v>
      </c>
    </row>
    <row r="38" spans="2:5" ht="16.5">
      <c r="B38" s="18" t="s">
        <v>182</v>
      </c>
      <c r="C38" s="18" t="s">
        <v>178</v>
      </c>
      <c r="D38" s="18" t="s">
        <v>178</v>
      </c>
      <c r="E38" s="18" t="s">
        <v>178</v>
      </c>
    </row>
    <row r="39" spans="2:5" ht="16.5">
      <c r="B39" s="23" t="s">
        <v>183</v>
      </c>
      <c r="C39" s="23" t="s">
        <v>160</v>
      </c>
      <c r="D39" s="23" t="s">
        <v>160</v>
      </c>
      <c r="E39" s="23" t="s">
        <v>160</v>
      </c>
    </row>
    <row r="40" spans="2:5" ht="16.5">
      <c r="B40" s="23" t="s">
        <v>184</v>
      </c>
      <c r="C40" s="23" t="s">
        <v>163</v>
      </c>
      <c r="D40" s="23" t="s">
        <v>163</v>
      </c>
      <c r="E40" s="23" t="s">
        <v>163</v>
      </c>
    </row>
    <row r="41" spans="2:5" ht="16.5">
      <c r="B41" s="23" t="s">
        <v>185</v>
      </c>
      <c r="C41" s="23" t="s">
        <v>165</v>
      </c>
      <c r="D41" s="23" t="s">
        <v>165</v>
      </c>
      <c r="E41" s="23" t="s">
        <v>165</v>
      </c>
    </row>
    <row r="42" spans="2:5" ht="16.5">
      <c r="B42" s="23" t="s">
        <v>186</v>
      </c>
      <c r="C42" s="23" t="s">
        <v>161</v>
      </c>
      <c r="D42" s="23" t="s">
        <v>161</v>
      </c>
      <c r="E42" s="23" t="s">
        <v>161</v>
      </c>
    </row>
    <row r="43" spans="2:5" ht="16.5">
      <c r="B43" s="23" t="s">
        <v>187</v>
      </c>
      <c r="C43" s="23" t="s">
        <v>170</v>
      </c>
      <c r="D43" s="23" t="s">
        <v>170</v>
      </c>
      <c r="E43" s="23" t="s">
        <v>170</v>
      </c>
    </row>
    <row r="44" spans="2:5" ht="16.5">
      <c r="B44" s="23" t="s">
        <v>162</v>
      </c>
      <c r="C44" s="23" t="s">
        <v>172</v>
      </c>
      <c r="D44" s="23" t="s">
        <v>172</v>
      </c>
      <c r="E44" s="23" t="s">
        <v>172</v>
      </c>
    </row>
    <row r="45" spans="2:5" ht="16.5">
      <c r="B45" s="23" t="s">
        <v>164</v>
      </c>
      <c r="C45" s="23" t="s">
        <v>174</v>
      </c>
      <c r="D45" s="23" t="s">
        <v>174</v>
      </c>
      <c r="E45" s="23" t="s">
        <v>174</v>
      </c>
    </row>
    <row r="46" spans="2:5" ht="16.5">
      <c r="B46" s="23" t="s">
        <v>188</v>
      </c>
      <c r="C46" s="23" t="s">
        <v>176</v>
      </c>
      <c r="D46" s="23" t="s">
        <v>176</v>
      </c>
      <c r="E46" s="23" t="s">
        <v>176</v>
      </c>
    </row>
    <row r="47" spans="2:5" ht="16.5">
      <c r="B47" s="19" t="s">
        <v>189</v>
      </c>
      <c r="C47" s="19" t="s">
        <v>178</v>
      </c>
      <c r="D47" s="19" t="s">
        <v>190</v>
      </c>
      <c r="E47" s="19" t="s">
        <v>178</v>
      </c>
    </row>
    <row r="48" spans="2:5" ht="16.5">
      <c r="B48" s="18" t="s">
        <v>191</v>
      </c>
      <c r="C48" s="18" t="s">
        <v>178</v>
      </c>
      <c r="D48" s="18" t="s">
        <v>192</v>
      </c>
      <c r="E48" s="18" t="s">
        <v>178</v>
      </c>
    </row>
    <row r="49" spans="2:5" ht="16.5">
      <c r="B49" s="19" t="s">
        <v>193</v>
      </c>
      <c r="C49" s="19" t="s">
        <v>178</v>
      </c>
      <c r="D49" s="19" t="s">
        <v>178</v>
      </c>
      <c r="E49" s="19" t="s">
        <v>178</v>
      </c>
    </row>
    <row r="50" spans="2:5" ht="16.5">
      <c r="B50" s="21" t="s">
        <v>179</v>
      </c>
      <c r="C50" s="15"/>
      <c r="D50" s="15"/>
      <c r="E50" s="15"/>
    </row>
    <row r="51" spans="2:5" ht="21">
      <c r="B51" s="14" t="s">
        <v>194</v>
      </c>
      <c r="C51" s="15"/>
      <c r="D51" s="15"/>
      <c r="E51" s="15"/>
    </row>
    <row r="52" spans="2:5" ht="16.5">
      <c r="B52" s="16" t="s">
        <v>195</v>
      </c>
      <c r="C52" s="15"/>
      <c r="D52" s="15"/>
      <c r="E52" s="15"/>
    </row>
    <row r="53" spans="2:5" ht="16.5">
      <c r="B53" s="17" t="s">
        <v>155</v>
      </c>
      <c r="C53" s="17" t="s">
        <v>156</v>
      </c>
      <c r="D53" s="17" t="s">
        <v>157</v>
      </c>
      <c r="E53" s="17" t="s">
        <v>158</v>
      </c>
    </row>
    <row r="54" spans="2:5" ht="16.5">
      <c r="B54" s="18" t="s">
        <v>196</v>
      </c>
      <c r="C54" s="18" t="s">
        <v>178</v>
      </c>
      <c r="D54" s="18" t="s">
        <v>178</v>
      </c>
      <c r="E54" s="18" t="s">
        <v>178</v>
      </c>
    </row>
    <row r="55" spans="2:5" ht="16.5">
      <c r="B55" s="19" t="s">
        <v>197</v>
      </c>
      <c r="C55" s="19" t="s">
        <v>160</v>
      </c>
      <c r="D55" s="19" t="s">
        <v>160</v>
      </c>
      <c r="E55" s="19" t="s">
        <v>178</v>
      </c>
    </row>
    <row r="56" spans="2:5" ht="16.5">
      <c r="B56" s="23" t="s">
        <v>184</v>
      </c>
      <c r="C56" s="23" t="s">
        <v>160</v>
      </c>
      <c r="D56" s="23" t="s">
        <v>160</v>
      </c>
      <c r="E56" s="23" t="s">
        <v>160</v>
      </c>
    </row>
    <row r="57" spans="2:5" ht="16.5">
      <c r="B57" s="23" t="s">
        <v>185</v>
      </c>
      <c r="C57" s="23" t="s">
        <v>163</v>
      </c>
      <c r="D57" s="23" t="s">
        <v>163</v>
      </c>
      <c r="E57" s="23" t="s">
        <v>163</v>
      </c>
    </row>
    <row r="58" spans="2:5" ht="16.5">
      <c r="B58" s="23" t="s">
        <v>186</v>
      </c>
      <c r="C58" s="23" t="s">
        <v>165</v>
      </c>
      <c r="D58" s="23" t="s">
        <v>165</v>
      </c>
      <c r="E58" s="23" t="s">
        <v>165</v>
      </c>
    </row>
    <row r="59" spans="2:5" ht="16.5">
      <c r="B59" s="23" t="s">
        <v>198</v>
      </c>
      <c r="C59" s="23" t="s">
        <v>161</v>
      </c>
      <c r="D59" s="23" t="s">
        <v>161</v>
      </c>
      <c r="E59" s="23" t="s">
        <v>161</v>
      </c>
    </row>
    <row r="60" spans="2:5" ht="16.5">
      <c r="B60" s="23" t="s">
        <v>191</v>
      </c>
      <c r="C60" s="23" t="s">
        <v>170</v>
      </c>
      <c r="D60" s="23" t="s">
        <v>170</v>
      </c>
      <c r="E60" s="23" t="s">
        <v>170</v>
      </c>
    </row>
    <row r="61" spans="2:5" ht="16.5">
      <c r="B61" s="23" t="s">
        <v>199</v>
      </c>
      <c r="C61" s="23" t="s">
        <v>172</v>
      </c>
      <c r="D61" s="23" t="s">
        <v>172</v>
      </c>
      <c r="E61" s="23" t="s">
        <v>172</v>
      </c>
    </row>
    <row r="62" spans="2:5" ht="16.5">
      <c r="B62" s="18" t="s">
        <v>200</v>
      </c>
      <c r="C62" s="18" t="s">
        <v>174</v>
      </c>
      <c r="D62" s="18" t="s">
        <v>178</v>
      </c>
      <c r="E62" s="18" t="s">
        <v>178</v>
      </c>
    </row>
    <row r="63" spans="2:5" ht="16.5">
      <c r="B63" s="19" t="s">
        <v>201</v>
      </c>
      <c r="C63" s="19" t="s">
        <v>178</v>
      </c>
      <c r="D63" s="19" t="s">
        <v>178</v>
      </c>
      <c r="E63" s="19" t="s">
        <v>178</v>
      </c>
    </row>
    <row r="64" spans="2:5" ht="21">
      <c r="B64" s="14" t="s">
        <v>202</v>
      </c>
      <c r="C64" s="15"/>
      <c r="D64" s="15"/>
      <c r="E64" s="15"/>
    </row>
    <row r="65" spans="2:5" ht="16.5">
      <c r="B65" s="16" t="s">
        <v>203</v>
      </c>
      <c r="C65" s="15"/>
      <c r="D65" s="15"/>
      <c r="E65" s="15"/>
    </row>
    <row r="66" spans="2:5" ht="16.5">
      <c r="B66" s="17" t="s">
        <v>155</v>
      </c>
      <c r="C66" s="17" t="s">
        <v>204</v>
      </c>
      <c r="D66" s="15"/>
      <c r="E66" s="15"/>
    </row>
    <row r="67" spans="2:5" ht="16.5">
      <c r="B67" s="18" t="s">
        <v>205</v>
      </c>
      <c r="C67" s="18" t="s">
        <v>161</v>
      </c>
      <c r="D67" s="15"/>
      <c r="E67" s="15"/>
    </row>
    <row r="68" spans="2:5" ht="16.5">
      <c r="B68" s="19" t="s">
        <v>206</v>
      </c>
      <c r="C68" s="19" t="s">
        <v>174</v>
      </c>
      <c r="D68" s="15"/>
      <c r="E68" s="15"/>
    </row>
    <row r="69" spans="2:5" ht="16.5">
      <c r="B69" s="18" t="s">
        <v>207</v>
      </c>
      <c r="C69" s="18" t="s">
        <v>208</v>
      </c>
      <c r="D69" s="15"/>
      <c r="E69" s="15"/>
    </row>
    <row r="70" spans="2:5" ht="16.5">
      <c r="B70" s="19" t="s">
        <v>177</v>
      </c>
      <c r="C70" s="19" t="s">
        <v>178</v>
      </c>
      <c r="D70" s="15"/>
      <c r="E70" s="15"/>
    </row>
    <row r="71" spans="2:5" ht="37.5">
      <c r="B71" s="22" t="s">
        <v>209</v>
      </c>
      <c r="C71" s="15"/>
      <c r="D71" s="15"/>
      <c r="E71" s="15"/>
    </row>
    <row r="80" spans="2:5">
      <c r="C80" s="13" t="s">
        <v>139</v>
      </c>
      <c r="E80" s="13" t="s">
        <v>138</v>
      </c>
    </row>
    <row r="81" spans="1:6" ht="16.5">
      <c r="A81" s="13">
        <f>64*1024*2</f>
        <v>131072</v>
      </c>
      <c r="B81" s="23" t="s">
        <v>184</v>
      </c>
      <c r="C81" s="23" t="s">
        <v>160</v>
      </c>
      <c r="D81" s="23" t="s">
        <v>183</v>
      </c>
      <c r="E81" s="23" t="s">
        <v>160</v>
      </c>
      <c r="F81" s="13">
        <v>1</v>
      </c>
    </row>
    <row r="82" spans="1:6" ht="16.5">
      <c r="B82" s="23" t="s">
        <v>185</v>
      </c>
      <c r="C82" s="23" t="s">
        <v>163</v>
      </c>
      <c r="D82" s="23" t="s">
        <v>184</v>
      </c>
      <c r="E82" s="23" t="s">
        <v>163</v>
      </c>
      <c r="F82" s="13">
        <v>2</v>
      </c>
    </row>
    <row r="83" spans="1:6" ht="16.5">
      <c r="B83" s="23" t="s">
        <v>186</v>
      </c>
      <c r="C83" s="23" t="s">
        <v>165</v>
      </c>
      <c r="D83" s="23" t="s">
        <v>185</v>
      </c>
      <c r="E83" s="23" t="s">
        <v>165</v>
      </c>
      <c r="F83" s="13">
        <v>4</v>
      </c>
    </row>
    <row r="84" spans="1:6" ht="16.5">
      <c r="B84" s="23" t="s">
        <v>198</v>
      </c>
      <c r="C84" s="23" t="s">
        <v>161</v>
      </c>
      <c r="D84" s="23" t="s">
        <v>186</v>
      </c>
      <c r="E84" s="23" t="s">
        <v>161</v>
      </c>
      <c r="F84" s="13">
        <v>8</v>
      </c>
    </row>
    <row r="85" spans="1:6" ht="16.5">
      <c r="B85" s="23" t="s">
        <v>191</v>
      </c>
      <c r="C85" s="23" t="s">
        <v>170</v>
      </c>
      <c r="D85" s="23" t="s">
        <v>187</v>
      </c>
      <c r="E85" s="23" t="s">
        <v>170</v>
      </c>
      <c r="F85" s="13">
        <v>16</v>
      </c>
    </row>
    <row r="86" spans="1:6" ht="16.5">
      <c r="B86" s="23" t="s">
        <v>199</v>
      </c>
      <c r="C86" s="23" t="s">
        <v>172</v>
      </c>
      <c r="D86" s="23" t="s">
        <v>162</v>
      </c>
      <c r="E86" s="23" t="s">
        <v>172</v>
      </c>
      <c r="F86" s="13">
        <v>32</v>
      </c>
    </row>
    <row r="87" spans="1:6" ht="16.5">
      <c r="D87" s="23" t="s">
        <v>164</v>
      </c>
      <c r="E87" s="23" t="s">
        <v>174</v>
      </c>
      <c r="F87" s="13">
        <v>64</v>
      </c>
    </row>
    <row r="88" spans="1:6" ht="16.5">
      <c r="D88" s="23" t="s">
        <v>188</v>
      </c>
      <c r="E88" s="23" t="s">
        <v>176</v>
      </c>
      <c r="F88" s="13">
        <v>128</v>
      </c>
    </row>
    <row r="93" spans="1:6">
      <c r="B93" s="13" t="s">
        <v>210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M39" sqref="M39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F24" sqref="F24"/>
    </sheetView>
  </sheetViews>
  <sheetFormatPr defaultRowHeight="13.5"/>
  <sheetData>
    <row r="1" spans="1:1">
      <c r="A1" t="s">
        <v>145</v>
      </c>
    </row>
    <row r="2" spans="1:1">
      <c r="A2" s="12" t="s">
        <v>146</v>
      </c>
    </row>
    <row r="3" spans="1:1">
      <c r="A3" t="s">
        <v>147</v>
      </c>
    </row>
    <row r="4" spans="1:1">
      <c r="A4" t="s">
        <v>148</v>
      </c>
    </row>
    <row r="5" spans="1:1">
      <c r="A5" t="s">
        <v>149</v>
      </c>
    </row>
    <row r="6" spans="1:1">
      <c r="A6" t="s">
        <v>150</v>
      </c>
    </row>
    <row r="7" spans="1:1">
      <c r="A7" t="s">
        <v>151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格式化</vt:lpstr>
      <vt:lpstr>Sheet3</vt:lpstr>
      <vt:lpstr>Sheet4</vt:lpstr>
      <vt:lpstr>分区表</vt:lpstr>
      <vt:lpstr>FAT文件分配表</vt:lpstr>
      <vt:lpstr>簇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2016-10-04T21:02:20Z</dcterms:created>
  <dcterms:modified xsi:type="dcterms:W3CDTF">2016-12-06T11:15:23Z</dcterms:modified>
</cp:coreProperties>
</file>