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학부 커리큘럼\공장설계와건설프로젝트 (4학년 2학기)\"/>
    </mc:Choice>
  </mc:AlternateContent>
  <xr:revisionPtr revIDLastSave="0" documentId="13_ncr:1_{4AFCC988-B0A0-492D-B014-DC6395B95704}" xr6:coauthVersionLast="47" xr6:coauthVersionMax="47" xr10:uidLastSave="{00000000-0000-0000-0000-000000000000}"/>
  <bookViews>
    <workbookView xWindow="-120" yWindow="-120" windowWidth="29040" windowHeight="15720" xr2:uid="{5BBB57C7-7FB6-4646-83EF-9BAB17381833}"/>
  </bookViews>
  <sheets>
    <sheet name="VERSION" sheetId="33" r:id="rId1"/>
    <sheet name="CAPEX" sheetId="6" r:id="rId2"/>
    <sheet name="OPEX" sheetId="7" r:id="rId3"/>
    <sheet name="Profitability analysis" sheetId="53" r:id="rId4"/>
    <sheet name="CO2 CAPTURE" sheetId="35" state="hidden" r:id="rId5"/>
    <sheet name="NH3 (총괄)" sheetId="69" r:id="rId6"/>
    <sheet name="Equipment cost" sheetId="14" r:id="rId7"/>
    <sheet name="raw material" sheetId="59" r:id="rId8"/>
    <sheet name="PBP" sheetId="4" state="hidden" r:id="rId9"/>
    <sheet name="NPV" sheetId="5" state="hidden" r:id="rId10"/>
    <sheet name="NH3" sheetId="55" r:id="rId11"/>
    <sheet name="NH3 CAPCOST" sheetId="67" r:id="rId12"/>
    <sheet name="Parameters &amp; Assumptions" sheetId="30" r:id="rId13"/>
    <sheet name="cost data" sheetId="24" r:id="rId14"/>
    <sheet name="Equation" sheetId="26" r:id="rId15"/>
    <sheet name="Reference" sheetId="27" r:id="rId16"/>
  </sheets>
  <externalReferences>
    <externalReference r:id="rId17"/>
    <externalReference r:id="rId18"/>
  </externalReferences>
  <definedNames>
    <definedName name="_xlchart.v1.0" hidden="1">'[1]Profitability analysis'!$C$30:$C$36</definedName>
    <definedName name="_xlchart.v1.1" hidden="1">'Profitability analysis'!$C$30:$C$36</definedName>
    <definedName name="_xlchart.v1.10" hidden="1">'Profitability analysis'!$C$30:$C$36</definedName>
    <definedName name="_xlchart.v1.11" hidden="1">'Profitability analysis'!$F$30:$F$36</definedName>
    <definedName name="_xlchart.v1.2" hidden="1">'Profitability analysis'!$E$30:$E$36</definedName>
    <definedName name="_xlchart.v1.3" hidden="1">'[1]Profitability analysis'!$D$29</definedName>
    <definedName name="_xlchart.v1.4" hidden="1">'Profitability analysis'!$C$30:$C$36</definedName>
    <definedName name="_xlchart.v1.5" hidden="1">'Profitability analysis'!$D$30:$D$36</definedName>
    <definedName name="_xlchart.v1.6" hidden="1">'[1]Profitability analysis'!$C$30:$C$36</definedName>
    <definedName name="_xlchart.v1.7" hidden="1">'Profitability analysis'!$C$30:$C$36</definedName>
    <definedName name="_xlchart.v1.8" hidden="1">'Profitability analysis'!$F$30:$F$36</definedName>
    <definedName name="_xlchart.v1.9" hidden="1">'[1]Profitability analysis'!$C$30:$C$36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53" l="1"/>
  <c r="D7" i="53"/>
  <c r="D6" i="53"/>
  <c r="E30" i="7"/>
  <c r="E29" i="7"/>
  <c r="E10" i="7"/>
  <c r="E87" i="69"/>
  <c r="E90" i="69"/>
  <c r="E66" i="69"/>
  <c r="E68" i="69"/>
  <c r="E9" i="7"/>
  <c r="E7" i="7"/>
  <c r="M49" i="69" a="1"/>
  <c r="M49" i="69" s="1"/>
  <c r="M48" i="69"/>
  <c r="M44" i="69" a="1"/>
  <c r="M44" i="69" s="1"/>
  <c r="O44" i="69" a="1"/>
  <c r="O44" i="69" s="1"/>
  <c r="N44" i="69" a="1"/>
  <c r="N44" i="69" s="1"/>
  <c r="L44" i="69" a="1"/>
  <c r="L44" i="69" s="1"/>
  <c r="E5" i="69" a="1"/>
  <c r="E5" i="69" s="1"/>
  <c r="K44" i="69" a="1"/>
  <c r="K44" i="69" s="1"/>
  <c r="J44" i="69" a="1"/>
  <c r="J44" i="69" s="1"/>
  <c r="F32" i="69"/>
  <c r="F23" i="69"/>
  <c r="G5" i="69" a="1"/>
  <c r="G5" i="69" s="1"/>
  <c r="F5" i="69" a="1"/>
  <c r="F5" i="69" s="1"/>
  <c r="D5" i="69" a="1"/>
  <c r="D5" i="69" s="1"/>
  <c r="D23" i="14"/>
  <c r="D5" i="14" a="1"/>
  <c r="D5" i="14" s="1"/>
  <c r="C5" i="14" a="1"/>
  <c r="C5" i="14" s="1"/>
  <c r="G7" i="59"/>
  <c r="G5" i="59"/>
  <c r="G6" i="59"/>
  <c r="E5" i="59"/>
  <c r="E6" i="59"/>
  <c r="S6" i="55"/>
  <c r="Q6" i="55"/>
  <c r="O6" i="55"/>
  <c r="I110" i="67"/>
  <c r="I103" i="67"/>
  <c r="I96" i="67"/>
  <c r="N6" i="55" l="1"/>
  <c r="P6" i="55"/>
  <c r="L89" i="67"/>
  <c r="L88" i="67"/>
  <c r="L87" i="67"/>
  <c r="L86" i="67"/>
  <c r="M86" i="67" s="1"/>
  <c r="M89" i="67"/>
  <c r="M88" i="67"/>
  <c r="M87" i="67"/>
  <c r="R6" i="55"/>
  <c r="U6" i="55"/>
  <c r="L30" i="67"/>
  <c r="L29" i="67"/>
  <c r="M29" i="67" s="1"/>
  <c r="L28" i="67"/>
  <c r="M28" i="67" s="1"/>
  <c r="L27" i="67"/>
  <c r="M27" i="67" s="1"/>
  <c r="L22" i="67"/>
  <c r="M22" i="67" s="1"/>
  <c r="L21" i="67"/>
  <c r="M21" i="67" s="1"/>
  <c r="L20" i="67"/>
  <c r="M20" i="67" s="1"/>
  <c r="L19" i="67"/>
  <c r="M19" i="67" s="1"/>
  <c r="M30" i="67"/>
  <c r="L6" i="55" l="1"/>
  <c r="J6" i="55"/>
  <c r="H6" i="55"/>
  <c r="G6" i="55"/>
  <c r="E6" i="55"/>
  <c r="I76" i="67"/>
  <c r="I75" i="67"/>
  <c r="I67" i="67"/>
  <c r="I66" i="67"/>
  <c r="I58" i="67"/>
  <c r="I57" i="67"/>
  <c r="I49" i="67"/>
  <c r="I48" i="67"/>
  <c r="L31" i="55"/>
  <c r="K31" i="55"/>
  <c r="J31" i="55"/>
  <c r="L44" i="55"/>
  <c r="L45" i="55" s="1"/>
  <c r="J44" i="55"/>
  <c r="J45" i="55" s="1"/>
  <c r="K44" i="55"/>
  <c r="K45" i="55" s="1"/>
  <c r="I41" i="55"/>
  <c r="I39" i="55"/>
  <c r="P49" i="55"/>
  <c r="O49" i="55"/>
  <c r="P47" i="55"/>
  <c r="O47" i="55"/>
  <c r="P44" i="55"/>
  <c r="P45" i="55" s="1"/>
  <c r="P31" i="55" s="1"/>
  <c r="O44" i="55"/>
  <c r="O45" i="55" s="1"/>
  <c r="O31" i="55" s="1"/>
  <c r="F36" i="55"/>
  <c r="E36" i="55"/>
  <c r="E34" i="55"/>
  <c r="T6" i="55"/>
  <c r="K6" i="55"/>
  <c r="I6" i="55"/>
  <c r="C8" i="30" l="1"/>
  <c r="G9" i="59" l="1"/>
  <c r="L11" i="67" l="1"/>
  <c r="M11" i="67" s="1"/>
  <c r="L12" i="67"/>
  <c r="M12" i="67" s="1"/>
  <c r="L13" i="67"/>
  <c r="L14" i="67"/>
  <c r="M14" i="67" s="1"/>
  <c r="I39" i="67"/>
  <c r="I40" i="67"/>
  <c r="M13" i="67" l="1"/>
  <c r="T18" i="55" l="1"/>
  <c r="F6" i="55"/>
  <c r="C14" i="30" l="1"/>
  <c r="N44" i="55" l="1"/>
  <c r="M44" i="55"/>
  <c r="M45" i="55" s="1"/>
  <c r="F34" i="55"/>
  <c r="G34" i="55"/>
  <c r="G36" i="55" s="1"/>
  <c r="H34" i="55"/>
  <c r="H36" i="55" s="1"/>
  <c r="N49" i="55"/>
  <c r="M49" i="55"/>
  <c r="L49" i="55"/>
  <c r="K49" i="55"/>
  <c r="J49" i="55"/>
  <c r="I49" i="55"/>
  <c r="H49" i="55"/>
  <c r="G49" i="55"/>
  <c r="F49" i="55"/>
  <c r="E49" i="55"/>
  <c r="N47" i="55"/>
  <c r="M47" i="55"/>
  <c r="L47" i="55"/>
  <c r="K47" i="55"/>
  <c r="J47" i="55"/>
  <c r="I47" i="55"/>
  <c r="H47" i="55"/>
  <c r="G47" i="55"/>
  <c r="F47" i="55"/>
  <c r="E47" i="55"/>
  <c r="I31" i="55"/>
  <c r="V20" i="55"/>
  <c r="U20" i="55"/>
  <c r="T20" i="55"/>
  <c r="S20" i="55"/>
  <c r="R20" i="55"/>
  <c r="Q20" i="55"/>
  <c r="P20" i="55"/>
  <c r="O20" i="55"/>
  <c r="N20" i="55"/>
  <c r="M20" i="55"/>
  <c r="L20" i="55"/>
  <c r="K20" i="55"/>
  <c r="J20" i="55"/>
  <c r="I20" i="55"/>
  <c r="H20" i="55"/>
  <c r="G20" i="55"/>
  <c r="F20" i="55"/>
  <c r="E20" i="55"/>
  <c r="V18" i="55"/>
  <c r="U18" i="55"/>
  <c r="S18" i="55"/>
  <c r="R18" i="55"/>
  <c r="Q18" i="55"/>
  <c r="P18" i="55"/>
  <c r="O18" i="55"/>
  <c r="N18" i="55"/>
  <c r="M18" i="55"/>
  <c r="L18" i="55"/>
  <c r="K18" i="55"/>
  <c r="J18" i="55"/>
  <c r="I18" i="55"/>
  <c r="H18" i="55"/>
  <c r="G18" i="55"/>
  <c r="F18" i="55"/>
  <c r="E18" i="55"/>
  <c r="V6" i="55"/>
  <c r="M6" i="55"/>
  <c r="F54" i="69" l="1"/>
  <c r="F55" i="69" l="1"/>
  <c r="F42" i="69"/>
  <c r="F39" i="69"/>
  <c r="F50" i="69"/>
  <c r="F49" i="69"/>
  <c r="F48" i="69"/>
  <c r="F57" i="69"/>
  <c r="F58" i="69" s="1"/>
  <c r="F47" i="69"/>
  <c r="F52" i="69" s="1"/>
  <c r="F34" i="69"/>
  <c r="F41" i="69"/>
  <c r="F33" i="69"/>
  <c r="F40" i="69"/>
  <c r="F36" i="69"/>
  <c r="F35" i="69"/>
  <c r="E70" i="69"/>
  <c r="F44" i="69" l="1"/>
  <c r="E73" i="69"/>
  <c r="L46" i="35"/>
  <c r="M46" i="35" s="1"/>
  <c r="M45" i="35" s="1"/>
  <c r="L44" i="35"/>
  <c r="M44" i="35" s="1"/>
  <c r="M43" i="35" s="1"/>
  <c r="L40" i="35"/>
  <c r="M40" i="35" s="1"/>
  <c r="L39" i="35"/>
  <c r="L38" i="35"/>
  <c r="M38" i="35" s="1"/>
  <c r="L36" i="35"/>
  <c r="M36" i="35" s="1"/>
  <c r="L35" i="35"/>
  <c r="L34" i="35"/>
  <c r="L33" i="35"/>
  <c r="M33" i="35" s="1"/>
  <c r="L32" i="35"/>
  <c r="M32" i="35" s="1"/>
  <c r="L31" i="35"/>
  <c r="L30" i="35"/>
  <c r="M30" i="35" s="1"/>
  <c r="L29" i="35"/>
  <c r="L27" i="35"/>
  <c r="M27" i="35" s="1"/>
  <c r="L26" i="35"/>
  <c r="M26" i="35" s="1"/>
  <c r="L24" i="35"/>
  <c r="L23" i="35" s="1"/>
  <c r="L13" i="35"/>
  <c r="L12" i="35"/>
  <c r="L11" i="35"/>
  <c r="L10" i="35"/>
  <c r="L9" i="35"/>
  <c r="L8" i="35"/>
  <c r="L7" i="35"/>
  <c r="M7" i="35" s="1"/>
  <c r="L6" i="35"/>
  <c r="L4" i="35"/>
  <c r="L5" i="35"/>
  <c r="M4" i="35"/>
  <c r="M39" i="35"/>
  <c r="M35" i="35"/>
  <c r="M34" i="35"/>
  <c r="M31" i="35"/>
  <c r="M29" i="35"/>
  <c r="M24" i="35"/>
  <c r="M23" i="35" s="1"/>
  <c r="L18" i="35"/>
  <c r="M16" i="35"/>
  <c r="M15" i="35"/>
  <c r="M14" i="35"/>
  <c r="M13" i="35"/>
  <c r="M12" i="35"/>
  <c r="M11" i="35"/>
  <c r="M10" i="35"/>
  <c r="M9" i="35"/>
  <c r="M8" i="35"/>
  <c r="M6" i="35"/>
  <c r="M5" i="35"/>
  <c r="G8" i="6" l="1"/>
  <c r="L45" i="35"/>
  <c r="L43" i="35"/>
  <c r="L37" i="35"/>
  <c r="L25" i="35"/>
  <c r="M37" i="35"/>
  <c r="M25" i="35"/>
  <c r="L17" i="35"/>
  <c r="M17" i="35"/>
  <c r="L19" i="35"/>
  <c r="M19" i="35" s="1"/>
  <c r="M18" i="35"/>
  <c r="L47" i="35" l="1"/>
  <c r="M47" i="35" s="1"/>
  <c r="D26" i="53"/>
  <c r="G31" i="55" l="1"/>
  <c r="F31" i="55"/>
  <c r="H31" i="55"/>
  <c r="E31" i="55"/>
  <c r="N45" i="55"/>
  <c r="N31" i="55" s="1"/>
  <c r="M31" i="55"/>
  <c r="O56" i="69" l="1"/>
  <c r="D21" i="53" l="1"/>
  <c r="D31" i="53" s="1"/>
  <c r="E89" i="69"/>
  <c r="E88" i="69" s="1"/>
  <c r="E83" i="69" s="1"/>
  <c r="E69" i="69"/>
  <c r="E37" i="35"/>
  <c r="E25" i="35"/>
  <c r="E45" i="35"/>
  <c r="E43" i="35"/>
  <c r="E23" i="35"/>
  <c r="E18" i="35"/>
  <c r="E17" i="35"/>
  <c r="E19" i="35"/>
  <c r="F19" i="35" s="1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24" i="35"/>
  <c r="F23" i="35" s="1"/>
  <c r="F26" i="35"/>
  <c r="F27" i="35"/>
  <c r="F29" i="35"/>
  <c r="F30" i="35"/>
  <c r="F31" i="35"/>
  <c r="F32" i="35"/>
  <c r="F33" i="35"/>
  <c r="F34" i="35"/>
  <c r="F35" i="35"/>
  <c r="F36" i="35"/>
  <c r="F38" i="35"/>
  <c r="F39" i="35"/>
  <c r="F40" i="35"/>
  <c r="F44" i="35"/>
  <c r="F46" i="35"/>
  <c r="F45" i="35" s="1"/>
  <c r="E81" i="69" l="1"/>
  <c r="E80" i="69"/>
  <c r="E71" i="69"/>
  <c r="E47" i="35"/>
  <c r="F47" i="35" s="1"/>
  <c r="F43" i="35"/>
  <c r="F37" i="35"/>
  <c r="F25" i="35"/>
  <c r="F17" i="35"/>
  <c r="F18" i="35"/>
  <c r="E79" i="69" l="1"/>
  <c r="E72" i="69"/>
  <c r="E76" i="69" s="1" a="1"/>
  <c r="E76" i="69" s="1"/>
  <c r="E74" i="69"/>
  <c r="D20" i="53" l="1"/>
  <c r="C278" i="24"/>
  <c r="C277" i="24"/>
  <c r="C276" i="24"/>
  <c r="C275" i="24"/>
  <c r="C274" i="24"/>
  <c r="C273" i="24"/>
  <c r="C272" i="24"/>
  <c r="C271" i="24"/>
  <c r="C270" i="24"/>
  <c r="D199" i="24"/>
  <c r="D197" i="24"/>
  <c r="D196" i="24"/>
  <c r="D174" i="24"/>
  <c r="D173" i="24"/>
  <c r="D172" i="24"/>
  <c r="D60" i="24"/>
  <c r="D52" i="24"/>
  <c r="D30" i="53" l="1"/>
  <c r="F7" i="5" l="1"/>
  <c r="H7" i="5"/>
  <c r="G7" i="5"/>
  <c r="F7" i="4"/>
  <c r="E7" i="4"/>
  <c r="D7" i="4"/>
  <c r="G32" i="5" l="1"/>
  <c r="G24" i="5"/>
  <c r="G16" i="5"/>
  <c r="G31" i="5"/>
  <c r="G23" i="5"/>
  <c r="G30" i="5"/>
  <c r="G22" i="5"/>
  <c r="G36" i="5"/>
  <c r="G20" i="5"/>
  <c r="G35" i="5"/>
  <c r="G27" i="5"/>
  <c r="G19" i="5"/>
  <c r="G34" i="5"/>
  <c r="G26" i="5"/>
  <c r="G18" i="5"/>
  <c r="G33" i="5"/>
  <c r="G25" i="5"/>
  <c r="G17" i="5"/>
  <c r="G15" i="5"/>
  <c r="G38" i="5"/>
  <c r="G14" i="5"/>
  <c r="G37" i="5"/>
  <c r="G29" i="5"/>
  <c r="G21" i="5"/>
  <c r="G28" i="5"/>
  <c r="H32" i="5"/>
  <c r="H24" i="5"/>
  <c r="H16" i="5"/>
  <c r="H31" i="5"/>
  <c r="H23" i="5"/>
  <c r="H15" i="5"/>
  <c r="H30" i="5"/>
  <c r="H14" i="5"/>
  <c r="H29" i="5"/>
  <c r="H28" i="5"/>
  <c r="H35" i="5"/>
  <c r="H27" i="5"/>
  <c r="H19" i="5"/>
  <c r="H34" i="5"/>
  <c r="H26" i="5"/>
  <c r="H18" i="5"/>
  <c r="H33" i="5"/>
  <c r="H25" i="5"/>
  <c r="H17" i="5"/>
  <c r="H38" i="5"/>
  <c r="H22" i="5"/>
  <c r="H37" i="5"/>
  <c r="H21" i="5"/>
  <c r="H36" i="5"/>
  <c r="H20" i="5"/>
  <c r="F32" i="5"/>
  <c r="F38" i="5"/>
  <c r="F14" i="5"/>
  <c r="F36" i="5"/>
  <c r="F28" i="5"/>
  <c r="F20" i="5"/>
  <c r="F35" i="5"/>
  <c r="F27" i="5"/>
  <c r="F19" i="5"/>
  <c r="F34" i="5"/>
  <c r="F26" i="5"/>
  <c r="F18" i="5"/>
  <c r="F33" i="5"/>
  <c r="F25" i="5"/>
  <c r="F17" i="5"/>
  <c r="F24" i="5"/>
  <c r="F16" i="5"/>
  <c r="F31" i="5"/>
  <c r="F23" i="5"/>
  <c r="F15" i="5"/>
  <c r="F30" i="5"/>
  <c r="F22" i="5"/>
  <c r="F37" i="5"/>
  <c r="F29" i="5"/>
  <c r="F21" i="5"/>
  <c r="G39" i="5" l="1"/>
  <c r="G41" i="5" s="1"/>
  <c r="H39" i="5"/>
  <c r="H41" i="5" s="1"/>
  <c r="F39" i="5"/>
  <c r="F41" i="5" s="1"/>
  <c r="E28" i="7" l="1"/>
  <c r="G30" i="6" l="1"/>
  <c r="G9" i="6" l="1"/>
  <c r="G25" i="6"/>
  <c r="G18" i="6"/>
  <c r="E27" i="7"/>
  <c r="G10" i="6"/>
  <c r="G17" i="6"/>
  <c r="G26" i="6"/>
  <c r="G15" i="6"/>
  <c r="G23" i="6"/>
  <c r="D25" i="53"/>
  <c r="D35" i="53" s="1"/>
  <c r="E6" i="7"/>
  <c r="G11" i="6"/>
  <c r="G16" i="6"/>
  <c r="G31" i="6"/>
  <c r="G33" i="6" s="1"/>
  <c r="G34" i="6" s="1"/>
  <c r="G24" i="6"/>
  <c r="G12" i="6"/>
  <c r="G28" i="6" l="1"/>
  <c r="G20" i="6"/>
  <c r="E11" i="7"/>
  <c r="E24" i="7"/>
  <c r="E21" i="7" l="1"/>
  <c r="E12" i="7"/>
  <c r="E22" i="7"/>
  <c r="D23" i="53"/>
  <c r="D33" i="53" s="1"/>
  <c r="E14" i="7"/>
  <c r="E15" i="7" l="1"/>
  <c r="E20" i="7"/>
  <c r="E19" i="7" s="1"/>
  <c r="E13" i="7"/>
  <c r="D22" i="53" s="1"/>
  <c r="E17" i="7" l="1" a="1"/>
  <c r="E17" i="7" s="1"/>
  <c r="D24" i="53" s="1"/>
  <c r="D34" i="53" s="1"/>
  <c r="E8" i="7"/>
  <c r="D32" i="53"/>
  <c r="D36" i="53" l="1"/>
  <c r="D17" i="5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tc={4F0BF4CB-D4F5-4D69-9502-454D121CC7B6}</author>
    <author>tc={EB072541-C958-4A49-8154-A1CB0BFCDFAC}</author>
    <author>tc={E5FC8844-E28E-4226-B854-4FD9E6BDCF6A}</author>
    <author>tc={400EAAFC-DE9A-4CF8-9B13-79F9BCC2871D}</author>
    <author>tc={E983A0D7-CB54-4D66-B228-27E06DD99E55}</author>
  </authors>
  <commentList>
    <comment ref="L23" authorId="0" shapeId="0" xr:uid="{4F0BF4CB-D4F5-4D69-9502-454D121CC7B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Raw material 또는 Utility라 생각하여 linear하게 증가시킴</t>
      </text>
    </comment>
    <comment ref="L25" authorId="1" shapeId="0" xr:uid="{EB072541-C958-4A49-8154-A1CB0BFCDFA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OVHD는 FCI의 영향을 받기에 CAPEX에서 이미 six-tenth rule이 적용되어 계산되어 있으므로 Total CAPEX의 비를 곱하여 계산하였음</t>
      </text>
    </comment>
    <comment ref="L37" authorId="2" shapeId="0" xr:uid="{E5FC8844-E28E-4226-B854-4FD9E6BDCF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FC 또한 FCI의 영향을 받기에 CAPEX에서 이미 six-tenth rule이 적용되어 계산되어 있으므로 Total CAPEX의 비를 곱하여 계산하였음</t>
      </text>
    </comment>
    <comment ref="L43" authorId="3" shapeId="0" xr:uid="{400EAAFC-DE9A-4CF8-9B13-79F9BCC287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Linear하게 계산</t>
      </text>
    </comment>
    <comment ref="L45" authorId="4" shapeId="0" xr:uid="{E983A0D7-CB54-4D66-B228-27E06DD99E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Linear하게 계산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tc={EB6122C7-7EFF-4BFE-AC6A-6A4FCBCEF349}</author>
  </authors>
  <commentList>
    <comment ref="C4" authorId="0" shapeId="0" xr:uid="{EB6122C7-7EFF-4BFE-AC6A-6A4FCBCEF34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CEPCI 2025 반영 필요 (2025는 모두 예상치)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<sst xmlns="http://schemas.openxmlformats.org/spreadsheetml/2006/main" count="1270" uniqueCount="606">
  <si>
    <t>VERSION</t>
    <phoneticPr fontId="3" type="noConversion"/>
  </si>
  <si>
    <t>CONTENT</t>
    <phoneticPr fontId="3" type="noConversion"/>
  </si>
  <si>
    <t>DETAILS</t>
    <phoneticPr fontId="3" type="noConversion"/>
  </si>
  <si>
    <t>WRITER</t>
    <phoneticPr fontId="3" type="noConversion"/>
  </si>
  <si>
    <t>CORRESPONDING DATE AND TIME</t>
    <phoneticPr fontId="3" type="noConversion"/>
  </si>
  <si>
    <t>ETC</t>
    <phoneticPr fontId="3" type="noConversion"/>
  </si>
  <si>
    <t>CAPEX</t>
    <phoneticPr fontId="3" type="noConversion"/>
  </si>
  <si>
    <t xml:space="preserve">CLASSIFICATION </t>
    <phoneticPr fontId="7" type="noConversion"/>
  </si>
  <si>
    <t>% of FCI</t>
    <phoneticPr fontId="7" type="noConversion"/>
  </si>
  <si>
    <t xml:space="preserve">USED </t>
    <phoneticPr fontId="7" type="noConversion"/>
  </si>
  <si>
    <t>UNIT</t>
    <phoneticPr fontId="3" type="noConversion"/>
  </si>
  <si>
    <t>Direct cost</t>
    <phoneticPr fontId="7" type="noConversion"/>
  </si>
  <si>
    <t>ISBL (Inside battery limit, 전체공사구역 중 주 공정시설)</t>
    <phoneticPr fontId="7" type="noConversion"/>
  </si>
  <si>
    <t>Equipment cost</t>
    <phoneticPr fontId="7" type="noConversion"/>
  </si>
  <si>
    <t>20-40</t>
    <phoneticPr fontId="7" type="noConversion"/>
  </si>
  <si>
    <t>USD</t>
    <phoneticPr fontId="3" type="noConversion"/>
  </si>
  <si>
    <t xml:space="preserve">Installation of equipment </t>
    <phoneticPr fontId="7" type="noConversion"/>
  </si>
  <si>
    <t>7.3-26</t>
    <phoneticPr fontId="7" type="noConversion"/>
  </si>
  <si>
    <t>Instrument and control</t>
    <phoneticPr fontId="7" type="noConversion"/>
  </si>
  <si>
    <t>2.5-7.0</t>
    <phoneticPr fontId="7" type="noConversion"/>
  </si>
  <si>
    <t>Piping</t>
    <phoneticPr fontId="7" type="noConversion"/>
  </si>
  <si>
    <t>3.0-15</t>
    <phoneticPr fontId="7" type="noConversion"/>
  </si>
  <si>
    <t>Electrical</t>
    <phoneticPr fontId="7" type="noConversion"/>
  </si>
  <si>
    <t>2.5-9.0</t>
    <phoneticPr fontId="7" type="noConversion"/>
  </si>
  <si>
    <t>OSBL(Outside bettery limit,주공정시설 외 부대시설)</t>
    <phoneticPr fontId="7" type="noConversion"/>
  </si>
  <si>
    <t>Building and building services</t>
    <phoneticPr fontId="7" type="noConversion"/>
  </si>
  <si>
    <t>6.0-20</t>
    <phoneticPr fontId="7" type="noConversion"/>
  </si>
  <si>
    <t>Yard improvements</t>
    <phoneticPr fontId="7" type="noConversion"/>
  </si>
  <si>
    <t>1.5-5.0</t>
    <phoneticPr fontId="7" type="noConversion"/>
  </si>
  <si>
    <t>Services facilities</t>
    <phoneticPr fontId="7" type="noConversion"/>
  </si>
  <si>
    <t>8.0-35</t>
    <phoneticPr fontId="7" type="noConversion"/>
  </si>
  <si>
    <t>Land</t>
    <phoneticPr fontId="7" type="noConversion"/>
  </si>
  <si>
    <t>1.0-2.0</t>
    <phoneticPr fontId="7" type="noConversion"/>
  </si>
  <si>
    <t>Total direct cost</t>
    <phoneticPr fontId="7" type="noConversion"/>
  </si>
  <si>
    <t>Indirect cost</t>
    <phoneticPr fontId="7" type="noConversion"/>
  </si>
  <si>
    <t>Engineering</t>
    <phoneticPr fontId="7" type="noConversion"/>
  </si>
  <si>
    <t>4.0-21</t>
    <phoneticPr fontId="7" type="noConversion"/>
  </si>
  <si>
    <t>Construction expenses</t>
    <phoneticPr fontId="7" type="noConversion"/>
  </si>
  <si>
    <t>4.8-22</t>
    <phoneticPr fontId="7" type="noConversion"/>
  </si>
  <si>
    <t>Contractor's fee</t>
    <phoneticPr fontId="7" type="noConversion"/>
  </si>
  <si>
    <t>Contingency</t>
    <phoneticPr fontId="7" type="noConversion"/>
  </si>
  <si>
    <t>5.0-20</t>
    <phoneticPr fontId="7" type="noConversion"/>
  </si>
  <si>
    <t>Total indirect cost</t>
    <phoneticPr fontId="7" type="noConversion"/>
  </si>
  <si>
    <t>Fixed capital investment (FCI)</t>
    <phoneticPr fontId="7" type="noConversion"/>
  </si>
  <si>
    <t>Start up cost (SUC)</t>
    <phoneticPr fontId="7" type="noConversion"/>
  </si>
  <si>
    <t>Total capital investment (Capex)</t>
    <phoneticPr fontId="7" type="noConversion"/>
  </si>
  <si>
    <t>TCI</t>
    <phoneticPr fontId="3" type="noConversion"/>
  </si>
  <si>
    <t>Annualized capital cost (r=5%, t=30 year)</t>
    <phoneticPr fontId="7" type="noConversion"/>
  </si>
  <si>
    <t>EAC</t>
    <phoneticPr fontId="7" type="noConversion"/>
  </si>
  <si>
    <t>USD/ yr</t>
    <phoneticPr fontId="3" type="noConversion"/>
  </si>
  <si>
    <t>OPEX (Total product costm TPC)</t>
    <phoneticPr fontId="7" type="noConversion"/>
  </si>
  <si>
    <t>CLASSIFICATION</t>
    <phoneticPr fontId="7" type="noConversion"/>
  </si>
  <si>
    <t>(REF Range)</t>
    <phoneticPr fontId="7" type="noConversion"/>
  </si>
  <si>
    <t>Fixed charge(FC)</t>
    <phoneticPr fontId="7" type="noConversion"/>
  </si>
  <si>
    <t>Local taxes, Insurance</t>
    <phoneticPr fontId="7" type="noConversion"/>
  </si>
  <si>
    <t>1~4% of FCI</t>
    <phoneticPr fontId="7" type="noConversion"/>
  </si>
  <si>
    <t>Direct production cost (DPC)</t>
    <phoneticPr fontId="7" type="noConversion"/>
  </si>
  <si>
    <t xml:space="preserve">Raw materials </t>
    <phoneticPr fontId="7" type="noConversion"/>
  </si>
  <si>
    <t>Utility</t>
    <phoneticPr fontId="7" type="noConversion"/>
  </si>
  <si>
    <t>Matinenenance (M)</t>
    <phoneticPr fontId="7" type="noConversion"/>
  </si>
  <si>
    <t>1~10% of FCI</t>
    <phoneticPr fontId="7" type="noConversion"/>
  </si>
  <si>
    <t>Operating labor (OL)</t>
    <phoneticPr fontId="7" type="noConversion"/>
  </si>
  <si>
    <t>10~20% of OPEX</t>
    <phoneticPr fontId="7" type="noConversion"/>
  </si>
  <si>
    <t>Supervision and support labor (S)</t>
    <phoneticPr fontId="7" type="noConversion"/>
  </si>
  <si>
    <t>30 or 15(peter)% of OL</t>
    <phoneticPr fontId="7" type="noConversion"/>
  </si>
  <si>
    <t>Operating supplies</t>
    <phoneticPr fontId="7" type="noConversion"/>
  </si>
  <si>
    <t>10~20% of M</t>
    <phoneticPr fontId="7" type="noConversion"/>
  </si>
  <si>
    <t xml:space="preserve">Laboratory charges </t>
    <phoneticPr fontId="7" type="noConversion"/>
  </si>
  <si>
    <t>10~20% of OL</t>
    <phoneticPr fontId="7" type="noConversion"/>
  </si>
  <si>
    <t>Plant overhead cost(OVHD)</t>
    <phoneticPr fontId="7" type="noConversion"/>
  </si>
  <si>
    <t>50~70% of M+OL+S</t>
    <phoneticPr fontId="7" type="noConversion"/>
  </si>
  <si>
    <t>General expenses</t>
    <phoneticPr fontId="7" type="noConversion"/>
  </si>
  <si>
    <t xml:space="preserve">Admistrative cost </t>
    <phoneticPr fontId="7" type="noConversion"/>
  </si>
  <si>
    <t>15~20% of OL</t>
    <phoneticPr fontId="7" type="noConversion"/>
  </si>
  <si>
    <t>Distribution and marketing</t>
    <phoneticPr fontId="7" type="noConversion"/>
  </si>
  <si>
    <t>2~20% of OPEX</t>
    <phoneticPr fontId="7" type="noConversion"/>
  </si>
  <si>
    <t xml:space="preserve">R&amp;D cost </t>
    <phoneticPr fontId="7" type="noConversion"/>
  </si>
  <si>
    <t>2~5% of OPEX</t>
    <phoneticPr fontId="7" type="noConversion"/>
  </si>
  <si>
    <t>OPEX</t>
    <phoneticPr fontId="7" type="noConversion"/>
  </si>
  <si>
    <t>FCI</t>
    <phoneticPr fontId="7" type="noConversion"/>
  </si>
  <si>
    <t>Part of DPC</t>
    <phoneticPr fontId="7" type="noConversion"/>
  </si>
  <si>
    <t>Utility</t>
    <phoneticPr fontId="3" type="noConversion"/>
  </si>
  <si>
    <t>Raw meaterial</t>
    <phoneticPr fontId="3" type="noConversion"/>
  </si>
  <si>
    <t>Manufacturing cost</t>
    <phoneticPr fontId="3" type="noConversion"/>
  </si>
  <si>
    <t>SOEC</t>
    <phoneticPr fontId="3" type="noConversion"/>
  </si>
  <si>
    <t>OPEX [USD/yr]</t>
    <phoneticPr fontId="3" type="noConversion"/>
  </si>
  <si>
    <t xml:space="preserve"> Depreciation [USD/yr]</t>
    <phoneticPr fontId="3" type="noConversion"/>
  </si>
  <si>
    <t>annual amount of product [ton/yr]</t>
    <phoneticPr fontId="3" type="noConversion"/>
  </si>
  <si>
    <t>Manufacturing cost [USD/ton]</t>
    <phoneticPr fontId="3" type="noConversion"/>
  </si>
  <si>
    <t>비용</t>
    <phoneticPr fontId="3" type="noConversion"/>
  </si>
  <si>
    <t>DH</t>
    <phoneticPr fontId="3" type="noConversion"/>
  </si>
  <si>
    <t>원자재</t>
    <phoneticPr fontId="3" type="noConversion"/>
  </si>
  <si>
    <t>유틸리티</t>
    <phoneticPr fontId="3" type="noConversion"/>
  </si>
  <si>
    <t>인건비</t>
    <phoneticPr fontId="3" type="noConversion"/>
  </si>
  <si>
    <t>유지관리비</t>
    <phoneticPr fontId="3" type="noConversion"/>
  </si>
  <si>
    <t>간접비</t>
    <phoneticPr fontId="3" type="noConversion"/>
  </si>
  <si>
    <t>감가상각</t>
    <phoneticPr fontId="3" type="noConversion"/>
  </si>
  <si>
    <t>제품 생산량</t>
    <phoneticPr fontId="3" type="noConversion"/>
  </si>
  <si>
    <t>제품 톤당 비용</t>
    <phoneticPr fontId="3" type="noConversion"/>
  </si>
  <si>
    <t>생산 단가</t>
    <phoneticPr fontId="3" type="noConversion"/>
  </si>
  <si>
    <t>ASPEN PLUS BLOCK NAME</t>
    <phoneticPr fontId="3" type="noConversion"/>
  </si>
  <si>
    <t xml:space="preserve">Total </t>
    <phoneticPr fontId="3" type="noConversion"/>
  </si>
  <si>
    <t>&lt;실증 : 12,775ton/yr (=35ton/day)&gt;</t>
    <phoneticPr fontId="3" type="noConversion"/>
  </si>
  <si>
    <t>&lt;상용 : 300,000ton/yr&gt;</t>
    <phoneticPr fontId="3" type="noConversion"/>
  </si>
  <si>
    <t>구분</t>
    <phoneticPr fontId="3" type="noConversion"/>
  </si>
  <si>
    <t>내용</t>
    <phoneticPr fontId="3" type="noConversion"/>
  </si>
  <si>
    <t>계 [KRW]</t>
    <phoneticPr fontId="3" type="noConversion"/>
  </si>
  <si>
    <t>계 [USD]</t>
    <phoneticPr fontId="3" type="noConversion"/>
  </si>
  <si>
    <t>설계비용</t>
    <phoneticPr fontId="3" type="noConversion"/>
  </si>
  <si>
    <t>상세설계</t>
    <phoneticPr fontId="3" type="noConversion"/>
  </si>
  <si>
    <t>구매비용</t>
    <phoneticPr fontId="3" type="noConversion"/>
  </si>
  <si>
    <t>CO2 포집 설비 (흡수탑, 탈거탑, 농축탑, 압축기 등)</t>
    <phoneticPr fontId="3" type="noConversion"/>
  </si>
  <si>
    <t>INSTRUMENT</t>
    <phoneticPr fontId="3" type="noConversion"/>
  </si>
  <si>
    <t>DCS</t>
    <phoneticPr fontId="3" type="noConversion"/>
  </si>
  <si>
    <t>시공비용</t>
    <phoneticPr fontId="3" type="noConversion"/>
  </si>
  <si>
    <t>현장 운영</t>
    <phoneticPr fontId="3" type="noConversion"/>
  </si>
  <si>
    <t>배관공사</t>
    <phoneticPr fontId="3" type="noConversion"/>
  </si>
  <si>
    <t>보온공사</t>
    <phoneticPr fontId="3" type="noConversion"/>
  </si>
  <si>
    <t>전기/계장공사</t>
    <phoneticPr fontId="3" type="noConversion"/>
  </si>
  <si>
    <t>철골공사</t>
    <phoneticPr fontId="3" type="noConversion"/>
  </si>
  <si>
    <t>토목공사</t>
    <phoneticPr fontId="3" type="noConversion"/>
  </si>
  <si>
    <t>인허가</t>
    <phoneticPr fontId="3" type="noConversion"/>
  </si>
  <si>
    <t>인허가 컨설팅</t>
    <phoneticPr fontId="3" type="noConversion"/>
  </si>
  <si>
    <t>시운전지원비용</t>
    <phoneticPr fontId="3" type="noConversion"/>
  </si>
  <si>
    <t>프로젝트관리, 예비비</t>
    <phoneticPr fontId="3" type="noConversion"/>
  </si>
  <si>
    <t>Direct cost</t>
    <phoneticPr fontId="3" type="noConversion"/>
  </si>
  <si>
    <t>Indirect cost</t>
    <phoneticPr fontId="3" type="noConversion"/>
  </si>
  <si>
    <t>CAPEX 총합</t>
    <phoneticPr fontId="3" type="noConversion"/>
  </si>
  <si>
    <t>계 [USD/yr]</t>
    <phoneticPr fontId="3" type="noConversion"/>
  </si>
  <si>
    <t>Direct production cost(DPC)</t>
    <phoneticPr fontId="3" type="noConversion"/>
  </si>
  <si>
    <t>소모재료비</t>
    <phoneticPr fontId="3" type="noConversion"/>
  </si>
  <si>
    <t>Plant overhead cost(OVHD)</t>
    <phoneticPr fontId="3" type="noConversion"/>
  </si>
  <si>
    <t>간접노무비</t>
    <phoneticPr fontId="3" type="noConversion"/>
  </si>
  <si>
    <t>산업안전보건관리비</t>
    <phoneticPr fontId="3" type="noConversion"/>
  </si>
  <si>
    <t>안전관리비</t>
    <phoneticPr fontId="3" type="noConversion"/>
  </si>
  <si>
    <t>산재보험료</t>
    <phoneticPr fontId="3" type="noConversion"/>
  </si>
  <si>
    <t>고용보험료</t>
    <phoneticPr fontId="3" type="noConversion"/>
  </si>
  <si>
    <t>근재보험료</t>
    <phoneticPr fontId="3" type="noConversion"/>
  </si>
  <si>
    <t>건강보험료</t>
    <phoneticPr fontId="3" type="noConversion"/>
  </si>
  <si>
    <t>연금보험료</t>
    <phoneticPr fontId="3" type="noConversion"/>
  </si>
  <si>
    <t>노인장기요양보험료</t>
    <phoneticPr fontId="3" type="noConversion"/>
  </si>
  <si>
    <t>퇴직공제부금비</t>
    <phoneticPr fontId="3" type="noConversion"/>
  </si>
  <si>
    <t>환경보전비</t>
    <phoneticPr fontId="3" type="noConversion"/>
  </si>
  <si>
    <t>Fixed charge(FC)</t>
    <phoneticPr fontId="3" type="noConversion"/>
  </si>
  <si>
    <t>선급금 보증보험료</t>
    <phoneticPr fontId="3" type="noConversion"/>
  </si>
  <si>
    <t>하자이행 보증보험료</t>
    <phoneticPr fontId="3" type="noConversion"/>
  </si>
  <si>
    <t>계약이행 보증보험료</t>
    <phoneticPr fontId="3" type="noConversion"/>
  </si>
  <si>
    <t>하도급대금지급수수료</t>
    <phoneticPr fontId="3" type="noConversion"/>
  </si>
  <si>
    <t>건설기계대여대급보증수수료</t>
    <phoneticPr fontId="3" type="noConversion"/>
  </si>
  <si>
    <t>General expenses(GE)</t>
    <phoneticPr fontId="3" type="noConversion"/>
  </si>
  <si>
    <t>일반관리비</t>
    <phoneticPr fontId="3" type="noConversion"/>
  </si>
  <si>
    <t>Profit</t>
    <phoneticPr fontId="3" type="noConversion"/>
  </si>
  <si>
    <t>이윤</t>
    <phoneticPr fontId="3" type="noConversion"/>
  </si>
  <si>
    <t>OPEX 총합</t>
    <phoneticPr fontId="3" type="noConversion"/>
  </si>
  <si>
    <t>EQUIPMENT COST</t>
    <phoneticPr fontId="3" type="noConversion"/>
  </si>
  <si>
    <t>Process flowsheet</t>
    <phoneticPr fontId="3" type="noConversion"/>
  </si>
  <si>
    <t>OPERATION</t>
    <phoneticPr fontId="3" type="noConversion"/>
  </si>
  <si>
    <t>USED</t>
    <phoneticPr fontId="7" type="noConversion"/>
  </si>
  <si>
    <t>UTILITY</t>
    <phoneticPr fontId="3" type="noConversion"/>
  </si>
  <si>
    <t>UTILITY TYPE</t>
    <phoneticPr fontId="3" type="noConversion"/>
  </si>
  <si>
    <t>ANNUAL COST [USD/yr]</t>
    <phoneticPr fontId="3" type="noConversion"/>
  </si>
  <si>
    <t>ELECTRICITY</t>
  </si>
  <si>
    <t>-</t>
    <phoneticPr fontId="3" type="noConversion"/>
  </si>
  <si>
    <t>Utility total cost [USD/yr]</t>
    <phoneticPr fontId="3" type="noConversion"/>
  </si>
  <si>
    <t>Total product cost (OPEX)</t>
    <phoneticPr fontId="7" type="noConversion"/>
  </si>
  <si>
    <t>DRM</t>
    <phoneticPr fontId="3" type="noConversion"/>
  </si>
  <si>
    <t>DH</t>
    <phoneticPr fontId="7" type="noConversion"/>
  </si>
  <si>
    <t>FCI</t>
    <phoneticPr fontId="3" type="noConversion"/>
  </si>
  <si>
    <t>revenue</t>
    <phoneticPr fontId="3" type="noConversion"/>
  </si>
  <si>
    <t>opex</t>
    <phoneticPr fontId="7" type="noConversion"/>
  </si>
  <si>
    <t>PBP</t>
    <phoneticPr fontId="3" type="noConversion"/>
  </si>
  <si>
    <t>Discount rate</t>
    <phoneticPr fontId="3" type="noConversion"/>
  </si>
  <si>
    <t>Cash flow</t>
    <phoneticPr fontId="3" type="noConversion"/>
  </si>
  <si>
    <t>Revenue</t>
    <phoneticPr fontId="3" type="noConversion"/>
  </si>
  <si>
    <t>Opex</t>
    <phoneticPr fontId="3" type="noConversion"/>
  </si>
  <si>
    <t>Carbon tax</t>
    <phoneticPr fontId="3" type="noConversion"/>
  </si>
  <si>
    <t>depreciation</t>
    <phoneticPr fontId="3" type="noConversion"/>
  </si>
  <si>
    <t>tax rate on profit</t>
    <phoneticPr fontId="3" type="noConversion"/>
  </si>
  <si>
    <t>n</t>
    <phoneticPr fontId="3" type="noConversion"/>
  </si>
  <si>
    <t>total</t>
    <phoneticPr fontId="3" type="noConversion"/>
  </si>
  <si>
    <t>NPV</t>
    <phoneticPr fontId="3" type="noConversion"/>
  </si>
  <si>
    <t>EQUIPMENT COST [USD]</t>
    <phoneticPr fontId="3" type="noConversion"/>
  </si>
  <si>
    <t>APEA</t>
    <phoneticPr fontId="3" type="noConversion"/>
  </si>
  <si>
    <t>HEAT EXCHANGER</t>
    <phoneticPr fontId="3" type="noConversion"/>
  </si>
  <si>
    <t>CAPCOST</t>
    <phoneticPr fontId="3" type="noConversion"/>
  </si>
  <si>
    <t>CLASSIFICATION</t>
    <phoneticPr fontId="3" type="noConversion"/>
  </si>
  <si>
    <t>Unit operation</t>
    <phoneticPr fontId="3" type="noConversion"/>
  </si>
  <si>
    <t>Equipment cost [USD]</t>
    <phoneticPr fontId="3" type="noConversion"/>
  </si>
  <si>
    <t>CEPCI</t>
    <phoneticPr fontId="3" type="noConversion"/>
  </si>
  <si>
    <t>Capacity</t>
    <phoneticPr fontId="3" type="noConversion"/>
  </si>
  <si>
    <t>Reference process</t>
    <phoneticPr fontId="3" type="noConversion"/>
  </si>
  <si>
    <t>Equipment cost(REF) [USD]</t>
    <phoneticPr fontId="3" type="noConversion"/>
  </si>
  <si>
    <t>CEPCI(REF)</t>
    <phoneticPr fontId="3" type="noConversion"/>
  </si>
  <si>
    <t>NO.ref</t>
    <phoneticPr fontId="3" type="noConversion"/>
  </si>
  <si>
    <t>Aspen plus(APEA)</t>
    <phoneticPr fontId="3" type="noConversion"/>
  </si>
  <si>
    <t>Reference</t>
    <phoneticPr fontId="3" type="noConversion"/>
  </si>
  <si>
    <t>[7]</t>
    <phoneticPr fontId="3" type="noConversion"/>
  </si>
  <si>
    <t>COOLING</t>
    <phoneticPr fontId="3" type="noConversion"/>
  </si>
  <si>
    <t>HEATING</t>
  </si>
  <si>
    <t>Classification</t>
    <phoneticPr fontId="3" type="noConversion"/>
  </si>
  <si>
    <t>장치(NAME)</t>
    <phoneticPr fontId="3" type="noConversion"/>
  </si>
  <si>
    <t>Capacity(REF)</t>
    <phoneticPr fontId="3" type="noConversion"/>
  </si>
  <si>
    <t>EQUIPMENT</t>
    <phoneticPr fontId="3" type="noConversion"/>
  </si>
  <si>
    <t>NAME</t>
    <phoneticPr fontId="3" type="noConversion"/>
  </si>
  <si>
    <t>APEA</t>
  </si>
  <si>
    <t>COST [USD/year]</t>
  </si>
  <si>
    <t>COOLING UTILITY</t>
    <phoneticPr fontId="3" type="noConversion"/>
  </si>
  <si>
    <t>UTILITY USAGE [kg/hr]</t>
    <phoneticPr fontId="3" type="noConversion"/>
  </si>
  <si>
    <t>ANNUAL USAGE [kg/year]</t>
    <phoneticPr fontId="3" type="noConversion"/>
  </si>
  <si>
    <t>UTILITY COST [USD/hr]</t>
  </si>
  <si>
    <t>ANNUAL COST [USD/year]</t>
  </si>
  <si>
    <t>HOT UTILITY</t>
    <phoneticPr fontId="3" type="noConversion"/>
  </si>
  <si>
    <t>DUTY [kW]</t>
  </si>
  <si>
    <t>ANNUAL DUTY [kWh/year]</t>
  </si>
  <si>
    <t>REQUIRED Utility [kg/hr]</t>
  </si>
  <si>
    <t>ELECTRICITY UTILITY</t>
    <phoneticPr fontId="3" type="noConversion"/>
  </si>
  <si>
    <t>UTILITY USAGE [kW]</t>
  </si>
  <si>
    <t>ANNUAL USAGE [kWh/year]</t>
  </si>
  <si>
    <t>CW</t>
    <phoneticPr fontId="3" type="noConversion"/>
  </si>
  <si>
    <t>ELECTRICITY</t>
    <phoneticPr fontId="3" type="noConversion"/>
  </si>
  <si>
    <t>kg/hr</t>
    <phoneticPr fontId="3" type="noConversion"/>
  </si>
  <si>
    <t>kW</t>
    <phoneticPr fontId="3" type="noConversion"/>
  </si>
  <si>
    <t>순번</t>
    <phoneticPr fontId="3" type="noConversion"/>
  </si>
  <si>
    <t>값</t>
    <phoneticPr fontId="3" type="noConversion"/>
  </si>
  <si>
    <t>단위</t>
    <phoneticPr fontId="3" type="noConversion"/>
  </si>
  <si>
    <t>비고</t>
    <phoneticPr fontId="3" type="noConversion"/>
  </si>
  <si>
    <t>법인세율</t>
    <phoneticPr fontId="3" type="noConversion"/>
  </si>
  <si>
    <t>%</t>
    <phoneticPr fontId="3" type="noConversion"/>
  </si>
  <si>
    <t>t</t>
    <phoneticPr fontId="3" type="noConversion"/>
  </si>
  <si>
    <t>i</t>
    <phoneticPr fontId="3" type="noConversion"/>
  </si>
  <si>
    <t>Plant lifetime</t>
    <phoneticPr fontId="3" type="noConversion"/>
  </si>
  <si>
    <t>yr</t>
    <phoneticPr fontId="3" type="noConversion"/>
  </si>
  <si>
    <t>L</t>
    <phoneticPr fontId="3" type="noConversion"/>
  </si>
  <si>
    <t>Depreciation lifetime</t>
    <phoneticPr fontId="3" type="noConversion"/>
  </si>
  <si>
    <t>DL</t>
    <phoneticPr fontId="3" type="noConversion"/>
  </si>
  <si>
    <t>USD/kWh</t>
  </si>
  <si>
    <t>NG price (USD)</t>
  </si>
  <si>
    <t>Plant operation hours</t>
    <phoneticPr fontId="3" type="noConversion"/>
  </si>
  <si>
    <t>hr/yr</t>
    <phoneticPr fontId="3" type="noConversion"/>
  </si>
  <si>
    <t>Furnace efficiency</t>
    <phoneticPr fontId="3" type="noConversion"/>
  </si>
  <si>
    <t>Hydrogen price</t>
    <phoneticPr fontId="3" type="noConversion"/>
  </si>
  <si>
    <t>USD/kg</t>
  </si>
  <si>
    <t>환율</t>
    <phoneticPr fontId="3" type="noConversion"/>
  </si>
  <si>
    <t>원/USD</t>
  </si>
  <si>
    <t>8.7.2025 기준</t>
    <phoneticPr fontId="3" type="noConversion"/>
  </si>
  <si>
    <t>USD/kg</t>
    <phoneticPr fontId="3" type="noConversion"/>
  </si>
  <si>
    <t>ASPEN</t>
    <phoneticPr fontId="3" type="noConversion"/>
  </si>
  <si>
    <t>Blender Data</t>
  </si>
  <si>
    <t>Blender Type</t>
  </si>
  <si>
    <r>
      <t>K</t>
    </r>
    <r>
      <rPr>
        <vertAlign val="subscript"/>
        <sz val="10"/>
        <rFont val="Arial"/>
        <family val="2"/>
      </rPr>
      <t>1</t>
    </r>
  </si>
  <si>
    <r>
      <t>K</t>
    </r>
    <r>
      <rPr>
        <vertAlign val="subscript"/>
        <sz val="10"/>
        <rFont val="Arial"/>
        <family val="2"/>
      </rPr>
      <t>2</t>
    </r>
  </si>
  <si>
    <r>
      <t>K</t>
    </r>
    <r>
      <rPr>
        <vertAlign val="subscript"/>
        <sz val="10"/>
        <rFont val="Arial"/>
        <family val="2"/>
      </rPr>
      <t>3</t>
    </r>
  </si>
  <si>
    <r>
      <t>V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>)</t>
    </r>
  </si>
  <si>
    <r>
      <t>V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>)</t>
    </r>
  </si>
  <si>
    <r>
      <t>F</t>
    </r>
    <r>
      <rPr>
        <vertAlign val="subscript"/>
        <sz val="10"/>
        <rFont val="Arial"/>
        <family val="2"/>
      </rPr>
      <t>BM</t>
    </r>
  </si>
  <si>
    <t>Kneader</t>
  </si>
  <si>
    <t>Ribbon</t>
  </si>
  <si>
    <t>Rotary</t>
  </si>
  <si>
    <t>Centrifuge Data</t>
  </si>
  <si>
    <t>Centrifuge Type</t>
  </si>
  <si>
    <r>
      <t>D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(m)</t>
    </r>
  </si>
  <si>
    <r>
      <t>D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(m)</t>
    </r>
  </si>
  <si>
    <t>Auto Batch Seperator</t>
  </si>
  <si>
    <t>Centrifugal Seperator</t>
  </si>
  <si>
    <t>Oscillating Screen</t>
  </si>
  <si>
    <t>Solid Bowl w/o Motor</t>
  </si>
  <si>
    <t>Compressor Data (without electric motors)</t>
  </si>
  <si>
    <t>Compressor Type</t>
  </si>
  <si>
    <r>
      <t>F</t>
    </r>
    <r>
      <rPr>
        <vertAlign val="subscript"/>
        <sz val="10"/>
        <rFont val="Arial"/>
        <family val="2"/>
      </rPr>
      <t>BMCS</t>
    </r>
  </si>
  <si>
    <r>
      <t>F</t>
    </r>
    <r>
      <rPr>
        <vertAlign val="subscript"/>
        <sz val="10"/>
        <rFont val="Arial"/>
        <family val="2"/>
      </rPr>
      <t>BMSS</t>
    </r>
  </si>
  <si>
    <r>
      <t>F</t>
    </r>
    <r>
      <rPr>
        <vertAlign val="subscript"/>
        <sz val="10"/>
        <rFont val="Arial"/>
        <family val="2"/>
      </rPr>
      <t>BMNi</t>
    </r>
  </si>
  <si>
    <r>
      <t>W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(kW)</t>
    </r>
  </si>
  <si>
    <r>
      <t>W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(kW)</t>
    </r>
  </si>
  <si>
    <t>Centrifugal</t>
  </si>
  <si>
    <t>Axial</t>
  </si>
  <si>
    <t>Reciprocating</t>
  </si>
  <si>
    <t>Conveyor Data</t>
  </si>
  <si>
    <t>Conveyor Type</t>
  </si>
  <si>
    <r>
      <t>A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(m</t>
    </r>
    <r>
      <rPr>
        <vertAlign val="superscript"/>
        <sz val="10"/>
        <rFont val="Arial"/>
        <family val="2"/>
      </rPr>
      <t>2</t>
    </r>
    <r>
      <rPr>
        <sz val="11"/>
        <color theme="1"/>
        <rFont val="맑은 고딕"/>
        <family val="2"/>
        <charset val="129"/>
        <scheme val="minor"/>
      </rPr>
      <t>)</t>
    </r>
  </si>
  <si>
    <r>
      <t>A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(m</t>
    </r>
    <r>
      <rPr>
        <vertAlign val="superscript"/>
        <sz val="10"/>
        <rFont val="Arial"/>
        <family val="2"/>
      </rPr>
      <t>2</t>
    </r>
    <r>
      <rPr>
        <sz val="11"/>
        <color theme="1"/>
        <rFont val="맑은 고딕"/>
        <family val="2"/>
        <charset val="129"/>
        <scheme val="minor"/>
      </rPr>
      <t>)</t>
    </r>
  </si>
  <si>
    <t>Apron</t>
  </si>
  <si>
    <t>Belt</t>
  </si>
  <si>
    <t>Pneumatic</t>
  </si>
  <si>
    <t>Screw</t>
  </si>
  <si>
    <t>Crystallizer Data</t>
  </si>
  <si>
    <t>Crystallizer Type</t>
  </si>
  <si>
    <t>Batch</t>
  </si>
  <si>
    <t>Drive Data</t>
  </si>
  <si>
    <t>Electric Drives</t>
  </si>
  <si>
    <t>Explosion Proof</t>
  </si>
  <si>
    <t>Totally Enclosed</t>
  </si>
  <si>
    <t>Open/Drip Proof</t>
  </si>
  <si>
    <t>Non-Electric Drives</t>
  </si>
  <si>
    <t>Gas Turbine</t>
  </si>
  <si>
    <t>Steam Turbine</t>
  </si>
  <si>
    <t>Internal Combustion</t>
  </si>
  <si>
    <t>Dryer Data</t>
  </si>
  <si>
    <t>Dryer Type</t>
  </si>
  <si>
    <t>Drum</t>
  </si>
  <si>
    <t>Rotary, Gas Fired</t>
  </si>
  <si>
    <t>Tray</t>
  </si>
  <si>
    <t>Dust Collectors Data</t>
  </si>
  <si>
    <t>Collector Type</t>
  </si>
  <si>
    <r>
      <t>V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>/s)</t>
    </r>
  </si>
  <si>
    <r>
      <t>V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>/s)</t>
    </r>
  </si>
  <si>
    <t>Baghouse</t>
  </si>
  <si>
    <t>Cyclone Scrubbers</t>
  </si>
  <si>
    <t xml:space="preserve">     ( Centrifugal, Gravity</t>
  </si>
  <si>
    <t xml:space="preserve">     Spray, Impingement, </t>
  </si>
  <si>
    <t xml:space="preserve">     and Wet Dynamic)</t>
  </si>
  <si>
    <t>Electrostatic Precipitator</t>
  </si>
  <si>
    <t>Venturi</t>
  </si>
  <si>
    <t>Fan Data (include electric motors)</t>
  </si>
  <si>
    <t>Fan Type</t>
  </si>
  <si>
    <r>
      <t>F</t>
    </r>
    <r>
      <rPr>
        <vertAlign val="subscript"/>
        <sz val="10"/>
        <rFont val="Arial"/>
        <family val="2"/>
      </rPr>
      <t>BMfiberglass</t>
    </r>
  </si>
  <si>
    <t>Threshold</t>
  </si>
  <si>
    <r>
      <t>C</t>
    </r>
    <r>
      <rPr>
        <vertAlign val="subscript"/>
        <sz val="10"/>
        <rFont val="Arial"/>
        <family val="2"/>
      </rPr>
      <t>1</t>
    </r>
  </si>
  <si>
    <r>
      <t>C</t>
    </r>
    <r>
      <rPr>
        <vertAlign val="subscript"/>
        <sz val="10"/>
        <rFont val="Arial"/>
        <family val="2"/>
      </rPr>
      <t>2</t>
    </r>
  </si>
  <si>
    <r>
      <t>C</t>
    </r>
    <r>
      <rPr>
        <vertAlign val="subscript"/>
        <sz val="10"/>
        <rFont val="Arial"/>
        <family val="2"/>
      </rPr>
      <t>3</t>
    </r>
  </si>
  <si>
    <r>
      <t>V</t>
    </r>
    <r>
      <rPr>
        <vertAlign val="subscript"/>
        <sz val="10"/>
        <rFont val="Arial"/>
        <family val="2"/>
      </rPr>
      <t>min(m3/s)</t>
    </r>
  </si>
  <si>
    <r>
      <t>V</t>
    </r>
    <r>
      <rPr>
        <vertAlign val="subscript"/>
        <sz val="10"/>
        <rFont val="Arial"/>
        <family val="2"/>
      </rPr>
      <t>max(m3/s)</t>
    </r>
  </si>
  <si>
    <r>
      <t>P</t>
    </r>
    <r>
      <rPr>
        <vertAlign val="subscript"/>
        <sz val="10"/>
        <rFont val="Arial"/>
        <family val="2"/>
      </rPr>
      <t>max(barg)</t>
    </r>
  </si>
  <si>
    <t>Centrifugal Radial Fan</t>
  </si>
  <si>
    <t>Centrifugal Backward curved fan</t>
  </si>
  <si>
    <t>Axial Tube Fan</t>
  </si>
  <si>
    <t>Axial Vane Fan</t>
  </si>
  <si>
    <t>Filter Data</t>
  </si>
  <si>
    <t>Filter Type</t>
  </si>
  <si>
    <t>Bent</t>
  </si>
  <si>
    <t>Cartridge</t>
  </si>
  <si>
    <t>Disc and Drum</t>
  </si>
  <si>
    <t>Gravity</t>
  </si>
  <si>
    <t>Leaf</t>
  </si>
  <si>
    <t>Pan</t>
  </si>
  <si>
    <t>Plate and Frame</t>
  </si>
  <si>
    <t>Table</t>
  </si>
  <si>
    <t>Tube</t>
  </si>
  <si>
    <t>Fired Heater Data</t>
  </si>
  <si>
    <t>Bare Module Factor</t>
  </si>
  <si>
    <t>Reactive Heaters</t>
  </si>
  <si>
    <r>
      <t>Q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(kW)</t>
    </r>
  </si>
  <si>
    <r>
      <t>Q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(kW)</t>
    </r>
  </si>
  <si>
    <r>
      <t>P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(barg)</t>
    </r>
  </si>
  <si>
    <t>CS</t>
  </si>
  <si>
    <t>Alloy Steel</t>
  </si>
  <si>
    <t>SS</t>
  </si>
  <si>
    <t>Reformer Furnace</t>
  </si>
  <si>
    <t>Pyrolysis Furnace</t>
  </si>
  <si>
    <t>Non-reactive Heaters</t>
  </si>
  <si>
    <t>Process Heater</t>
  </si>
  <si>
    <t>Steam Supreheat Factor</t>
  </si>
  <si>
    <t>Thermal Fluid Heaters</t>
  </si>
  <si>
    <t>Fbm</t>
  </si>
  <si>
    <r>
      <t>F</t>
    </r>
    <r>
      <rPr>
        <vertAlign val="subscript"/>
        <sz val="10"/>
        <rFont val="Arial"/>
        <family val="2"/>
      </rPr>
      <t>T1</t>
    </r>
  </si>
  <si>
    <r>
      <t>F</t>
    </r>
    <r>
      <rPr>
        <vertAlign val="subscript"/>
        <sz val="10"/>
        <rFont val="Arial"/>
        <family val="2"/>
      </rPr>
      <t>T2</t>
    </r>
  </si>
  <si>
    <r>
      <t>F</t>
    </r>
    <r>
      <rPr>
        <vertAlign val="subscript"/>
        <sz val="10"/>
        <rFont val="Arial"/>
        <family val="2"/>
      </rPr>
      <t>T3</t>
    </r>
  </si>
  <si>
    <t>Hot Water</t>
  </si>
  <si>
    <t>Molten Salt, Mineral Oil,</t>
  </si>
  <si>
    <t>Diphenyl Based Oils</t>
  </si>
  <si>
    <t>Packaged Steam Boilers</t>
  </si>
  <si>
    <t>Evaporator Data</t>
  </si>
  <si>
    <t>Evaporator Types</t>
  </si>
  <si>
    <r>
      <t>A</t>
    </r>
    <r>
      <rPr>
        <vertAlign val="subscript"/>
        <sz val="10"/>
        <rFont val="Arial"/>
        <family val="2"/>
      </rPr>
      <t>min(m2)</t>
    </r>
  </si>
  <si>
    <r>
      <t>A</t>
    </r>
    <r>
      <rPr>
        <vertAlign val="subscript"/>
        <sz val="10"/>
        <rFont val="Arial"/>
        <family val="2"/>
      </rPr>
      <t>max(m2)</t>
    </r>
  </si>
  <si>
    <t>Forced Circulation</t>
  </si>
  <si>
    <t>Falling Film</t>
  </si>
  <si>
    <t>Agitated (Scraped Wall)</t>
  </si>
  <si>
    <t>Short Tube</t>
  </si>
  <si>
    <t>Long Tube</t>
  </si>
  <si>
    <t>Heat Exchanger Data</t>
  </si>
  <si>
    <t>Exchager Type</t>
  </si>
  <si>
    <r>
      <t>B</t>
    </r>
    <r>
      <rPr>
        <vertAlign val="subscript"/>
        <sz val="10"/>
        <rFont val="Arial"/>
        <family val="2"/>
      </rPr>
      <t>1</t>
    </r>
  </si>
  <si>
    <r>
      <t>B</t>
    </r>
    <r>
      <rPr>
        <vertAlign val="subscript"/>
        <sz val="10"/>
        <rFont val="Arial"/>
        <family val="2"/>
      </rPr>
      <t>2</t>
    </r>
  </si>
  <si>
    <t>Double Pipe</t>
  </si>
  <si>
    <t>40 barg  &lt; P &lt; 100 barg</t>
  </si>
  <si>
    <t>P &lt; 40 barg</t>
  </si>
  <si>
    <t>Multiple Pipe</t>
  </si>
  <si>
    <t>Fixed tube, sheet, or U tube</t>
  </si>
  <si>
    <t>tubes only &gt; 5 barg</t>
  </si>
  <si>
    <t>Floating Head</t>
  </si>
  <si>
    <t>tubes only &gt; 5barg</t>
  </si>
  <si>
    <t>Bayonet</t>
  </si>
  <si>
    <t>Kettle Reboiler</t>
  </si>
  <si>
    <t>Scraped Wall</t>
  </si>
  <si>
    <t>Teflon Tube</t>
  </si>
  <si>
    <t>Air Cooler</t>
  </si>
  <si>
    <t>Spiral Tube - shell and tube</t>
  </si>
  <si>
    <t>tube only</t>
  </si>
  <si>
    <t>Spiral Plate</t>
  </si>
  <si>
    <t>Flat Plate</t>
  </si>
  <si>
    <r>
      <t>Materail Factors, F</t>
    </r>
    <r>
      <rPr>
        <vertAlign val="subscript"/>
        <sz val="10"/>
        <rFont val="Arial"/>
        <family val="2"/>
      </rPr>
      <t>M</t>
    </r>
  </si>
  <si>
    <t>Shell - CS</t>
  </si>
  <si>
    <t>Cu</t>
  </si>
  <si>
    <t>Ni</t>
  </si>
  <si>
    <t>Ti</t>
  </si>
  <si>
    <t>Exchanger Type</t>
  </si>
  <si>
    <t>Tube - CS</t>
  </si>
  <si>
    <t>Spiral Tube</t>
  </si>
  <si>
    <t>Shell Materail</t>
  </si>
  <si>
    <t>Teflon Tube Exchanger</t>
  </si>
  <si>
    <t>Material In Contact with Process Fluid</t>
  </si>
  <si>
    <t>Tube Material</t>
  </si>
  <si>
    <t>Al</t>
  </si>
  <si>
    <t>Mixer Data</t>
  </si>
  <si>
    <t>Mixer Type</t>
  </si>
  <si>
    <r>
      <t>P</t>
    </r>
    <r>
      <rPr>
        <vertAlign val="subscript"/>
        <sz val="10"/>
        <rFont val="Arial"/>
        <family val="2"/>
      </rPr>
      <t>min</t>
    </r>
    <r>
      <rPr>
        <sz val="11"/>
        <color theme="1"/>
        <rFont val="맑은 고딕"/>
        <family val="2"/>
        <charset val="129"/>
        <scheme val="minor"/>
      </rPr>
      <t>(kW)</t>
    </r>
  </si>
  <si>
    <r>
      <t>P</t>
    </r>
    <r>
      <rPr>
        <vertAlign val="subscript"/>
        <sz val="10"/>
        <rFont val="Arial"/>
        <family val="2"/>
      </rPr>
      <t>max</t>
    </r>
    <r>
      <rPr>
        <sz val="11"/>
        <color theme="1"/>
        <rFont val="맑은 고딕"/>
        <family val="2"/>
        <charset val="129"/>
        <scheme val="minor"/>
      </rPr>
      <t>(kW)</t>
    </r>
  </si>
  <si>
    <t>Impeller</t>
  </si>
  <si>
    <t>Propeller</t>
  </si>
  <si>
    <t>Turbine</t>
  </si>
  <si>
    <t>Pump Data (including electric drives)</t>
  </si>
  <si>
    <t>Pump Type</t>
  </si>
  <si>
    <r>
      <t>F</t>
    </r>
    <r>
      <rPr>
        <vertAlign val="subscript"/>
        <sz val="10"/>
        <rFont val="Arial"/>
        <family val="2"/>
      </rPr>
      <t>mCI</t>
    </r>
  </si>
  <si>
    <r>
      <t>F</t>
    </r>
    <r>
      <rPr>
        <vertAlign val="subscript"/>
        <sz val="10"/>
        <rFont val="Arial"/>
        <family val="2"/>
      </rPr>
      <t>mCS</t>
    </r>
  </si>
  <si>
    <r>
      <t>F</t>
    </r>
    <r>
      <rPr>
        <vertAlign val="subscript"/>
        <sz val="10"/>
        <rFont val="Arial"/>
        <family val="2"/>
      </rPr>
      <t>mCu</t>
    </r>
  </si>
  <si>
    <r>
      <t>F</t>
    </r>
    <r>
      <rPr>
        <vertAlign val="subscript"/>
        <sz val="10"/>
        <rFont val="Arial"/>
        <family val="2"/>
      </rPr>
      <t>mSS</t>
    </r>
  </si>
  <si>
    <r>
      <t>F</t>
    </r>
    <r>
      <rPr>
        <vertAlign val="subscript"/>
        <sz val="10"/>
        <rFont val="Arial"/>
        <family val="2"/>
      </rPr>
      <t>mNi</t>
    </r>
  </si>
  <si>
    <r>
      <t>F</t>
    </r>
    <r>
      <rPr>
        <vertAlign val="subscript"/>
        <sz val="10"/>
        <rFont val="Arial"/>
        <family val="2"/>
      </rPr>
      <t>mTi</t>
    </r>
  </si>
  <si>
    <t>Centrifugal pump</t>
  </si>
  <si>
    <t>NA</t>
  </si>
  <si>
    <t>Positive Displacement</t>
  </si>
  <si>
    <t>Reciprocating pump</t>
  </si>
  <si>
    <t>Reactor Data</t>
  </si>
  <si>
    <t>Reactor Type</t>
  </si>
  <si>
    <t>Autoclave</t>
  </si>
  <si>
    <t>Fermenter</t>
  </si>
  <si>
    <t>Inoculum Tank</t>
  </si>
  <si>
    <t>Jacketed Agitated</t>
  </si>
  <si>
    <t>Jacketed Non-Agitated</t>
  </si>
  <si>
    <t>Mixer/Settler</t>
  </si>
  <si>
    <t>Screen Data</t>
  </si>
  <si>
    <t>Screen Type</t>
  </si>
  <si>
    <t>DSM</t>
  </si>
  <si>
    <t>Stationary</t>
  </si>
  <si>
    <t>Vibrating</t>
  </si>
  <si>
    <t>Tank Data</t>
  </si>
  <si>
    <t>Tank Type</t>
  </si>
  <si>
    <t>Fixed Roof</t>
  </si>
  <si>
    <t>Floating Roof</t>
  </si>
  <si>
    <t>Turbine Data</t>
  </si>
  <si>
    <t>Turbine Type</t>
  </si>
  <si>
    <r>
      <t>F</t>
    </r>
    <r>
      <rPr>
        <vertAlign val="subscript"/>
        <sz val="10"/>
        <rFont val="Arial"/>
        <family val="2"/>
      </rPr>
      <t>BMCI</t>
    </r>
  </si>
  <si>
    <r>
      <t>F</t>
    </r>
    <r>
      <rPr>
        <vertAlign val="subscript"/>
        <sz val="10"/>
        <rFont val="Arial"/>
        <family val="2"/>
      </rPr>
      <t>BMCu</t>
    </r>
  </si>
  <si>
    <r>
      <t>F</t>
    </r>
    <r>
      <rPr>
        <vertAlign val="subscript"/>
        <sz val="10"/>
        <rFont val="Arial"/>
        <family val="2"/>
      </rPr>
      <t>BMTi</t>
    </r>
  </si>
  <si>
    <t>Radial</t>
  </si>
  <si>
    <t>Vaporizer Data</t>
  </si>
  <si>
    <t>Vaporizer Types</t>
  </si>
  <si>
    <r>
      <t>V</t>
    </r>
    <r>
      <rPr>
        <vertAlign val="subscript"/>
        <sz val="10"/>
        <rFont val="Arial"/>
        <family val="2"/>
      </rPr>
      <t>min(m3)</t>
    </r>
  </si>
  <si>
    <r>
      <t>V</t>
    </r>
    <r>
      <rPr>
        <vertAlign val="subscript"/>
        <sz val="10"/>
        <rFont val="Arial"/>
        <family val="2"/>
      </rPr>
      <t>max(m3)</t>
    </r>
  </si>
  <si>
    <t>Jacketed Vessel</t>
  </si>
  <si>
    <t>Internal Coil</t>
  </si>
  <si>
    <t>Jacketed Vessel w/ Coil</t>
  </si>
  <si>
    <r>
      <t>Bare Module Factors, F</t>
    </r>
    <r>
      <rPr>
        <vertAlign val="subscript"/>
        <sz val="10"/>
        <rFont val="Arial"/>
        <family val="2"/>
      </rPr>
      <t>BM</t>
    </r>
  </si>
  <si>
    <t>GL SS Coils</t>
  </si>
  <si>
    <t>Glass Lined Ni Coils</t>
  </si>
  <si>
    <t>SS Clad</t>
  </si>
  <si>
    <t>Ni Alloy</t>
  </si>
  <si>
    <t>Ni Alloy Clad</t>
  </si>
  <si>
    <t>Ti Clad</t>
  </si>
  <si>
    <t>Cu Alloy</t>
  </si>
  <si>
    <t>Vessel Data (including data for distillation towers and packed columns)</t>
  </si>
  <si>
    <t>Vertical Vessels</t>
  </si>
  <si>
    <t>Horizontal Vessels</t>
  </si>
  <si>
    <r>
      <t>V</t>
    </r>
    <r>
      <rPr>
        <vertAlign val="subscript"/>
        <sz val="10"/>
        <rFont val="Arial"/>
        <family val="2"/>
      </rPr>
      <t>min</t>
    </r>
  </si>
  <si>
    <r>
      <t>V</t>
    </r>
    <r>
      <rPr>
        <vertAlign val="subscript"/>
        <sz val="10"/>
        <rFont val="Arial"/>
        <family val="2"/>
      </rPr>
      <t>max</t>
    </r>
  </si>
  <si>
    <t>Vessel Type</t>
  </si>
  <si>
    <t>B1</t>
  </si>
  <si>
    <t>B2</t>
  </si>
  <si>
    <t>Horizontal</t>
  </si>
  <si>
    <t>Vertical</t>
  </si>
  <si>
    <t>Materials of Construction</t>
  </si>
  <si>
    <r>
      <t>F</t>
    </r>
    <r>
      <rPr>
        <vertAlign val="subscript"/>
        <sz val="10"/>
        <rFont val="Arial"/>
        <family val="2"/>
      </rPr>
      <t>M CS</t>
    </r>
  </si>
  <si>
    <r>
      <t>F</t>
    </r>
    <r>
      <rPr>
        <vertAlign val="subscript"/>
        <sz val="10"/>
        <rFont val="Arial"/>
        <family val="2"/>
      </rPr>
      <t>M SS clad</t>
    </r>
  </si>
  <si>
    <r>
      <t>F</t>
    </r>
    <r>
      <rPr>
        <vertAlign val="subscript"/>
        <sz val="10"/>
        <rFont val="Arial"/>
        <family val="2"/>
      </rPr>
      <t>M SS</t>
    </r>
  </si>
  <si>
    <r>
      <t>F</t>
    </r>
    <r>
      <rPr>
        <vertAlign val="subscript"/>
        <sz val="10"/>
        <rFont val="Arial"/>
        <family val="2"/>
      </rPr>
      <t>M Ni clad</t>
    </r>
  </si>
  <si>
    <r>
      <t>F</t>
    </r>
    <r>
      <rPr>
        <vertAlign val="subscript"/>
        <sz val="10"/>
        <rFont val="Arial"/>
        <family val="2"/>
      </rPr>
      <t>M Ni</t>
    </r>
  </si>
  <si>
    <r>
      <t>F</t>
    </r>
    <r>
      <rPr>
        <vertAlign val="subscript"/>
        <sz val="10"/>
        <rFont val="Arial"/>
        <family val="2"/>
      </rPr>
      <t>M Ti clad</t>
    </r>
  </si>
  <si>
    <r>
      <t>F</t>
    </r>
    <r>
      <rPr>
        <vertAlign val="subscript"/>
        <sz val="10"/>
        <rFont val="Arial"/>
        <family val="2"/>
      </rPr>
      <t>M Ti</t>
    </r>
  </si>
  <si>
    <t>Tower Trays</t>
  </si>
  <si>
    <t>Tray Type</t>
  </si>
  <si>
    <r>
      <t>A</t>
    </r>
    <r>
      <rPr>
        <vertAlign val="subscript"/>
        <sz val="10"/>
        <rFont val="Arial"/>
        <family val="2"/>
      </rPr>
      <t>min</t>
    </r>
    <r>
      <rPr>
        <sz val="10"/>
        <rFont val="Arial"/>
        <family val="2"/>
      </rPr>
      <t>(m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</si>
  <si>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A</t>
    </r>
    <r>
      <rPr>
        <vertAlign val="subscript"/>
        <sz val="10"/>
        <rFont val="Arial"/>
        <family val="2"/>
      </rPr>
      <t>max</t>
    </r>
    <r>
      <rPr>
        <sz val="10"/>
        <rFont val="Arial"/>
        <family val="2"/>
      </rPr>
      <t>(m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</si>
  <si>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Sieve</t>
  </si>
  <si>
    <t>Valve</t>
  </si>
  <si>
    <t>Demister</t>
  </si>
  <si>
    <t>MOC</t>
  </si>
  <si>
    <t>Fluorocarbon</t>
  </si>
  <si>
    <t>Ni-alloy</t>
  </si>
  <si>
    <t>Fq = 10^{0.4771+0.08516 Log N -0.3473 [Log N]^2}</t>
  </si>
  <si>
    <t>N</t>
  </si>
  <si>
    <t>Fq</t>
  </si>
  <si>
    <t>Tower Packing</t>
  </si>
  <si>
    <r>
      <t>V</t>
    </r>
    <r>
      <rPr>
        <vertAlign val="subscript"/>
        <sz val="10"/>
        <rFont val="Arial"/>
        <family val="2"/>
      </rPr>
      <t>min</t>
    </r>
    <r>
      <rPr>
        <sz val="10"/>
        <rFont val="Arial"/>
        <family val="2"/>
      </rPr>
      <t>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</si>
  <si>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r>
      <t>V</t>
    </r>
    <r>
      <rPr>
        <vertAlign val="subscript"/>
        <sz val="10"/>
        <rFont val="Arial"/>
        <family val="2"/>
      </rPr>
      <t>max</t>
    </r>
    <r>
      <rPr>
        <sz val="10"/>
        <rFont val="Arial"/>
        <family val="2"/>
      </rPr>
      <t>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</si>
  <si>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FBM</t>
  </si>
  <si>
    <t>Ceramic</t>
  </si>
  <si>
    <t>304 SS</t>
  </si>
  <si>
    <t>Plastic Saddle</t>
  </si>
  <si>
    <t>Effect of Time &amp; capacity 
on purchased equipment cost</t>
    <phoneticPr fontId="3" type="noConversion"/>
  </si>
  <si>
    <t>Ref</t>
    <phoneticPr fontId="3" type="noConversion"/>
  </si>
  <si>
    <r>
      <t>Turton, Richard, et al. </t>
    </r>
    <r>
      <rPr>
        <i/>
        <sz val="10"/>
        <color rgb="FF222222"/>
        <rFont val="나눔스퀘어_ac"/>
        <family val="3"/>
        <charset val="129"/>
      </rPr>
      <t>Analysis, synthesis and design of chemical processes</t>
    </r>
    <r>
      <rPr>
        <sz val="10"/>
        <color rgb="FF222222"/>
        <rFont val="나눔스퀘어_ac"/>
        <family val="3"/>
        <charset val="129"/>
      </rPr>
      <t>. Pearson Education, 2008.</t>
    </r>
  </si>
  <si>
    <t>Data for purchased cost of the equipment, at ambient 
operating pressure and using carbon steel construction</t>
    <phoneticPr fontId="3" type="noConversion"/>
  </si>
  <si>
    <t>No</t>
    <phoneticPr fontId="3" type="noConversion"/>
  </si>
  <si>
    <t>[1]</t>
    <phoneticPr fontId="3" type="noConversion"/>
  </si>
  <si>
    <t xml:space="preserve">Turton, Richard, et al. Analysis, synthesis and design of chemical processes. Pearson Education, 2008. </t>
  </si>
  <si>
    <t>HEATING</t>
    <phoneticPr fontId="3" type="noConversion"/>
  </si>
  <si>
    <t>NG</t>
    <phoneticPr fontId="3" type="noConversion"/>
  </si>
  <si>
    <t>TOTAL</t>
    <phoneticPr fontId="3" type="noConversion"/>
  </si>
  <si>
    <t>CEPCI(June 2024)</t>
    <phoneticPr fontId="3" type="noConversion"/>
  </si>
  <si>
    <t>Equipment cost data to be used</t>
    <phoneticPr fontId="3" type="noConversion"/>
  </si>
  <si>
    <r>
      <t>K</t>
    </r>
    <r>
      <rPr>
        <b/>
        <vertAlign val="subscript"/>
        <sz val="11"/>
        <rFont val="나눔스퀘어_ac"/>
        <family val="3"/>
        <charset val="129"/>
      </rPr>
      <t>1</t>
    </r>
    <phoneticPr fontId="7" type="noConversion"/>
  </si>
  <si>
    <r>
      <t>K</t>
    </r>
    <r>
      <rPr>
        <b/>
        <vertAlign val="subscript"/>
        <sz val="11"/>
        <rFont val="나눔스퀘어_ac"/>
        <family val="3"/>
        <charset val="129"/>
      </rPr>
      <t>2</t>
    </r>
  </si>
  <si>
    <r>
      <t>K</t>
    </r>
    <r>
      <rPr>
        <b/>
        <vertAlign val="subscript"/>
        <sz val="11"/>
        <rFont val="나눔스퀘어_ac"/>
        <family val="3"/>
        <charset val="129"/>
      </rPr>
      <t>3</t>
    </r>
  </si>
  <si>
    <t>Capacity (m^2)</t>
    <phoneticPr fontId="3" type="noConversion"/>
  </si>
  <si>
    <t>range(m^2)</t>
    <phoneticPr fontId="3" type="noConversion"/>
  </si>
  <si>
    <r>
      <t>B</t>
    </r>
    <r>
      <rPr>
        <b/>
        <vertAlign val="subscript"/>
        <sz val="11"/>
        <rFont val="나눔스퀘어_ac"/>
        <family val="3"/>
        <charset val="129"/>
      </rPr>
      <t>1</t>
    </r>
    <phoneticPr fontId="3" type="noConversion"/>
  </si>
  <si>
    <r>
      <t>B</t>
    </r>
    <r>
      <rPr>
        <b/>
        <vertAlign val="subscript"/>
        <sz val="11"/>
        <rFont val="나눔스퀘어_ac"/>
        <family val="3"/>
        <charset val="129"/>
      </rPr>
      <t>2</t>
    </r>
    <phoneticPr fontId="3" type="noConversion"/>
  </si>
  <si>
    <r>
      <t>F</t>
    </r>
    <r>
      <rPr>
        <b/>
        <vertAlign val="subscript"/>
        <sz val="11"/>
        <rFont val="나눔스퀘어_ac"/>
        <family val="3"/>
        <charset val="129"/>
      </rPr>
      <t>M</t>
    </r>
    <r>
      <rPr>
        <b/>
        <sz val="11"/>
        <rFont val="나눔스퀘어_ac"/>
        <family val="3"/>
        <charset val="129"/>
      </rPr>
      <t>_CS</t>
    </r>
    <phoneticPr fontId="3" type="noConversion"/>
  </si>
  <si>
    <t>CEPCI(Sept 2001)</t>
    <phoneticPr fontId="3" type="noConversion"/>
  </si>
  <si>
    <t>Equipment Cost [$]</t>
    <phoneticPr fontId="3" type="noConversion"/>
  </si>
  <si>
    <t>C_BM [$]</t>
    <phoneticPr fontId="3" type="noConversion"/>
  </si>
  <si>
    <t>Fixed tube</t>
    <phoneticPr fontId="3" type="noConversion"/>
  </si>
  <si>
    <t>10-1000</t>
    <phoneticPr fontId="3" type="noConversion"/>
  </si>
  <si>
    <t xml:space="preserve">Floating head </t>
    <phoneticPr fontId="3" type="noConversion"/>
  </si>
  <si>
    <t>U-tube</t>
    <phoneticPr fontId="3" type="noConversion"/>
  </si>
  <si>
    <t>Bayonet</t>
    <phoneticPr fontId="3" type="noConversion"/>
  </si>
  <si>
    <t>Reference equipment cost data to be used</t>
    <phoneticPr fontId="3" type="noConversion"/>
  </si>
  <si>
    <t>K1</t>
    <phoneticPr fontId="3" type="noConversion"/>
  </si>
  <si>
    <t>K2</t>
    <phoneticPr fontId="3" type="noConversion"/>
  </si>
  <si>
    <t>USAGE [kg/year]</t>
    <phoneticPr fontId="3" type="noConversion"/>
  </si>
  <si>
    <t>COST [USD/year]</t>
    <phoneticPr fontId="3" type="noConversion"/>
  </si>
  <si>
    <t>REFERENCE</t>
    <phoneticPr fontId="3" type="noConversion"/>
  </si>
  <si>
    <t xml:space="preserve"> SOURCE</t>
    <phoneticPr fontId="3" type="noConversion"/>
  </si>
  <si>
    <t>(REF RANGE)</t>
    <phoneticPr fontId="7" type="noConversion"/>
  </si>
  <si>
    <t>COMPRESSSOR</t>
    <phoneticPr fontId="3" type="noConversion"/>
  </si>
  <si>
    <t>Capacity[kW]</t>
    <phoneticPr fontId="3" type="noConversion"/>
  </si>
  <si>
    <t>Range[kW]</t>
    <phoneticPr fontId="3" type="noConversion"/>
  </si>
  <si>
    <t>Equipment Cost [$]</t>
  </si>
  <si>
    <t>Centrifugal, axial and reciprocating</t>
    <phoneticPr fontId="3" type="noConversion"/>
  </si>
  <si>
    <t>450-3000</t>
    <phoneticPr fontId="3" type="noConversion"/>
  </si>
  <si>
    <t>Rotary</t>
    <phoneticPr fontId="3" type="noConversion"/>
  </si>
  <si>
    <t>18-950</t>
    <phoneticPr fontId="3" type="noConversion"/>
  </si>
  <si>
    <t>Proposed process data</t>
    <phoneticPr fontId="3" type="noConversion"/>
  </si>
  <si>
    <t>Equipment cost[$]</t>
    <phoneticPr fontId="3" type="noConversion"/>
  </si>
  <si>
    <t>TOTAL EQUIPMENT COST</t>
    <phoneticPr fontId="3" type="noConversion"/>
  </si>
  <si>
    <t>MEA(LGratio) + RWGS [USD]</t>
    <phoneticPr fontId="3" type="noConversion"/>
  </si>
  <si>
    <t>Capacity max [t/d]</t>
    <phoneticPr fontId="3" type="noConversion"/>
  </si>
  <si>
    <t>Scaling factor</t>
    <phoneticPr fontId="3" type="noConversion"/>
  </si>
  <si>
    <t>고온 CO2 포집 + RWGS [USD/yr]</t>
    <phoneticPr fontId="3" type="noConversion"/>
  </si>
  <si>
    <t>고온 CO2 포집 + RWGS [USD]</t>
    <phoneticPr fontId="7" type="noConversion"/>
  </si>
  <si>
    <t>가정</t>
    <phoneticPr fontId="3" type="noConversion"/>
  </si>
  <si>
    <t>Oxygen Price</t>
    <phoneticPr fontId="3" type="noConversion"/>
  </si>
  <si>
    <t>Process Water Price</t>
    <phoneticPr fontId="3" type="noConversion"/>
  </si>
  <si>
    <t>동</t>
    <phoneticPr fontId="3" type="noConversion"/>
  </si>
  <si>
    <t>USD/ton</t>
    <phoneticPr fontId="3" type="noConversion"/>
  </si>
  <si>
    <t>Process water</t>
    <phoneticPr fontId="3" type="noConversion"/>
  </si>
  <si>
    <t>HEAT EXCHANGER (HEX1)</t>
    <phoneticPr fontId="3" type="noConversion"/>
  </si>
  <si>
    <r>
      <t>K</t>
    </r>
    <r>
      <rPr>
        <vertAlign val="subscript"/>
        <sz val="10"/>
        <rFont val="나눔스퀘어_ac"/>
        <family val="3"/>
        <charset val="129"/>
      </rPr>
      <t>3</t>
    </r>
  </si>
  <si>
    <r>
      <t>K</t>
    </r>
    <r>
      <rPr>
        <vertAlign val="subscript"/>
        <sz val="10"/>
        <rFont val="나눔스퀘어_ac"/>
        <family val="3"/>
        <charset val="129"/>
      </rPr>
      <t>2</t>
    </r>
  </si>
  <si>
    <r>
      <t>K</t>
    </r>
    <r>
      <rPr>
        <vertAlign val="subscript"/>
        <sz val="10"/>
        <rFont val="나눔스퀘어_ac"/>
        <family val="3"/>
        <charset val="129"/>
      </rPr>
      <t>1</t>
    </r>
    <phoneticPr fontId="7" type="noConversion"/>
  </si>
  <si>
    <t>Hydrogen - green</t>
    <phoneticPr fontId="3" type="noConversion"/>
  </si>
  <si>
    <t>CATALYST</t>
    <phoneticPr fontId="3" type="noConversion"/>
  </si>
  <si>
    <t>HEATER</t>
    <phoneticPr fontId="3" type="noConversion"/>
  </si>
  <si>
    <t>Capacity (kW)</t>
  </si>
  <si>
    <t>range(kW)</t>
    <phoneticPr fontId="3" type="noConversion"/>
  </si>
  <si>
    <t>Diphenyl heater</t>
    <phoneticPr fontId="3" type="noConversion"/>
  </si>
  <si>
    <t>650~10750</t>
    <phoneticPr fontId="3" type="noConversion"/>
  </si>
  <si>
    <t>Molten salt heater</t>
    <phoneticPr fontId="3" type="noConversion"/>
  </si>
  <si>
    <t>650~10750</t>
  </si>
  <si>
    <t>Hot water heater</t>
    <phoneticPr fontId="3" type="noConversion"/>
  </si>
  <si>
    <t>Steam boiler</t>
    <phoneticPr fontId="3" type="noConversion"/>
  </si>
  <si>
    <t>1200~9400</t>
    <phoneticPr fontId="3" type="noConversion"/>
  </si>
  <si>
    <t>논문 참고</t>
    <phoneticPr fontId="3" type="noConversion"/>
  </si>
  <si>
    <t>Electricity price (USD)</t>
    <phoneticPr fontId="3" type="noConversion"/>
  </si>
  <si>
    <t>Cooling water price (USD)</t>
    <phoneticPr fontId="3" type="noConversion"/>
  </si>
  <si>
    <t>NH3_DEMO</t>
    <phoneticPr fontId="3" type="noConversion"/>
  </si>
  <si>
    <t>COMPRESSOR (H-COMP-1)</t>
    <phoneticPr fontId="3" type="noConversion"/>
  </si>
  <si>
    <t>COOLER (H-HTX-1)</t>
    <phoneticPr fontId="3" type="noConversion"/>
  </si>
  <si>
    <t>COMPRESSOR (H-COMP-2)</t>
    <phoneticPr fontId="3" type="noConversion"/>
  </si>
  <si>
    <t>COMPRESSOR (N-COMP-1)</t>
  </si>
  <si>
    <t>COMPRESSOR (N-COMP-1)</t>
    <phoneticPr fontId="3" type="noConversion"/>
  </si>
  <si>
    <t>COOLER (N-HTX-1)</t>
    <phoneticPr fontId="3" type="noConversion"/>
  </si>
  <si>
    <t>COMPRESSOR (N-COMP-2)</t>
    <phoneticPr fontId="3" type="noConversion"/>
  </si>
  <si>
    <t>COOLER (N-HTX-2)</t>
    <phoneticPr fontId="3" type="noConversion"/>
  </si>
  <si>
    <t>COMPRESSOR (N-COMP-3)</t>
    <phoneticPr fontId="3" type="noConversion"/>
  </si>
  <si>
    <t>MIXER (MIX-NH3)</t>
    <phoneticPr fontId="3" type="noConversion"/>
  </si>
  <si>
    <t>REACTOR (REACT-1)</t>
    <phoneticPr fontId="3" type="noConversion"/>
  </si>
  <si>
    <t>HEATER (HTX-02)</t>
    <phoneticPr fontId="3" type="noConversion"/>
  </si>
  <si>
    <t>REACTOR (REACT-2)</t>
    <phoneticPr fontId="3" type="noConversion"/>
  </si>
  <si>
    <t>HEATER (HTX-03)</t>
    <phoneticPr fontId="3" type="noConversion"/>
  </si>
  <si>
    <t>REACTOR (REACT-3)</t>
    <phoneticPr fontId="3" type="noConversion"/>
  </si>
  <si>
    <t>COOLER (HTX-05)</t>
    <phoneticPr fontId="3" type="noConversion"/>
  </si>
  <si>
    <t>COOLER (HTX-04)</t>
    <phoneticPr fontId="3" type="noConversion"/>
  </si>
  <si>
    <t>SEPERATOR (NH3FLASH)</t>
    <phoneticPr fontId="3" type="noConversion"/>
  </si>
  <si>
    <t>HEATER (HTX-05)</t>
    <phoneticPr fontId="3" type="noConversion"/>
  </si>
  <si>
    <t>Capacity (production) [t/d]</t>
    <phoneticPr fontId="3" type="noConversion"/>
  </si>
  <si>
    <t>CEPCI (2012)</t>
    <phoneticPr fontId="3" type="noConversion"/>
  </si>
  <si>
    <t>NH3</t>
    <phoneticPr fontId="3" type="noConversion"/>
  </si>
  <si>
    <t>N2</t>
    <phoneticPr fontId="3" type="noConversion"/>
  </si>
  <si>
    <t>Nitrogen price</t>
    <phoneticPr fontId="3" type="noConversion"/>
  </si>
  <si>
    <t>catalyst price</t>
    <phoneticPr fontId="3" type="noConversion"/>
  </si>
  <si>
    <t>H2 COMPRESSION</t>
    <phoneticPr fontId="3" type="noConversion"/>
  </si>
  <si>
    <t>N2 COMPRESSION</t>
    <phoneticPr fontId="3" type="noConversion"/>
  </si>
  <si>
    <t>AMMONIA PRODUCTION</t>
    <phoneticPr fontId="3" type="noConversion"/>
  </si>
  <si>
    <t>VALUE</t>
    <phoneticPr fontId="3" type="noConversion"/>
  </si>
  <si>
    <t>NH3 [USD/yr]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</si>
</sst>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1" formatCode="_-* #,##0_-;\-* #,##0_-;_-* &quot;-&quot;_-;_-@_-"/>
    <numFmt numFmtId="176" formatCode="_(* #,##0_);_(* \(#,##0\);_(* &quot;-&quot;_);_(@_)"/>
    <numFmt numFmtId="177" formatCode="_(&quot;₩&quot;* #,##0_);_(&quot;₩&quot;* \(#,##0\);_(&quot;₩&quot;* &quot;-&quot;_);_(@_)"/>
    <numFmt numFmtId="178" formatCode="_(* #,##0.00_);_(* \(#,##0.00\);_(* &quot;-&quot;??_);_(@_)"/>
    <numFmt numFmtId="179" formatCode="mm&quot;월&quot;\ dd&quot;일&quot;"/>
    <numFmt numFmtId="180" formatCode="_-* #,##0.00_-;\-* #,##0.00_-;_-* &quot;-&quot;_-;_-@_-"/>
    <numFmt numFmtId="181" formatCode="_(* #,##0.0_);_(* \(#,##0.0\);_(* &quot;-&quot;_);_(@_)"/>
    <numFmt numFmtId="182" formatCode="_(* #,##0.00_);_(* \(#,##0.00\);_(* &quot;-&quot;_);_(@_)"/>
    <numFmt numFmtId="183" formatCode="0.000_);[Red]\(0.000\)"/>
    <numFmt numFmtId="184" formatCode="0.0"/>
    <numFmt numFmtId="185" formatCode="0.0000"/>
    <numFmt numFmtId="186" formatCode="_(* #,##0_);_(* \(#,##0\);_(* &quot;-&quot;??_);_(@_)"/>
    <numFmt numFmtId="187" formatCode="0.000"/>
    <numFmt numFmtId="188" formatCode="0.00000"/>
    <numFmt numFmtId="189" formatCode="0.0_);[Red]\(0.0\)"/>
    <numFmt numFmtId="190" formatCode="0.0%"/>
    <numFmt numFmtId="191" formatCode="#,##0_ "/>
    <numFmt numFmtId="192" formatCode="#,##0_);[Red]\(#,##0\)"/>
    <numFmt numFmtId="193" formatCode="_(* #,##0.00000_);_(* \(#,##0.00000\);_(* &quot;-&quot;_);_(@_)"/>
    <numFmt numFmtId="194" formatCode="#,##0_ ;[Red]\-#,##0\ "/>
    <numFmt numFmtId="197" formatCode="#,##0_);\(#,##0\)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나눔스퀘어_ac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나눔스퀘어_ac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나눔스퀘어_ac"/>
      <family val="3"/>
      <charset val="129"/>
    </font>
    <font>
      <sz val="9"/>
      <color rgb="FFFF0000"/>
      <name val="나눔스퀘어_ac"/>
      <family val="3"/>
      <charset val="129"/>
    </font>
    <font>
      <b/>
      <sz val="11"/>
      <name val="나눔스퀘어_ac"/>
      <family val="3"/>
      <charset val="129"/>
    </font>
    <font>
      <sz val="11"/>
      <name val="나눔스퀘어_ac"/>
      <family val="3"/>
      <charset val="129"/>
    </font>
    <font>
      <b/>
      <sz val="11"/>
      <color rgb="FFFF0000"/>
      <name val="나눔스퀘어_ac"/>
      <family val="3"/>
      <charset val="129"/>
    </font>
    <font>
      <sz val="10"/>
      <name val="Arial"/>
      <family val="2"/>
    </font>
    <font>
      <u/>
      <sz val="10"/>
      <name val="Arial"/>
      <family val="2"/>
    </font>
    <font>
      <vertAlign val="subscript"/>
      <sz val="10"/>
      <name val="Arial"/>
      <family val="2"/>
    </font>
    <font>
      <sz val="11"/>
      <color rgb="FF252525"/>
      <name val="나눔스퀘어_ac"/>
      <family val="3"/>
      <charset val="129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0"/>
      <color rgb="FF222222"/>
      <name val="나눔스퀘어_ac"/>
      <family val="3"/>
      <charset val="129"/>
    </font>
    <font>
      <i/>
      <sz val="10"/>
      <color rgb="FF222222"/>
      <name val="나눔스퀘어_ac"/>
      <family val="3"/>
      <charset val="129"/>
    </font>
    <font>
      <b/>
      <sz val="16"/>
      <color theme="1"/>
      <name val="나눔스퀘어_ac"/>
      <family val="3"/>
      <charset val="129"/>
    </font>
    <font>
      <sz val="11"/>
      <color rgb="FF2222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5"/>
      <color theme="1"/>
      <name val="나눔스퀘어_ac"/>
      <family val="3"/>
      <charset val="129"/>
    </font>
    <font>
      <sz val="11"/>
      <color rgb="FF000000"/>
      <name val="나눔스퀘어_ac"/>
      <family val="3"/>
      <charset val="129"/>
    </font>
    <font>
      <b/>
      <sz val="11"/>
      <color rgb="FF000000"/>
      <name val="나눔스퀘어_Ac"/>
      <family val="3"/>
      <charset val="129"/>
    </font>
    <font>
      <b/>
      <sz val="10"/>
      <color theme="1"/>
      <name val="나눔스퀘어_ac"/>
      <family val="3"/>
      <charset val="129"/>
    </font>
    <font>
      <sz val="10"/>
      <name val="나눔스퀘어_ac"/>
      <family val="3"/>
      <charset val="129"/>
    </font>
    <font>
      <b/>
      <u/>
      <sz val="11"/>
      <name val="나눔스퀘어_ac"/>
      <family val="3"/>
      <charset val="129"/>
    </font>
    <font>
      <b/>
      <vertAlign val="subscript"/>
      <sz val="11"/>
      <name val="나눔스퀘어_ac"/>
      <family val="3"/>
      <charset val="129"/>
    </font>
    <font>
      <u/>
      <sz val="10"/>
      <name val="나눔스퀘어_ac"/>
      <family val="3"/>
      <charset val="129"/>
    </font>
    <font>
      <u/>
      <sz val="11"/>
      <color theme="1"/>
      <name val="나눔스퀘어_ac"/>
      <family val="3"/>
      <charset val="129"/>
    </font>
    <font>
      <vertAlign val="subscript"/>
      <sz val="10"/>
      <name val="나눔스퀘어_a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0" borderId="0"/>
    <xf numFmtId="176" fontId="9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5" fillId="0" borderId="0"/>
    <xf numFmtId="178" fontId="15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5" xfId="0" applyFont="1" applyBorder="1" applyAlignment="1"/>
    <xf numFmtId="0" fontId="2" fillId="0" borderId="6" xfId="0" applyFont="1" applyBorder="1" applyAlignment="1">
      <alignment horizontal="left"/>
    </xf>
    <xf numFmtId="0" fontId="2" fillId="0" borderId="0" xfId="0" applyFont="1" applyAlignment="1"/>
    <xf numFmtId="0" fontId="2" fillId="0" borderId="7" xfId="0" applyFont="1" applyBorder="1" applyAlignment="1"/>
    <xf numFmtId="0" fontId="2" fillId="0" borderId="5" xfId="0" applyFont="1" applyBorder="1" applyAlignment="1"/>
    <xf numFmtId="176" fontId="2" fillId="0" borderId="7" xfId="1" applyFont="1" applyBorder="1" applyAlignment="1"/>
    <xf numFmtId="179" fontId="2" fillId="0" borderId="6" xfId="0" applyNumberFormat="1" applyFont="1" applyBorder="1" applyAlignment="1">
      <alignment horizontal="left"/>
    </xf>
    <xf numFmtId="0" fontId="2" fillId="0" borderId="6" xfId="0" applyFont="1" applyBorder="1" applyAlignment="1"/>
    <xf numFmtId="0" fontId="4" fillId="0" borderId="6" xfId="0" applyFont="1" applyBorder="1" applyAlignment="1"/>
    <xf numFmtId="0" fontId="4" fillId="0" borderId="0" xfId="0" applyFont="1" applyAlignment="1"/>
    <xf numFmtId="176" fontId="4" fillId="2" borderId="7" xfId="1" applyFont="1" applyFill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5" fillId="0" borderId="0" xfId="2" applyFont="1"/>
    <xf numFmtId="0" fontId="2" fillId="0" borderId="0" xfId="2" applyFont="1"/>
    <xf numFmtId="0" fontId="2" fillId="0" borderId="14" xfId="2" applyFont="1" applyBorder="1"/>
    <xf numFmtId="0" fontId="4" fillId="0" borderId="15" xfId="2" applyFont="1" applyBorder="1"/>
    <xf numFmtId="0" fontId="2" fillId="0" borderId="5" xfId="2" applyFont="1" applyBorder="1"/>
    <xf numFmtId="0" fontId="8" fillId="0" borderId="6" xfId="2" applyFont="1" applyBorder="1"/>
    <xf numFmtId="0" fontId="4" fillId="0" borderId="5" xfId="2" applyFont="1" applyBorder="1"/>
    <xf numFmtId="0" fontId="2" fillId="0" borderId="6" xfId="2" applyFont="1" applyBorder="1"/>
    <xf numFmtId="0" fontId="2" fillId="0" borderId="6" xfId="2" applyFont="1" applyBorder="1" applyAlignment="1">
      <alignment horizontal="center"/>
    </xf>
    <xf numFmtId="0" fontId="10" fillId="0" borderId="6" xfId="2" applyFont="1" applyBorder="1"/>
    <xf numFmtId="0" fontId="11" fillId="0" borderId="6" xfId="2" applyFont="1" applyBorder="1"/>
    <xf numFmtId="0" fontId="4" fillId="0" borderId="8" xfId="2" applyFont="1" applyBorder="1"/>
    <xf numFmtId="0" fontId="4" fillId="0" borderId="9" xfId="2" applyFont="1" applyBorder="1"/>
    <xf numFmtId="176" fontId="2" fillId="0" borderId="0" xfId="1" applyFont="1" applyAlignment="1"/>
    <xf numFmtId="0" fontId="6" fillId="0" borderId="0" xfId="2" applyFont="1"/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2" fillId="0" borderId="0" xfId="1" applyFont="1">
      <alignment vertical="center"/>
    </xf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178" fontId="2" fillId="0" borderId="10" xfId="0" applyNumberFormat="1" applyFont="1" applyBorder="1">
      <alignment vertical="center"/>
    </xf>
    <xf numFmtId="180" fontId="4" fillId="0" borderId="0" xfId="1" applyNumberFormat="1" applyFont="1">
      <alignment vertical="center"/>
    </xf>
    <xf numFmtId="180" fontId="2" fillId="0" borderId="0" xfId="1" applyNumberFormat="1" applyFont="1">
      <alignment vertical="center"/>
    </xf>
    <xf numFmtId="180" fontId="4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176" fontId="2" fillId="0" borderId="0" xfId="4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5" fillId="0" borderId="0" xfId="6" applyAlignment="1">
      <alignment horizontal="center"/>
    </xf>
    <xf numFmtId="0" fontId="15" fillId="0" borderId="18" xfId="6" applyBorder="1" applyAlignment="1">
      <alignment horizontal="center"/>
    </xf>
    <xf numFmtId="0" fontId="15" fillId="0" borderId="16" xfId="6" applyBorder="1" applyAlignment="1">
      <alignment horizontal="center"/>
    </xf>
    <xf numFmtId="0" fontId="15" fillId="0" borderId="20" xfId="6" applyBorder="1" applyAlignment="1">
      <alignment horizontal="center"/>
    </xf>
    <xf numFmtId="0" fontId="15" fillId="0" borderId="12" xfId="6" applyBorder="1" applyAlignment="1">
      <alignment horizontal="center"/>
    </xf>
    <xf numFmtId="0" fontId="15" fillId="0" borderId="21" xfId="6" applyBorder="1" applyAlignment="1">
      <alignment horizontal="center"/>
    </xf>
    <xf numFmtId="0" fontId="16" fillId="0" borderId="16" xfId="6" applyFont="1" applyBorder="1" applyAlignment="1">
      <alignment horizontal="center"/>
    </xf>
    <xf numFmtId="176" fontId="2" fillId="0" borderId="0" xfId="0" applyNumberFormat="1" applyFont="1">
      <alignment vertical="center"/>
    </xf>
    <xf numFmtId="182" fontId="2" fillId="0" borderId="0" xfId="0" applyNumberFormat="1" applyFont="1">
      <alignment vertical="center"/>
    </xf>
    <xf numFmtId="182" fontId="4" fillId="3" borderId="13" xfId="0" applyNumberFormat="1" applyFont="1" applyFill="1" applyBorder="1" applyAlignment="1">
      <alignment horizontal="center" vertical="center"/>
    </xf>
    <xf numFmtId="182" fontId="2" fillId="3" borderId="13" xfId="0" applyNumberFormat="1" applyFont="1" applyFill="1" applyBorder="1">
      <alignment vertical="center"/>
    </xf>
    <xf numFmtId="181" fontId="4" fillId="0" borderId="0" xfId="4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82" fontId="2" fillId="0" borderId="0" xfId="0" applyNumberFormat="1" applyFont="1" applyAlignment="1">
      <alignment horizontal="center" vertical="center"/>
    </xf>
    <xf numFmtId="182" fontId="2" fillId="0" borderId="0" xfId="0" applyNumberFormat="1" applyFont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15" fillId="0" borderId="0" xfId="6"/>
    <xf numFmtId="0" fontId="16" fillId="0" borderId="27" xfId="6" applyFont="1" applyBorder="1" applyAlignment="1">
      <alignment horizontal="center"/>
    </xf>
    <xf numFmtId="0" fontId="15" fillId="0" borderId="13" xfId="6" applyBorder="1" applyAlignment="1">
      <alignment horizontal="center"/>
    </xf>
    <xf numFmtId="2" fontId="15" fillId="0" borderId="28" xfId="6" applyNumberFormat="1" applyBorder="1" applyAlignment="1">
      <alignment horizontal="center"/>
    </xf>
    <xf numFmtId="0" fontId="15" fillId="0" borderId="17" xfId="6" applyBorder="1" applyAlignment="1">
      <alignment horizontal="center"/>
    </xf>
    <xf numFmtId="0" fontId="15" fillId="0" borderId="18" xfId="6" applyBorder="1"/>
    <xf numFmtId="0" fontId="15" fillId="0" borderId="19" xfId="6" applyBorder="1" applyAlignment="1">
      <alignment horizontal="center"/>
    </xf>
    <xf numFmtId="0" fontId="15" fillId="0" borderId="25" xfId="6" applyBorder="1"/>
    <xf numFmtId="178" fontId="0" fillId="0" borderId="0" xfId="7" applyFont="1" applyFill="1"/>
    <xf numFmtId="0" fontId="15" fillId="0" borderId="22" xfId="6" applyBorder="1"/>
    <xf numFmtId="185" fontId="15" fillId="0" borderId="0" xfId="6" applyNumberFormat="1" applyAlignment="1">
      <alignment horizontal="center"/>
    </xf>
    <xf numFmtId="2" fontId="15" fillId="0" borderId="0" xfId="6" applyNumberFormat="1" applyAlignment="1">
      <alignment horizontal="center"/>
    </xf>
    <xf numFmtId="0" fontId="15" fillId="0" borderId="23" xfId="6" applyBorder="1" applyAlignment="1">
      <alignment horizontal="center"/>
    </xf>
    <xf numFmtId="0" fontId="15" fillId="0" borderId="20" xfId="6" applyBorder="1"/>
    <xf numFmtId="185" fontId="15" fillId="0" borderId="12" xfId="6" applyNumberFormat="1" applyBorder="1" applyAlignment="1">
      <alignment horizontal="center"/>
    </xf>
    <xf numFmtId="2" fontId="15" fillId="0" borderId="12" xfId="6" applyNumberFormat="1" applyBorder="1" applyAlignment="1">
      <alignment horizontal="center"/>
    </xf>
    <xf numFmtId="0" fontId="15" fillId="0" borderId="26" xfId="6" applyBorder="1"/>
    <xf numFmtId="0" fontId="16" fillId="0" borderId="18" xfId="6" applyFont="1" applyBorder="1" applyAlignment="1">
      <alignment horizontal="center"/>
    </xf>
    <xf numFmtId="2" fontId="15" fillId="0" borderId="19" xfId="6" applyNumberFormat="1" applyBorder="1" applyAlignment="1">
      <alignment horizontal="center"/>
    </xf>
    <xf numFmtId="185" fontId="15" fillId="0" borderId="16" xfId="6" applyNumberFormat="1" applyBorder="1" applyAlignment="1">
      <alignment horizontal="center"/>
    </xf>
    <xf numFmtId="2" fontId="15" fillId="0" borderId="16" xfId="6" applyNumberFormat="1" applyBorder="1" applyAlignment="1">
      <alignment horizontal="center"/>
    </xf>
    <xf numFmtId="0" fontId="15" fillId="0" borderId="24" xfId="6" applyBorder="1"/>
    <xf numFmtId="2" fontId="15" fillId="0" borderId="23" xfId="6" applyNumberFormat="1" applyBorder="1" applyAlignment="1">
      <alignment horizontal="center"/>
    </xf>
    <xf numFmtId="2" fontId="15" fillId="0" borderId="21" xfId="6" applyNumberFormat="1" applyBorder="1" applyAlignment="1">
      <alignment horizontal="center"/>
    </xf>
    <xf numFmtId="184" fontId="15" fillId="0" borderId="16" xfId="6" applyNumberFormat="1" applyBorder="1" applyAlignment="1">
      <alignment horizontal="center"/>
    </xf>
    <xf numFmtId="184" fontId="15" fillId="0" borderId="0" xfId="6" applyNumberFormat="1" applyAlignment="1">
      <alignment horizontal="center"/>
    </xf>
    <xf numFmtId="184" fontId="15" fillId="0" borderId="12" xfId="6" applyNumberFormat="1" applyBorder="1" applyAlignment="1">
      <alignment horizontal="center"/>
    </xf>
    <xf numFmtId="0" fontId="15" fillId="0" borderId="27" xfId="6" applyBorder="1"/>
    <xf numFmtId="185" fontId="15" fillId="0" borderId="13" xfId="6" applyNumberFormat="1" applyBorder="1" applyAlignment="1">
      <alignment horizontal="center"/>
    </xf>
    <xf numFmtId="2" fontId="15" fillId="0" borderId="13" xfId="6" applyNumberFormat="1" applyBorder="1" applyAlignment="1">
      <alignment horizontal="center"/>
    </xf>
    <xf numFmtId="0" fontId="15" fillId="0" borderId="17" xfId="6" applyBorder="1"/>
    <xf numFmtId="0" fontId="15" fillId="0" borderId="28" xfId="6" applyBorder="1" applyAlignment="1">
      <alignment horizontal="center"/>
    </xf>
    <xf numFmtId="186" fontId="0" fillId="0" borderId="0" xfId="7" applyNumberFormat="1" applyFont="1" applyFill="1"/>
    <xf numFmtId="0" fontId="21" fillId="0" borderId="22" xfId="6" applyFont="1" applyBorder="1"/>
    <xf numFmtId="0" fontId="22" fillId="0" borderId="0" xfId="6" applyFont="1"/>
    <xf numFmtId="187" fontId="15" fillId="0" borderId="16" xfId="6" applyNumberFormat="1" applyBorder="1" applyAlignment="1">
      <alignment horizontal="center"/>
    </xf>
    <xf numFmtId="187" fontId="15" fillId="0" borderId="0" xfId="6" applyNumberFormat="1" applyAlignment="1">
      <alignment horizontal="center"/>
    </xf>
    <xf numFmtId="187" fontId="15" fillId="0" borderId="12" xfId="6" applyNumberFormat="1" applyBorder="1" applyAlignment="1">
      <alignment horizontal="center"/>
    </xf>
    <xf numFmtId="0" fontId="22" fillId="0" borderId="21" xfId="6" applyFont="1" applyBorder="1" applyAlignment="1">
      <alignment horizontal="center"/>
    </xf>
    <xf numFmtId="186" fontId="0" fillId="0" borderId="0" xfId="7" applyNumberFormat="1" applyFont="1" applyFill="1" applyBorder="1" applyAlignment="1">
      <alignment horizontal="center"/>
    </xf>
    <xf numFmtId="2" fontId="15" fillId="0" borderId="25" xfId="6" applyNumberFormat="1" applyBorder="1"/>
    <xf numFmtId="2" fontId="15" fillId="0" borderId="25" xfId="6" applyNumberFormat="1" applyBorder="1" applyAlignment="1">
      <alignment horizontal="right"/>
    </xf>
    <xf numFmtId="2" fontId="15" fillId="0" borderId="26" xfId="6" applyNumberFormat="1" applyBorder="1" applyAlignment="1">
      <alignment horizontal="right"/>
    </xf>
    <xf numFmtId="0" fontId="15" fillId="0" borderId="16" xfId="6" applyBorder="1"/>
    <xf numFmtId="0" fontId="16" fillId="0" borderId="16" xfId="6" applyFont="1" applyBorder="1" applyAlignment="1">
      <alignment horizontal="left"/>
    </xf>
    <xf numFmtId="0" fontId="15" fillId="0" borderId="19" xfId="6" applyBorder="1"/>
    <xf numFmtId="0" fontId="16" fillId="0" borderId="20" xfId="6" applyFont="1" applyBorder="1" applyAlignment="1">
      <alignment horizontal="center"/>
    </xf>
    <xf numFmtId="0" fontId="15" fillId="0" borderId="20" xfId="6" applyBorder="1" applyAlignment="1">
      <alignment horizontal="left"/>
    </xf>
    <xf numFmtId="0" fontId="15" fillId="0" borderId="0" xfId="6" applyAlignment="1">
      <alignment horizontal="left"/>
    </xf>
    <xf numFmtId="0" fontId="15" fillId="0" borderId="18" xfId="6" applyBorder="1" applyAlignment="1">
      <alignment horizontal="left"/>
    </xf>
    <xf numFmtId="0" fontId="15" fillId="0" borderId="22" xfId="6" applyBorder="1" applyAlignment="1">
      <alignment horizontal="center"/>
    </xf>
    <xf numFmtId="188" fontId="15" fillId="0" borderId="12" xfId="6" applyNumberFormat="1" applyBorder="1" applyAlignment="1">
      <alignment horizontal="center"/>
    </xf>
    <xf numFmtId="11" fontId="15" fillId="0" borderId="21" xfId="6" applyNumberFormat="1" applyBorder="1" applyAlignment="1">
      <alignment horizontal="center"/>
    </xf>
    <xf numFmtId="188" fontId="15" fillId="0" borderId="0" xfId="6" applyNumberFormat="1" applyAlignment="1">
      <alignment horizontal="center"/>
    </xf>
    <xf numFmtId="11" fontId="15" fillId="0" borderId="0" xfId="6" applyNumberFormat="1" applyAlignment="1">
      <alignment horizontal="center"/>
    </xf>
    <xf numFmtId="2" fontId="15" fillId="0" borderId="0" xfId="6" applyNumberFormat="1"/>
    <xf numFmtId="0" fontId="15" fillId="0" borderId="22" xfId="6" applyBorder="1" applyAlignment="1">
      <alignment horizontal="right"/>
    </xf>
    <xf numFmtId="0" fontId="22" fillId="0" borderId="22" xfId="6" applyFont="1" applyBorder="1"/>
    <xf numFmtId="0" fontId="16" fillId="0" borderId="22" xfId="6" applyFont="1" applyBorder="1" applyAlignment="1">
      <alignment horizontal="center"/>
    </xf>
    <xf numFmtId="0" fontId="15" fillId="0" borderId="16" xfId="6" applyBorder="1" applyAlignment="1">
      <alignment horizontal="left"/>
    </xf>
    <xf numFmtId="184" fontId="15" fillId="0" borderId="25" xfId="6" applyNumberFormat="1" applyBorder="1"/>
    <xf numFmtId="184" fontId="15" fillId="0" borderId="26" xfId="6" applyNumberFormat="1" applyBorder="1"/>
    <xf numFmtId="184" fontId="15" fillId="0" borderId="23" xfId="6" applyNumberFormat="1" applyBorder="1" applyAlignment="1">
      <alignment horizontal="center"/>
    </xf>
    <xf numFmtId="184" fontId="15" fillId="0" borderId="21" xfId="6" applyNumberFormat="1" applyBorder="1" applyAlignment="1">
      <alignment horizontal="center"/>
    </xf>
    <xf numFmtId="185" fontId="15" fillId="0" borderId="27" xfId="6" applyNumberFormat="1" applyBorder="1" applyAlignment="1">
      <alignment horizontal="center"/>
    </xf>
    <xf numFmtId="184" fontId="15" fillId="0" borderId="13" xfId="6" applyNumberFormat="1" applyBorder="1" applyAlignment="1">
      <alignment horizontal="center"/>
    </xf>
    <xf numFmtId="184" fontId="15" fillId="0" borderId="19" xfId="6" applyNumberFormat="1" applyBorder="1"/>
    <xf numFmtId="184" fontId="15" fillId="0" borderId="23" xfId="6" applyNumberFormat="1" applyBorder="1"/>
    <xf numFmtId="184" fontId="15" fillId="0" borderId="21" xfId="6" applyNumberFormat="1" applyBorder="1"/>
    <xf numFmtId="0" fontId="15" fillId="0" borderId="12" xfId="6" applyBorder="1"/>
    <xf numFmtId="0" fontId="16" fillId="0" borderId="0" xfId="6" applyFont="1" applyAlignment="1">
      <alignment horizontal="center"/>
    </xf>
    <xf numFmtId="0" fontId="15" fillId="0" borderId="23" xfId="6" applyBorder="1"/>
    <xf numFmtId="0" fontId="15" fillId="0" borderId="21" xfId="6" applyBorder="1"/>
    <xf numFmtId="0" fontId="16" fillId="0" borderId="0" xfId="6" applyFont="1"/>
    <xf numFmtId="182" fontId="4" fillId="0" borderId="0" xfId="0" applyNumberFormat="1" applyFont="1" applyAlignment="1">
      <alignment horizontal="left" vertical="center" wrapText="1"/>
    </xf>
    <xf numFmtId="0" fontId="23" fillId="0" borderId="0" xfId="0" applyFont="1">
      <alignment vertical="center"/>
    </xf>
    <xf numFmtId="182" fontId="4" fillId="0" borderId="0" xfId="0" applyNumberFormat="1" applyFont="1" applyAlignment="1">
      <alignment vertical="center" wrapText="1"/>
    </xf>
    <xf numFmtId="176" fontId="4" fillId="0" borderId="11" xfId="1" applyFont="1" applyBorder="1" applyAlignment="1"/>
    <xf numFmtId="176" fontId="2" fillId="0" borderId="0" xfId="1" applyFont="1" applyAlignment="1">
      <alignment vertical="center"/>
    </xf>
    <xf numFmtId="176" fontId="2" fillId="0" borderId="17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4" fillId="0" borderId="1" xfId="2" applyFont="1" applyBorder="1"/>
    <xf numFmtId="0" fontId="4" fillId="0" borderId="14" xfId="2" applyFont="1" applyBorder="1"/>
    <xf numFmtId="0" fontId="4" fillId="3" borderId="13" xfId="0" applyFont="1" applyFill="1" applyBorder="1">
      <alignment vertical="center"/>
    </xf>
    <xf numFmtId="0" fontId="25" fillId="0" borderId="0" xfId="0" applyFo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9" fontId="4" fillId="0" borderId="4" xfId="0" applyNumberFormat="1" applyFont="1" applyBorder="1" applyAlignment="1"/>
    <xf numFmtId="0" fontId="2" fillId="0" borderId="10" xfId="0" applyFont="1" applyBorder="1" applyAlignment="1"/>
    <xf numFmtId="189" fontId="2" fillId="0" borderId="17" xfId="0" applyNumberFormat="1" applyFont="1" applyBorder="1">
      <alignment vertical="center"/>
    </xf>
    <xf numFmtId="190" fontId="2" fillId="0" borderId="17" xfId="0" applyNumberFormat="1" applyFont="1" applyBorder="1">
      <alignment vertical="center"/>
    </xf>
    <xf numFmtId="9" fontId="2" fillId="0" borderId="17" xfId="0" applyNumberFormat="1" applyFont="1" applyBorder="1">
      <alignment vertical="center"/>
    </xf>
    <xf numFmtId="183" fontId="2" fillId="0" borderId="17" xfId="0" applyNumberFormat="1" applyFont="1" applyBorder="1">
      <alignment vertical="center"/>
    </xf>
    <xf numFmtId="0" fontId="5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192" fontId="2" fillId="0" borderId="0" xfId="0" applyNumberFormat="1" applyFont="1" applyAlignment="1">
      <alignment horizontal="right" vertical="center"/>
    </xf>
    <xf numFmtId="192" fontId="2" fillId="0" borderId="0" xfId="0" applyNumberFormat="1" applyFont="1">
      <alignment vertical="center"/>
    </xf>
    <xf numFmtId="176" fontId="2" fillId="0" borderId="0" xfId="1" applyFont="1" applyBorder="1">
      <alignment vertical="center"/>
    </xf>
    <xf numFmtId="0" fontId="2" fillId="0" borderId="0" xfId="0" applyFont="1" applyAlignment="1">
      <alignment vertical="center" wrapText="1"/>
    </xf>
    <xf numFmtId="176" fontId="4" fillId="0" borderId="0" xfId="1" applyFont="1" applyBorder="1">
      <alignment vertical="center"/>
    </xf>
    <xf numFmtId="176" fontId="4" fillId="0" borderId="12" xfId="1" applyFont="1" applyBorder="1">
      <alignment vertical="center"/>
    </xf>
    <xf numFmtId="176" fontId="2" fillId="0" borderId="0" xfId="1" applyFont="1" applyFill="1" applyBorder="1">
      <alignment vertical="center"/>
    </xf>
    <xf numFmtId="176" fontId="4" fillId="0" borderId="0" xfId="1" applyFont="1" applyFill="1" applyBorder="1">
      <alignment vertical="center"/>
    </xf>
    <xf numFmtId="176" fontId="2" fillId="0" borderId="0" xfId="0" applyNumberFormat="1" applyFont="1" applyAlignment="1">
      <alignment horizontal="center" vertical="center"/>
    </xf>
    <xf numFmtId="0" fontId="19" fillId="3" borderId="0" xfId="6" applyFont="1" applyFill="1"/>
    <xf numFmtId="0" fontId="15" fillId="3" borderId="0" xfId="6" applyFill="1"/>
    <xf numFmtId="0" fontId="19" fillId="3" borderId="0" xfId="6" applyFont="1" applyFill="1" applyAlignment="1">
      <alignment horizontal="left"/>
    </xf>
    <xf numFmtId="0" fontId="15" fillId="3" borderId="0" xfId="6" applyFill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82" fontId="14" fillId="0" borderId="0" xfId="0" applyNumberFormat="1" applyFont="1" applyAlignment="1">
      <alignment horizontal="center" vertical="center"/>
    </xf>
    <xf numFmtId="182" fontId="2" fillId="0" borderId="0" xfId="0" quotePrefix="1" applyNumberFormat="1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76" fontId="4" fillId="2" borderId="11" xfId="1" applyFont="1" applyFill="1" applyBorder="1" applyAlignment="1"/>
    <xf numFmtId="193" fontId="2" fillId="0" borderId="17" xfId="1" applyNumberFormat="1" applyFont="1" applyBorder="1">
      <alignment vertical="center"/>
    </xf>
    <xf numFmtId="0" fontId="26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41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92" fontId="2" fillId="0" borderId="17" xfId="0" applyNumberFormat="1" applyFont="1" applyBorder="1">
      <alignment vertical="center"/>
    </xf>
    <xf numFmtId="192" fontId="4" fillId="0" borderId="0" xfId="0" applyNumberFormat="1" applyFont="1">
      <alignment vertical="center"/>
    </xf>
    <xf numFmtId="191" fontId="2" fillId="0" borderId="0" xfId="0" applyNumberFormat="1" applyFont="1" applyAlignment="1">
      <alignment horizontal="center" vertical="center"/>
    </xf>
    <xf numFmtId="192" fontId="4" fillId="0" borderId="0" xfId="0" applyNumberFormat="1" applyFont="1" applyAlignment="1">
      <alignment horizontal="center" vertical="center"/>
    </xf>
    <xf numFmtId="191" fontId="2" fillId="0" borderId="15" xfId="0" applyNumberFormat="1" applyFont="1" applyBorder="1">
      <alignment vertical="center"/>
    </xf>
    <xf numFmtId="191" fontId="2" fillId="0" borderId="5" xfId="0" applyNumberFormat="1" applyFont="1" applyBorder="1">
      <alignment vertical="center"/>
    </xf>
    <xf numFmtId="191" fontId="2" fillId="0" borderId="17" xfId="0" applyNumberFormat="1" applyFont="1" applyBorder="1">
      <alignment vertical="center"/>
    </xf>
    <xf numFmtId="0" fontId="27" fillId="0" borderId="17" xfId="0" applyFont="1" applyBorder="1">
      <alignment vertical="center"/>
    </xf>
    <xf numFmtId="0" fontId="28" fillId="0" borderId="17" xfId="0" applyFont="1" applyBorder="1">
      <alignment vertical="center"/>
    </xf>
    <xf numFmtId="41" fontId="4" fillId="2" borderId="11" xfId="0" applyNumberFormat="1" applyFont="1" applyFill="1" applyBorder="1" applyAlignment="1">
      <alignment horizontal="right" vertical="center"/>
    </xf>
    <xf numFmtId="0" fontId="29" fillId="0" borderId="0" xfId="0" applyFont="1">
      <alignment vertical="center"/>
    </xf>
    <xf numFmtId="0" fontId="4" fillId="0" borderId="29" xfId="2" applyFont="1" applyBorder="1"/>
    <xf numFmtId="176" fontId="2" fillId="0" borderId="29" xfId="1" applyFont="1" applyBorder="1" applyAlignment="1"/>
    <xf numFmtId="194" fontId="2" fillId="0" borderId="0" xfId="0" applyNumberFormat="1" applyFont="1">
      <alignment vertical="center"/>
    </xf>
    <xf numFmtId="192" fontId="2" fillId="0" borderId="0" xfId="5" applyNumberFormat="1" applyFont="1" applyAlignment="1">
      <alignment horizontal="right" vertical="center"/>
    </xf>
    <xf numFmtId="192" fontId="13" fillId="0" borderId="0" xfId="5" applyNumberFormat="1" applyFont="1" applyAlignment="1">
      <alignment horizontal="right" vertical="center"/>
    </xf>
    <xf numFmtId="192" fontId="18" fillId="0" borderId="0" xfId="5" applyNumberFormat="1" applyFont="1" applyAlignment="1">
      <alignment horizontal="right" vertical="center"/>
    </xf>
    <xf numFmtId="192" fontId="4" fillId="0" borderId="0" xfId="5" applyNumberFormat="1" applyFont="1" applyAlignment="1">
      <alignment horizontal="right" vertical="center"/>
    </xf>
    <xf numFmtId="192" fontId="2" fillId="0" borderId="0" xfId="0" applyNumberFormat="1" applyFont="1" applyAlignment="1">
      <alignment horizontal="center" vertical="center"/>
    </xf>
    <xf numFmtId="194" fontId="2" fillId="0" borderId="0" xfId="0" applyNumberFormat="1" applyFont="1" applyAlignment="1">
      <alignment horizontal="center" vertical="center"/>
    </xf>
    <xf numFmtId="182" fontId="4" fillId="0" borderId="0" xfId="0" applyNumberFormat="1" applyFont="1">
      <alignment vertical="center"/>
    </xf>
    <xf numFmtId="182" fontId="2" fillId="3" borderId="16" xfId="0" applyNumberFormat="1" applyFont="1" applyFill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82" fontId="4" fillId="0" borderId="0" xfId="0" quotePrefix="1" applyNumberFormat="1" applyFont="1" applyAlignment="1">
      <alignment horizontal="center" vertical="center"/>
    </xf>
    <xf numFmtId="0" fontId="33" fillId="0" borderId="0" xfId="6" applyFont="1" applyAlignment="1">
      <alignment horizontal="left"/>
    </xf>
    <xf numFmtId="0" fontId="33" fillId="0" borderId="0" xfId="6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3" fillId="0" borderId="0" xfId="6" applyFont="1" applyAlignment="1">
      <alignment horizontal="left"/>
    </xf>
    <xf numFmtId="0" fontId="13" fillId="0" borderId="0" xfId="6" applyFont="1" applyAlignment="1">
      <alignment horizontal="center"/>
    </xf>
    <xf numFmtId="0" fontId="12" fillId="0" borderId="18" xfId="6" applyFont="1" applyBorder="1" applyAlignment="1">
      <alignment horizontal="center" vertical="center"/>
    </xf>
    <xf numFmtId="0" fontId="12" fillId="0" borderId="16" xfId="6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2" fillId="0" borderId="20" xfId="6" applyFont="1" applyBorder="1" applyAlignment="1">
      <alignment horizontal="center" vertical="center"/>
    </xf>
    <xf numFmtId="0" fontId="12" fillId="0" borderId="12" xfId="6" applyFont="1" applyBorder="1" applyAlignment="1">
      <alignment horizontal="center" vertical="center"/>
    </xf>
    <xf numFmtId="0" fontId="12" fillId="0" borderId="21" xfId="6" applyFont="1" applyBorder="1" applyAlignment="1">
      <alignment horizontal="center" vertical="center"/>
    </xf>
    <xf numFmtId="185" fontId="2" fillId="0" borderId="0" xfId="0" applyNumberFormat="1" applyFont="1" applyAlignment="1">
      <alignment horizontal="right" vertical="center"/>
    </xf>
    <xf numFmtId="176" fontId="13" fillId="0" borderId="0" xfId="5" applyNumberFormat="1" applyFont="1" applyAlignment="1">
      <alignment horizontal="right" vertical="center"/>
    </xf>
    <xf numFmtId="176" fontId="2" fillId="0" borderId="23" xfId="5" applyNumberFormat="1" applyFont="1" applyBorder="1" applyAlignment="1">
      <alignment horizontal="right" vertical="center"/>
    </xf>
    <xf numFmtId="176" fontId="14" fillId="0" borderId="0" xfId="5" applyNumberFormat="1" applyFont="1" applyFill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185" fontId="2" fillId="0" borderId="12" xfId="0" applyNumberFormat="1" applyFont="1" applyBorder="1" applyAlignment="1">
      <alignment horizontal="right" vertical="center"/>
    </xf>
    <xf numFmtId="176" fontId="13" fillId="0" borderId="12" xfId="5" applyNumberFormat="1" applyFont="1" applyBorder="1" applyAlignment="1">
      <alignment horizontal="right" vertical="center"/>
    </xf>
    <xf numFmtId="176" fontId="2" fillId="0" borderId="21" xfId="5" applyNumberFormat="1" applyFont="1" applyBorder="1" applyAlignment="1">
      <alignment horizontal="right" vertical="center"/>
    </xf>
    <xf numFmtId="0" fontId="13" fillId="0" borderId="0" xfId="6" applyFont="1" applyAlignment="1">
      <alignment horizontal="left" vertical="center"/>
    </xf>
    <xf numFmtId="0" fontId="13" fillId="0" borderId="0" xfId="6" applyFont="1" applyAlignment="1">
      <alignment horizontal="center" vertical="center"/>
    </xf>
    <xf numFmtId="0" fontId="4" fillId="4" borderId="0" xfId="0" applyFont="1" applyFill="1">
      <alignment vertical="center"/>
    </xf>
    <xf numFmtId="176" fontId="4" fillId="0" borderId="0" xfId="4" applyFont="1" applyAlignment="1">
      <alignment horizontal="center" vertical="center"/>
    </xf>
    <xf numFmtId="176" fontId="2" fillId="0" borderId="0" xfId="4" applyFont="1">
      <alignment vertical="center"/>
    </xf>
    <xf numFmtId="176" fontId="4" fillId="3" borderId="13" xfId="4" applyFont="1" applyFill="1" applyBorder="1" applyAlignment="1">
      <alignment horizontal="center" vertical="center"/>
    </xf>
    <xf numFmtId="176" fontId="2" fillId="0" borderId="0" xfId="4" applyFont="1" applyBorder="1" applyAlignment="1">
      <alignment horizontal="center" vertical="center"/>
    </xf>
    <xf numFmtId="176" fontId="4" fillId="0" borderId="12" xfId="4" applyFont="1" applyBorder="1" applyAlignment="1">
      <alignment horizontal="center" vertical="center"/>
    </xf>
    <xf numFmtId="176" fontId="2" fillId="0" borderId="12" xfId="4" applyFont="1" applyBorder="1" applyAlignment="1">
      <alignment horizontal="center" vertical="center"/>
    </xf>
    <xf numFmtId="176" fontId="2" fillId="0" borderId="12" xfId="4" applyFont="1" applyBorder="1">
      <alignment vertical="center"/>
    </xf>
    <xf numFmtId="176" fontId="4" fillId="0" borderId="0" xfId="4" applyFont="1" applyFill="1" applyBorder="1" applyAlignment="1">
      <alignment horizontal="center" vertical="center"/>
    </xf>
    <xf numFmtId="176" fontId="2" fillId="0" borderId="0" xfId="4" applyFont="1" applyFill="1" applyBorder="1">
      <alignment vertical="center"/>
    </xf>
    <xf numFmtId="176" fontId="2" fillId="0" borderId="0" xfId="4" quotePrefix="1" applyFont="1" applyFill="1" applyBorder="1" applyAlignment="1">
      <alignment horizontal="center" vertical="center"/>
    </xf>
    <xf numFmtId="176" fontId="2" fillId="0" borderId="0" xfId="4" applyFont="1" applyFill="1" applyBorder="1" applyAlignment="1">
      <alignment horizontal="center" vertical="center"/>
    </xf>
    <xf numFmtId="192" fontId="2" fillId="0" borderId="17" xfId="0" applyNumberFormat="1" applyFont="1" applyBorder="1" applyAlignment="1">
      <alignment horizontal="center" vertical="center"/>
    </xf>
    <xf numFmtId="192" fontId="2" fillId="0" borderId="17" xfId="5" applyNumberFormat="1" applyFont="1" applyBorder="1" applyAlignment="1">
      <alignment horizontal="right" vertical="center"/>
    </xf>
    <xf numFmtId="192" fontId="2" fillId="0" borderId="17" xfId="0" applyNumberFormat="1" applyFont="1" applyBorder="1" applyAlignment="1">
      <alignment horizontal="right" vertical="center"/>
    </xf>
    <xf numFmtId="192" fontId="2" fillId="0" borderId="17" xfId="0" applyNumberFormat="1" applyFont="1" applyBorder="1" applyAlignment="1">
      <alignment horizontal="right" vertical="center" wrapText="1"/>
    </xf>
    <xf numFmtId="192" fontId="4" fillId="0" borderId="17" xfId="0" applyNumberFormat="1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9" fontId="4" fillId="3" borderId="4" xfId="0" applyNumberFormat="1" applyFont="1" applyFill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176" fontId="2" fillId="0" borderId="7" xfId="1" applyFont="1" applyBorder="1" applyAlignment="1">
      <alignment vertical="center"/>
    </xf>
    <xf numFmtId="179" fontId="2" fillId="0" borderId="6" xfId="0" applyNumberFormat="1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191" fontId="2" fillId="0" borderId="0" xfId="1" applyNumberFormat="1" applyFont="1">
      <alignment vertical="center"/>
    </xf>
    <xf numFmtId="176" fontId="2" fillId="0" borderId="0" xfId="4" applyFont="1" applyBorder="1" applyAlignment="1">
      <alignment horizontal="center" vertical="center" wrapText="1"/>
    </xf>
    <xf numFmtId="176" fontId="2" fillId="0" borderId="0" xfId="4" applyFont="1" applyBorder="1" applyAlignment="1">
      <alignment vertical="center" wrapText="1"/>
    </xf>
    <xf numFmtId="191" fontId="2" fillId="0" borderId="0" xfId="0" applyNumberFormat="1" applyFont="1">
      <alignment vertical="center"/>
    </xf>
    <xf numFmtId="0" fontId="2" fillId="0" borderId="6" xfId="0" applyFont="1" applyBorder="1">
      <alignment vertical="center"/>
    </xf>
    <xf numFmtId="0" fontId="4" fillId="0" borderId="6" xfId="0" applyFont="1" applyBorder="1">
      <alignment vertical="center"/>
    </xf>
    <xf numFmtId="176" fontId="4" fillId="2" borderId="7" xfId="1" applyFont="1" applyFill="1" applyBorder="1" applyAlignment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176" fontId="4" fillId="0" borderId="11" xfId="1" applyFont="1" applyBorder="1">
      <alignment vertical="center"/>
    </xf>
    <xf numFmtId="0" fontId="4" fillId="3" borderId="1" xfId="2" applyFont="1" applyFill="1" applyBorder="1" applyAlignment="1">
      <alignment vertical="center"/>
    </xf>
    <xf numFmtId="0" fontId="4" fillId="3" borderId="14" xfId="2" applyFont="1" applyFill="1" applyBorder="1" applyAlignment="1">
      <alignment vertical="center"/>
    </xf>
    <xf numFmtId="0" fontId="4" fillId="3" borderId="15" xfId="2" applyFont="1" applyFill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2" fillId="0" borderId="14" xfId="2" applyFont="1" applyBorder="1" applyAlignment="1">
      <alignment vertical="center"/>
    </xf>
    <xf numFmtId="176" fontId="2" fillId="0" borderId="15" xfId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8" fillId="0" borderId="6" xfId="2" applyFont="1" applyBorder="1" applyAlignment="1">
      <alignment vertical="center"/>
    </xf>
    <xf numFmtId="176" fontId="2" fillId="0" borderId="5" xfId="1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2" fillId="0" borderId="6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10" fillId="0" borderId="6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4" fillId="0" borderId="8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176" fontId="4" fillId="2" borderId="8" xfId="1" applyFont="1" applyFill="1" applyBorder="1" applyAlignment="1">
      <alignment vertical="center"/>
    </xf>
    <xf numFmtId="0" fontId="4" fillId="0" borderId="0" xfId="2" applyFont="1"/>
    <xf numFmtId="0" fontId="32" fillId="3" borderId="0" xfId="0" applyFont="1" applyFill="1" applyAlignment="1">
      <alignment horizontal="left" vertical="center"/>
    </xf>
    <xf numFmtId="0" fontId="33" fillId="0" borderId="18" xfId="6" applyFont="1" applyBorder="1" applyAlignment="1">
      <alignment horizontal="center"/>
    </xf>
    <xf numFmtId="0" fontId="2" fillId="0" borderId="19" xfId="0" applyFont="1" applyBorder="1">
      <alignment vertical="center"/>
    </xf>
    <xf numFmtId="0" fontId="33" fillId="0" borderId="20" xfId="6" applyFont="1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191" fontId="2" fillId="0" borderId="16" xfId="0" applyNumberFormat="1" applyFont="1" applyBorder="1">
      <alignment vertical="center"/>
    </xf>
    <xf numFmtId="176" fontId="14" fillId="0" borderId="19" xfId="8" applyFont="1" applyFill="1" applyBorder="1" applyAlignment="1">
      <alignment horizontal="right" vertical="center"/>
    </xf>
    <xf numFmtId="176" fontId="2" fillId="0" borderId="23" xfId="8" applyFont="1" applyFill="1" applyBorder="1" applyAlignment="1">
      <alignment horizontal="right" vertical="center"/>
    </xf>
    <xf numFmtId="41" fontId="2" fillId="0" borderId="21" xfId="5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176" fontId="2" fillId="0" borderId="13" xfId="5" applyNumberFormat="1" applyFont="1" applyBorder="1" applyAlignment="1">
      <alignment horizontal="right" vertical="center"/>
    </xf>
    <xf numFmtId="41" fontId="2" fillId="0" borderId="0" xfId="0" applyNumberFormat="1" applyFont="1" applyAlignment="1">
      <alignment horizontal="right" vertical="center"/>
    </xf>
    <xf numFmtId="41" fontId="2" fillId="0" borderId="0" xfId="4" applyNumberFormat="1" applyFont="1" applyBorder="1" applyAlignment="1">
      <alignment vertical="center"/>
    </xf>
    <xf numFmtId="192" fontId="4" fillId="0" borderId="13" xfId="0" applyNumberFormat="1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176" fontId="14" fillId="0" borderId="28" xfId="5" applyNumberFormat="1" applyFont="1" applyFill="1" applyBorder="1" applyAlignment="1">
      <alignment horizontal="right" vertical="center"/>
    </xf>
    <xf numFmtId="0" fontId="2" fillId="0" borderId="18" xfId="0" applyFont="1" applyBorder="1">
      <alignment vertical="center"/>
    </xf>
    <xf numFmtId="0" fontId="2" fillId="0" borderId="22" xfId="0" applyFont="1" applyBorder="1">
      <alignment vertical="center"/>
    </xf>
    <xf numFmtId="176" fontId="4" fillId="0" borderId="13" xfId="5" applyNumberFormat="1" applyFont="1" applyBorder="1" applyAlignment="1">
      <alignment horizontal="right" vertical="center"/>
    </xf>
    <xf numFmtId="191" fontId="0" fillId="0" borderId="0" xfId="0" applyNumberFormat="1">
      <alignment vertical="center"/>
    </xf>
    <xf numFmtId="0" fontId="4" fillId="0" borderId="32" xfId="0" applyFont="1" applyBorder="1" applyAlignment="1">
      <alignment horizontal="center" vertical="center"/>
    </xf>
    <xf numFmtId="182" fontId="31" fillId="0" borderId="32" xfId="0" applyNumberFormat="1" applyFont="1" applyBorder="1" applyAlignment="1">
      <alignment horizontal="center" vertical="center"/>
    </xf>
    <xf numFmtId="181" fontId="4" fillId="0" borderId="12" xfId="4" applyNumberFormat="1" applyFont="1" applyBorder="1" applyAlignment="1">
      <alignment horizontal="center" vertical="center"/>
    </xf>
    <xf numFmtId="181" fontId="2" fillId="0" borderId="12" xfId="4" applyNumberFormat="1" applyFont="1" applyBorder="1" applyAlignment="1">
      <alignment horizontal="center" vertical="center"/>
    </xf>
    <xf numFmtId="192" fontId="30" fillId="0" borderId="12" xfId="0" applyNumberFormat="1" applyFont="1" applyBorder="1" applyAlignment="1">
      <alignment horizontal="right" vertical="center" readingOrder="1"/>
    </xf>
    <xf numFmtId="192" fontId="2" fillId="0" borderId="12" xfId="4" applyNumberFormat="1" applyFont="1" applyBorder="1" applyAlignment="1">
      <alignment horizontal="right" vertical="center"/>
    </xf>
    <xf numFmtId="41" fontId="30" fillId="0" borderId="0" xfId="0" applyNumberFormat="1" applyFont="1">
      <alignment vertical="center"/>
    </xf>
    <xf numFmtId="0" fontId="2" fillId="0" borderId="17" xfId="4" applyNumberFormat="1" applyFont="1" applyBorder="1">
      <alignment vertical="center"/>
    </xf>
    <xf numFmtId="197" fontId="2" fillId="0" borderId="17" xfId="0" applyNumberFormat="1" applyFont="1" applyBorder="1">
      <alignment vertical="center"/>
    </xf>
    <xf numFmtId="192" fontId="13" fillId="0" borderId="0" xfId="5" quotePrefix="1" applyNumberFormat="1" applyFont="1" applyAlignment="1">
      <alignment horizontal="right" vertical="center"/>
    </xf>
    <xf numFmtId="0" fontId="33" fillId="0" borderId="12" xfId="6" applyFont="1" applyBorder="1" applyAlignment="1">
      <alignment horizontal="center"/>
    </xf>
    <xf numFmtId="182" fontId="31" fillId="0" borderId="30" xfId="0" applyNumberFormat="1" applyFont="1" applyBorder="1" applyAlignment="1">
      <alignment horizontal="center" vertical="center"/>
    </xf>
    <xf numFmtId="0" fontId="33" fillId="0" borderId="20" xfId="6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6" fillId="0" borderId="16" xfId="6" applyFont="1" applyBorder="1" applyAlignment="1">
      <alignment horizontal="center"/>
    </xf>
    <xf numFmtId="0" fontId="34" fillId="0" borderId="16" xfId="6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>
      <alignment vertical="center"/>
    </xf>
    <xf numFmtId="41" fontId="2" fillId="0" borderId="0" xfId="4" applyNumberFormat="1" applyFont="1">
      <alignment vertical="center"/>
    </xf>
    <xf numFmtId="192" fontId="4" fillId="3" borderId="13" xfId="0" applyNumberFormat="1" applyFont="1" applyFill="1" applyBorder="1" applyAlignment="1">
      <alignment horizontal="center" vertical="center"/>
    </xf>
    <xf numFmtId="192" fontId="2" fillId="0" borderId="0" xfId="1" applyNumberFormat="1" applyFont="1">
      <alignment vertical="center"/>
    </xf>
  </cellXfs>
  <cellStyles count="9">
    <cellStyle name="Comma 2" xfId="7" xr:uid="{DE9FCE06-73CE-40C5-AE3E-E96EA5B07B2D}"/>
    <cellStyle name="Normal 2" xfId="6" xr:uid="{C41324BC-4B36-408D-95FE-2C44F408CD8D}"/>
    <cellStyle name="쉼표 [0]" xfId="1" builtinId="6"/>
    <cellStyle name="쉼표 [0] 2" xfId="3" xr:uid="{C036C68B-A353-4989-9798-FFAEEE8CBC35}"/>
    <cellStyle name="쉼표 [0] 3" xfId="4" xr:uid="{7BD22A6B-4F78-44C6-B42A-0BCDC3300AFF}"/>
    <cellStyle name="쉼표 [0] 4" xfId="8" xr:uid="{D58C4C1B-C8DF-4D68-9662-21E2BE791CAD}"/>
    <cellStyle name="통화 [0]" xfId="5" builtinId="7"/>
    <cellStyle name="표준" xfId="0" builtinId="0"/>
    <cellStyle name="표준 2" xfId="2" xr:uid="{D816CD40-1B0F-4F9C-A780-D3D594693065}"/>
  </cellStyles>
  <dxfs count="0"/>
  <tableStyles count="1" defaultTableStyle="TableStyleMedium2" defaultPivotStyle="PivotStyleLight16">
    <tableStyle name="Invisible" pivot="0" table="0" count="0" xr9:uid="{0674DED0-5CBF-41DD-991D-93DBAC39E0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686267939911766"/>
          <c:y val="9.7502707139807673E-2"/>
          <c:w val="0.53440298686068499"/>
          <c:h val="0.70872761574410348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'[2]Equipment Cost Data (2)'!$B$270:$B$278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'[2]Equipment Cost Data (2)'!$C$270:$C$278</c:f>
              <c:numCache>
                <c:formatCode>General</c:formatCode>
                <c:ptCount val="9"/>
                <c:pt idx="0">
                  <c:v>2.9998531811907938</c:v>
                </c:pt>
                <c:pt idx="1">
                  <c:v>2.9598091980761878</c:v>
                </c:pt>
                <c:pt idx="2">
                  <c:v>2.745811025949318</c:v>
                </c:pt>
                <c:pt idx="3">
                  <c:v>2.5262913385408714</c:v>
                </c:pt>
                <c:pt idx="4">
                  <c:v>2.3278110295375591</c:v>
                </c:pt>
                <c:pt idx="5">
                  <c:v>1.8653449373966906</c:v>
                </c:pt>
                <c:pt idx="6">
                  <c:v>1.6404386762556979</c:v>
                </c:pt>
                <c:pt idx="7">
                  <c:v>1.2498958296278693</c:v>
                </c:pt>
                <c:pt idx="8">
                  <c:v>1.0000651203747728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B-4D3F-9B20-603CA5A4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258816"/>
        <c:axId val="282317952"/>
      </c:scatterChart>
      <c:valAx>
        <c:axId val="282258816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ko-KR"/>
          </a:p>
        </c:txPr>
        <c:crossAx val="282317952"/>
        <c:crosses val="autoZero"/>
        <c:crossBetween val="midCat"/>
      </c:valAx>
      <c:valAx>
        <c:axId val="282317952"/>
        <c:scaling>
          <c:orientation val="minMax"/>
          <c:max val="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ko-KR"/>
          </a:p>
        </c:txPr>
        <c:crossAx val="28225881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r>
              <a:rPr lang="en-US" altLang="ko-KR" sz="1400" b="0" i="0" u="none" strike="noStrike" baseline="0">
                <a:solidFill>
                  <a:sysClr val="windowText" lastClr="000000"/>
                </a:solidFill>
                <a:latin typeface="Aptos Narrow" panose="02110004020202020204"/>
                <a:ea typeface="맑은 고딕" panose="020B0503020000020004" pitchFamily="50" charset="-127"/>
              </a:rPr>
              <a:t>NH3</a:t>
            </a:r>
            <a:r>
              <a:rPr lang="ko-KR" altLang="en-US" sz="1400" b="0" i="0" u="none" strike="noStrike" baseline="0">
                <a:solidFill>
                  <a:sysClr val="windowText" lastClr="000000"/>
                </a:solidFill>
                <a:latin typeface="Aptos Narrow" panose="02110004020202020204"/>
                <a:ea typeface="맑은 고딕" panose="020B0503020000020004" pitchFamily="50" charset="-127"/>
              </a:rPr>
              <a:t> 생산 단가</a:t>
            </a:r>
          </a:p>
        </cx:rich>
      </cx:tx>
    </cx:title>
    <cx:plotArea>
      <cx:plotAreaRegion>
        <cx:plotSurface>
          <cx:spPr>
            <a:ln>
              <a:solidFill>
                <a:sysClr val="windowText" lastClr="000000"/>
              </a:solidFill>
            </a:ln>
          </cx:spPr>
        </cx:plotSurface>
        <cx:series layoutId="waterfall" uniqueId="{C9F1A6FF-7F0B-421D-B7EE-9B0CB9951F71}">
          <cx:tx>
            <cx:txData>
              <cx:f>_xlchart.v1.3</cx:f>
              <cx:v>DRM_syngas</cx:v>
            </cx:txData>
          </cx:tx>
          <cx:dataPt idx="0">
            <cx:spPr>
              <a:solidFill>
                <a:srgbClr val="C89800"/>
              </a:solidFill>
            </cx:spPr>
          </cx:dataPt>
          <cx:dataPt idx="1">
            <cx:spPr>
              <a:solidFill>
                <a:srgbClr val="BC4C14"/>
              </a:solidFill>
            </cx:spPr>
          </cx:dataPt>
          <cx:dataPt idx="2">
            <cx:spPr>
              <a:solidFill>
                <a:srgbClr val="27A539"/>
              </a:solidFill>
            </cx:spPr>
          </cx:dataPt>
          <cx:dataPt idx="4">
            <cx:spPr>
              <a:solidFill>
                <a:srgbClr val="2FA7DD"/>
              </a:solidFill>
            </cx:spPr>
          </cx:dataPt>
          <cx:dataPt idx="5">
            <cx:spPr>
              <a:solidFill>
                <a:srgbClr val="731F69"/>
              </a:solidFill>
            </cx:spPr>
          </cx:dataPt>
          <cx:dataPt idx="6">
            <cx:spPr>
              <a:solidFill>
                <a:srgbClr val="0070C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endParaRPr lang="ko-KR" altLang="en-US" sz="900" b="0" i="0" u="none" strike="noStrike" baseline="0">
                  <a:solidFill>
                    <a:sysClr val="windowText" lastClr="000000"/>
                  </a:solidFill>
                  <a:latin typeface="Aptos Narrow" panose="02110004020202020204"/>
                  <a:ea typeface="맑은 고딕" panose="020B0503020000020004" pitchFamily="50" charset="-127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6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ko-KR" altLang="en-US" sz="900" b="0" i="0" u="none" strike="noStrike" baseline="0">
              <a:solidFill>
                <a:sysClr val="windowText" lastClr="000000"/>
              </a:solidFill>
              <a:latin typeface="Aptos Narrow" panose="02110004020202020204"/>
              <a:ea typeface="맑은 고딕" panose="020B0503020000020004" pitchFamily="50" charset="-127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r>
                  <a:rPr lang="ko-KR" altLang="en-US" sz="900" b="0" i="0" u="none" strike="noStrike" baseline="0">
                    <a:solidFill>
                      <a:sysClr val="windowText" lastClr="000000"/>
                    </a:solidFill>
                    <a:latin typeface="Aptos Narrow" panose="02110004020202020204"/>
                    <a:ea typeface="맑은 고딕" panose="020B0503020000020004" pitchFamily="50" charset="-127"/>
                  </a:rPr>
                  <a:t>생산 단가 </a:t>
                </a:r>
                <a:r>
                  <a:rPr lang="en-US" altLang="ko-KR" sz="900" b="0" i="0" u="none" strike="noStrike" baseline="0">
                    <a:solidFill>
                      <a:sysClr val="windowText" lastClr="000000"/>
                    </a:solidFill>
                    <a:latin typeface="Aptos Narrow" panose="02110004020202020204"/>
                    <a:ea typeface="맑은 고딕" panose="020B0503020000020004" pitchFamily="50" charset="-127"/>
                  </a:rPr>
                  <a:t>[$/ton-NH3]</a:t>
                </a:r>
                <a:endParaRPr lang="ko-KR" altLang="en-US" sz="900" b="0" i="0" u="none" strike="noStrike" baseline="0">
                  <a:solidFill>
                    <a:sysClr val="windowText" lastClr="000000"/>
                  </a:solidFill>
                  <a:latin typeface="Aptos Narrow" panose="02110004020202020204"/>
                  <a:ea typeface="맑은 고딕" panose="020B0503020000020004" pitchFamily="50" charset="-127"/>
                </a:endParaRPr>
              </a:p>
            </cx:rich>
          </cx:tx>
        </cx:title>
        <cx:majorGridlines/>
        <cx:tickLabels/>
        <cx:numFmt formatCode="_(* #,##0_);_(* (#,##0);_(* &quot;-&quot;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ko-KR" altLang="en-US" sz="900" b="0" i="0" u="none" strike="noStrike" baseline="0">
              <a:solidFill>
                <a:sysClr val="windowText" lastClr="000000"/>
              </a:solidFill>
              <a:latin typeface="Aptos Narrow" panose="02110004020202020204"/>
              <a:ea typeface="맑은 고딕" panose="020B0503020000020004" pitchFamily="50" charset="-127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862693</xdr:colOff>
      <xdr:row>37</xdr:row>
      <xdr:rowOff>105336</xdr:rowOff>
    </xdr:from>
    <xdr:to>
      <xdr:col>3</xdr:col>
      <xdr:colOff>1459625</xdr:colOff>
      <xdr:row>53</xdr:row>
      <xdr:rowOff>47785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6C74B0EC-4194-4C38-AA92-3B50E16995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4293" y="7487211"/>
              <a:ext cx="3273457" cy="2990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40821</xdr:colOff>
      <xdr:row>3</xdr:row>
      <xdr:rowOff>95251</xdr:rowOff>
    </xdr:from>
    <xdr:to>
      <xdr:col>21</xdr:col>
      <xdr:colOff>652527</xdr:colOff>
      <xdr:row>28</xdr:row>
      <xdr:rowOff>27881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40AE20F-E64E-4E60-B5EF-F3A1544F6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6071" y="721180"/>
          <a:ext cx="15089706" cy="4763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15363</xdr:rowOff>
    </xdr:from>
    <xdr:to>
      <xdr:col>8</xdr:col>
      <xdr:colOff>1217004</xdr:colOff>
      <xdr:row>86</xdr:row>
      <xdr:rowOff>62117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A0DFF03-085A-4358-3795-AA3C4A6B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661" y="11184194"/>
          <a:ext cx="15089706" cy="47631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1</xdr:rowOff>
    </xdr:from>
    <xdr:ext cx="4180114" cy="377719"/>
    <xdr:pic>
      <xdr:nvPicPr>
        <xdr:cNvPr id="2" name="그림 1">
          <a:extLst>
            <a:ext uri="{FF2B5EF4-FFF2-40B4-BE49-F238E27FC236}">
              <a16:creationId xmlns:a16="http://schemas.microsoft.com/office/drawing/2014/main" id="{320C1829-2890-4EB0-B468-FD4510D1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628651"/>
          <a:ext cx="4180114" cy="377719"/>
        </a:xfrm>
        <a:prstGeom prst="rect">
          <a:avLst/>
        </a:prstGeom>
      </xdr:spPr>
    </xdr:pic>
    <xdr:clientData/>
  </xdr:oneCellAnchor>
  <xdr:oneCellAnchor>
    <xdr:from>
      <xdr:col>8</xdr:col>
      <xdr:colOff>1788898</xdr:colOff>
      <xdr:row>3</xdr:row>
      <xdr:rowOff>11856</xdr:rowOff>
    </xdr:from>
    <xdr:ext cx="3636675" cy="326727"/>
    <xdr:pic>
      <xdr:nvPicPr>
        <xdr:cNvPr id="3" name="그림 2">
          <a:extLst>
            <a:ext uri="{FF2B5EF4-FFF2-40B4-BE49-F238E27FC236}">
              <a16:creationId xmlns:a16="http://schemas.microsoft.com/office/drawing/2014/main" id="{A7D477C7-4436-4CA3-BAD2-06A8823F4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0398" y="640506"/>
          <a:ext cx="3636675" cy="326727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1</xdr:rowOff>
    </xdr:from>
    <xdr:ext cx="4180114" cy="377719"/>
    <xdr:pic>
      <xdr:nvPicPr>
        <xdr:cNvPr id="4" name="그림 3">
          <a:extLst>
            <a:ext uri="{FF2B5EF4-FFF2-40B4-BE49-F238E27FC236}">
              <a16:creationId xmlns:a16="http://schemas.microsoft.com/office/drawing/2014/main" id="{21A11E30-1283-4D76-B443-8FC88C87E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628651"/>
          <a:ext cx="4180114" cy="377719"/>
        </a:xfrm>
        <a:prstGeom prst="rect">
          <a:avLst/>
        </a:prstGeom>
      </xdr:spPr>
    </xdr:pic>
    <xdr:clientData/>
  </xdr:oneCellAnchor>
  <xdr:twoCellAnchor editAs="oneCell">
    <xdr:from>
      <xdr:col>15</xdr:col>
      <xdr:colOff>95250</xdr:colOff>
      <xdr:row>1</xdr:row>
      <xdr:rowOff>95250</xdr:rowOff>
    </xdr:from>
    <xdr:to>
      <xdr:col>34</xdr:col>
      <xdr:colOff>579956</xdr:colOff>
      <xdr:row>26</xdr:row>
      <xdr:rowOff>665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D5DFA8C-45C7-484A-B38A-772AA9E90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16000" y="349250"/>
          <a:ext cx="15089706" cy="4763165"/>
        </a:xfrm>
        <a:prstGeom prst="rect">
          <a:avLst/>
        </a:prstGeom>
      </xdr:spPr>
    </xdr:pic>
    <xdr:clientData/>
  </xdr:twoCellAnchor>
  <xdr:twoCellAnchor editAs="oneCell">
    <xdr:from>
      <xdr:col>1</xdr:col>
      <xdr:colOff>15874</xdr:colOff>
      <xdr:row>112</xdr:row>
      <xdr:rowOff>79375</xdr:rowOff>
    </xdr:from>
    <xdr:to>
      <xdr:col>5</xdr:col>
      <xdr:colOff>1125822</xdr:colOff>
      <xdr:row>142</xdr:row>
      <xdr:rowOff>15875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5A43E9B-E14A-BCAD-6138-939522B4D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749" y="21669375"/>
          <a:ext cx="11285823" cy="565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268</xdr:row>
      <xdr:rowOff>9525</xdr:rowOff>
    </xdr:from>
    <xdr:to>
      <xdr:col>2</xdr:col>
      <xdr:colOff>523875</xdr:colOff>
      <xdr:row>278</xdr:row>
      <xdr:rowOff>38100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47FA807-7E7C-4958-9A40-A10EF4762EC8}"/>
            </a:ext>
          </a:extLst>
        </xdr:cNvPr>
        <xdr:cNvSpPr>
          <a:spLocks noChangeArrowheads="1"/>
        </xdr:cNvSpPr>
      </xdr:nvSpPr>
      <xdr:spPr bwMode="auto">
        <a:xfrm>
          <a:off x="895350" y="46234350"/>
          <a:ext cx="1543050" cy="1647825"/>
        </a:xfrm>
        <a:prstGeom prst="rect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66675</xdr:colOff>
      <xdr:row>268</xdr:row>
      <xdr:rowOff>38100</xdr:rowOff>
    </xdr:from>
    <xdr:to>
      <xdr:col>8</xdr:col>
      <xdr:colOff>171450</xdr:colOff>
      <xdr:row>278</xdr:row>
      <xdr:rowOff>57150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80CB67B4-9E40-42CF-A1EE-B01F6C8579C4}"/>
            </a:ext>
            <a:ext uri="{147F2762-F138-4A5C-976F-8EAC2B608ADB}">
              <a16:predDERef xmlns:a16="http://schemas.microsoft.com/office/drawing/2014/main" pred="{047FA807-7E7C-4958-9A40-A10EF4762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281</xdr:row>
      <xdr:rowOff>0</xdr:rowOff>
    </xdr:from>
    <xdr:to>
      <xdr:col>7</xdr:col>
      <xdr:colOff>571500</xdr:colOff>
      <xdr:row>285</xdr:row>
      <xdr:rowOff>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DAF9DB5A-0134-43C7-96FC-CB920A8EE1A7}"/>
            </a:ext>
          </a:extLst>
        </xdr:cNvPr>
        <xdr:cNvSpPr>
          <a:spLocks noChangeArrowheads="1"/>
        </xdr:cNvSpPr>
      </xdr:nvSpPr>
      <xdr:spPr bwMode="auto">
        <a:xfrm>
          <a:off x="5353050" y="48329850"/>
          <a:ext cx="561975" cy="685800"/>
        </a:xfrm>
        <a:prstGeom prst="rect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600075</xdr:colOff>
      <xdr:row>282</xdr:row>
      <xdr:rowOff>0</xdr:rowOff>
    </xdr:from>
    <xdr:to>
      <xdr:col>7</xdr:col>
      <xdr:colOff>581025</xdr:colOff>
      <xdr:row>282</xdr:row>
      <xdr:rowOff>0</xdr:rowOff>
    </xdr:to>
    <xdr:cxnSp macro="">
      <xdr:nvCxnSpPr>
        <xdr:cNvPr id="5" name="Straight Connector 3">
          <a:extLst>
            <a:ext uri="{FF2B5EF4-FFF2-40B4-BE49-F238E27FC236}">
              <a16:creationId xmlns:a16="http://schemas.microsoft.com/office/drawing/2014/main" id="{561A58D0-D4A4-425A-A169-E8A55C7132FC}"/>
            </a:ext>
          </a:extLst>
        </xdr:cNvPr>
        <xdr:cNvCxnSpPr>
          <a:cxnSpLocks noChangeShapeType="1"/>
        </xdr:cNvCxnSpPr>
      </xdr:nvCxnSpPr>
      <xdr:spPr bwMode="auto">
        <a:xfrm>
          <a:off x="5257800" y="48529875"/>
          <a:ext cx="66675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11</xdr:row>
      <xdr:rowOff>123825</xdr:rowOff>
    </xdr:from>
    <xdr:ext cx="2566985" cy="18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EA35A6-6F15-4038-98A8-0868CA711E0E}"/>
                </a:ext>
              </a:extLst>
            </xdr:cNvPr>
            <xdr:cNvSpPr txBox="1"/>
          </xdr:nvSpPr>
          <xdr:spPr>
            <a:xfrm>
              <a:off x="1514475" y="2600325"/>
              <a:ext cx="2566985" cy="18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altLang="ko-KR" sz="1100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altLang="ko-KR" sz="110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ko-KR" sz="1100" i="0" kern="120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en-US" altLang="ko-KR" sz="1100" b="0" i="1" kern="1200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fName>
                      <m:e>
                        <m:sSubSup>
                          <m:sSubSupPr>
                            <m:ctrlPr>
                              <a:rPr lang="en-US" altLang="ko-KR" sz="1100" i="1" kern="120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 kern="1200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ko-KR" sz="1100" b="0" i="1" kern="1200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  <m:sup>
                            <m:r>
                              <a:rPr lang="en-US" altLang="ko-KR" sz="1100" b="0" i="1" kern="1200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p>
                        </m:sSubSup>
                      </m:e>
                    </m:func>
                    <m:r>
                      <a:rPr lang="en-US" altLang="ko-KR" sz="110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 kern="1200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ko-KR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100" b="0" i="1" kern="12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func>
                      <m:func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ko-KR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log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sub>
                        </m:sSub>
                      </m:fName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</m:fun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func>
                          <m:func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sSub>
                              <m:sSub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[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ko-KR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log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sub>
                            </m:sSub>
                          </m:fName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</m:func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]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EA35A6-6F15-4038-98A8-0868CA711E0E}"/>
                </a:ext>
              </a:extLst>
            </xdr:cNvPr>
            <xdr:cNvSpPr txBox="1"/>
          </xdr:nvSpPr>
          <xdr:spPr>
            <a:xfrm>
              <a:off x="1514475" y="2600325"/>
              <a:ext cx="2566985" cy="18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i="0" kern="1200">
                  <a:latin typeface="Cambria Math" panose="02040503050406030204" pitchFamily="18" charset="0"/>
                </a:rPr>
                <a:t>log_</a:t>
              </a:r>
              <a:r>
                <a:rPr lang="en-US" altLang="ko-KR" sz="1100" b="0" i="0" kern="1200">
                  <a:latin typeface="Cambria Math" panose="02040503050406030204" pitchFamily="18" charset="0"/>
                </a:rPr>
                <a:t>10⁡〖𝐶_𝑃^𝑂 〗</a:t>
              </a:r>
              <a:r>
                <a:rPr lang="en-US" altLang="ko-KR" sz="1100" i="0" kern="1200">
                  <a:latin typeface="Cambria Math" panose="02040503050406030204" pitchFamily="18" charset="0"/>
                </a:rPr>
                <a:t>=</a:t>
              </a:r>
              <a:r>
                <a:rPr lang="en-US" altLang="ko-KR" sz="1100" b="0" i="0" kern="1200">
                  <a:latin typeface="Cambria Math" panose="02040503050406030204" pitchFamily="18" charset="0"/>
                </a:rPr>
                <a:t>𝐾_1+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𝐾_2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log_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10⁡𝐴+𝐾_3 〖〖[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log〗_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10⁡𝐴]〗^2</a:t>
              </a:r>
              <a:endParaRPr lang="ko-KR" altLang="en-US" sz="1100" kern="1200"/>
            </a:p>
          </xdr:txBody>
        </xdr:sp>
      </mc:Fallback>
    </mc:AlternateContent>
    <xdr:clientData/>
  </xdr:oneCellAnchor>
  <xdr:oneCellAnchor>
    <xdr:from>
      <xdr:col>2</xdr:col>
      <xdr:colOff>9525</xdr:colOff>
      <xdr:row>3</xdr:row>
      <xdr:rowOff>104775</xdr:rowOff>
    </xdr:from>
    <xdr:ext cx="4382610" cy="3745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480F76-D9BC-461D-8B11-11BF4EEA0A53}"/>
                </a:ext>
              </a:extLst>
            </xdr:cNvPr>
            <xdr:cNvSpPr txBox="1"/>
          </xdr:nvSpPr>
          <xdr:spPr>
            <a:xfrm>
              <a:off x="1381125" y="866775"/>
              <a:ext cx="4382610" cy="3745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 kern="12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ko-KR" sz="1100" b="0" i="1" kern="1200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altLang="ko-KR" sz="1100" b="0" i="1" kern="1200">
                            <a:latin typeface="Cambria Math" panose="02040503050406030204" pitchFamily="18" charset="0"/>
                          </a:rPr>
                          <m:t>𝑝𝑟𝑜𝑝𝑜𝑠𝑒𝑑</m:t>
                        </m:r>
                      </m:sub>
                    </m:sSub>
                    <m:r>
                      <a:rPr lang="en-US" altLang="ko-KR" sz="110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𝑟𝑒𝑓𝑒𝑟𝑒𝑛𝑐𝑒𝑑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f>
                          <m:f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𝐶𝑎𝑝𝑎𝑐𝑖𝑡𝑦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𝑝𝑟𝑜𝑝𝑜𝑠𝑒𝑑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𝐶𝑎𝑝𝑎𝑐𝑖𝑡𝑦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 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𝑟𝑒𝑓𝑒𝑟𝑒𝑛𝑐𝑒𝑑</m:t>
                                </m:r>
                              </m:sub>
                            </m:sSub>
                          </m:den>
                        </m:f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0.6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𝐶𝐸𝑃𝐶𝐼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𝑝𝑟𝑜𝑝𝑜𝑠𝑒𝑑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𝐶𝐸𝑃𝐶𝐼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𝑟𝑒𝑓𝑒𝑟𝑒𝑛𝑐𝑒𝑑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480F76-D9BC-461D-8B11-11BF4EEA0A53}"/>
                </a:ext>
              </a:extLst>
            </xdr:cNvPr>
            <xdr:cNvSpPr txBox="1"/>
          </xdr:nvSpPr>
          <xdr:spPr>
            <a:xfrm>
              <a:off x="1381125" y="866775"/>
              <a:ext cx="4382610" cy="3745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 kern="1200">
                  <a:latin typeface="Cambria Math" panose="02040503050406030204" pitchFamily="18" charset="0"/>
                </a:rPr>
                <a:t>𝑐_(𝑛, 𝑝𝑟𝑜𝑝𝑜𝑠𝑒𝑑)</a:t>
              </a:r>
              <a:r>
                <a:rPr lang="en-US" altLang="ko-KR" sz="1100" i="0" kern="1200">
                  <a:latin typeface="Cambria Math" panose="02040503050406030204" pitchFamily="18" charset="0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𝑐_(𝑛, 𝑟𝑒𝑓𝑒𝑟𝑒𝑛𝑐𝑒𝑑)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×〖(〖𝐶𝑎𝑝𝑎𝑐𝑖𝑡𝑦〗_(𝑛,𝑝𝑟𝑜𝑝𝑜𝑠𝑒𝑑)/〖𝐶𝑎𝑝𝑎𝑐𝑖𝑡𝑦〗_(𝑛, 𝑟𝑒𝑓𝑒𝑟𝑒𝑛𝑐𝑒𝑑) )〗^0.6×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〖𝐶𝐸𝑃𝐶𝐼〗_𝑝𝑟𝑜𝑝𝑜𝑠𝑒𝑑/〖𝐶𝐸𝑃𝐶𝐼〗_𝑟𝑒𝑓𝑒𝑟𝑒𝑛𝑐𝑒𝑑 </a:t>
              </a:r>
              <a:endParaRPr lang="ko-KR" altLang="en-US" sz="1100" kern="12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CCU-&#52572;&#51333;\02_&#44221;&#51228;&#49457;&#54217;&#44032;\&#53685;&#54633;TEA&#44208;&#44284;_&#54861;&#51061;&#45824;&#54617;&#44368;_250313.xlsx" TargetMode="External"/><Relationship Id="rId1" Type="http://schemas.openxmlformats.org/officeDocument/2006/relationships/externalLinkPath" Target="/Users/USER/Desktop/CCU-&#52572;&#51333;/02_&#44221;&#51228;&#49457;&#54217;&#44032;/&#53685;&#54633;TEA&#44208;&#44284;_&#54861;&#51061;&#45824;&#54617;&#44368;_25031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1076;&#51456;&#53469;\Downloads\CAPCOST_2017_rev2%20(1).xlsm" TargetMode="External"/><Relationship Id="rId1" Type="http://schemas.openxmlformats.org/officeDocument/2006/relationships/externalLinkPath" Target="file:///\\Jtlim\&#44277;&#50976;&#54260;&#45908;\Users\&#51076;&#51456;&#53469;\Downloads\CAPCOST_2017_rev2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RSION"/>
      <sheetName val="CAPEX"/>
      <sheetName val="OPEX"/>
      <sheetName val="Profitability analysis"/>
      <sheetName val="CO2 CAPTURE"/>
      <sheetName val="SOEC"/>
      <sheetName val="DH"/>
      <sheetName val="DRM-SYNGAS"/>
      <sheetName val="Parameters &amp; Assumptions"/>
      <sheetName val="Equipment cost"/>
      <sheetName val="PBP"/>
      <sheetName val="NPV"/>
      <sheetName val="DRM_MeOH"/>
      <sheetName val="Utility"/>
      <sheetName val="raw material"/>
      <sheetName val="DRM_Total"/>
      <sheetName val="DH_Total"/>
      <sheetName val="SOEC_V21"/>
      <sheetName val="DH_V41"/>
      <sheetName val="DRM_CO2=1.3"/>
      <sheetName val="DRM_V93_shortcut"/>
      <sheetName val="DRM_CO2=1.3_Compressor"/>
      <sheetName val="DRM_V103"/>
      <sheetName val="DH_Compressor"/>
      <sheetName val="DH_Compressor_APEA_six-tenth"/>
      <sheetName val="DH_Cooler"/>
      <sheetName val="DH_Heat exchanger"/>
      <sheetName val="DRM_reactor"/>
      <sheetName val="DRM_Heat exchanger"/>
      <sheetName val="DRM_MeOH_Cooler"/>
      <sheetName val="DRM_MeOH_Compressor"/>
      <sheetName val="DRM_MeOH_reactor"/>
      <sheetName val="DRM_MeOH_Heat exchanger"/>
      <sheetName val="cost data"/>
      <sheetName val="Equation"/>
      <sheetName val="Capacity"/>
      <sheetName val="Reference"/>
    </sheetNames>
    <sheetDataSet>
      <sheetData sheetId="0" refreshError="1"/>
      <sheetData sheetId="1"/>
      <sheetData sheetId="2"/>
      <sheetData sheetId="3">
        <row r="19">
          <cell r="F19" t="str">
            <v>SOEC</v>
          </cell>
        </row>
        <row r="29">
          <cell r="D29" t="str">
            <v>DRM_syngas</v>
          </cell>
        </row>
        <row r="30">
          <cell r="C30" t="str">
            <v>원자재</v>
          </cell>
        </row>
        <row r="31">
          <cell r="C31" t="str">
            <v>유틸리티</v>
          </cell>
        </row>
        <row r="32">
          <cell r="C32" t="str">
            <v>인건비</v>
          </cell>
        </row>
        <row r="33">
          <cell r="C33" t="str">
            <v>유지관리비</v>
          </cell>
        </row>
        <row r="34">
          <cell r="C34" t="str">
            <v>간접비</v>
          </cell>
        </row>
        <row r="35">
          <cell r="C35" t="str">
            <v>감가상각</v>
          </cell>
        </row>
        <row r="36">
          <cell r="C36" t="str">
            <v>생산 단가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pment Cost Data (2)"/>
      <sheetName val="Equipment Summary"/>
      <sheetName val="Utilities Summary"/>
      <sheetName val="COM Summary"/>
      <sheetName val="Cash Flow Analysis"/>
      <sheetName val="Monte Carlo Simulation"/>
      <sheetName val="User Options"/>
      <sheetName val="Equipment Cost Data"/>
      <sheetName val="Cooling Water"/>
      <sheetName val="Cost of Refrigerated Water"/>
      <sheetName val="Cost of Steam"/>
    </sheetNames>
    <sheetDataSet>
      <sheetData sheetId="0">
        <row r="270">
          <cell r="B270">
            <v>1</v>
          </cell>
          <cell r="C270">
            <v>2.9998531811907938</v>
          </cell>
        </row>
        <row r="271">
          <cell r="B271">
            <v>2</v>
          </cell>
          <cell r="C271">
            <v>2.9598091980761878</v>
          </cell>
        </row>
        <row r="272">
          <cell r="B272">
            <v>3</v>
          </cell>
          <cell r="C272">
            <v>2.745811025949318</v>
          </cell>
        </row>
        <row r="273">
          <cell r="B273">
            <v>4</v>
          </cell>
          <cell r="C273">
            <v>2.5262913385408714</v>
          </cell>
        </row>
        <row r="274">
          <cell r="B274">
            <v>5</v>
          </cell>
          <cell r="C274">
            <v>2.3278110295375591</v>
          </cell>
        </row>
        <row r="275">
          <cell r="B275">
            <v>8</v>
          </cell>
          <cell r="C275">
            <v>1.8653449373966906</v>
          </cell>
        </row>
        <row r="276">
          <cell r="B276">
            <v>10</v>
          </cell>
          <cell r="C276">
            <v>1.6404386762556979</v>
          </cell>
        </row>
        <row r="277">
          <cell r="B277">
            <v>15</v>
          </cell>
          <cell r="C277">
            <v>1.2498958296278693</v>
          </cell>
        </row>
        <row r="278">
          <cell r="B278">
            <v>20</v>
          </cell>
          <cell r="C278">
            <v>1.0000651203747728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천동준" id="{D54DEC47-C836-4F93-A0C5-035B4ADE6904}" userId="S::chdj2000@mail.hongik.ac.kr::cc5a5e2d-6abc-4714-bb6d-a1bb60d1a6f1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3" dT="2025-04-21T06:59:15.89" personId="{D54DEC47-C836-4F93-A0C5-035B4ADE6904}" id="{4F0BF4CB-D4F5-4D69-9502-454D121CC7B6}">
    <text>Raw material 또는 Utility라 생각하여 linear하게 증가시킴</text>
  </threadedComment>
  <threadedComment ref="L25" dT="2025-04-21T07:02:12.12" personId="{D54DEC47-C836-4F93-A0C5-035B4ADE6904}" id="{EB072541-C958-4A49-8154-A1CB0BFCDFAC}">
    <text>OVHD는 FCI의 영향을 받기에 CAPEX에서 이미 six-tenth rule이 적용되어 계산되어 있으므로 Total CAPEX의 비를 곱하여 계산하였음</text>
  </threadedComment>
  <threadedComment ref="L37" dT="2025-04-21T07:03:32.71" personId="{D54DEC47-C836-4F93-A0C5-035B4ADE6904}" id="{E5FC8844-E28E-4226-B854-4FD9E6BDCF6A}">
    <text>FC 또한 FCI의 영향을 받기에 CAPEX에서 이미 six-tenth rule이 적용되어 계산되어 있으므로 Total CAPEX의 비를 곱하여 계산하였음</text>
  </threadedComment>
  <threadedComment ref="L43" dT="2025-04-21T07:04:29.58" personId="{D54DEC47-C836-4F93-A0C5-035B4ADE6904}" id="{400EAAFC-DE9A-4CF8-9B13-79F9BCC2871D}">
    <text>Linear하게 계산</text>
  </threadedComment>
  <threadedComment ref="L45" dT="2025-04-21T07:04:46.78" personId="{D54DEC47-C836-4F93-A0C5-035B4ADE6904}" id="{E983A0D7-CB54-4D66-B228-27E06DD99E55}">
    <text>Linear하게 계산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dT="2025-07-01T09:20:43.26" personId="{D54DEC47-C836-4F93-A0C5-035B4ADE6904}" id="{EB6122C7-7EFF-4BFE-AC6A-6A4FCBCEF349}">
    <text>CEPCI 2025 반영 필요 (2025는 모두 예상치)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8718-4046-4134-B442-5FEFBC06EC2F}">
  <sheetPr codeName="Sheet2"/>
  <dimension ref="C3:H4"/>
  <sheetViews>
    <sheetView tabSelected="1" workbookViewId="0">
      <selection activeCell="D29" sqref="D29"/>
    </sheetView>
  </sheetViews>
  <sheetFormatPr defaultColWidth="9" defaultRowHeight="15" x14ac:dyDescent="0.3"/>
  <cols>
    <col min="1" max="2" width="9" style="1"/>
    <col min="3" max="3" width="9.375" style="43" bestFit="1" customWidth="1"/>
    <col min="4" max="4" width="37.125" style="1" bestFit="1" customWidth="1"/>
    <col min="5" max="5" width="40" style="1" customWidth="1"/>
    <col min="6" max="6" width="9.25" style="43" bestFit="1" customWidth="1"/>
    <col min="7" max="7" width="36.75" style="1" bestFit="1" customWidth="1"/>
    <col min="8" max="16384" width="9" style="1"/>
  </cols>
  <sheetData>
    <row r="3" spans="3:8" x14ac:dyDescent="0.3">
      <c r="C3" s="44" t="s">
        <v>0</v>
      </c>
      <c r="D3" s="44" t="s">
        <v>1</v>
      </c>
      <c r="E3" s="44" t="s">
        <v>2</v>
      </c>
      <c r="F3" s="44" t="s">
        <v>3</v>
      </c>
      <c r="G3" s="44" t="s">
        <v>4</v>
      </c>
      <c r="H3" s="44" t="s">
        <v>5</v>
      </c>
    </row>
    <row r="4" spans="3:8" x14ac:dyDescent="0.3">
      <c r="C4" s="43">
        <v>1</v>
      </c>
      <c r="D4" s="1" t="s">
        <v>597</v>
      </c>
      <c r="F4" s="43" t="s">
        <v>553</v>
      </c>
      <c r="G4" s="1">
        <v>250901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063C-B31C-4EC6-98E3-35F12D2977D8}">
  <sheetPr codeName="Sheet3"/>
  <dimension ref="C3:S47"/>
  <sheetViews>
    <sheetView zoomScale="85" zoomScaleNormal="85" workbookViewId="0">
      <selection activeCell="G6" sqref="G6"/>
    </sheetView>
  </sheetViews>
  <sheetFormatPr defaultColWidth="9" defaultRowHeight="15" x14ac:dyDescent="0.3"/>
  <cols>
    <col min="1" max="2" width="9" style="1"/>
    <col min="3" max="3" width="55.5" style="1" bestFit="1" customWidth="1"/>
    <col min="4" max="4" width="12.375" style="1" bestFit="1" customWidth="1"/>
    <col min="5" max="5" width="6.5" style="1" customWidth="1"/>
    <col min="6" max="6" width="9.25" style="1" customWidth="1"/>
    <col min="7" max="7" width="29" style="1" bestFit="1" customWidth="1"/>
    <col min="8" max="8" width="24.375" style="1" bestFit="1" customWidth="1"/>
    <col min="9" max="9" width="27.875" style="1" bestFit="1" customWidth="1"/>
    <col min="10" max="10" width="23.375" style="1" bestFit="1" customWidth="1"/>
    <col min="11" max="11" width="15" style="1" bestFit="1" customWidth="1"/>
    <col min="12" max="12" width="21.375" style="1" bestFit="1" customWidth="1"/>
    <col min="13" max="13" width="34.625" style="1" bestFit="1" customWidth="1"/>
    <col min="14" max="14" width="53.875" style="1" bestFit="1" customWidth="1"/>
    <col min="15" max="15" width="19.75" style="1" bestFit="1" customWidth="1"/>
    <col min="16" max="16" width="15.5" style="1" customWidth="1"/>
    <col min="17" max="17" width="42.25" style="1" bestFit="1" customWidth="1"/>
    <col min="18" max="18" width="19.75" style="1" bestFit="1" customWidth="1"/>
    <col min="19" max="19" width="15" style="1" bestFit="1" customWidth="1"/>
    <col min="20" max="16384" width="9" style="1"/>
  </cols>
  <sheetData>
    <row r="3" spans="3:19" ht="15.75" x14ac:dyDescent="0.3">
      <c r="C3" s="165" t="s">
        <v>6</v>
      </c>
    </row>
    <row r="4" spans="3:19" ht="15.75" thickBot="1" x14ac:dyDescent="0.35">
      <c r="N4" s="174"/>
      <c r="O4" s="174"/>
    </row>
    <row r="5" spans="3:19" ht="15.75" thickBot="1" x14ac:dyDescent="0.3">
      <c r="C5" s="156" t="s">
        <v>7</v>
      </c>
      <c r="D5" s="157" t="s">
        <v>8</v>
      </c>
      <c r="E5" s="158" t="s">
        <v>9</v>
      </c>
      <c r="F5" s="158" t="s">
        <v>10</v>
      </c>
      <c r="G5" s="159" t="s">
        <v>597</v>
      </c>
      <c r="N5" s="174"/>
      <c r="O5" s="174"/>
      <c r="P5" s="47"/>
      <c r="Q5" s="47"/>
      <c r="R5" s="47"/>
      <c r="S5" s="47"/>
    </row>
    <row r="6" spans="3:19" x14ac:dyDescent="0.25">
      <c r="C6" s="4" t="s">
        <v>11</v>
      </c>
      <c r="D6" s="5"/>
      <c r="E6" s="6"/>
      <c r="F6" s="6"/>
      <c r="G6" s="7"/>
      <c r="N6" s="174"/>
      <c r="O6" s="174"/>
      <c r="P6" s="43"/>
      <c r="R6" s="174"/>
      <c r="S6" s="174"/>
    </row>
    <row r="7" spans="3:19" x14ac:dyDescent="0.25">
      <c r="C7" s="4" t="s">
        <v>12</v>
      </c>
      <c r="D7" s="5"/>
      <c r="E7" s="6"/>
      <c r="F7" s="6"/>
      <c r="G7" s="7"/>
      <c r="N7" s="174"/>
      <c r="O7" s="174"/>
      <c r="P7" s="43"/>
      <c r="Q7" s="171"/>
      <c r="R7" s="174"/>
      <c r="S7" s="174"/>
    </row>
    <row r="8" spans="3:19" x14ac:dyDescent="0.25">
      <c r="C8" s="8" t="s">
        <v>13</v>
      </c>
      <c r="D8" s="5" t="s">
        <v>14</v>
      </c>
      <c r="E8" s="6">
        <v>40</v>
      </c>
      <c r="F8" s="6" t="s">
        <v>15</v>
      </c>
      <c r="G8" s="9">
        <f>'Equipment cost'!D23</f>
        <v>410263171.4034794</v>
      </c>
      <c r="L8" s="57"/>
      <c r="N8" s="174"/>
      <c r="O8" s="174"/>
      <c r="P8" s="43"/>
      <c r="R8" s="174"/>
      <c r="S8" s="174"/>
    </row>
    <row r="9" spans="3:19" x14ac:dyDescent="0.25">
      <c r="C9" s="8" t="s">
        <v>16</v>
      </c>
      <c r="D9" s="5" t="s">
        <v>17</v>
      </c>
      <c r="E9" s="6">
        <v>8</v>
      </c>
      <c r="F9" s="6" t="s">
        <v>15</v>
      </c>
      <c r="G9" s="9">
        <f>SUM(G30*0.08)</f>
        <v>82052634.280695885</v>
      </c>
      <c r="N9" s="174"/>
      <c r="O9" s="174"/>
      <c r="P9" s="43"/>
      <c r="R9" s="174"/>
      <c r="S9" s="174"/>
    </row>
    <row r="10" spans="3:19" x14ac:dyDescent="0.25">
      <c r="C10" s="8" t="s">
        <v>18</v>
      </c>
      <c r="D10" s="5" t="s">
        <v>19</v>
      </c>
      <c r="E10" s="6">
        <v>5</v>
      </c>
      <c r="F10" s="6" t="s">
        <v>15</v>
      </c>
      <c r="G10" s="9">
        <f>SUM(G30*0.05)</f>
        <v>51282896.425434925</v>
      </c>
      <c r="L10" s="47"/>
      <c r="N10" s="174"/>
      <c r="O10" s="174"/>
      <c r="P10" s="43"/>
      <c r="R10" s="174"/>
      <c r="S10" s="174"/>
    </row>
    <row r="11" spans="3:19" x14ac:dyDescent="0.25">
      <c r="C11" s="8" t="s">
        <v>20</v>
      </c>
      <c r="D11" s="10" t="s">
        <v>21</v>
      </c>
      <c r="E11" s="6">
        <v>3</v>
      </c>
      <c r="F11" s="6" t="s">
        <v>15</v>
      </c>
      <c r="G11" s="9">
        <f>SUM(G30*0.03)</f>
        <v>30769737.855260953</v>
      </c>
      <c r="L11" s="43"/>
      <c r="N11" s="174"/>
      <c r="O11" s="174"/>
      <c r="P11" s="43"/>
      <c r="R11" s="174"/>
      <c r="S11" s="174"/>
    </row>
    <row r="12" spans="3:19" x14ac:dyDescent="0.25">
      <c r="C12" s="8" t="s">
        <v>22</v>
      </c>
      <c r="D12" s="5" t="s">
        <v>23</v>
      </c>
      <c r="E12" s="6">
        <v>5</v>
      </c>
      <c r="F12" s="6" t="s">
        <v>15</v>
      </c>
      <c r="G12" s="9">
        <f>SUM(G30*0.05)</f>
        <v>51282896.425434925</v>
      </c>
      <c r="L12" s="43"/>
      <c r="N12" s="174"/>
      <c r="O12" s="174"/>
      <c r="P12" s="43"/>
      <c r="R12" s="174"/>
      <c r="S12" s="174"/>
    </row>
    <row r="13" spans="3:19" x14ac:dyDescent="0.25">
      <c r="C13" s="8"/>
      <c r="D13" s="5"/>
      <c r="E13" s="6"/>
      <c r="F13" s="6"/>
      <c r="G13" s="9"/>
      <c r="L13" s="43"/>
      <c r="M13" s="2"/>
      <c r="N13" s="175"/>
      <c r="O13" s="175"/>
      <c r="P13" s="43"/>
      <c r="R13" s="174"/>
      <c r="S13" s="174"/>
    </row>
    <row r="14" spans="3:19" x14ac:dyDescent="0.25">
      <c r="C14" s="4" t="s">
        <v>24</v>
      </c>
      <c r="D14" s="5"/>
      <c r="E14" s="6"/>
      <c r="F14" s="6"/>
      <c r="G14" s="9"/>
      <c r="L14" s="43"/>
      <c r="M14" s="43"/>
      <c r="O14" s="170"/>
      <c r="P14" s="43"/>
      <c r="R14" s="174"/>
      <c r="S14" s="174"/>
    </row>
    <row r="15" spans="3:19" x14ac:dyDescent="0.25">
      <c r="C15" s="8" t="s">
        <v>25</v>
      </c>
      <c r="D15" s="5" t="s">
        <v>26</v>
      </c>
      <c r="E15" s="6">
        <v>7</v>
      </c>
      <c r="F15" s="6" t="s">
        <v>15</v>
      </c>
      <c r="G15" s="9">
        <f>SUM(G30*0.07)</f>
        <v>71796054.995608896</v>
      </c>
      <c r="L15" s="43"/>
      <c r="M15" s="43"/>
      <c r="O15" s="170"/>
      <c r="P15" s="43"/>
      <c r="R15" s="174"/>
      <c r="S15" s="174"/>
    </row>
    <row r="16" spans="3:19" x14ac:dyDescent="0.25">
      <c r="C16" s="8" t="s">
        <v>27</v>
      </c>
      <c r="D16" s="5" t="s">
        <v>28</v>
      </c>
      <c r="E16" s="6">
        <v>2</v>
      </c>
      <c r="F16" s="6" t="s">
        <v>15</v>
      </c>
      <c r="G16" s="9">
        <f>SUM(G30*0.02)</f>
        <v>20513158.570173971</v>
      </c>
      <c r="L16" s="43"/>
      <c r="M16" s="43"/>
      <c r="O16" s="170"/>
      <c r="P16" s="43"/>
      <c r="R16" s="174"/>
      <c r="S16" s="174"/>
    </row>
    <row r="17" spans="3:19" x14ac:dyDescent="0.25">
      <c r="C17" s="8" t="s">
        <v>29</v>
      </c>
      <c r="D17" s="5" t="s">
        <v>30</v>
      </c>
      <c r="E17" s="6">
        <v>8</v>
      </c>
      <c r="F17" s="6" t="s">
        <v>15</v>
      </c>
      <c r="G17" s="9">
        <f>SUM(G30*0.08)</f>
        <v>82052634.280695885</v>
      </c>
      <c r="L17" s="43"/>
      <c r="O17" s="170"/>
      <c r="P17" s="43"/>
      <c r="R17" s="174"/>
      <c r="S17" s="174"/>
    </row>
    <row r="18" spans="3:19" x14ac:dyDescent="0.25">
      <c r="C18" s="8" t="s">
        <v>31</v>
      </c>
      <c r="D18" s="5" t="s">
        <v>32</v>
      </c>
      <c r="E18" s="6">
        <v>2</v>
      </c>
      <c r="F18" s="6" t="s">
        <v>15</v>
      </c>
      <c r="G18" s="9">
        <f>SUM(G30*0.02)</f>
        <v>20513158.570173971</v>
      </c>
      <c r="L18" s="43"/>
      <c r="N18" s="174"/>
      <c r="O18" s="174"/>
      <c r="P18" s="43"/>
      <c r="R18" s="174"/>
      <c r="S18" s="174"/>
    </row>
    <row r="19" spans="3:19" x14ac:dyDescent="0.25">
      <c r="C19" s="8"/>
      <c r="D19" s="5"/>
      <c r="E19" s="6"/>
      <c r="F19" s="6"/>
      <c r="G19" s="9"/>
      <c r="L19" s="43"/>
      <c r="N19" s="174"/>
      <c r="O19" s="174"/>
      <c r="P19" s="43"/>
      <c r="Q19" s="2"/>
      <c r="R19" s="175"/>
      <c r="S19" s="175"/>
    </row>
    <row r="20" spans="3:19" x14ac:dyDescent="0.25">
      <c r="C20" s="4" t="s">
        <v>33</v>
      </c>
      <c r="D20" s="5"/>
      <c r="E20" s="6"/>
      <c r="F20" s="6"/>
      <c r="G20" s="9">
        <f>SUM(G8:G18)</f>
        <v>820526342.80695891</v>
      </c>
      <c r="L20" s="43"/>
      <c r="N20" s="174"/>
      <c r="O20" s="174"/>
      <c r="P20" s="174"/>
    </row>
    <row r="21" spans="3:19" x14ac:dyDescent="0.25">
      <c r="C21" s="8"/>
      <c r="D21" s="5"/>
      <c r="E21" s="6"/>
      <c r="F21" s="6"/>
      <c r="G21" s="9"/>
      <c r="L21" s="43"/>
      <c r="N21" s="174"/>
      <c r="O21" s="174"/>
      <c r="P21" s="174"/>
    </row>
    <row r="22" spans="3:19" x14ac:dyDescent="0.25">
      <c r="C22" s="4" t="s">
        <v>34</v>
      </c>
      <c r="D22" s="5"/>
      <c r="E22" s="6"/>
      <c r="F22" s="6"/>
      <c r="G22" s="9"/>
      <c r="L22" s="43"/>
      <c r="N22" s="174"/>
      <c r="O22" s="174"/>
      <c r="P22" s="174"/>
    </row>
    <row r="23" spans="3:19" x14ac:dyDescent="0.25">
      <c r="C23" s="8" t="s">
        <v>35</v>
      </c>
      <c r="D23" s="5" t="s">
        <v>36</v>
      </c>
      <c r="E23" s="6">
        <v>5</v>
      </c>
      <c r="F23" s="6" t="s">
        <v>15</v>
      </c>
      <c r="G23" s="9">
        <f>SUM(G30*0.05)</f>
        <v>51282896.425434925</v>
      </c>
      <c r="L23" s="43"/>
      <c r="N23" s="174"/>
      <c r="O23" s="174"/>
      <c r="P23" s="174"/>
    </row>
    <row r="24" spans="3:19" x14ac:dyDescent="0.25">
      <c r="C24" s="8" t="s">
        <v>37</v>
      </c>
      <c r="D24" s="5" t="s">
        <v>38</v>
      </c>
      <c r="E24" s="6">
        <v>5</v>
      </c>
      <c r="F24" s="6" t="s">
        <v>15</v>
      </c>
      <c r="G24" s="9">
        <f>SUM(G30*0.05)</f>
        <v>51282896.425434925</v>
      </c>
      <c r="L24" s="43"/>
      <c r="M24" s="2"/>
      <c r="N24" s="175"/>
      <c r="O24" s="175"/>
      <c r="P24" s="174"/>
    </row>
    <row r="25" spans="3:19" x14ac:dyDescent="0.25">
      <c r="C25" s="8" t="s">
        <v>39</v>
      </c>
      <c r="D25" s="5" t="s">
        <v>28</v>
      </c>
      <c r="E25" s="6">
        <v>5</v>
      </c>
      <c r="F25" s="6" t="s">
        <v>15</v>
      </c>
      <c r="G25" s="9">
        <f>SUM(G30*0.05)</f>
        <v>51282896.425434925</v>
      </c>
      <c r="M25" s="43"/>
      <c r="O25" s="170"/>
      <c r="P25" s="36"/>
    </row>
    <row r="26" spans="3:19" x14ac:dyDescent="0.25">
      <c r="C26" s="8" t="s">
        <v>40</v>
      </c>
      <c r="D26" s="5" t="s">
        <v>41</v>
      </c>
      <c r="E26" s="6">
        <v>5</v>
      </c>
      <c r="F26" s="6" t="s">
        <v>15</v>
      </c>
      <c r="G26" s="9">
        <f>SUM(G30*0.05)</f>
        <v>51282896.425434925</v>
      </c>
      <c r="M26" s="43"/>
      <c r="O26" s="170"/>
      <c r="P26" s="36"/>
    </row>
    <row r="27" spans="3:19" x14ac:dyDescent="0.25">
      <c r="C27" s="8"/>
      <c r="D27" s="5"/>
      <c r="E27" s="6"/>
      <c r="F27" s="6"/>
      <c r="G27" s="9"/>
      <c r="M27" s="43"/>
      <c r="O27" s="170"/>
      <c r="P27" s="36"/>
    </row>
    <row r="28" spans="3:19" x14ac:dyDescent="0.25">
      <c r="C28" s="4" t="s">
        <v>42</v>
      </c>
      <c r="D28" s="5"/>
      <c r="E28" s="6"/>
      <c r="F28" s="6"/>
      <c r="G28" s="9">
        <f>SUM(G23:G26)</f>
        <v>205131585.7017397</v>
      </c>
      <c r="O28" s="170"/>
      <c r="P28" s="36"/>
    </row>
    <row r="29" spans="3:19" x14ac:dyDescent="0.25">
      <c r="C29" s="8"/>
      <c r="D29" s="5"/>
      <c r="E29" s="6"/>
      <c r="F29" s="6"/>
      <c r="G29" s="9"/>
      <c r="O29" s="170"/>
      <c r="P29" s="36"/>
    </row>
    <row r="30" spans="3:19" x14ac:dyDescent="0.25">
      <c r="C30" s="8" t="s">
        <v>43</v>
      </c>
      <c r="D30" s="5">
        <v>100</v>
      </c>
      <c r="E30" s="6">
        <v>100</v>
      </c>
      <c r="F30" s="6" t="s">
        <v>15</v>
      </c>
      <c r="G30" s="9">
        <f>SUM(G8*100/40)</f>
        <v>1025657928.5086985</v>
      </c>
      <c r="O30" s="170"/>
      <c r="P30" s="36"/>
    </row>
    <row r="31" spans="3:19" x14ac:dyDescent="0.25">
      <c r="C31" s="8" t="s">
        <v>44</v>
      </c>
      <c r="D31" s="5">
        <v>10</v>
      </c>
      <c r="E31" s="6">
        <v>10</v>
      </c>
      <c r="F31" s="6" t="s">
        <v>15</v>
      </c>
      <c r="G31" s="9">
        <f>SUM(G30*0.1)</f>
        <v>102565792.85086985</v>
      </c>
      <c r="O31" s="170"/>
      <c r="P31" s="36"/>
    </row>
    <row r="32" spans="3:19" x14ac:dyDescent="0.25">
      <c r="C32" s="8"/>
      <c r="D32" s="11"/>
      <c r="E32" s="6"/>
      <c r="F32" s="6"/>
      <c r="G32" s="7"/>
      <c r="M32" s="43"/>
      <c r="O32" s="170"/>
      <c r="P32" s="36"/>
    </row>
    <row r="33" spans="3:16" x14ac:dyDescent="0.25">
      <c r="C33" s="4" t="s">
        <v>45</v>
      </c>
      <c r="D33" s="12" t="s">
        <v>46</v>
      </c>
      <c r="E33" s="13"/>
      <c r="F33" s="6" t="s">
        <v>15</v>
      </c>
      <c r="G33" s="14">
        <f>SUM(G30:G31)</f>
        <v>1128223721.3595684</v>
      </c>
      <c r="M33" s="43"/>
      <c r="O33" s="170"/>
      <c r="P33" s="36"/>
    </row>
    <row r="34" spans="3:16" ht="15.75" thickBot="1" x14ac:dyDescent="0.3">
      <c r="C34" s="15" t="s">
        <v>47</v>
      </c>
      <c r="D34" s="16" t="s">
        <v>48</v>
      </c>
      <c r="E34" s="17"/>
      <c r="F34" s="160" t="s">
        <v>49</v>
      </c>
      <c r="G34" s="144">
        <f>SUM(G33/((1-(1/((1.05)^30)))/0.05))</f>
        <v>73392572.166050032</v>
      </c>
      <c r="M34" s="43"/>
      <c r="O34" s="170"/>
      <c r="P34" s="36"/>
    </row>
    <row r="35" spans="3:16" x14ac:dyDescent="0.3">
      <c r="M35" s="43"/>
      <c r="O35" s="170"/>
      <c r="P35" s="36"/>
    </row>
    <row r="36" spans="3:16" x14ac:dyDescent="0.3">
      <c r="M36" s="43"/>
      <c r="O36" s="170"/>
      <c r="P36" s="36"/>
    </row>
    <row r="37" spans="3:16" x14ac:dyDescent="0.3">
      <c r="C37" s="57"/>
      <c r="D37" s="57"/>
      <c r="M37" s="43"/>
      <c r="O37" s="170"/>
      <c r="P37" s="36"/>
    </row>
    <row r="38" spans="3:16" x14ac:dyDescent="0.3">
      <c r="M38" s="43"/>
      <c r="O38" s="170"/>
      <c r="P38" s="36"/>
    </row>
    <row r="39" spans="3:16" x14ac:dyDescent="0.3">
      <c r="M39" s="43"/>
      <c r="O39" s="170"/>
      <c r="P39" s="36"/>
    </row>
    <row r="40" spans="3:16" x14ac:dyDescent="0.3">
      <c r="M40" s="43"/>
      <c r="O40" s="170"/>
      <c r="P40" s="36"/>
    </row>
    <row r="41" spans="3:16" x14ac:dyDescent="0.3">
      <c r="M41" s="43"/>
      <c r="O41" s="170"/>
      <c r="P41" s="36"/>
    </row>
    <row r="42" spans="3:16" x14ac:dyDescent="0.3">
      <c r="M42" s="43"/>
      <c r="O42" s="170"/>
      <c r="P42" s="36"/>
    </row>
    <row r="43" spans="3:16" x14ac:dyDescent="0.3">
      <c r="M43" s="43"/>
      <c r="O43" s="170"/>
      <c r="P43" s="36"/>
    </row>
    <row r="44" spans="3:16" x14ac:dyDescent="0.3">
      <c r="M44" s="43"/>
      <c r="O44" s="170"/>
      <c r="P44" s="36"/>
    </row>
    <row r="45" spans="3:16" x14ac:dyDescent="0.3">
      <c r="M45" s="43"/>
      <c r="N45" s="2"/>
      <c r="O45" s="172"/>
      <c r="P45" s="36"/>
    </row>
    <row r="46" spans="3:16" x14ac:dyDescent="0.3">
      <c r="M46" s="43"/>
      <c r="O46" s="170"/>
    </row>
    <row r="47" spans="3:16" x14ac:dyDescent="0.3">
      <c r="M47" s="43"/>
      <c r="N47" s="2"/>
      <c r="O47" s="170"/>
      <c r="P47" s="17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0628-D8A3-4452-A13E-28D54A573272}">
  <sheetPr codeName="Sheet4"/>
  <dimension ref="C3:K42"/>
  <sheetViews>
    <sheetView zoomScale="85" zoomScaleNormal="85" workbookViewId="0">
      <selection activeCell="F19" sqref="F19"/>
    </sheetView>
  </sheetViews>
  <sheetFormatPr defaultColWidth="9" defaultRowHeight="15" x14ac:dyDescent="0.3"/>
  <cols>
    <col min="1" max="2" width="9" style="1"/>
    <col min="3" max="3" width="36.875" style="1" bestFit="1" customWidth="1"/>
    <col min="4" max="4" width="18" style="1" bestFit="1" customWidth="1"/>
    <col min="5" max="6" width="34.375" style="1" bestFit="1" customWidth="1"/>
    <col min="7" max="7" width="39.625" style="1" bestFit="1" customWidth="1"/>
    <col min="8" max="8" width="33.375" style="1" bestFit="1" customWidth="1"/>
    <col min="9" max="9" width="41.75" style="1" bestFit="1" customWidth="1"/>
    <col min="10" max="10" width="19.75" style="1" bestFit="1" customWidth="1"/>
    <col min="11" max="11" width="13.25" style="1" bestFit="1" customWidth="1"/>
    <col min="12" max="16384" width="9" style="1"/>
  </cols>
  <sheetData>
    <row r="3" spans="3:11" ht="15.75" x14ac:dyDescent="0.25">
      <c r="C3" s="18" t="s">
        <v>50</v>
      </c>
      <c r="D3" s="19"/>
      <c r="E3" s="19"/>
    </row>
    <row r="4" spans="3:11" ht="15.75" thickBot="1" x14ac:dyDescent="0.3">
      <c r="C4" s="19"/>
      <c r="D4" s="19"/>
      <c r="E4" s="19"/>
    </row>
    <row r="5" spans="3:11" ht="15.75" thickBot="1" x14ac:dyDescent="0.3">
      <c r="C5" s="148" t="s">
        <v>51</v>
      </c>
      <c r="D5" s="149" t="s">
        <v>52</v>
      </c>
      <c r="E5" s="207" t="s">
        <v>605</v>
      </c>
      <c r="H5" s="43"/>
      <c r="I5" s="47"/>
      <c r="J5" s="47"/>
      <c r="K5" s="47"/>
    </row>
    <row r="6" spans="3:11" x14ac:dyDescent="0.25">
      <c r="C6" s="21" t="s">
        <v>53</v>
      </c>
      <c r="D6" s="20"/>
      <c r="E6" s="208">
        <f>SUM(E7)</f>
        <v>10256579.285086986</v>
      </c>
      <c r="H6" s="43"/>
      <c r="I6" s="174"/>
      <c r="J6" s="174"/>
      <c r="K6" s="174"/>
    </row>
    <row r="7" spans="3:11" x14ac:dyDescent="0.25">
      <c r="C7" s="22" t="s">
        <v>54</v>
      </c>
      <c r="D7" s="23" t="s">
        <v>55</v>
      </c>
      <c r="E7" s="9">
        <f>CAPEX!G30*0.01</f>
        <v>10256579.285086986</v>
      </c>
      <c r="H7" s="43"/>
      <c r="I7" s="174"/>
      <c r="J7" s="174"/>
      <c r="K7" s="174"/>
    </row>
    <row r="8" spans="3:11" x14ac:dyDescent="0.25">
      <c r="C8" s="24" t="s">
        <v>56</v>
      </c>
      <c r="D8" s="25"/>
      <c r="E8" s="9">
        <f>SUM(E9:E15)</f>
        <v>766355825.02292478</v>
      </c>
      <c r="H8" s="43"/>
      <c r="I8" s="174"/>
      <c r="J8" s="174"/>
      <c r="K8" s="174"/>
    </row>
    <row r="9" spans="3:11" x14ac:dyDescent="0.25">
      <c r="C9" s="22" t="s">
        <v>57</v>
      </c>
      <c r="D9" s="26"/>
      <c r="E9" s="9">
        <f>'raw material'!G9</f>
        <v>621879225.52102077</v>
      </c>
      <c r="H9" s="43"/>
      <c r="I9" s="174"/>
      <c r="J9" s="174"/>
      <c r="K9" s="174"/>
    </row>
    <row r="10" spans="3:11" x14ac:dyDescent="0.25">
      <c r="C10" s="22" t="s">
        <v>58</v>
      </c>
      <c r="D10" s="27"/>
      <c r="E10" s="9">
        <f>'NH3 (총괄)'!O56</f>
        <v>8826524.614460893</v>
      </c>
      <c r="H10" s="43"/>
      <c r="I10" s="174"/>
      <c r="J10" s="174"/>
      <c r="K10" s="174"/>
    </row>
    <row r="11" spans="3:11" x14ac:dyDescent="0.25">
      <c r="C11" s="22" t="s">
        <v>59</v>
      </c>
      <c r="D11" s="28" t="s">
        <v>60</v>
      </c>
      <c r="E11" s="9">
        <f>SUM(E$27*0.01)</f>
        <v>10256579.285086986</v>
      </c>
      <c r="H11" s="43"/>
      <c r="I11" s="174"/>
      <c r="J11" s="174"/>
      <c r="K11" s="174"/>
    </row>
    <row r="12" spans="3:11" x14ac:dyDescent="0.25">
      <c r="C12" s="22" t="s">
        <v>61</v>
      </c>
      <c r="D12" s="27" t="s">
        <v>62</v>
      </c>
      <c r="E12" s="9">
        <f>SUM(E24*0.1)</f>
        <v>88834169.76703386</v>
      </c>
      <c r="H12" s="43"/>
      <c r="I12" s="174"/>
      <c r="J12" s="174"/>
      <c r="K12" s="174"/>
    </row>
    <row r="13" spans="3:11" x14ac:dyDescent="0.25">
      <c r="C13" s="22" t="s">
        <v>63</v>
      </c>
      <c r="D13" s="27" t="s">
        <v>64</v>
      </c>
      <c r="E13" s="9">
        <f>SUM(E12*0.3)</f>
        <v>26650250.930110157</v>
      </c>
      <c r="H13" s="43"/>
      <c r="I13" s="174"/>
      <c r="J13" s="174"/>
      <c r="K13" s="174"/>
    </row>
    <row r="14" spans="3:11" x14ac:dyDescent="0.25">
      <c r="C14" s="22" t="s">
        <v>65</v>
      </c>
      <c r="D14" s="27" t="s">
        <v>66</v>
      </c>
      <c r="E14" s="9">
        <f t="shared" ref="E14:G15" si="0">SUM(E11*0.1)</f>
        <v>1025657.9285086986</v>
      </c>
      <c r="H14" s="43"/>
      <c r="I14" s="174"/>
      <c r="J14" s="174"/>
      <c r="K14" s="174"/>
    </row>
    <row r="15" spans="3:11" x14ac:dyDescent="0.25">
      <c r="C15" s="22" t="s">
        <v>67</v>
      </c>
      <c r="D15" s="27" t="s">
        <v>68</v>
      </c>
      <c r="E15" s="9">
        <f t="shared" si="0"/>
        <v>8883416.9767033868</v>
      </c>
      <c r="H15" s="43"/>
      <c r="I15" s="174"/>
      <c r="J15" s="174"/>
      <c r="K15" s="174"/>
    </row>
    <row r="16" spans="3:11" x14ac:dyDescent="0.25">
      <c r="C16" s="22"/>
      <c r="D16" s="27"/>
      <c r="E16" s="9"/>
      <c r="I16" s="174"/>
      <c r="J16" s="174"/>
      <c r="K16" s="174"/>
    </row>
    <row r="17" spans="3:11" x14ac:dyDescent="0.25">
      <c r="C17" s="24" t="s">
        <v>69</v>
      </c>
      <c r="D17" s="27" t="s">
        <v>70</v>
      </c>
      <c r="E17" s="9" cm="1">
        <f t="array" ref="E17">SUM(0.5*(E11:E13))</f>
        <v>62870499.991115503</v>
      </c>
      <c r="I17" s="174"/>
      <c r="J17" s="174"/>
      <c r="K17" s="174"/>
    </row>
    <row r="18" spans="3:11" x14ac:dyDescent="0.25">
      <c r="C18" s="22"/>
      <c r="D18" s="27"/>
      <c r="E18" s="9"/>
      <c r="I18" s="174"/>
      <c r="J18" s="174"/>
      <c r="K18" s="174"/>
    </row>
    <row r="19" spans="3:11" x14ac:dyDescent="0.25">
      <c r="C19" s="24" t="s">
        <v>71</v>
      </c>
      <c r="D19" s="27"/>
      <c r="E19" s="9">
        <f>SUM(E20:E22)</f>
        <v>48858793.371868618</v>
      </c>
      <c r="I19" s="174"/>
      <c r="J19" s="174"/>
      <c r="K19" s="174"/>
    </row>
    <row r="20" spans="3:11" x14ac:dyDescent="0.25">
      <c r="C20" s="22" t="s">
        <v>72</v>
      </c>
      <c r="D20" s="27" t="s">
        <v>73</v>
      </c>
      <c r="E20" s="9">
        <f>SUM(E12*0.15)</f>
        <v>13325125.465055078</v>
      </c>
      <c r="I20" s="174"/>
      <c r="J20" s="174"/>
      <c r="K20" s="174"/>
    </row>
    <row r="21" spans="3:11" x14ac:dyDescent="0.25">
      <c r="C21" s="22" t="s">
        <v>74</v>
      </c>
      <c r="D21" s="27" t="s">
        <v>75</v>
      </c>
      <c r="E21" s="9">
        <f>SUM(E24*0.02)</f>
        <v>17766833.95340677</v>
      </c>
      <c r="I21" s="174"/>
      <c r="J21" s="174"/>
      <c r="K21" s="174"/>
    </row>
    <row r="22" spans="3:11" x14ac:dyDescent="0.25">
      <c r="C22" s="22" t="s">
        <v>76</v>
      </c>
      <c r="D22" s="27" t="s">
        <v>77</v>
      </c>
      <c r="E22" s="9">
        <f>SUM(E24*0.02)</f>
        <v>17766833.95340677</v>
      </c>
      <c r="I22" s="174"/>
      <c r="J22" s="174"/>
      <c r="K22" s="174"/>
    </row>
    <row r="23" spans="3:11" x14ac:dyDescent="0.25">
      <c r="C23" s="22"/>
      <c r="D23" s="27"/>
      <c r="E23" s="9"/>
      <c r="I23" s="174"/>
      <c r="J23" s="174"/>
      <c r="K23" s="174"/>
    </row>
    <row r="24" spans="3:11" ht="15.75" thickBot="1" x14ac:dyDescent="0.3">
      <c r="C24" s="29" t="s">
        <v>78</v>
      </c>
      <c r="D24" s="30"/>
      <c r="E24" s="187">
        <f>1.35135135135*(E28+0.026*E27)</f>
        <v>888341697.67033851</v>
      </c>
      <c r="I24" s="174"/>
      <c r="J24" s="174"/>
      <c r="K24" s="174"/>
    </row>
    <row r="25" spans="3:11" x14ac:dyDescent="0.25">
      <c r="C25" s="19"/>
      <c r="D25" s="19"/>
      <c r="E25" s="19"/>
      <c r="I25" s="175"/>
      <c r="J25" s="174"/>
      <c r="K25" s="174"/>
    </row>
    <row r="26" spans="3:11" x14ac:dyDescent="0.25">
      <c r="C26" s="19"/>
      <c r="D26" s="19"/>
      <c r="E26" s="19"/>
      <c r="J26" s="170"/>
      <c r="K26" s="36"/>
    </row>
    <row r="27" spans="3:11" x14ac:dyDescent="0.25">
      <c r="C27" s="19"/>
      <c r="D27" s="19" t="s">
        <v>79</v>
      </c>
      <c r="E27" s="31">
        <f>CAPEX!$G$30</f>
        <v>1025657928.5086985</v>
      </c>
      <c r="J27" s="170"/>
      <c r="K27" s="36"/>
    </row>
    <row r="28" spans="3:11" x14ac:dyDescent="0.25">
      <c r="C28" s="19"/>
      <c r="D28" s="19" t="s">
        <v>80</v>
      </c>
      <c r="E28" s="31">
        <f>SUM(E29:E30)</f>
        <v>630705750.13548172</v>
      </c>
      <c r="J28" s="170"/>
      <c r="K28" s="36"/>
    </row>
    <row r="29" spans="3:11" x14ac:dyDescent="0.3">
      <c r="D29" s="1" t="s">
        <v>81</v>
      </c>
      <c r="E29" s="36">
        <f>'NH3 (총괄)'!O56</f>
        <v>8826524.614460893</v>
      </c>
      <c r="J29" s="170"/>
      <c r="K29" s="36"/>
    </row>
    <row r="30" spans="3:11" x14ac:dyDescent="0.3">
      <c r="D30" s="1" t="s">
        <v>82</v>
      </c>
      <c r="E30" s="36">
        <f>'raw material'!G9</f>
        <v>621879225.52102077</v>
      </c>
      <c r="J30" s="170"/>
      <c r="K30" s="36"/>
    </row>
    <row r="31" spans="3:11" x14ac:dyDescent="0.3">
      <c r="J31" s="170"/>
      <c r="K31" s="36"/>
    </row>
    <row r="32" spans="3:11" x14ac:dyDescent="0.3">
      <c r="J32" s="170"/>
      <c r="K32" s="36"/>
    </row>
    <row r="33" spans="8:11" x14ac:dyDescent="0.3">
      <c r="H33" s="43"/>
      <c r="J33" s="170"/>
      <c r="K33" s="36"/>
    </row>
    <row r="34" spans="8:11" x14ac:dyDescent="0.3">
      <c r="H34" s="43"/>
      <c r="J34" s="170"/>
      <c r="K34" s="36"/>
    </row>
    <row r="35" spans="8:11" x14ac:dyDescent="0.3">
      <c r="H35" s="43"/>
      <c r="J35" s="170"/>
      <c r="K35" s="36"/>
    </row>
    <row r="36" spans="8:11" x14ac:dyDescent="0.3">
      <c r="H36" s="43"/>
      <c r="J36" s="170"/>
      <c r="K36" s="36"/>
    </row>
    <row r="37" spans="8:11" x14ac:dyDescent="0.3">
      <c r="H37" s="43"/>
      <c r="J37" s="170"/>
      <c r="K37" s="36"/>
    </row>
    <row r="38" spans="8:11" x14ac:dyDescent="0.3">
      <c r="H38" s="43"/>
      <c r="J38" s="170"/>
      <c r="K38" s="36"/>
    </row>
    <row r="39" spans="8:11" x14ac:dyDescent="0.3">
      <c r="H39" s="43"/>
      <c r="J39" s="170"/>
      <c r="K39" s="36"/>
    </row>
    <row r="40" spans="8:11" x14ac:dyDescent="0.3">
      <c r="H40" s="43"/>
      <c r="I40" s="2"/>
      <c r="J40" s="172"/>
      <c r="K40" s="36"/>
    </row>
    <row r="41" spans="8:11" x14ac:dyDescent="0.3">
      <c r="H41" s="43"/>
      <c r="J41" s="170"/>
    </row>
    <row r="42" spans="8:11" x14ac:dyDescent="0.3">
      <c r="H42" s="43"/>
      <c r="I42" s="2"/>
      <c r="J42" s="170"/>
      <c r="K42" s="17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6EE1-1C14-425E-B93E-F4540F913D37}">
  <sheetPr codeName="Sheet1"/>
  <dimension ref="C3:K36"/>
  <sheetViews>
    <sheetView zoomScaleNormal="100" workbookViewId="0">
      <selection activeCell="G21" sqref="G21"/>
    </sheetView>
  </sheetViews>
  <sheetFormatPr defaultRowHeight="15" x14ac:dyDescent="0.3"/>
  <cols>
    <col min="1" max="2" width="9" style="1"/>
    <col min="3" max="3" width="35.125" style="1" customWidth="1"/>
    <col min="4" max="4" width="25.125" style="1" bestFit="1" customWidth="1"/>
    <col min="5" max="5" width="22.375" style="1" bestFit="1" customWidth="1"/>
    <col min="6" max="6" width="26.75" style="1" customWidth="1"/>
    <col min="7" max="7" width="33.5" style="1" bestFit="1" customWidth="1"/>
    <col min="8" max="8" width="14.25" style="1" customWidth="1"/>
    <col min="9" max="9" width="27.5" style="1" customWidth="1"/>
    <col min="10" max="10" width="26.25" style="1" customWidth="1"/>
    <col min="11" max="11" width="9.875" style="1" customWidth="1"/>
    <col min="12" max="16384" width="9" style="1"/>
  </cols>
  <sheetData>
    <row r="3" spans="3:11" x14ac:dyDescent="0.3">
      <c r="C3" s="2" t="s">
        <v>83</v>
      </c>
    </row>
    <row r="4" spans="3:11" ht="15.75" thickBot="1" x14ac:dyDescent="0.35"/>
    <row r="5" spans="3:11" ht="15.75" thickBot="1" x14ac:dyDescent="0.35">
      <c r="C5" s="192"/>
      <c r="D5" s="193" t="s">
        <v>597</v>
      </c>
      <c r="J5" s="171"/>
      <c r="K5" s="171"/>
    </row>
    <row r="6" spans="3:11" x14ac:dyDescent="0.3">
      <c r="C6" s="194" t="s">
        <v>85</v>
      </c>
      <c r="D6" s="200">
        <f>OPEX!E24</f>
        <v>888341697.67033851</v>
      </c>
    </row>
    <row r="7" spans="3:11" x14ac:dyDescent="0.3">
      <c r="C7" s="194" t="s">
        <v>86</v>
      </c>
      <c r="D7" s="201">
        <f>CAPEX!G30/'Parameters &amp; Assumptions'!C4</f>
        <v>34188597.616956614</v>
      </c>
    </row>
    <row r="8" spans="3:11" x14ac:dyDescent="0.3">
      <c r="C8" s="194" t="s">
        <v>87</v>
      </c>
      <c r="D8" s="201">
        <v>179954.94176499601</v>
      </c>
    </row>
    <row r="9" spans="3:11" ht="15.75" thickBot="1" x14ac:dyDescent="0.35">
      <c r="C9" s="195" t="s">
        <v>88</v>
      </c>
      <c r="D9" s="205">
        <f>(D6+D7)/D8</f>
        <v>5126.4515785958893</v>
      </c>
    </row>
    <row r="10" spans="3:11" x14ac:dyDescent="0.3">
      <c r="G10" s="191"/>
    </row>
    <row r="17" spans="3:7" x14ac:dyDescent="0.3">
      <c r="D17" s="57">
        <f>SUM(D20:D25)</f>
        <v>922530295.28795254</v>
      </c>
    </row>
    <row r="19" spans="3:7" ht="16.5" x14ac:dyDescent="0.3">
      <c r="C19" s="203" t="s">
        <v>89</v>
      </c>
      <c r="D19" s="204" t="s">
        <v>597</v>
      </c>
    </row>
    <row r="20" spans="3:7" ht="16.5" x14ac:dyDescent="0.3">
      <c r="C20" s="204" t="s">
        <v>91</v>
      </c>
      <c r="D20" s="146">
        <f>OPEX!E9</f>
        <v>621879225.52102077</v>
      </c>
    </row>
    <row r="21" spans="3:7" ht="16.5" x14ac:dyDescent="0.3">
      <c r="C21" s="204" t="s">
        <v>92</v>
      </c>
      <c r="D21" s="146">
        <f>OPEX!E10</f>
        <v>8826524.614460893</v>
      </c>
    </row>
    <row r="22" spans="3:7" ht="16.5" x14ac:dyDescent="0.3">
      <c r="C22" s="204" t="s">
        <v>93</v>
      </c>
      <c r="D22" s="146">
        <f>OPEX!E12+OPEX!E13</f>
        <v>115484420.69714402</v>
      </c>
    </row>
    <row r="23" spans="3:7" ht="16.5" x14ac:dyDescent="0.3">
      <c r="C23" s="204" t="s">
        <v>94</v>
      </c>
      <c r="D23" s="146">
        <f>OPEX!E11</f>
        <v>10256579.285086986</v>
      </c>
    </row>
    <row r="24" spans="3:7" ht="16.5" x14ac:dyDescent="0.3">
      <c r="C24" s="204" t="s">
        <v>95</v>
      </c>
      <c r="D24" s="146">
        <f>OPEX!E14+OPEX!E15+OPEX!E17+OPEX!E19+OPEX!E7</f>
        <v>131894947.55328318</v>
      </c>
      <c r="G24" s="191"/>
    </row>
    <row r="25" spans="3:7" ht="16.5" x14ac:dyDescent="0.3">
      <c r="C25" s="204" t="s">
        <v>96</v>
      </c>
      <c r="D25" s="202">
        <f>CAPEX!G30/'Parameters &amp; Assumptions'!$C$4</f>
        <v>34188597.616956614</v>
      </c>
    </row>
    <row r="26" spans="3:7" ht="16.5" x14ac:dyDescent="0.3">
      <c r="C26" s="203" t="s">
        <v>97</v>
      </c>
      <c r="D26" s="202">
        <f>D8</f>
        <v>179954.94176499601</v>
      </c>
    </row>
    <row r="29" spans="3:7" ht="16.5" x14ac:dyDescent="0.3">
      <c r="C29" s="203" t="s">
        <v>98</v>
      </c>
      <c r="D29" s="204" t="s">
        <v>597</v>
      </c>
    </row>
    <row r="30" spans="3:7" ht="16.5" x14ac:dyDescent="0.3">
      <c r="C30" s="204" t="s">
        <v>91</v>
      </c>
      <c r="D30" s="328">
        <f t="shared" ref="D30:E35" si="0">D20/D$26</f>
        <v>3455.7496416693893</v>
      </c>
    </row>
    <row r="31" spans="3:7" ht="16.5" x14ac:dyDescent="0.3">
      <c r="C31" s="204" t="s">
        <v>92</v>
      </c>
      <c r="D31" s="328">
        <f t="shared" si="0"/>
        <v>49.04852585814227</v>
      </c>
    </row>
    <row r="32" spans="3:7" ht="16.5" x14ac:dyDescent="0.3">
      <c r="C32" s="204" t="s">
        <v>93</v>
      </c>
      <c r="D32" s="328">
        <f t="shared" si="0"/>
        <v>641.74075779455757</v>
      </c>
    </row>
    <row r="33" spans="3:7" ht="16.5" x14ac:dyDescent="0.3">
      <c r="C33" s="204" t="s">
        <v>94</v>
      </c>
      <c r="D33" s="328">
        <f t="shared" si="0"/>
        <v>56.995263283634081</v>
      </c>
    </row>
    <row r="34" spans="3:7" ht="16.5" x14ac:dyDescent="0.3">
      <c r="C34" s="204" t="s">
        <v>95</v>
      </c>
      <c r="D34" s="328">
        <f t="shared" si="0"/>
        <v>732.93317904837204</v>
      </c>
    </row>
    <row r="35" spans="3:7" ht="16.5" x14ac:dyDescent="0.3">
      <c r="C35" s="204" t="s">
        <v>96</v>
      </c>
      <c r="D35" s="328">
        <f t="shared" si="0"/>
        <v>189.9842109454469</v>
      </c>
      <c r="G35" s="191"/>
    </row>
    <row r="36" spans="3:7" ht="16.5" x14ac:dyDescent="0.3">
      <c r="C36" s="204" t="s">
        <v>99</v>
      </c>
      <c r="D36" s="328">
        <f>SUM(D30:D35)</f>
        <v>5126.4515785995418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2A12-A633-43CB-A52E-97307D374443}">
  <sheetPr codeName="Sheet5"/>
  <dimension ref="C2:M47"/>
  <sheetViews>
    <sheetView workbookViewId="0">
      <selection activeCell="E54" sqref="E54"/>
    </sheetView>
  </sheetViews>
  <sheetFormatPr defaultColWidth="9" defaultRowHeight="15" x14ac:dyDescent="0.3"/>
  <cols>
    <col min="1" max="2" width="9" style="1"/>
    <col min="3" max="3" width="31.625" style="1" bestFit="1" customWidth="1"/>
    <col min="4" max="4" width="24.25" style="1" bestFit="1" customWidth="1"/>
    <col min="5" max="5" width="19.75" style="1" bestFit="1" customWidth="1"/>
    <col min="6" max="6" width="15" style="1" bestFit="1" customWidth="1"/>
    <col min="7" max="9" width="9" style="1"/>
    <col min="10" max="10" width="31.375" style="1" bestFit="1" customWidth="1"/>
    <col min="11" max="11" width="24.25" style="1" bestFit="1" customWidth="1"/>
    <col min="12" max="12" width="19.75" style="1" bestFit="1" customWidth="1"/>
    <col min="13" max="13" width="15" style="1" bestFit="1" customWidth="1"/>
    <col min="14" max="16384" width="9" style="1"/>
  </cols>
  <sheetData>
    <row r="2" spans="3:13" ht="19.5" x14ac:dyDescent="0.3">
      <c r="C2" s="206" t="s">
        <v>102</v>
      </c>
      <c r="J2" s="206" t="s">
        <v>103</v>
      </c>
    </row>
    <row r="3" spans="3:13" x14ac:dyDescent="0.3">
      <c r="C3" s="44" t="s">
        <v>104</v>
      </c>
      <c r="D3" s="44" t="s">
        <v>105</v>
      </c>
      <c r="E3" s="44" t="s">
        <v>106</v>
      </c>
      <c r="F3" s="44" t="s">
        <v>107</v>
      </c>
      <c r="H3" s="47"/>
      <c r="I3" s="47"/>
      <c r="J3" s="44" t="s">
        <v>104</v>
      </c>
      <c r="K3" s="44" t="s">
        <v>105</v>
      </c>
      <c r="L3" s="44" t="s">
        <v>106</v>
      </c>
      <c r="M3" s="44" t="s">
        <v>107</v>
      </c>
    </row>
    <row r="4" spans="3:13" x14ac:dyDescent="0.3">
      <c r="C4" s="47" t="s">
        <v>108</v>
      </c>
      <c r="D4" s="43" t="s">
        <v>109</v>
      </c>
      <c r="E4" s="170">
        <v>600000000</v>
      </c>
      <c r="F4" s="36">
        <f>E4/'Parameters &amp; Assumptions'!$C$12</f>
        <v>435003.26252446894</v>
      </c>
      <c r="H4" s="43"/>
      <c r="J4" s="47" t="s">
        <v>108</v>
      </c>
      <c r="K4" s="43" t="s">
        <v>109</v>
      </c>
      <c r="L4" s="170">
        <f>600000000*((300000/12775)^0.6)</f>
        <v>3986644020.5486984</v>
      </c>
      <c r="M4" s="36">
        <f>L4/'Parameters &amp; Assumptions'!$C$12</f>
        <v>2890338.5924372496</v>
      </c>
    </row>
    <row r="5" spans="3:13" ht="30" x14ac:dyDescent="0.3">
      <c r="C5" s="47" t="s">
        <v>110</v>
      </c>
      <c r="D5" s="182" t="s">
        <v>111</v>
      </c>
      <c r="E5" s="170">
        <v>8400000000</v>
      </c>
      <c r="F5" s="36">
        <f>E5/'Parameters &amp; Assumptions'!$C$12</f>
        <v>6090045.6753425654</v>
      </c>
      <c r="H5" s="43"/>
      <c r="I5" s="171"/>
      <c r="J5" s="47" t="s">
        <v>110</v>
      </c>
      <c r="K5" s="182" t="s">
        <v>111</v>
      </c>
      <c r="L5" s="170">
        <f>8400000000*((300000/12775)^0.6)</f>
        <v>55813016287.681778</v>
      </c>
      <c r="M5" s="36">
        <f>L5/'Parameters &amp; Assumptions'!$C$12</f>
        <v>40464740.294121496</v>
      </c>
    </row>
    <row r="6" spans="3:13" x14ac:dyDescent="0.3">
      <c r="C6" s="47"/>
      <c r="D6" s="43" t="s">
        <v>112</v>
      </c>
      <c r="E6" s="170">
        <v>1700000000</v>
      </c>
      <c r="F6" s="36">
        <f>E6/'Parameters &amp; Assumptions'!$C$12</f>
        <v>1232509.2438193287</v>
      </c>
      <c r="H6" s="43"/>
      <c r="J6" s="47"/>
      <c r="K6" s="43" t="s">
        <v>112</v>
      </c>
      <c r="L6" s="170">
        <f>1700000000*((300000/12775)^0.6)</f>
        <v>11295491391.554646</v>
      </c>
      <c r="M6" s="36">
        <f>L6/'Parameters &amp; Assumptions'!$C$12</f>
        <v>8189292.6785722077</v>
      </c>
    </row>
    <row r="7" spans="3:13" x14ac:dyDescent="0.3">
      <c r="C7" s="47"/>
      <c r="D7" s="43" t="s">
        <v>113</v>
      </c>
      <c r="E7" s="170">
        <v>600000000</v>
      </c>
      <c r="F7" s="36">
        <f>E7/'Parameters &amp; Assumptions'!$C$12</f>
        <v>435003.26252446894</v>
      </c>
      <c r="H7" s="43"/>
      <c r="J7" s="47"/>
      <c r="K7" s="43" t="s">
        <v>113</v>
      </c>
      <c r="L7" s="170">
        <f>600000000*((300000/12775)^0.6)</f>
        <v>3986644020.5486984</v>
      </c>
      <c r="M7" s="36">
        <f>L7/'Parameters &amp; Assumptions'!$C$12</f>
        <v>2890338.5924372496</v>
      </c>
    </row>
    <row r="8" spans="3:13" x14ac:dyDescent="0.3">
      <c r="C8" s="47" t="s">
        <v>114</v>
      </c>
      <c r="D8" s="43" t="s">
        <v>115</v>
      </c>
      <c r="E8" s="170">
        <v>540000000</v>
      </c>
      <c r="F8" s="36">
        <f>E8/'Parameters &amp; Assumptions'!$C$12</f>
        <v>391502.93627202208</v>
      </c>
      <c r="H8" s="43"/>
      <c r="J8" s="47" t="s">
        <v>114</v>
      </c>
      <c r="K8" s="43" t="s">
        <v>115</v>
      </c>
      <c r="L8" s="170">
        <f>540000000*((300000/12775)^0.6)</f>
        <v>3587979618.4938283</v>
      </c>
      <c r="M8" s="36">
        <f>L8/'Parameters &amp; Assumptions'!$C$12</f>
        <v>2601304.7331935246</v>
      </c>
    </row>
    <row r="9" spans="3:13" x14ac:dyDescent="0.3">
      <c r="C9" s="47"/>
      <c r="D9" s="43" t="s">
        <v>116</v>
      </c>
      <c r="E9" s="170">
        <v>6600000000</v>
      </c>
      <c r="F9" s="36">
        <f>E9/'Parameters &amp; Assumptions'!$C$12</f>
        <v>4785035.887769158</v>
      </c>
      <c r="H9" s="43"/>
      <c r="J9" s="47"/>
      <c r="K9" s="43" t="s">
        <v>116</v>
      </c>
      <c r="L9" s="170">
        <f>6600000000*((300000/12775)^0.6)</f>
        <v>43853084226.035683</v>
      </c>
      <c r="M9" s="36">
        <f>L9/'Parameters &amp; Assumptions'!$C$12</f>
        <v>31793724.516809747</v>
      </c>
    </row>
    <row r="10" spans="3:13" x14ac:dyDescent="0.3">
      <c r="C10" s="47"/>
      <c r="D10" s="43" t="s">
        <v>117</v>
      </c>
      <c r="E10" s="170">
        <v>800000000</v>
      </c>
      <c r="F10" s="36">
        <f>E10/'Parameters &amp; Assumptions'!$C$12</f>
        <v>580004.35003262525</v>
      </c>
      <c r="H10" s="43"/>
      <c r="J10" s="47"/>
      <c r="K10" s="43" t="s">
        <v>117</v>
      </c>
      <c r="L10" s="170">
        <f>800000000*((300000/12775)^0.6)</f>
        <v>5315525360.7315979</v>
      </c>
      <c r="M10" s="36">
        <f>L10/'Parameters &amp; Assumptions'!$C$12</f>
        <v>3853784.7899163328</v>
      </c>
    </row>
    <row r="11" spans="3:13" x14ac:dyDescent="0.3">
      <c r="C11" s="47"/>
      <c r="D11" s="43" t="s">
        <v>118</v>
      </c>
      <c r="E11" s="170">
        <v>4160000000</v>
      </c>
      <c r="F11" s="36">
        <f>E11/'Parameters &amp; Assumptions'!$C$12</f>
        <v>3016022.6201696512</v>
      </c>
      <c r="H11" s="43"/>
      <c r="J11" s="47"/>
      <c r="K11" s="43" t="s">
        <v>118</v>
      </c>
      <c r="L11" s="170">
        <f>4160000000*((300000/12775)^0.6)</f>
        <v>27640731875.80431</v>
      </c>
      <c r="M11" s="36">
        <f>L11/'Parameters &amp; Assumptions'!$C$12</f>
        <v>20039680.907564931</v>
      </c>
    </row>
    <row r="12" spans="3:13" x14ac:dyDescent="0.3">
      <c r="C12" s="47"/>
      <c r="D12" s="43" t="s">
        <v>119</v>
      </c>
      <c r="E12" s="170">
        <v>2200000000</v>
      </c>
      <c r="F12" s="36">
        <f>E12/'Parameters &amp; Assumptions'!$C$12</f>
        <v>1595011.9625897196</v>
      </c>
      <c r="H12" s="43"/>
      <c r="J12" s="47"/>
      <c r="K12" s="43" t="s">
        <v>119</v>
      </c>
      <c r="L12" s="170">
        <f>2200000000*((300000/12775)^0.6)</f>
        <v>14617694742.011894</v>
      </c>
      <c r="M12" s="36">
        <f>L12/'Parameters &amp; Assumptions'!$C$12</f>
        <v>10597908.172269916</v>
      </c>
    </row>
    <row r="13" spans="3:13" x14ac:dyDescent="0.3">
      <c r="C13" s="47"/>
      <c r="D13" s="43" t="s">
        <v>120</v>
      </c>
      <c r="E13" s="170">
        <v>1000000000</v>
      </c>
      <c r="F13" s="36">
        <f>E13/'Parameters &amp; Assumptions'!$C$12</f>
        <v>725005.43754078157</v>
      </c>
      <c r="H13" s="43"/>
      <c r="J13" s="47"/>
      <c r="K13" s="43" t="s">
        <v>120</v>
      </c>
      <c r="L13" s="170">
        <f>1000000000*((300000/12775)^0.6)</f>
        <v>6644406700.9144974</v>
      </c>
      <c r="M13" s="36">
        <f>L13/'Parameters &amp; Assumptions'!$C$12</f>
        <v>4817230.987395416</v>
      </c>
    </row>
    <row r="14" spans="3:13" x14ac:dyDescent="0.3">
      <c r="C14" s="47" t="s">
        <v>121</v>
      </c>
      <c r="D14" s="43" t="s">
        <v>122</v>
      </c>
      <c r="E14" s="170">
        <v>200000000</v>
      </c>
      <c r="F14" s="36">
        <f>E14/'Parameters &amp; Assumptions'!$C$12</f>
        <v>145001.08750815631</v>
      </c>
      <c r="H14" s="43"/>
      <c r="J14" s="47" t="s">
        <v>121</v>
      </c>
      <c r="K14" s="43" t="s">
        <v>122</v>
      </c>
      <c r="L14" s="170">
        <v>200000000</v>
      </c>
      <c r="M14" s="36">
        <f>L14/'Parameters &amp; Assumptions'!$C$12</f>
        <v>145001.08750815631</v>
      </c>
    </row>
    <row r="15" spans="3:13" x14ac:dyDescent="0.3">
      <c r="C15" s="47"/>
      <c r="D15" s="43" t="s">
        <v>123</v>
      </c>
      <c r="E15" s="170">
        <v>50000000</v>
      </c>
      <c r="F15" s="36">
        <f>E15/'Parameters &amp; Assumptions'!$C$12</f>
        <v>36250.271877039078</v>
      </c>
      <c r="H15" s="43"/>
      <c r="J15" s="47"/>
      <c r="K15" s="43" t="s">
        <v>123</v>
      </c>
      <c r="L15" s="170">
        <v>50000000</v>
      </c>
      <c r="M15" s="36">
        <f>L15/'Parameters &amp; Assumptions'!$C$12</f>
        <v>36250.271877039078</v>
      </c>
    </row>
    <row r="16" spans="3:13" x14ac:dyDescent="0.3">
      <c r="C16" s="47"/>
      <c r="D16" s="43" t="s">
        <v>124</v>
      </c>
      <c r="E16" s="170">
        <v>500000000</v>
      </c>
      <c r="F16" s="36">
        <f>E16/'Parameters &amp; Assumptions'!$C$12</f>
        <v>362502.71877039078</v>
      </c>
      <c r="H16" s="43"/>
      <c r="J16" s="47"/>
      <c r="K16" s="43" t="s">
        <v>124</v>
      </c>
      <c r="L16" s="170">
        <v>500000000</v>
      </c>
      <c r="M16" s="36">
        <f>L16/'Parameters &amp; Assumptions'!$C$12</f>
        <v>362502.71877039078</v>
      </c>
    </row>
    <row r="17" spans="3:13" x14ac:dyDescent="0.3">
      <c r="C17" s="47" t="s">
        <v>125</v>
      </c>
      <c r="D17" s="43"/>
      <c r="E17" s="170">
        <f>SUM(E5:E7,E8:E13)</f>
        <v>26000000000</v>
      </c>
      <c r="F17" s="170">
        <f>SUM(F5:F7,F8:F13)</f>
        <v>18850141.376060322</v>
      </c>
      <c r="H17" s="43"/>
      <c r="J17" s="47" t="s">
        <v>125</v>
      </c>
      <c r="K17" s="43"/>
      <c r="L17" s="170">
        <f>SUM(L5:L7,L8:L13)</f>
        <v>172754574223.77695</v>
      </c>
      <c r="M17" s="170">
        <f>SUM(M5:M7,M8:M13)</f>
        <v>125248005.67228083</v>
      </c>
    </row>
    <row r="18" spans="3:13" x14ac:dyDescent="0.3">
      <c r="C18" s="47" t="s">
        <v>126</v>
      </c>
      <c r="D18" s="43"/>
      <c r="E18" s="170">
        <f>SUM(E4,E14:E16)</f>
        <v>1350000000</v>
      </c>
      <c r="F18" s="170">
        <f>SUM(F4,F14:F16)</f>
        <v>978757.34068005509</v>
      </c>
      <c r="H18" s="43"/>
      <c r="J18" s="47" t="s">
        <v>126</v>
      </c>
      <c r="K18" s="43"/>
      <c r="L18" s="170">
        <f>SUM(L4,L14:L16)</f>
        <v>4736644020.5486984</v>
      </c>
      <c r="M18" s="170">
        <f>SUM(M4,M14:M16)</f>
        <v>3434092.6705928361</v>
      </c>
    </row>
    <row r="19" spans="3:13" x14ac:dyDescent="0.3">
      <c r="C19" s="48"/>
      <c r="D19" s="166" t="s">
        <v>127</v>
      </c>
      <c r="E19" s="173">
        <f>SUM(E4:E16)</f>
        <v>27350000000</v>
      </c>
      <c r="F19" s="173">
        <f>E19/'Parameters &amp; Assumptions'!$C$12</f>
        <v>19828898.716740377</v>
      </c>
      <c r="H19" s="43"/>
      <c r="I19" s="2"/>
      <c r="J19" s="48"/>
      <c r="K19" s="166" t="s">
        <v>127</v>
      </c>
      <c r="L19" s="173">
        <f>SUM(L4:L16)</f>
        <v>177491218244.32565</v>
      </c>
      <c r="M19" s="173">
        <f>L19/'Parameters &amp; Assumptions'!$C$12</f>
        <v>128682098.34287368</v>
      </c>
    </row>
    <row r="20" spans="3:13" x14ac:dyDescent="0.3">
      <c r="C20" s="43"/>
      <c r="E20" s="170"/>
      <c r="F20" s="36"/>
      <c r="J20" s="43"/>
      <c r="L20" s="170"/>
      <c r="M20" s="36"/>
    </row>
    <row r="21" spans="3:13" x14ac:dyDescent="0.3">
      <c r="C21" s="43"/>
      <c r="E21" s="170"/>
      <c r="F21" s="36"/>
      <c r="J21" s="43"/>
      <c r="L21" s="170"/>
      <c r="M21" s="36"/>
    </row>
    <row r="22" spans="3:13" x14ac:dyDescent="0.3">
      <c r="C22" s="44" t="s">
        <v>104</v>
      </c>
      <c r="D22" s="44" t="s">
        <v>105</v>
      </c>
      <c r="E22" s="44" t="s">
        <v>106</v>
      </c>
      <c r="F22" s="44" t="s">
        <v>128</v>
      </c>
      <c r="J22" s="44" t="s">
        <v>104</v>
      </c>
      <c r="K22" s="44" t="s">
        <v>105</v>
      </c>
      <c r="L22" s="44" t="s">
        <v>106</v>
      </c>
      <c r="M22" s="44" t="s">
        <v>128</v>
      </c>
    </row>
    <row r="23" spans="3:13" x14ac:dyDescent="0.3">
      <c r="C23" s="47" t="s">
        <v>129</v>
      </c>
      <c r="D23" s="47"/>
      <c r="E23" s="176">
        <f>SUM(E24)</f>
        <v>160200000</v>
      </c>
      <c r="F23" s="176">
        <f>SUM(F24)</f>
        <v>116145.87109403321</v>
      </c>
      <c r="J23" s="47" t="s">
        <v>129</v>
      </c>
      <c r="K23" s="47"/>
      <c r="L23" s="176">
        <f>SUM(L24)</f>
        <v>3762035225.048924</v>
      </c>
      <c r="M23" s="176">
        <f>SUM(M24)</f>
        <v>2727495.994380428</v>
      </c>
    </row>
    <row r="24" spans="3:13" hidden="1" x14ac:dyDescent="0.3">
      <c r="C24" s="43"/>
      <c r="D24" s="1" t="s">
        <v>130</v>
      </c>
      <c r="E24" s="170">
        <v>160200000</v>
      </c>
      <c r="F24" s="36">
        <f>E24/'Parameters &amp; Assumptions'!$C$12</f>
        <v>116145.87109403321</v>
      </c>
      <c r="J24" s="43"/>
      <c r="K24" s="1" t="s">
        <v>130</v>
      </c>
      <c r="L24" s="170">
        <f>160200000*((300000/12775))</f>
        <v>3762035225.048924</v>
      </c>
      <c r="M24" s="36">
        <f>L24/'Parameters &amp; Assumptions'!$C$12</f>
        <v>2727495.994380428</v>
      </c>
    </row>
    <row r="25" spans="3:13" x14ac:dyDescent="0.3">
      <c r="C25" s="47" t="s">
        <v>131</v>
      </c>
      <c r="E25" s="170">
        <f>SUM(E26:E36)</f>
        <v>2799065922</v>
      </c>
      <c r="F25" s="170">
        <f>SUM(F26:F36)</f>
        <v>2029338.0134851013</v>
      </c>
      <c r="J25" s="47" t="s">
        <v>131</v>
      </c>
      <c r="L25" s="170">
        <f>SUM(L26:L36)</f>
        <v>18164885573.746128</v>
      </c>
      <c r="M25" s="170">
        <f>SUM(M26:M36)</f>
        <v>13169640.813272044</v>
      </c>
    </row>
    <row r="26" spans="3:13" hidden="1" x14ac:dyDescent="0.3">
      <c r="C26" s="43"/>
      <c r="D26" s="1" t="s">
        <v>132</v>
      </c>
      <c r="E26" s="170">
        <v>853760000</v>
      </c>
      <c r="F26" s="36">
        <f>E26/'Parameters &amp; Assumptions'!$C$12</f>
        <v>618980.64235481771</v>
      </c>
      <c r="J26" s="43"/>
      <c r="K26" s="1" t="s">
        <v>132</v>
      </c>
      <c r="L26" s="170">
        <f>853760000*(L19/E19)</f>
        <v>5540581443.8126316</v>
      </c>
      <c r="M26" s="36">
        <f>L26/'Parameters &amp; Assumptions'!$C$12</f>
        <v>4016951.6739017125</v>
      </c>
    </row>
    <row r="27" spans="3:13" hidden="1" x14ac:dyDescent="0.3">
      <c r="C27" s="43"/>
      <c r="D27" s="1" t="s">
        <v>133</v>
      </c>
      <c r="E27" s="170">
        <v>328608000</v>
      </c>
      <c r="F27" s="36">
        <f>E27/'Parameters &amp; Assumptions'!$C$12</f>
        <v>238242.58681940116</v>
      </c>
      <c r="J27" s="43"/>
      <c r="K27" s="1" t="s">
        <v>133</v>
      </c>
      <c r="L27" s="170">
        <f>328608000*(L19/E19)</f>
        <v>2132542385.5514209</v>
      </c>
      <c r="M27" s="36">
        <f>L27/'Parameters &amp; Assumptions'!$C$12</f>
        <v>1546104.82531097</v>
      </c>
    </row>
    <row r="28" spans="3:13" hidden="1" x14ac:dyDescent="0.3">
      <c r="C28" s="43"/>
      <c r="D28" s="1" t="s">
        <v>134</v>
      </c>
      <c r="E28" s="170"/>
      <c r="F28" s="36"/>
      <c r="J28" s="43"/>
      <c r="K28" s="1" t="s">
        <v>134</v>
      </c>
      <c r="L28" s="170"/>
      <c r="M28" s="36"/>
    </row>
    <row r="29" spans="3:13" hidden="1" x14ac:dyDescent="0.3">
      <c r="C29" s="43"/>
      <c r="D29" s="1" t="s">
        <v>135</v>
      </c>
      <c r="E29" s="170">
        <v>374949120</v>
      </c>
      <c r="F29" s="36">
        <f>E29/'Parameters &amp; Assumptions'!$C$12</f>
        <v>271840.15080113104</v>
      </c>
      <c r="J29" s="43"/>
      <c r="K29" s="1" t="s">
        <v>135</v>
      </c>
      <c r="L29" s="170">
        <f>374949120*(L19/E19)</f>
        <v>2433278833.2152777</v>
      </c>
      <c r="M29" s="36">
        <f>L29/'Parameters &amp; Assumptions'!$C$12</f>
        <v>1764140.3851339649</v>
      </c>
    </row>
    <row r="30" spans="3:13" hidden="1" x14ac:dyDescent="0.3">
      <c r="C30" s="43"/>
      <c r="D30" s="1" t="s">
        <v>136</v>
      </c>
      <c r="E30" s="170">
        <v>102350976</v>
      </c>
      <c r="F30" s="36">
        <f>E30/'Parameters &amp; Assumptions'!$C$12</f>
        <v>74205.014137606035</v>
      </c>
      <c r="J30" s="43"/>
      <c r="K30" s="1" t="s">
        <v>136</v>
      </c>
      <c r="L30" s="170">
        <f>102350976*(L19/E19)</f>
        <v>664219357.17498124</v>
      </c>
      <c r="M30" s="36">
        <f>L30/'Parameters &amp; Assumptions'!$C$12</f>
        <v>481562.64567170397</v>
      </c>
    </row>
    <row r="31" spans="3:13" hidden="1" x14ac:dyDescent="0.3">
      <c r="C31" s="43"/>
      <c r="D31" s="1" t="s">
        <v>137</v>
      </c>
      <c r="E31" s="170">
        <v>27840000</v>
      </c>
      <c r="F31" s="36">
        <f>E31/'Parameters &amp; Assumptions'!$C$12</f>
        <v>20184.151381135358</v>
      </c>
      <c r="J31" s="43"/>
      <c r="K31" s="1" t="s">
        <v>137</v>
      </c>
      <c r="L31" s="170">
        <f>27840000*(L19/E19)</f>
        <v>180671134.03736842</v>
      </c>
      <c r="M31" s="36">
        <f>L31/'Parameters &amp; Assumptions'!$C$12</f>
        <v>130987.55458375148</v>
      </c>
    </row>
    <row r="32" spans="3:13" hidden="1" x14ac:dyDescent="0.3">
      <c r="C32" s="43"/>
      <c r="D32" s="1" t="s">
        <v>138</v>
      </c>
      <c r="E32" s="170">
        <v>328976000</v>
      </c>
      <c r="F32" s="36">
        <f>E32/'Parameters &amp; Assumptions'!$C$12</f>
        <v>238509.38882041615</v>
      </c>
      <c r="J32" s="43"/>
      <c r="K32" s="1" t="s">
        <v>138</v>
      </c>
      <c r="L32" s="170">
        <f>328976000*(L19/E19)</f>
        <v>2134930567.2082367</v>
      </c>
      <c r="M32" s="36">
        <f>L32/'Parameters &amp; Assumptions'!$C$12</f>
        <v>1547836.2699979967</v>
      </c>
    </row>
    <row r="33" spans="3:13" hidden="1" x14ac:dyDescent="0.3">
      <c r="C33" s="43"/>
      <c r="D33" s="1" t="s">
        <v>139</v>
      </c>
      <c r="E33" s="170">
        <v>417600000</v>
      </c>
      <c r="F33" s="36">
        <f>E33/'Parameters &amp; Assumptions'!$C$12</f>
        <v>302762.27071703039</v>
      </c>
      <c r="J33" s="43"/>
      <c r="K33" s="1" t="s">
        <v>139</v>
      </c>
      <c r="L33" s="170">
        <f>417600000*(L19/E19)</f>
        <v>2710067010.5605264</v>
      </c>
      <c r="M33" s="36">
        <f>L33/'Parameters &amp; Assumptions'!$C$12</f>
        <v>1964813.3187562723</v>
      </c>
    </row>
    <row r="34" spans="3:13" hidden="1" x14ac:dyDescent="0.3">
      <c r="C34" s="43"/>
      <c r="D34" s="1" t="s">
        <v>140</v>
      </c>
      <c r="E34" s="170">
        <v>42141826</v>
      </c>
      <c r="F34" s="36">
        <f>E34/'Parameters &amp; Assumptions'!$C$12</f>
        <v>30553.052997897485</v>
      </c>
      <c r="J34" s="43"/>
      <c r="K34" s="1" t="s">
        <v>140</v>
      </c>
      <c r="L34" s="170">
        <f>42141826*(L19/E19)</f>
        <v>273484608.25522476</v>
      </c>
      <c r="M34" s="36">
        <f>L34/'Parameters &amp; Assumptions'!$C$12</f>
        <v>198277.82806874847</v>
      </c>
    </row>
    <row r="35" spans="3:13" hidden="1" x14ac:dyDescent="0.3">
      <c r="C35" s="43"/>
      <c r="D35" s="1" t="s">
        <v>141</v>
      </c>
      <c r="E35" s="170">
        <v>213440000</v>
      </c>
      <c r="F35" s="36">
        <f>E35/'Parameters &amp; Assumptions'!$C$12</f>
        <v>154745.16058870443</v>
      </c>
      <c r="J35" s="43"/>
      <c r="K35" s="1" t="s">
        <v>141</v>
      </c>
      <c r="L35" s="170">
        <f>213440000*(L19/E19)</f>
        <v>1385145360.9531579</v>
      </c>
      <c r="M35" s="36">
        <f>L35/'Parameters &amp; Assumptions'!$C$12</f>
        <v>1004237.9184754281</v>
      </c>
    </row>
    <row r="36" spans="3:13" hidden="1" x14ac:dyDescent="0.3">
      <c r="C36" s="43"/>
      <c r="D36" s="1" t="s">
        <v>142</v>
      </c>
      <c r="E36" s="170">
        <v>109400000</v>
      </c>
      <c r="F36" s="36">
        <f>E36/'Parameters &amp; Assumptions'!$C$12</f>
        <v>79315.594866961503</v>
      </c>
      <c r="J36" s="43"/>
      <c r="K36" s="1" t="s">
        <v>142</v>
      </c>
      <c r="L36" s="170">
        <f>109400000*(L19/E19)</f>
        <v>709964872.97730255</v>
      </c>
      <c r="M36" s="36">
        <f>L36/'Parameters &amp; Assumptions'!$C$12</f>
        <v>514728.39337149466</v>
      </c>
    </row>
    <row r="37" spans="3:13" x14ac:dyDescent="0.3">
      <c r="C37" s="47" t="s">
        <v>143</v>
      </c>
      <c r="E37" s="170">
        <f>SUM(E38:E42)</f>
        <v>65280000</v>
      </c>
      <c r="F37" s="170">
        <f>SUM(F38:F42)</f>
        <v>47328.354962662226</v>
      </c>
      <c r="J37" s="47" t="s">
        <v>143</v>
      </c>
      <c r="L37" s="170">
        <f>SUM(L38:L42)</f>
        <v>423642659.12210524</v>
      </c>
      <c r="M37" s="170">
        <f>SUM(M38:M42)</f>
        <v>307143.23143776209</v>
      </c>
    </row>
    <row r="38" spans="3:13" hidden="1" x14ac:dyDescent="0.3">
      <c r="C38" s="47"/>
      <c r="D38" s="1" t="s">
        <v>144</v>
      </c>
      <c r="E38" s="170">
        <v>35360000</v>
      </c>
      <c r="F38" s="36">
        <f>E38/'Parameters &amp; Assumptions'!$C$12</f>
        <v>25636.192271442036</v>
      </c>
      <c r="J38" s="47"/>
      <c r="K38" s="1" t="s">
        <v>144</v>
      </c>
      <c r="L38" s="170">
        <f>35360000*(L19/E19)</f>
        <v>229473107.02447367</v>
      </c>
      <c r="M38" s="36">
        <f>L38/'Parameters &amp; Assumptions'!$C$12</f>
        <v>166369.25036212112</v>
      </c>
    </row>
    <row r="39" spans="3:13" hidden="1" x14ac:dyDescent="0.3">
      <c r="C39" s="43"/>
      <c r="D39" s="1" t="s">
        <v>145</v>
      </c>
      <c r="E39" s="170">
        <v>7480000</v>
      </c>
      <c r="F39" s="36">
        <f>E39/'Parameters &amp; Assumptions'!$C$12</f>
        <v>5423.0406728050466</v>
      </c>
      <c r="J39" s="43"/>
      <c r="K39" s="1" t="s">
        <v>145</v>
      </c>
      <c r="L39" s="170">
        <f>7480000*(L19/E19)</f>
        <v>48542388.024407893</v>
      </c>
      <c r="M39" s="36">
        <f>L39/'Parameters &amp; Assumptions'!$C$12</f>
        <v>35193.495268910243</v>
      </c>
    </row>
    <row r="40" spans="3:13" hidden="1" x14ac:dyDescent="0.3">
      <c r="C40" s="43"/>
      <c r="D40" s="1" t="s">
        <v>146</v>
      </c>
      <c r="E40" s="170">
        <v>22440000</v>
      </c>
      <c r="F40" s="36">
        <f>E40/'Parameters &amp; Assumptions'!$C$12</f>
        <v>16269.122018415139</v>
      </c>
      <c r="J40" s="43"/>
      <c r="K40" s="1" t="s">
        <v>146</v>
      </c>
      <c r="L40" s="170">
        <f>22440000*(L19/E19)</f>
        <v>145627164.07322368</v>
      </c>
      <c r="M40" s="36">
        <f>L40/'Parameters &amp; Assumptions'!$C$12</f>
        <v>105580.48580673072</v>
      </c>
    </row>
    <row r="41" spans="3:13" hidden="1" x14ac:dyDescent="0.3">
      <c r="C41" s="43"/>
      <c r="D41" s="1" t="s">
        <v>147</v>
      </c>
      <c r="E41" s="170"/>
      <c r="F41" s="36"/>
      <c r="J41" s="43"/>
      <c r="K41" s="1" t="s">
        <v>147</v>
      </c>
      <c r="L41" s="170"/>
      <c r="M41" s="36"/>
    </row>
    <row r="42" spans="3:13" hidden="1" x14ac:dyDescent="0.3">
      <c r="C42" s="43"/>
      <c r="D42" s="1" t="s">
        <v>148</v>
      </c>
      <c r="E42" s="170"/>
      <c r="F42" s="36"/>
      <c r="J42" s="43"/>
      <c r="K42" s="1" t="s">
        <v>148</v>
      </c>
      <c r="L42" s="170"/>
      <c r="M42" s="36"/>
    </row>
    <row r="43" spans="3:13" x14ac:dyDescent="0.3">
      <c r="C43" s="47" t="s">
        <v>149</v>
      </c>
      <c r="E43" s="170">
        <f>SUM(E44)</f>
        <v>1641000000</v>
      </c>
      <c r="F43" s="170">
        <f>SUM(F44)</f>
        <v>1189733.9230044226</v>
      </c>
      <c r="J43" s="47" t="s">
        <v>149</v>
      </c>
      <c r="L43" s="170">
        <f>SUM(L44)</f>
        <v>38536203522.50489</v>
      </c>
      <c r="M43" s="170">
        <f>SUM(M44)</f>
        <v>27938957.095994268</v>
      </c>
    </row>
    <row r="44" spans="3:13" hidden="1" x14ac:dyDescent="0.3">
      <c r="C44" s="47"/>
      <c r="D44" s="1" t="s">
        <v>150</v>
      </c>
      <c r="E44" s="170">
        <v>1641000000</v>
      </c>
      <c r="F44" s="36">
        <f>E44/'Parameters &amp; Assumptions'!$C$12</f>
        <v>1189733.9230044226</v>
      </c>
      <c r="J44" s="47"/>
      <c r="K44" s="1" t="s">
        <v>150</v>
      </c>
      <c r="L44" s="170">
        <f>1641000000*(300000/12775)</f>
        <v>38536203522.50489</v>
      </c>
      <c r="M44" s="36">
        <f>L44/'Parameters &amp; Assumptions'!$C$12</f>
        <v>27938957.095994268</v>
      </c>
    </row>
    <row r="45" spans="3:13" x14ac:dyDescent="0.3">
      <c r="C45" s="47" t="s">
        <v>151</v>
      </c>
      <c r="E45" s="170">
        <f>E46</f>
        <v>2734454078</v>
      </c>
      <c r="F45" s="170">
        <f>F46</f>
        <v>1982494.0752555644</v>
      </c>
      <c r="J45" s="47" t="s">
        <v>151</v>
      </c>
      <c r="L45" s="170">
        <f>L46</f>
        <v>64214185784.735817</v>
      </c>
      <c r="M45" s="170">
        <f>M46</f>
        <v>46555633.861187428</v>
      </c>
    </row>
    <row r="46" spans="3:13" hidden="1" x14ac:dyDescent="0.3">
      <c r="C46" s="47"/>
      <c r="D46" s="1" t="s">
        <v>152</v>
      </c>
      <c r="E46" s="170">
        <v>2734454078</v>
      </c>
      <c r="F46" s="36">
        <f>E46/'Parameters &amp; Assumptions'!$C$12</f>
        <v>1982494.0752555644</v>
      </c>
      <c r="J46" s="47"/>
      <c r="K46" s="1" t="s">
        <v>152</v>
      </c>
      <c r="L46" s="170">
        <f>2734454078*(300000/12775)</f>
        <v>64214185784.735817</v>
      </c>
      <c r="M46" s="36">
        <f>L46/'Parameters &amp; Assumptions'!$C$12</f>
        <v>46555633.861187428</v>
      </c>
    </row>
    <row r="47" spans="3:13" x14ac:dyDescent="0.3">
      <c r="C47" s="48"/>
      <c r="D47" s="166" t="s">
        <v>153</v>
      </c>
      <c r="E47" s="173">
        <f>SUM(E45,E43,E37,E25,E23)</f>
        <v>7400000000</v>
      </c>
      <c r="F47" s="173">
        <f>E47/'Parameters &amp; Assumptions'!$C$12</f>
        <v>5365040.2378017837</v>
      </c>
      <c r="J47" s="48"/>
      <c r="K47" s="166" t="s">
        <v>153</v>
      </c>
      <c r="L47" s="173">
        <f>SUM(L45,L43,L37,L25,L23)</f>
        <v>125100952765.15785</v>
      </c>
      <c r="M47" s="173">
        <f>L47/'Parameters &amp; Assumptions'!$C$12</f>
        <v>90698870.996271923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E949-9894-49CF-952A-BF4D29CF50C6}">
  <sheetPr codeName="Sheet13"/>
  <dimension ref="C3:O99"/>
  <sheetViews>
    <sheetView topLeftCell="A48" zoomScale="70" zoomScaleNormal="70" workbookViewId="0">
      <selection activeCell="G72" sqref="G72"/>
    </sheetView>
  </sheetViews>
  <sheetFormatPr defaultColWidth="9" defaultRowHeight="15" x14ac:dyDescent="0.3"/>
  <cols>
    <col min="1" max="2" width="9" style="1"/>
    <col min="3" max="3" width="55.5" style="1" bestFit="1" customWidth="1"/>
    <col min="4" max="4" width="18" style="1" bestFit="1" customWidth="1"/>
    <col min="5" max="5" width="34.75" style="1" bestFit="1" customWidth="1"/>
    <col min="6" max="6" width="31.375" style="1" bestFit="1" customWidth="1"/>
    <col min="7" max="7" width="30.75" style="1" bestFit="1" customWidth="1"/>
    <col min="8" max="8" width="29.625" style="1" bestFit="1" customWidth="1"/>
    <col min="9" max="9" width="33.125" style="1" bestFit="1" customWidth="1"/>
    <col min="10" max="10" width="26.25" style="1" bestFit="1" customWidth="1"/>
    <col min="11" max="11" width="29.625" style="1" bestFit="1" customWidth="1"/>
    <col min="12" max="12" width="18.25" style="1" bestFit="1" customWidth="1"/>
    <col min="13" max="13" width="11.375" style="1" bestFit="1" customWidth="1"/>
    <col min="14" max="14" width="9" style="1"/>
    <col min="15" max="15" width="23.75" style="1" bestFit="1" customWidth="1"/>
    <col min="16" max="16" width="9" style="1"/>
    <col min="17" max="17" width="20.875" style="1" bestFit="1" customWidth="1"/>
    <col min="18" max="18" width="15.125" style="1" bestFit="1" customWidth="1"/>
    <col min="19" max="16384" width="9" style="1"/>
  </cols>
  <sheetData>
    <row r="3" spans="3:10" ht="18.75" x14ac:dyDescent="0.3">
      <c r="C3" s="3" t="s">
        <v>154</v>
      </c>
      <c r="J3" s="3" t="s">
        <v>155</v>
      </c>
    </row>
    <row r="4" spans="3:10" x14ac:dyDescent="0.3">
      <c r="C4" s="155" t="s">
        <v>156</v>
      </c>
      <c r="D4" s="155" t="s">
        <v>10</v>
      </c>
      <c r="E4" s="155" t="s">
        <v>100</v>
      </c>
      <c r="F4" s="155" t="s">
        <v>181</v>
      </c>
      <c r="G4" s="155" t="s">
        <v>532</v>
      </c>
    </row>
    <row r="5" spans="3:10" ht="15" customHeight="1" x14ac:dyDescent="0.3">
      <c r="C5" s="337" t="s">
        <v>601</v>
      </c>
      <c r="D5" s="255" t="str" cm="1">
        <f t="array" ref="D5:D22">TRANSPOSE('NH3'!E18:V18)</f>
        <v xml:space="preserve">COMPRESSOR </v>
      </c>
      <c r="E5" s="255" t="str" cm="1">
        <f t="array" ref="E5:E22">TRANSPOSE('NH3'!$E$20:$V$20)</f>
        <v>H-COMP-1</v>
      </c>
      <c r="F5" s="256" cm="1">
        <f t="array" ref="F5:F22">TRANSPOSE('NH3'!E6:V6)</f>
        <v>1483263.627229064</v>
      </c>
      <c r="G5" s="257" t="str" cm="1">
        <f t="array" ref="G5:G22">TRANSPOSE('NH3'!E22:V22)</f>
        <v>[1]</v>
      </c>
    </row>
    <row r="6" spans="3:10" x14ac:dyDescent="0.3">
      <c r="C6" s="338"/>
      <c r="D6" s="255" t="str">
        <v xml:space="preserve">COOLER </v>
      </c>
      <c r="E6" s="255" t="str">
        <v>H-HTX-1</v>
      </c>
      <c r="F6" s="256">
        <v>53900</v>
      </c>
      <c r="G6" s="257" t="str">
        <v>APEA</v>
      </c>
    </row>
    <row r="7" spans="3:10" ht="15" customHeight="1" x14ac:dyDescent="0.3">
      <c r="C7" s="338"/>
      <c r="D7" s="255" t="str">
        <v xml:space="preserve">COMPRESSOR </v>
      </c>
      <c r="E7" s="255" t="str">
        <v>H-COMP-2</v>
      </c>
      <c r="F7" s="256">
        <v>1418425.6673946765</v>
      </c>
      <c r="G7" s="257" t="str">
        <v>[1]</v>
      </c>
    </row>
    <row r="8" spans="3:10" x14ac:dyDescent="0.3">
      <c r="C8" s="338" t="s">
        <v>602</v>
      </c>
      <c r="D8" s="255" t="str">
        <v xml:space="preserve">COMPRESSOR </v>
      </c>
      <c r="E8" s="255" t="str">
        <v>N-COMP-1</v>
      </c>
      <c r="F8" s="256">
        <v>995564.27692297881</v>
      </c>
      <c r="G8" s="257" t="str">
        <v>[1]</v>
      </c>
    </row>
    <row r="9" spans="3:10" x14ac:dyDescent="0.3">
      <c r="C9" s="338"/>
      <c r="D9" s="255" t="str">
        <v xml:space="preserve">COOLER </v>
      </c>
      <c r="E9" s="255" t="str">
        <v>N-HTX-1</v>
      </c>
      <c r="F9" s="256">
        <v>25500</v>
      </c>
      <c r="G9" s="258" t="str">
        <v>[7]</v>
      </c>
    </row>
    <row r="10" spans="3:10" ht="16.5" customHeight="1" x14ac:dyDescent="0.3">
      <c r="C10" s="338"/>
      <c r="D10" s="255" t="str">
        <v xml:space="preserve">COMPRESSOR </v>
      </c>
      <c r="E10" s="255" t="str">
        <v>N-COMP-2</v>
      </c>
      <c r="F10" s="256">
        <v>1223115.3255735713</v>
      </c>
      <c r="G10" s="257" t="str">
        <v>[1]</v>
      </c>
    </row>
    <row r="11" spans="3:10" x14ac:dyDescent="0.3">
      <c r="C11" s="338"/>
      <c r="D11" s="255" t="str">
        <v xml:space="preserve">COOLER </v>
      </c>
      <c r="E11" s="255" t="str">
        <v>N-HTX-2</v>
      </c>
      <c r="F11" s="256">
        <v>128000</v>
      </c>
      <c r="G11" s="257" t="str">
        <v>APEA</v>
      </c>
    </row>
    <row r="12" spans="3:10" x14ac:dyDescent="0.3">
      <c r="C12" s="338"/>
      <c r="D12" s="255" t="str">
        <v xml:space="preserve">COMPRESSOR </v>
      </c>
      <c r="E12" s="255" t="str">
        <v>N-COMP-3</v>
      </c>
      <c r="F12" s="256">
        <v>641441.44755738752</v>
      </c>
      <c r="G12" s="257" t="str">
        <v>[1]</v>
      </c>
    </row>
    <row r="13" spans="3:10" x14ac:dyDescent="0.3">
      <c r="C13" s="338" t="s">
        <v>603</v>
      </c>
      <c r="D13" s="255" t="str">
        <v xml:space="preserve">MIXER </v>
      </c>
      <c r="E13" s="255" t="str">
        <v>MIX-NH3</v>
      </c>
      <c r="F13" s="196">
        <v>0</v>
      </c>
      <c r="G13" s="257" t="str">
        <v>APEA</v>
      </c>
    </row>
    <row r="14" spans="3:10" x14ac:dyDescent="0.3">
      <c r="C14" s="338"/>
      <c r="D14" s="255" t="str">
        <v xml:space="preserve">HEAT EXCHANGER </v>
      </c>
      <c r="E14" s="255" t="str">
        <v>HEX1</v>
      </c>
      <c r="F14" s="196">
        <v>65867.90662814911</v>
      </c>
      <c r="G14" s="257" t="str">
        <v>APEA</v>
      </c>
    </row>
    <row r="15" spans="3:10" x14ac:dyDescent="0.3">
      <c r="C15" s="338"/>
      <c r="D15" s="255" t="str">
        <v xml:space="preserve">REACTOR </v>
      </c>
      <c r="E15" s="255" t="str">
        <v>REACT-1</v>
      </c>
      <c r="F15" s="196">
        <v>170313631.8996785</v>
      </c>
      <c r="G15" s="257" t="str">
        <v>APEA</v>
      </c>
    </row>
    <row r="16" spans="3:10" x14ac:dyDescent="0.3">
      <c r="C16" s="338"/>
      <c r="D16" s="255" t="str">
        <v xml:space="preserve">HEATER </v>
      </c>
      <c r="E16" s="255" t="str">
        <v>HTX-02</v>
      </c>
      <c r="F16" s="196">
        <v>35302.389059617395</v>
      </c>
      <c r="G16" s="257" t="str">
        <v>APEA</v>
      </c>
    </row>
    <row r="17" spans="3:10" x14ac:dyDescent="0.3">
      <c r="C17" s="338"/>
      <c r="D17" s="255" t="str">
        <v xml:space="preserve">REACTOR </v>
      </c>
      <c r="E17" s="255" t="str">
        <v>REACT-2</v>
      </c>
      <c r="F17" s="196">
        <v>131521703.18037571</v>
      </c>
      <c r="G17" s="257" t="str">
        <v>APEA</v>
      </c>
    </row>
    <row r="18" spans="3:10" x14ac:dyDescent="0.3">
      <c r="C18" s="338"/>
      <c r="D18" s="255" t="str">
        <v xml:space="preserve">HEATER </v>
      </c>
      <c r="E18" s="255" t="str">
        <v>HTX-03</v>
      </c>
      <c r="F18" s="196">
        <v>30724.755988070083</v>
      </c>
      <c r="G18" s="257" t="str">
        <v>[7]</v>
      </c>
    </row>
    <row r="19" spans="3:10" x14ac:dyDescent="0.3">
      <c r="C19" s="338"/>
      <c r="D19" s="255" t="str">
        <v xml:space="preserve">REACTOR </v>
      </c>
      <c r="E19" s="255" t="str">
        <v>REACT-3</v>
      </c>
      <c r="F19" s="196">
        <v>101565319.31428848</v>
      </c>
      <c r="G19" s="257" t="str">
        <v>[7]</v>
      </c>
    </row>
    <row r="20" spans="3:10" x14ac:dyDescent="0.3">
      <c r="C20" s="338"/>
      <c r="D20" s="255" t="str">
        <v xml:space="preserve">COOLER </v>
      </c>
      <c r="E20" s="255" t="str">
        <v>HTX-04</v>
      </c>
      <c r="F20" s="196">
        <v>377000</v>
      </c>
      <c r="G20" s="257" t="str">
        <v>APEA</v>
      </c>
    </row>
    <row r="21" spans="3:10" x14ac:dyDescent="0.3">
      <c r="C21" s="338"/>
      <c r="D21" s="255" t="str">
        <v xml:space="preserve">COOLER </v>
      </c>
      <c r="E21" s="255" t="str">
        <v>HTX-05</v>
      </c>
      <c r="F21" s="196">
        <v>48411.612783217548</v>
      </c>
      <c r="G21" s="257" t="str">
        <v>APEA</v>
      </c>
    </row>
    <row r="22" spans="3:10" x14ac:dyDescent="0.3">
      <c r="C22" s="333"/>
      <c r="D22" s="255" t="str">
        <v xml:space="preserve">SEPERATOR </v>
      </c>
      <c r="E22" s="255" t="str">
        <v>NH3FLASH</v>
      </c>
      <c r="F22" s="196">
        <v>336000</v>
      </c>
      <c r="G22" s="257" t="str">
        <v>APEA</v>
      </c>
    </row>
    <row r="23" spans="3:10" x14ac:dyDescent="0.3">
      <c r="C23" s="334" t="s">
        <v>101</v>
      </c>
      <c r="D23" s="335"/>
      <c r="E23" s="336"/>
      <c r="F23" s="259">
        <f>SUM(_xlfn.ANCHORARRAY(F5))</f>
        <v>410263171.4034794</v>
      </c>
      <c r="G23" s="65"/>
      <c r="J23" s="43"/>
    </row>
    <row r="28" spans="3:10" ht="19.5" thickBot="1" x14ac:dyDescent="0.35">
      <c r="C28" s="3" t="s">
        <v>6</v>
      </c>
    </row>
    <row r="29" spans="3:10" ht="15.75" thickBot="1" x14ac:dyDescent="0.35">
      <c r="C29" s="260" t="s">
        <v>51</v>
      </c>
      <c r="D29" s="261" t="s">
        <v>8</v>
      </c>
      <c r="E29" s="262" t="s">
        <v>157</v>
      </c>
      <c r="F29" s="263" t="s">
        <v>549</v>
      </c>
    </row>
    <row r="30" spans="3:10" x14ac:dyDescent="0.3">
      <c r="C30" s="264" t="s">
        <v>11</v>
      </c>
      <c r="D30" s="265"/>
      <c r="F30" s="266"/>
    </row>
    <row r="31" spans="3:10" x14ac:dyDescent="0.3">
      <c r="C31" s="264" t="s">
        <v>12</v>
      </c>
      <c r="D31" s="265"/>
      <c r="F31" s="266"/>
    </row>
    <row r="32" spans="3:10" x14ac:dyDescent="0.3">
      <c r="C32" s="147" t="s">
        <v>13</v>
      </c>
      <c r="D32" s="265" t="s">
        <v>14</v>
      </c>
      <c r="E32" s="1">
        <v>40</v>
      </c>
      <c r="F32" s="267">
        <f>'Equipment cost'!D23</f>
        <v>410263171.4034794</v>
      </c>
    </row>
    <row r="33" spans="3:15" x14ac:dyDescent="0.3">
      <c r="C33" s="147" t="s">
        <v>16</v>
      </c>
      <c r="D33" s="265" t="s">
        <v>17</v>
      </c>
      <c r="E33" s="1">
        <v>8</v>
      </c>
      <c r="F33" s="267">
        <f>SUM(F54*0.08)</f>
        <v>82052634.280695885</v>
      </c>
    </row>
    <row r="34" spans="3:15" x14ac:dyDescent="0.3">
      <c r="C34" s="147" t="s">
        <v>18</v>
      </c>
      <c r="D34" s="265" t="s">
        <v>19</v>
      </c>
      <c r="E34" s="1">
        <v>5</v>
      </c>
      <c r="F34" s="267">
        <f>SUM(F54*0.05)</f>
        <v>51282896.425434925</v>
      </c>
    </row>
    <row r="35" spans="3:15" x14ac:dyDescent="0.3">
      <c r="C35" s="147" t="s">
        <v>20</v>
      </c>
      <c r="D35" s="268" t="s">
        <v>21</v>
      </c>
      <c r="E35" s="1">
        <v>3</v>
      </c>
      <c r="F35" s="267">
        <f>SUM(F54*0.03)</f>
        <v>30769737.855260953</v>
      </c>
    </row>
    <row r="36" spans="3:15" x14ac:dyDescent="0.3">
      <c r="C36" s="147" t="s">
        <v>22</v>
      </c>
      <c r="D36" s="265" t="s">
        <v>23</v>
      </c>
      <c r="E36" s="1">
        <v>5</v>
      </c>
      <c r="F36" s="267">
        <f>SUM(F54*0.05)</f>
        <v>51282896.425434925</v>
      </c>
    </row>
    <row r="37" spans="3:15" x14ac:dyDescent="0.3">
      <c r="C37" s="147"/>
      <c r="D37" s="265"/>
      <c r="F37" s="267"/>
    </row>
    <row r="38" spans="3:15" x14ac:dyDescent="0.3">
      <c r="C38" s="264" t="s">
        <v>24</v>
      </c>
      <c r="D38" s="265"/>
      <c r="F38" s="267"/>
    </row>
    <row r="39" spans="3:15" x14ac:dyDescent="0.3">
      <c r="C39" s="147" t="s">
        <v>25</v>
      </c>
      <c r="D39" s="265" t="s">
        <v>26</v>
      </c>
      <c r="E39" s="1">
        <v>7</v>
      </c>
      <c r="F39" s="267">
        <f>SUM(F54*0.07)</f>
        <v>71796054.995608896</v>
      </c>
    </row>
    <row r="40" spans="3:15" x14ac:dyDescent="0.3">
      <c r="C40" s="147" t="s">
        <v>27</v>
      </c>
      <c r="D40" s="265" t="s">
        <v>28</v>
      </c>
      <c r="E40" s="1">
        <v>2</v>
      </c>
      <c r="F40" s="267">
        <f>SUM(F54*0.02)</f>
        <v>20513158.570173971</v>
      </c>
    </row>
    <row r="41" spans="3:15" x14ac:dyDescent="0.3">
      <c r="C41" s="147" t="s">
        <v>29</v>
      </c>
      <c r="D41" s="265" t="s">
        <v>30</v>
      </c>
      <c r="E41" s="1">
        <v>8</v>
      </c>
      <c r="F41" s="267">
        <f>SUM(F54*0.08)</f>
        <v>82052634.280695885</v>
      </c>
    </row>
    <row r="42" spans="3:15" ht="18.75" x14ac:dyDescent="0.3">
      <c r="C42" s="147" t="s">
        <v>31</v>
      </c>
      <c r="D42" s="265" t="s">
        <v>32</v>
      </c>
      <c r="E42" s="1">
        <v>2</v>
      </c>
      <c r="F42" s="267">
        <f>SUM(F54*0.02)</f>
        <v>20513158.570173971</v>
      </c>
      <c r="H42" s="3" t="s">
        <v>81</v>
      </c>
      <c r="I42" s="3"/>
      <c r="J42" s="166"/>
      <c r="K42" s="166"/>
      <c r="L42" s="166"/>
    </row>
    <row r="43" spans="3:15" x14ac:dyDescent="0.3">
      <c r="C43" s="147"/>
      <c r="D43" s="265"/>
      <c r="F43" s="267"/>
      <c r="H43" s="44" t="s">
        <v>159</v>
      </c>
      <c r="I43" s="44" t="s">
        <v>156</v>
      </c>
      <c r="J43" s="269" t="s">
        <v>10</v>
      </c>
      <c r="K43" s="269" t="s">
        <v>100</v>
      </c>
      <c r="L43" s="269" t="s">
        <v>158</v>
      </c>
      <c r="M43" s="44" t="s">
        <v>604</v>
      </c>
      <c r="N43" s="44" t="s">
        <v>10</v>
      </c>
      <c r="O43" s="353" t="s">
        <v>160</v>
      </c>
    </row>
    <row r="44" spans="3:15" x14ac:dyDescent="0.3">
      <c r="C44" s="264" t="s">
        <v>33</v>
      </c>
      <c r="D44" s="265"/>
      <c r="F44" s="267">
        <f>SUM(F32:F42)</f>
        <v>820526342.80695891</v>
      </c>
      <c r="H44" s="337" t="s">
        <v>197</v>
      </c>
      <c r="I44" s="270"/>
      <c r="J44" s="247" t="str" cm="1">
        <f t="array" ref="J44:J55">TRANSPOSE('NH3'!$E$47:$P$47)</f>
        <v xml:space="preserve">COOLER </v>
      </c>
      <c r="K44" s="247" t="str" cm="1">
        <f t="array" ref="K44:K55">TRANSPOSE('NH3'!$E$49:$P$49)</f>
        <v>H-HTX-1</v>
      </c>
      <c r="L44" s="247" t="str" cm="1">
        <f t="array" ref="L44:L55">TRANSPOSE('NH3'!$E$51:$P$51)</f>
        <v>CW</v>
      </c>
      <c r="M44" s="169" cm="1">
        <f t="array" ref="M44:M47">TRANSPOSE('NH3'!$E$33:$H$33)</f>
        <v>609758.31499999994</v>
      </c>
      <c r="N44" s="1" t="str" cm="1">
        <f t="array" ref="N44:N55">TRANSPOSE('NH3'!$E$53:$P$53)</f>
        <v>kg/hr</v>
      </c>
      <c r="O44" s="354" cm="1">
        <f t="array" ref="O44:O55">TRANSPOSE('NH3'!$E$31:$P$31)</f>
        <v>80414.926582199987</v>
      </c>
    </row>
    <row r="45" spans="3:15" x14ac:dyDescent="0.3">
      <c r="C45" s="147"/>
      <c r="D45" s="265"/>
      <c r="F45" s="267"/>
      <c r="H45" s="348"/>
      <c r="J45" s="247" t="str">
        <v xml:space="preserve">COOLER </v>
      </c>
      <c r="K45" s="247" t="str">
        <v>N-HTX-1</v>
      </c>
      <c r="L45" s="247" t="str">
        <v>CW</v>
      </c>
      <c r="M45" s="169">
        <v>372532.201</v>
      </c>
      <c r="N45" s="1" t="str">
        <v>kg/hr</v>
      </c>
      <c r="O45" s="354">
        <v>49129.54666788</v>
      </c>
    </row>
    <row r="46" spans="3:15" x14ac:dyDescent="0.3">
      <c r="C46" s="264" t="s">
        <v>34</v>
      </c>
      <c r="D46" s="265"/>
      <c r="F46" s="267"/>
      <c r="H46" s="348"/>
      <c r="J46" s="247" t="str">
        <v xml:space="preserve">COOLER </v>
      </c>
      <c r="K46" s="247" t="str">
        <v>N-HTX-2</v>
      </c>
      <c r="L46" s="247" t="str">
        <v>CW</v>
      </c>
      <c r="M46" s="169">
        <v>540001.90500000003</v>
      </c>
      <c r="N46" s="1" t="str">
        <v>kg/hr</v>
      </c>
      <c r="O46" s="354">
        <v>71215.451231399988</v>
      </c>
    </row>
    <row r="47" spans="3:15" x14ac:dyDescent="0.3">
      <c r="C47" s="147" t="s">
        <v>35</v>
      </c>
      <c r="D47" s="265" t="s">
        <v>36</v>
      </c>
      <c r="E47" s="1">
        <v>5</v>
      </c>
      <c r="F47" s="267">
        <f>SUM(F54*0.05)</f>
        <v>51282896.425434925</v>
      </c>
      <c r="H47" s="348"/>
      <c r="J47" s="43" t="str">
        <v xml:space="preserve">COOLER </v>
      </c>
      <c r="K47" s="247" t="str">
        <v>HTX-04</v>
      </c>
      <c r="L47" s="43" t="str">
        <v>CW</v>
      </c>
      <c r="M47" s="169">
        <v>2168886.5099999998</v>
      </c>
      <c r="N47" s="1" t="str">
        <v>kg/hr</v>
      </c>
      <c r="O47" s="354">
        <v>286032.75293879997</v>
      </c>
    </row>
    <row r="48" spans="3:15" x14ac:dyDescent="0.3">
      <c r="C48" s="147" t="s">
        <v>37</v>
      </c>
      <c r="D48" s="265" t="s">
        <v>38</v>
      </c>
      <c r="E48" s="1">
        <v>5</v>
      </c>
      <c r="F48" s="267">
        <f>SUM(F54*0.05)</f>
        <v>51282896.425434925</v>
      </c>
      <c r="H48" s="47" t="s">
        <v>505</v>
      </c>
      <c r="J48" s="43" t="str">
        <v xml:space="preserve">HEATER </v>
      </c>
      <c r="K48" s="247" t="str">
        <v>HTX-02</v>
      </c>
      <c r="L48" s="43" t="str">
        <v>NG</v>
      </c>
      <c r="M48" s="169">
        <f>'NH3'!$I$38</f>
        <v>1349.7735466764</v>
      </c>
      <c r="N48" s="1" t="str">
        <v>kW</v>
      </c>
      <c r="O48" s="354">
        <v>85035.733440613199</v>
      </c>
    </row>
    <row r="49" spans="3:15" x14ac:dyDescent="0.3">
      <c r="C49" s="147" t="s">
        <v>39</v>
      </c>
      <c r="D49" s="265" t="s">
        <v>28</v>
      </c>
      <c r="E49" s="1">
        <v>5</v>
      </c>
      <c r="F49" s="267">
        <f>SUM(F54*0.05)</f>
        <v>51282896.425434925</v>
      </c>
      <c r="H49" s="338" t="s">
        <v>219</v>
      </c>
      <c r="J49" s="43" t="str">
        <v xml:space="preserve">HEATER </v>
      </c>
      <c r="K49" s="43" t="str">
        <v>HTX-03</v>
      </c>
      <c r="L49" s="43" t="str">
        <v>ELECTRICITY</v>
      </c>
      <c r="M49" s="169" cm="1">
        <f t="array" ref="M49:M55">TRANSPOSE('NH3'!$J$43:$P$43)</f>
        <v>1070.8652400000001</v>
      </c>
      <c r="N49" s="1" t="str">
        <v>kW</v>
      </c>
      <c r="O49" s="169">
        <v>494739.74088000006</v>
      </c>
    </row>
    <row r="50" spans="3:15" x14ac:dyDescent="0.3">
      <c r="C50" s="147" t="s">
        <v>40</v>
      </c>
      <c r="D50" s="265" t="s">
        <v>41</v>
      </c>
      <c r="E50" s="1">
        <v>5</v>
      </c>
      <c r="F50" s="267">
        <f>SUM(F54*0.05)</f>
        <v>51282896.425434925</v>
      </c>
      <c r="H50" s="338"/>
      <c r="I50" s="272"/>
      <c r="J50" s="43" t="str">
        <v xml:space="preserve">COMPRESSOR </v>
      </c>
      <c r="K50" s="247" t="str">
        <v>H-COMP-1</v>
      </c>
      <c r="L50" s="43" t="str">
        <v>ELECTRICITY</v>
      </c>
      <c r="M50" s="169">
        <v>4153.8584499999997</v>
      </c>
      <c r="N50" s="1" t="str">
        <v>kW</v>
      </c>
      <c r="O50" s="354">
        <v>1919082.6038999998</v>
      </c>
    </row>
    <row r="51" spans="3:15" x14ac:dyDescent="0.3">
      <c r="C51" s="147"/>
      <c r="D51" s="265"/>
      <c r="F51" s="267"/>
      <c r="H51" s="338"/>
      <c r="I51" s="272"/>
      <c r="J51" s="43" t="str">
        <v xml:space="preserve">COMPRESSOR </v>
      </c>
      <c r="K51" s="247" t="str">
        <v>H-COMP-2</v>
      </c>
      <c r="L51" s="43" t="str">
        <v>ELECTRICITY</v>
      </c>
      <c r="M51" s="169">
        <v>3865.1090199999999</v>
      </c>
      <c r="N51" s="1" t="str">
        <v>kW</v>
      </c>
      <c r="O51" s="354">
        <v>1785680.3672400001</v>
      </c>
    </row>
    <row r="52" spans="3:15" x14ac:dyDescent="0.3">
      <c r="C52" s="264" t="s">
        <v>42</v>
      </c>
      <c r="D52" s="265"/>
      <c r="F52" s="267">
        <f>SUM(F47:F50)</f>
        <v>205131585.7017397</v>
      </c>
      <c r="H52" s="338"/>
      <c r="I52" s="43"/>
      <c r="J52" s="43" t="str">
        <v xml:space="preserve">COMPRESSOR </v>
      </c>
      <c r="K52" s="247" t="str">
        <v>N-COMP-1</v>
      </c>
      <c r="L52" s="43" t="str">
        <v>ELECTRICITY</v>
      </c>
      <c r="M52" s="169">
        <v>2238.2037</v>
      </c>
      <c r="N52" s="1" t="str">
        <v>kW</v>
      </c>
      <c r="O52" s="354">
        <v>1034050.1094000001</v>
      </c>
    </row>
    <row r="53" spans="3:15" x14ac:dyDescent="0.3">
      <c r="C53" s="147"/>
      <c r="D53" s="265"/>
      <c r="F53" s="267"/>
      <c r="H53" s="338"/>
      <c r="J53" s="43" t="str">
        <v xml:space="preserve">COMPRESSOR </v>
      </c>
      <c r="K53" s="43" t="str">
        <v>N-COMP-2</v>
      </c>
      <c r="L53" s="43" t="str">
        <v>ELECTRICITY</v>
      </c>
      <c r="M53" s="169">
        <v>3059.73216</v>
      </c>
      <c r="N53" s="1" t="str">
        <v>kW</v>
      </c>
      <c r="O53" s="169">
        <v>1413596.25792</v>
      </c>
    </row>
    <row r="54" spans="3:15" x14ac:dyDescent="0.3">
      <c r="C54" s="147" t="s">
        <v>43</v>
      </c>
      <c r="D54" s="265">
        <v>100</v>
      </c>
      <c r="E54" s="1">
        <v>100</v>
      </c>
      <c r="F54" s="267">
        <f>SUM(F32*100/40)</f>
        <v>1025657928.5086985</v>
      </c>
      <c r="H54" s="338"/>
      <c r="J54" s="43" t="str">
        <v xml:space="preserve">COMPRESSOR </v>
      </c>
      <c r="K54" s="43" t="str">
        <v>N-COMP-3</v>
      </c>
      <c r="L54" s="43" t="str">
        <v>ELECTRICITY</v>
      </c>
      <c r="M54" s="169">
        <v>1194.7998399999999</v>
      </c>
      <c r="N54" s="1" t="str">
        <v>kW</v>
      </c>
      <c r="O54" s="169">
        <v>551997.52607999998</v>
      </c>
    </row>
    <row r="55" spans="3:15" x14ac:dyDescent="0.3">
      <c r="C55" s="147" t="s">
        <v>44</v>
      </c>
      <c r="D55" s="265">
        <v>10</v>
      </c>
      <c r="E55" s="1">
        <v>10</v>
      </c>
      <c r="F55" s="267">
        <f>SUM(F54*0.1)</f>
        <v>102565792.85086985</v>
      </c>
      <c r="H55" s="338"/>
      <c r="J55" s="43" t="str">
        <v xml:space="preserve">COOLER </v>
      </c>
      <c r="K55" s="43" t="str">
        <v>HTX-05</v>
      </c>
      <c r="L55" s="43" t="str">
        <v>ELECTRICITY</v>
      </c>
      <c r="M55" s="169">
        <v>2284.7393900000002</v>
      </c>
      <c r="N55" s="1" t="str">
        <v>kW</v>
      </c>
      <c r="O55" s="169">
        <v>1055549.5981800002</v>
      </c>
    </row>
    <row r="56" spans="3:15" x14ac:dyDescent="0.3">
      <c r="C56" s="147"/>
      <c r="D56" s="275"/>
      <c r="F56" s="266"/>
      <c r="H56" s="333" t="s">
        <v>163</v>
      </c>
      <c r="I56" s="333"/>
      <c r="J56" s="333"/>
      <c r="K56" s="333"/>
      <c r="L56" s="333"/>
      <c r="M56" s="333"/>
      <c r="N56" s="333"/>
      <c r="O56" s="173">
        <f>SUM(_xlfn.ANCHORARRAY(O44))</f>
        <v>8826524.614460893</v>
      </c>
    </row>
    <row r="57" spans="3:15" x14ac:dyDescent="0.3">
      <c r="C57" s="264" t="s">
        <v>45</v>
      </c>
      <c r="D57" s="276" t="s">
        <v>46</v>
      </c>
      <c r="E57" s="2"/>
      <c r="F57" s="277">
        <f>SUM(F54:F55)</f>
        <v>1128223721.3595684</v>
      </c>
    </row>
    <row r="58" spans="3:15" ht="15.75" thickBot="1" x14ac:dyDescent="0.35">
      <c r="C58" s="278" t="s">
        <v>47</v>
      </c>
      <c r="D58" s="279" t="s">
        <v>48</v>
      </c>
      <c r="E58" s="280"/>
      <c r="F58" s="281">
        <f>SUM(F57/((1-(1/((1.05)^30)))/0.05))</f>
        <v>73392572.166050032</v>
      </c>
      <c r="H58" s="2"/>
      <c r="I58" s="273"/>
      <c r="J58" s="43"/>
      <c r="K58" s="43"/>
      <c r="L58" s="43"/>
      <c r="M58" s="169"/>
      <c r="O58" s="274"/>
    </row>
    <row r="60" spans="3:15" x14ac:dyDescent="0.3">
      <c r="H60" s="2"/>
      <c r="J60" s="43"/>
      <c r="K60" s="43"/>
      <c r="L60" s="43"/>
      <c r="M60" s="169"/>
      <c r="O60" s="274"/>
    </row>
    <row r="61" spans="3:15" x14ac:dyDescent="0.3">
      <c r="H61" s="2"/>
      <c r="J61" s="43"/>
      <c r="K61" s="43"/>
      <c r="L61" s="43"/>
      <c r="M61" s="169"/>
      <c r="O61" s="274"/>
    </row>
    <row r="62" spans="3:15" x14ac:dyDescent="0.3">
      <c r="H62" s="2"/>
      <c r="J62" s="43"/>
      <c r="K62" s="43"/>
      <c r="L62" s="43"/>
      <c r="M62" s="169"/>
      <c r="O62" s="271"/>
    </row>
    <row r="63" spans="3:15" ht="19.5" thickBot="1" x14ac:dyDescent="0.35">
      <c r="C63" s="32" t="s">
        <v>78</v>
      </c>
      <c r="D63" s="19"/>
      <c r="E63" s="19"/>
    </row>
    <row r="64" spans="3:15" ht="15.75" thickBot="1" x14ac:dyDescent="0.35">
      <c r="C64" s="282" t="s">
        <v>51</v>
      </c>
      <c r="D64" s="283" t="s">
        <v>533</v>
      </c>
      <c r="E64" s="284" t="s">
        <v>548</v>
      </c>
    </row>
    <row r="65" spans="3:5" x14ac:dyDescent="0.3">
      <c r="C65" s="285" t="s">
        <v>53</v>
      </c>
      <c r="D65" s="286"/>
      <c r="E65" s="287"/>
    </row>
    <row r="66" spans="3:5" x14ac:dyDescent="0.3">
      <c r="C66" s="288" t="s">
        <v>54</v>
      </c>
      <c r="D66" s="289" t="s">
        <v>55</v>
      </c>
      <c r="E66" s="290">
        <f>CAPEX!G30</f>
        <v>1025657928.5086985</v>
      </c>
    </row>
    <row r="67" spans="3:5" x14ac:dyDescent="0.3">
      <c r="C67" s="291" t="s">
        <v>56</v>
      </c>
      <c r="D67" s="292"/>
      <c r="E67" s="290"/>
    </row>
    <row r="68" spans="3:5" x14ac:dyDescent="0.3">
      <c r="C68" s="288" t="s">
        <v>57</v>
      </c>
      <c r="D68" s="293"/>
      <c r="E68" s="290">
        <f>'raw material'!G9</f>
        <v>621879225.52102077</v>
      </c>
    </row>
    <row r="69" spans="3:5" x14ac:dyDescent="0.3">
      <c r="C69" s="288" t="s">
        <v>58</v>
      </c>
      <c r="D69" s="294"/>
      <c r="E69" s="290">
        <f>O56</f>
        <v>8826524.614460893</v>
      </c>
    </row>
    <row r="70" spans="3:5" x14ac:dyDescent="0.3">
      <c r="C70" s="288" t="s">
        <v>59</v>
      </c>
      <c r="D70" s="295" t="s">
        <v>60</v>
      </c>
      <c r="E70" s="290">
        <f>SUM(E$87*0.01)</f>
        <v>10256579.285086986</v>
      </c>
    </row>
    <row r="71" spans="3:5" x14ac:dyDescent="0.3">
      <c r="C71" s="288" t="s">
        <v>61</v>
      </c>
      <c r="D71" s="294" t="s">
        <v>62</v>
      </c>
      <c r="E71" s="290">
        <f>SUM(E83*0.1)</f>
        <v>88834169.76703386</v>
      </c>
    </row>
    <row r="72" spans="3:5" x14ac:dyDescent="0.3">
      <c r="C72" s="288" t="s">
        <v>63</v>
      </c>
      <c r="D72" s="294" t="s">
        <v>64</v>
      </c>
      <c r="E72" s="290">
        <f>SUM(E71*0.3)</f>
        <v>26650250.930110157</v>
      </c>
    </row>
    <row r="73" spans="3:5" x14ac:dyDescent="0.3">
      <c r="C73" s="288" t="s">
        <v>65</v>
      </c>
      <c r="D73" s="294" t="s">
        <v>66</v>
      </c>
      <c r="E73" s="290">
        <f>SUM(E70*0.1)</f>
        <v>1025657.9285086986</v>
      </c>
    </row>
    <row r="74" spans="3:5" ht="18.75" customHeight="1" x14ac:dyDescent="0.3">
      <c r="C74" s="288" t="s">
        <v>67</v>
      </c>
      <c r="D74" s="294" t="s">
        <v>68</v>
      </c>
      <c r="E74" s="290">
        <f>SUM(E71*0.1)</f>
        <v>8883416.9767033868</v>
      </c>
    </row>
    <row r="75" spans="3:5" x14ac:dyDescent="0.3">
      <c r="C75" s="288"/>
      <c r="D75" s="294"/>
      <c r="E75" s="290"/>
    </row>
    <row r="76" spans="3:5" x14ac:dyDescent="0.3">
      <c r="C76" s="291" t="s">
        <v>69</v>
      </c>
      <c r="D76" s="294" t="s">
        <v>70</v>
      </c>
      <c r="E76" s="290" cm="1">
        <f t="array" ref="E76">SUM(0.5*(E70:E72))</f>
        <v>62870499.991115503</v>
      </c>
    </row>
    <row r="77" spans="3:5" x14ac:dyDescent="0.3">
      <c r="C77" s="288"/>
      <c r="D77" s="294"/>
      <c r="E77" s="290"/>
    </row>
    <row r="78" spans="3:5" x14ac:dyDescent="0.3">
      <c r="C78" s="291" t="s">
        <v>71</v>
      </c>
      <c r="D78" s="294"/>
      <c r="E78" s="290"/>
    </row>
    <row r="79" spans="3:5" x14ac:dyDescent="0.3">
      <c r="C79" s="288" t="s">
        <v>72</v>
      </c>
      <c r="D79" s="294" t="s">
        <v>73</v>
      </c>
      <c r="E79" s="290">
        <f>SUM(E71*0.15)</f>
        <v>13325125.465055078</v>
      </c>
    </row>
    <row r="80" spans="3:5" x14ac:dyDescent="0.3">
      <c r="C80" s="288" t="s">
        <v>74</v>
      </c>
      <c r="D80" s="294" t="s">
        <v>75</v>
      </c>
      <c r="E80" s="290">
        <f>SUM(E83*0.02)</f>
        <v>17766833.95340677</v>
      </c>
    </row>
    <row r="81" spans="3:15" x14ac:dyDescent="0.3">
      <c r="C81" s="288" t="s">
        <v>76</v>
      </c>
      <c r="D81" s="294" t="s">
        <v>77</v>
      </c>
      <c r="E81" s="290">
        <f>SUM(E83*0.02)</f>
        <v>17766833.95340677</v>
      </c>
    </row>
    <row r="82" spans="3:15" x14ac:dyDescent="0.3">
      <c r="C82" s="288"/>
      <c r="D82" s="294"/>
      <c r="E82" s="290"/>
    </row>
    <row r="83" spans="3:15" ht="15.75" thickBot="1" x14ac:dyDescent="0.35">
      <c r="C83" s="296" t="s">
        <v>164</v>
      </c>
      <c r="D83" s="297"/>
      <c r="E83" s="298">
        <f>1.35135135135*(E88+0.026*E87)</f>
        <v>888341697.67033851</v>
      </c>
    </row>
    <row r="84" spans="3:15" x14ac:dyDescent="0.3">
      <c r="G84" s="2"/>
    </row>
    <row r="85" spans="3:15" x14ac:dyDescent="0.25">
      <c r="C85" s="19"/>
      <c r="D85" s="19"/>
      <c r="E85" s="19"/>
    </row>
    <row r="86" spans="3:15" x14ac:dyDescent="0.25">
      <c r="C86" s="19"/>
      <c r="D86" s="19"/>
      <c r="E86" s="19"/>
    </row>
    <row r="87" spans="3:15" x14ac:dyDescent="0.25">
      <c r="C87" s="19"/>
      <c r="D87" s="299" t="s">
        <v>79</v>
      </c>
      <c r="E87" s="31">
        <f>CAPEX!G30</f>
        <v>1025657928.5086985</v>
      </c>
    </row>
    <row r="88" spans="3:15" x14ac:dyDescent="0.25">
      <c r="C88" s="19"/>
      <c r="D88" s="299" t="s">
        <v>80</v>
      </c>
      <c r="E88" s="31">
        <f>SUM(E89:E90)</f>
        <v>630705750.13548172</v>
      </c>
    </row>
    <row r="89" spans="3:15" x14ac:dyDescent="0.3">
      <c r="D89" s="1" t="s">
        <v>81</v>
      </c>
      <c r="E89" s="36">
        <f>O56</f>
        <v>8826524.614460893</v>
      </c>
    </row>
    <row r="90" spans="3:15" x14ac:dyDescent="0.3">
      <c r="D90" s="1" t="s">
        <v>82</v>
      </c>
      <c r="E90" s="36">
        <f>'raw material'!G9</f>
        <v>621879225.52102077</v>
      </c>
      <c r="H90" s="2"/>
      <c r="I90" s="43"/>
      <c r="J90" s="43"/>
      <c r="K90" s="43"/>
      <c r="L90" s="43"/>
      <c r="M90" s="169"/>
      <c r="O90" s="274"/>
    </row>
    <row r="91" spans="3:15" x14ac:dyDescent="0.3">
      <c r="O91" s="274"/>
    </row>
    <row r="95" spans="3:15" x14ac:dyDescent="0.3">
      <c r="G95" s="272"/>
    </row>
    <row r="99" spans="7:7" x14ac:dyDescent="0.3">
      <c r="G99" s="43"/>
    </row>
  </sheetData>
  <mergeCells count="7">
    <mergeCell ref="H56:N56"/>
    <mergeCell ref="C23:E23"/>
    <mergeCell ref="C5:C7"/>
    <mergeCell ref="C8:C12"/>
    <mergeCell ref="C13:C22"/>
    <mergeCell ref="H44:H47"/>
    <mergeCell ref="H49:H55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0071-A3EE-419E-A700-57F51708758D}">
  <sheetPr codeName="Sheet15"/>
  <dimension ref="B2:H79"/>
  <sheetViews>
    <sheetView zoomScale="66" zoomScaleNormal="66" workbookViewId="0">
      <selection activeCell="B5" sqref="B5:B22"/>
    </sheetView>
  </sheetViews>
  <sheetFormatPr defaultColWidth="9" defaultRowHeight="15" x14ac:dyDescent="0.3"/>
  <cols>
    <col min="1" max="1" width="9" style="1"/>
    <col min="2" max="2" width="67.875" style="1" bestFit="1" customWidth="1"/>
    <col min="3" max="3" width="31.875" style="1" customWidth="1"/>
    <col min="4" max="4" width="34.25" style="1" customWidth="1"/>
    <col min="5" max="5" width="21.375" style="1" customWidth="1"/>
    <col min="6" max="6" width="18.125" style="1" customWidth="1"/>
    <col min="7" max="7" width="38.75" style="1" bestFit="1" customWidth="1"/>
    <col min="8" max="9" width="33.25" style="1" bestFit="1" customWidth="1"/>
    <col min="10" max="10" width="16.625" style="1" bestFit="1" customWidth="1"/>
    <col min="11" max="11" width="9" style="1"/>
    <col min="12" max="12" width="20.125" style="1" bestFit="1" customWidth="1"/>
    <col min="13" max="13" width="39" style="1" bestFit="1" customWidth="1"/>
    <col min="14" max="16384" width="9" style="1"/>
  </cols>
  <sheetData>
    <row r="2" spans="2:8" ht="15" customHeight="1" x14ac:dyDescent="0.3"/>
    <row r="3" spans="2:8" x14ac:dyDescent="0.3">
      <c r="B3" s="1" t="s">
        <v>597</v>
      </c>
      <c r="H3" s="57"/>
    </row>
    <row r="4" spans="2:8" ht="15" customHeight="1" x14ac:dyDescent="0.3">
      <c r="B4" s="44" t="s">
        <v>156</v>
      </c>
      <c r="C4" s="150" t="s">
        <v>185</v>
      </c>
      <c r="D4" s="150" t="s">
        <v>545</v>
      </c>
      <c r="G4" s="2"/>
      <c r="H4" s="57"/>
    </row>
    <row r="5" spans="2:8" ht="15" customHeight="1" x14ac:dyDescent="0.3">
      <c r="B5" s="337" t="s">
        <v>601</v>
      </c>
      <c r="C5" s="214" t="str" cm="1">
        <f t="array" ref="C5:C22">TRANSPOSE('NH3'!E5:V5)</f>
        <v>COMPRESSOR (H-COMP-1)</v>
      </c>
      <c r="D5" s="311" cm="1">
        <f t="array" ref="D5:D22">TRANSPOSE('NH3'!E6:V6)</f>
        <v>1483263.627229064</v>
      </c>
      <c r="G5" s="57"/>
      <c r="H5" s="57"/>
    </row>
    <row r="6" spans="2:8" ht="15" customHeight="1" x14ac:dyDescent="0.3">
      <c r="B6" s="338"/>
      <c r="C6" s="214" t="str">
        <v>COOLER (H-HTX-1)</v>
      </c>
      <c r="D6" s="311">
        <v>53900</v>
      </c>
      <c r="H6" s="57"/>
    </row>
    <row r="7" spans="2:8" ht="15" customHeight="1" x14ac:dyDescent="0.3">
      <c r="B7" s="338"/>
      <c r="C7" s="214" t="str">
        <v>COMPRESSOR (H-COMP-2)</v>
      </c>
      <c r="D7" s="311">
        <v>1418425.6673946765</v>
      </c>
      <c r="G7" s="57"/>
      <c r="H7" s="57"/>
    </row>
    <row r="8" spans="2:8" ht="15" customHeight="1" x14ac:dyDescent="0.3">
      <c r="B8" s="338" t="s">
        <v>602</v>
      </c>
      <c r="C8" s="214" t="str">
        <v>COMPRESSOR (N-COMP-1)</v>
      </c>
      <c r="D8" s="311">
        <v>995564.27692297881</v>
      </c>
      <c r="G8" s="57"/>
    </row>
    <row r="9" spans="2:8" ht="15" customHeight="1" x14ac:dyDescent="0.3">
      <c r="B9" s="338"/>
      <c r="C9" s="214" t="str">
        <v>COOLER (N-HTX-1)</v>
      </c>
      <c r="D9" s="311">
        <v>25500</v>
      </c>
    </row>
    <row r="10" spans="2:8" ht="15" customHeight="1" x14ac:dyDescent="0.3">
      <c r="B10" s="338"/>
      <c r="C10" s="214" t="str">
        <v>COMPRESSOR (N-COMP-2)</v>
      </c>
      <c r="D10" s="311">
        <v>1223115.3255735713</v>
      </c>
      <c r="G10" s="57"/>
      <c r="H10" s="57"/>
    </row>
    <row r="11" spans="2:8" ht="15" customHeight="1" x14ac:dyDescent="0.3">
      <c r="B11" s="338"/>
      <c r="C11" s="214" t="str">
        <v>COOLER (N-HTX-2)</v>
      </c>
      <c r="D11" s="311">
        <v>128000</v>
      </c>
      <c r="G11" s="57"/>
      <c r="H11" s="57"/>
    </row>
    <row r="12" spans="2:8" ht="15" customHeight="1" x14ac:dyDescent="0.3">
      <c r="B12" s="338"/>
      <c r="C12" s="43" t="str">
        <v>COMPRESSOR (N-COMP-3)</v>
      </c>
      <c r="D12" s="311">
        <v>641441.44755738752</v>
      </c>
      <c r="H12" s="57"/>
    </row>
    <row r="13" spans="2:8" ht="15" customHeight="1" x14ac:dyDescent="0.3">
      <c r="B13" s="338" t="s">
        <v>603</v>
      </c>
      <c r="C13" s="43" t="str">
        <v>MIXER (MIX-NH3)</v>
      </c>
      <c r="D13" s="311">
        <v>0</v>
      </c>
      <c r="H13" s="57"/>
    </row>
    <row r="14" spans="2:8" ht="15" customHeight="1" x14ac:dyDescent="0.3">
      <c r="B14" s="338"/>
      <c r="C14" s="43" t="str">
        <v>HEAT EXCHANGER (HEX1)</v>
      </c>
      <c r="D14" s="311">
        <v>65867.90662814911</v>
      </c>
      <c r="H14" s="57"/>
    </row>
    <row r="15" spans="2:8" ht="15" customHeight="1" x14ac:dyDescent="0.3">
      <c r="B15" s="338"/>
      <c r="C15" s="43" t="str">
        <v>REACTOR (REACT-1)</v>
      </c>
      <c r="D15" s="311">
        <v>170313631.8996785</v>
      </c>
      <c r="H15" s="57"/>
    </row>
    <row r="16" spans="2:8" ht="15" customHeight="1" x14ac:dyDescent="0.3">
      <c r="B16" s="338"/>
      <c r="C16" s="43" t="str">
        <v>HEATER (HTX-02)</v>
      </c>
      <c r="D16" s="191">
        <v>35302.389059617395</v>
      </c>
      <c r="H16" s="57"/>
    </row>
    <row r="17" spans="2:8" ht="15" customHeight="1" x14ac:dyDescent="0.3">
      <c r="B17" s="338"/>
      <c r="C17" s="43" t="str">
        <v>REACTOR (REACT-2)</v>
      </c>
      <c r="D17" s="191">
        <v>131521703.18037571</v>
      </c>
      <c r="H17" s="57"/>
    </row>
    <row r="18" spans="2:8" ht="15" customHeight="1" x14ac:dyDescent="0.3">
      <c r="B18" s="338"/>
      <c r="C18" s="43" t="str">
        <v>HEATER (HTX-03)</v>
      </c>
      <c r="D18" s="191">
        <v>30724.755988070083</v>
      </c>
      <c r="H18" s="57"/>
    </row>
    <row r="19" spans="2:8" ht="16.5" customHeight="1" x14ac:dyDescent="0.3">
      <c r="B19" s="338"/>
      <c r="C19" s="43" t="str">
        <v>REACTOR (REACT-3)</v>
      </c>
      <c r="D19" s="191">
        <v>101565319.31428848</v>
      </c>
    </row>
    <row r="20" spans="2:8" ht="16.5" customHeight="1" x14ac:dyDescent="0.3">
      <c r="B20" s="338"/>
      <c r="C20" s="43" t="str">
        <v>COOLER (HTX-04)</v>
      </c>
      <c r="D20" s="191">
        <v>377000</v>
      </c>
    </row>
    <row r="21" spans="2:8" ht="15" customHeight="1" x14ac:dyDescent="0.3">
      <c r="B21" s="338"/>
      <c r="C21" s="43" t="str">
        <v>COOLER (HTX-05)</v>
      </c>
      <c r="D21" s="312">
        <v>48411.612783217548</v>
      </c>
      <c r="H21" s="2"/>
    </row>
    <row r="22" spans="2:8" ht="16.5" customHeight="1" x14ac:dyDescent="0.3">
      <c r="B22" s="333"/>
      <c r="C22" s="43" t="str">
        <v>SEPERATOR (NH3FLASH)</v>
      </c>
      <c r="D22" s="312">
        <v>336000</v>
      </c>
      <c r="H22" s="57"/>
    </row>
    <row r="23" spans="2:8" ht="15" customHeight="1" x14ac:dyDescent="0.3">
      <c r="B23" s="335" t="s">
        <v>544</v>
      </c>
      <c r="C23" s="335"/>
      <c r="D23" s="313">
        <f>SUM(_xlfn.ANCHORARRAY(D5))</f>
        <v>410263171.4034794</v>
      </c>
      <c r="H23" s="57"/>
    </row>
    <row r="24" spans="2:8" ht="15" customHeight="1" x14ac:dyDescent="0.3">
      <c r="H24" s="57"/>
    </row>
    <row r="25" spans="2:8" ht="15" customHeight="1" x14ac:dyDescent="0.3">
      <c r="H25" s="57"/>
    </row>
    <row r="26" spans="2:8" ht="15" customHeight="1" x14ac:dyDescent="0.3">
      <c r="C26" s="57"/>
      <c r="H26" s="57"/>
    </row>
    <row r="27" spans="2:8" ht="15" customHeight="1" x14ac:dyDescent="0.3">
      <c r="B27" s="2"/>
      <c r="C27" s="57"/>
      <c r="H27" s="57"/>
    </row>
    <row r="28" spans="2:8" ht="15" customHeight="1" x14ac:dyDescent="0.3">
      <c r="B28" s="57"/>
      <c r="C28" s="57"/>
      <c r="H28" s="57"/>
    </row>
    <row r="29" spans="2:8" ht="15" customHeight="1" x14ac:dyDescent="0.3">
      <c r="C29" s="57"/>
      <c r="H29" s="57"/>
    </row>
    <row r="30" spans="2:8" ht="15" customHeight="1" x14ac:dyDescent="0.3">
      <c r="B30" s="57"/>
      <c r="C30" s="57"/>
      <c r="F30" s="2"/>
      <c r="H30" s="57"/>
    </row>
    <row r="31" spans="2:8" ht="15" customHeight="1" x14ac:dyDescent="0.3">
      <c r="B31" s="57"/>
      <c r="G31" s="2"/>
      <c r="H31" s="57"/>
    </row>
    <row r="32" spans="2:8" ht="15" customHeight="1" x14ac:dyDescent="0.3">
      <c r="G32" s="57"/>
      <c r="H32" s="57"/>
    </row>
    <row r="33" spans="2:8" ht="15" customHeight="1" x14ac:dyDescent="0.3">
      <c r="B33" s="57"/>
      <c r="C33" s="57"/>
      <c r="H33" s="57"/>
    </row>
    <row r="34" spans="2:8" ht="15" customHeight="1" x14ac:dyDescent="0.3">
      <c r="B34" s="57"/>
      <c r="C34" s="57"/>
      <c r="G34" s="57"/>
      <c r="H34" s="57"/>
    </row>
    <row r="35" spans="2:8" x14ac:dyDescent="0.3">
      <c r="C35" s="57"/>
      <c r="G35" s="57"/>
    </row>
    <row r="36" spans="2:8" x14ac:dyDescent="0.3">
      <c r="C36" s="57"/>
    </row>
    <row r="37" spans="2:8" x14ac:dyDescent="0.3">
      <c r="C37" s="57"/>
      <c r="G37" s="57"/>
      <c r="H37" s="57"/>
    </row>
    <row r="38" spans="2:8" x14ac:dyDescent="0.3">
      <c r="C38" s="57"/>
      <c r="G38" s="57"/>
      <c r="H38" s="57"/>
    </row>
    <row r="39" spans="2:8" x14ac:dyDescent="0.3">
      <c r="C39" s="57"/>
      <c r="H39" s="57"/>
    </row>
    <row r="40" spans="2:8" x14ac:dyDescent="0.3">
      <c r="C40" s="57"/>
      <c r="H40" s="57"/>
    </row>
    <row r="41" spans="2:8" x14ac:dyDescent="0.3">
      <c r="C41" s="57"/>
      <c r="H41" s="57"/>
    </row>
    <row r="42" spans="2:8" ht="16.5" customHeight="1" x14ac:dyDescent="0.3">
      <c r="H42" s="57"/>
    </row>
    <row r="43" spans="2:8" x14ac:dyDescent="0.3">
      <c r="H43" s="57"/>
    </row>
    <row r="44" spans="2:8" x14ac:dyDescent="0.3">
      <c r="C44" s="2"/>
      <c r="H44" s="57"/>
    </row>
    <row r="45" spans="2:8" x14ac:dyDescent="0.3">
      <c r="C45" s="57"/>
      <c r="H45" s="57"/>
    </row>
    <row r="46" spans="2:8" x14ac:dyDescent="0.3">
      <c r="C46" s="57"/>
    </row>
    <row r="47" spans="2:8" x14ac:dyDescent="0.3">
      <c r="C47" s="57"/>
    </row>
    <row r="48" spans="2:8" x14ac:dyDescent="0.3">
      <c r="C48" s="57"/>
      <c r="H48" s="2"/>
    </row>
    <row r="49" spans="2:8" x14ac:dyDescent="0.3">
      <c r="C49" s="57"/>
      <c r="H49" s="57"/>
    </row>
    <row r="50" spans="2:8" x14ac:dyDescent="0.3">
      <c r="C50" s="57"/>
      <c r="H50" s="57"/>
    </row>
    <row r="51" spans="2:8" x14ac:dyDescent="0.3">
      <c r="C51" s="57"/>
      <c r="H51" s="57"/>
    </row>
    <row r="52" spans="2:8" x14ac:dyDescent="0.3">
      <c r="C52" s="57"/>
      <c r="H52" s="57"/>
    </row>
    <row r="53" spans="2:8" ht="16.5" customHeight="1" x14ac:dyDescent="0.3">
      <c r="D53" s="57"/>
      <c r="H53" s="57"/>
    </row>
    <row r="54" spans="2:8" x14ac:dyDescent="0.3">
      <c r="D54" s="57"/>
      <c r="H54" s="57"/>
    </row>
    <row r="55" spans="2:8" x14ac:dyDescent="0.3">
      <c r="H55" s="57"/>
    </row>
    <row r="56" spans="2:8" x14ac:dyDescent="0.3">
      <c r="D56" s="57"/>
      <c r="H56" s="57"/>
    </row>
    <row r="57" spans="2:8" x14ac:dyDescent="0.3">
      <c r="D57" s="57"/>
      <c r="H57" s="57"/>
    </row>
    <row r="58" spans="2:8" x14ac:dyDescent="0.3">
      <c r="D58" s="57"/>
    </row>
    <row r="59" spans="2:8" ht="16.5" x14ac:dyDescent="0.3">
      <c r="B59"/>
      <c r="C59"/>
      <c r="D59"/>
    </row>
    <row r="71" spans="3:7" x14ac:dyDescent="0.3">
      <c r="F71" s="2"/>
    </row>
    <row r="72" spans="3:7" x14ac:dyDescent="0.3">
      <c r="G72" s="2"/>
    </row>
    <row r="73" spans="3:7" x14ac:dyDescent="0.3">
      <c r="G73" s="57"/>
    </row>
    <row r="75" spans="3:7" x14ac:dyDescent="0.3">
      <c r="G75" s="57"/>
    </row>
    <row r="76" spans="3:7" x14ac:dyDescent="0.3">
      <c r="G76" s="57"/>
    </row>
    <row r="77" spans="3:7" x14ac:dyDescent="0.3">
      <c r="G77" s="57"/>
    </row>
    <row r="78" spans="3:7" x14ac:dyDescent="0.3">
      <c r="C78" s="145"/>
      <c r="G78" s="57"/>
    </row>
    <row r="79" spans="3:7" x14ac:dyDescent="0.3">
      <c r="C79" s="145"/>
      <c r="G79" s="57"/>
    </row>
  </sheetData>
  <mergeCells count="4">
    <mergeCell ref="B23:C23"/>
    <mergeCell ref="B5:B7"/>
    <mergeCell ref="B8:B12"/>
    <mergeCell ref="B13:B2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4D41-87F9-4329-B0BE-330A2C5358B7}">
  <sheetPr codeName="Sheet9"/>
  <dimension ref="D3:P51"/>
  <sheetViews>
    <sheetView topLeftCell="C1" zoomScale="70" zoomScaleNormal="70" workbookViewId="0">
      <selection activeCell="H23" sqref="H23"/>
    </sheetView>
  </sheetViews>
  <sheetFormatPr defaultColWidth="9" defaultRowHeight="15" x14ac:dyDescent="0.3"/>
  <cols>
    <col min="1" max="2" width="9" style="245"/>
    <col min="3" max="3" width="15.625" style="245" bestFit="1" customWidth="1"/>
    <col min="4" max="4" width="37.125" style="46" bestFit="1" customWidth="1"/>
    <col min="5" max="5" width="19.5" style="245" bestFit="1" customWidth="1"/>
    <col min="6" max="6" width="9.25" style="245" bestFit="1" customWidth="1"/>
    <col min="7" max="7" width="19.75" style="245" bestFit="1" customWidth="1"/>
    <col min="8" max="8" width="14.5" style="46" bestFit="1" customWidth="1"/>
    <col min="9" max="9" width="12.75" style="245" bestFit="1" customWidth="1"/>
    <col min="10" max="10" width="19.75" style="245" customWidth="1"/>
    <col min="11" max="11" width="17.625" style="244" bestFit="1" customWidth="1"/>
    <col min="12" max="12" width="25.875" style="245" bestFit="1" customWidth="1"/>
    <col min="13" max="13" width="26.25" style="46" bestFit="1" customWidth="1"/>
    <col min="14" max="14" width="19.75" style="46" bestFit="1" customWidth="1"/>
    <col min="15" max="15" width="25" style="245" bestFit="1" customWidth="1"/>
    <col min="16" max="16" width="25.875" style="245" bestFit="1" customWidth="1"/>
    <col min="17" max="18" width="24" style="245" bestFit="1" customWidth="1"/>
    <col min="19" max="16384" width="9" style="245"/>
  </cols>
  <sheetData>
    <row r="3" spans="4:16" s="244" customFormat="1" x14ac:dyDescent="0.3">
      <c r="L3" s="245"/>
      <c r="M3" s="46"/>
      <c r="N3" s="46"/>
      <c r="O3" s="245"/>
    </row>
    <row r="4" spans="4:16" x14ac:dyDescent="0.3">
      <c r="D4" s="246" t="s">
        <v>597</v>
      </c>
      <c r="E4" s="246" t="s">
        <v>529</v>
      </c>
      <c r="F4" s="246"/>
      <c r="G4" s="246" t="s">
        <v>530</v>
      </c>
      <c r="H4" s="246" t="s">
        <v>531</v>
      </c>
      <c r="M4" s="245"/>
      <c r="N4" s="245"/>
      <c r="O4" s="46"/>
      <c r="P4" s="46"/>
    </row>
    <row r="5" spans="4:16" x14ac:dyDescent="0.3">
      <c r="D5" s="244" t="s">
        <v>598</v>
      </c>
      <c r="E5" s="46">
        <f>24242.8009491838*'Parameters &amp; Assumptions'!C9</f>
        <v>203639527.97314391</v>
      </c>
      <c r="G5" s="352">
        <f>E5*'Parameters &amp; Assumptions'!C16</f>
        <v>407279055.94628781</v>
      </c>
      <c r="M5" s="253"/>
      <c r="N5" s="245"/>
      <c r="O5" s="46"/>
      <c r="P5" s="46"/>
    </row>
    <row r="6" spans="4:16" x14ac:dyDescent="0.3">
      <c r="D6" s="244" t="s">
        <v>560</v>
      </c>
      <c r="E6" s="245">
        <f>5109.52546606507*'Parameters &amp; Assumptions'!C9</f>
        <v>42920013.914946586</v>
      </c>
      <c r="G6" s="245">
        <f>E6*'Parameters &amp; Assumptions'!C11</f>
        <v>214600069.57473293</v>
      </c>
      <c r="M6" s="251"/>
      <c r="N6" s="245"/>
      <c r="O6" s="46"/>
      <c r="P6" s="46"/>
    </row>
    <row r="7" spans="4:16" x14ac:dyDescent="0.3">
      <c r="D7" s="244" t="s">
        <v>561</v>
      </c>
      <c r="E7" s="245">
        <v>100</v>
      </c>
      <c r="G7" s="245">
        <f>E7*'Parameters &amp; Assumptions'!C17</f>
        <v>100</v>
      </c>
      <c r="K7" s="251"/>
      <c r="L7" s="253"/>
      <c r="M7" s="251"/>
      <c r="N7" s="245"/>
      <c r="O7" s="46"/>
      <c r="P7" s="46"/>
    </row>
    <row r="8" spans="4:16" x14ac:dyDescent="0.3">
      <c r="D8" s="244"/>
      <c r="K8" s="253"/>
      <c r="L8" s="251"/>
      <c r="M8" s="254"/>
      <c r="N8" s="245"/>
      <c r="O8" s="46"/>
      <c r="P8" s="46"/>
    </row>
    <row r="9" spans="4:16" x14ac:dyDescent="0.3">
      <c r="D9" s="248" t="s">
        <v>507</v>
      </c>
      <c r="E9" s="250"/>
      <c r="F9" s="250"/>
      <c r="G9" s="250">
        <f>SUM(G5:G7)</f>
        <v>621879225.52102077</v>
      </c>
      <c r="H9" s="249"/>
      <c r="K9" s="251"/>
      <c r="L9" s="251"/>
      <c r="M9" s="254"/>
      <c r="N9" s="245"/>
      <c r="O9" s="46"/>
      <c r="P9" s="46"/>
    </row>
    <row r="10" spans="4:16" x14ac:dyDescent="0.3">
      <c r="D10" s="244"/>
      <c r="K10" s="251"/>
      <c r="L10" s="254"/>
      <c r="M10" s="252"/>
      <c r="N10" s="245"/>
      <c r="O10" s="46"/>
      <c r="P10" s="46"/>
    </row>
    <row r="11" spans="4:16" x14ac:dyDescent="0.3">
      <c r="D11" s="244"/>
      <c r="E11" s="46"/>
      <c r="F11" s="244"/>
      <c r="G11" s="46"/>
      <c r="H11" s="245"/>
      <c r="K11" s="254"/>
      <c r="L11" s="254"/>
      <c r="M11" s="245"/>
      <c r="O11" s="46"/>
    </row>
    <row r="12" spans="4:16" x14ac:dyDescent="0.3">
      <c r="K12" s="254"/>
      <c r="L12" s="252"/>
      <c r="M12" s="245"/>
      <c r="O12" s="46"/>
    </row>
    <row r="13" spans="4:16" x14ac:dyDescent="0.3">
      <c r="K13" s="252"/>
      <c r="M13" s="245"/>
      <c r="O13" s="46"/>
    </row>
    <row r="14" spans="4:16" x14ac:dyDescent="0.3">
      <c r="K14" s="245"/>
      <c r="M14" s="245"/>
      <c r="O14" s="46"/>
    </row>
    <row r="15" spans="4:16" x14ac:dyDescent="0.3">
      <c r="K15" s="245"/>
    </row>
    <row r="16" spans="4:16" x14ac:dyDescent="0.3">
      <c r="H16" s="254"/>
      <c r="K16" s="245"/>
      <c r="L16" s="251"/>
      <c r="M16" s="245"/>
      <c r="O16" s="46"/>
    </row>
    <row r="17" spans="4:15" x14ac:dyDescent="0.3">
      <c r="K17" s="253"/>
      <c r="L17" s="251"/>
      <c r="M17" s="245"/>
      <c r="O17" s="46"/>
    </row>
    <row r="18" spans="4:15" x14ac:dyDescent="0.3">
      <c r="K18" s="251"/>
      <c r="L18" s="254"/>
      <c r="M18" s="245"/>
      <c r="O18" s="46"/>
    </row>
    <row r="19" spans="4:15" x14ac:dyDescent="0.3">
      <c r="D19" s="245"/>
      <c r="F19" s="46"/>
      <c r="H19" s="245"/>
      <c r="I19" s="46"/>
      <c r="J19" s="46"/>
      <c r="K19" s="251"/>
      <c r="L19" s="254"/>
      <c r="M19" s="245"/>
      <c r="O19" s="46"/>
    </row>
    <row r="20" spans="4:15" x14ac:dyDescent="0.3">
      <c r="D20" s="245"/>
      <c r="F20" s="46"/>
      <c r="H20" s="245"/>
      <c r="I20" s="46"/>
      <c r="J20" s="46"/>
      <c r="K20" s="254"/>
      <c r="L20" s="252"/>
      <c r="M20" s="245"/>
      <c r="O20" s="46"/>
    </row>
    <row r="21" spans="4:15" x14ac:dyDescent="0.3">
      <c r="D21" s="245"/>
      <c r="E21" s="46"/>
      <c r="F21" s="46"/>
      <c r="I21" s="46"/>
      <c r="K21" s="254"/>
    </row>
    <row r="22" spans="4:15" x14ac:dyDescent="0.3">
      <c r="D22" s="251"/>
      <c r="F22" s="46"/>
      <c r="G22" s="251"/>
      <c r="H22" s="245"/>
      <c r="I22" s="46"/>
      <c r="J22" s="46"/>
      <c r="K22" s="252"/>
    </row>
    <row r="23" spans="4:15" x14ac:dyDescent="0.3">
      <c r="D23" s="251"/>
      <c r="F23" s="46"/>
      <c r="G23" s="251"/>
      <c r="H23" s="245"/>
      <c r="I23" s="46"/>
      <c r="J23" s="46"/>
      <c r="K23" s="245"/>
    </row>
    <row r="24" spans="4:15" x14ac:dyDescent="0.3">
      <c r="D24" s="254"/>
      <c r="F24" s="46"/>
      <c r="G24" s="254"/>
      <c r="H24" s="245"/>
      <c r="I24" s="46"/>
      <c r="J24" s="46"/>
      <c r="K24" s="245"/>
    </row>
    <row r="25" spans="4:15" x14ac:dyDescent="0.3">
      <c r="D25" s="254"/>
      <c r="F25" s="46"/>
      <c r="G25" s="254"/>
      <c r="H25" s="245"/>
      <c r="I25" s="46"/>
      <c r="J25" s="46"/>
      <c r="K25" s="245"/>
      <c r="L25" s="46"/>
      <c r="N25" s="245"/>
    </row>
    <row r="26" spans="4:15" x14ac:dyDescent="0.3">
      <c r="D26" s="252"/>
      <c r="F26" s="46"/>
      <c r="G26" s="252"/>
      <c r="H26" s="245"/>
      <c r="I26" s="46"/>
      <c r="J26" s="46"/>
      <c r="K26" s="245"/>
      <c r="L26" s="46"/>
      <c r="N26" s="245"/>
    </row>
    <row r="27" spans="4:15" x14ac:dyDescent="0.3">
      <c r="D27" s="245"/>
      <c r="E27" s="46"/>
      <c r="F27" s="46"/>
      <c r="I27" s="46"/>
    </row>
    <row r="28" spans="4:15" x14ac:dyDescent="0.3">
      <c r="D28" s="245"/>
      <c r="E28" s="46"/>
      <c r="F28" s="46"/>
      <c r="I28" s="46"/>
    </row>
    <row r="29" spans="4:15" x14ac:dyDescent="0.3">
      <c r="D29" s="245"/>
      <c r="E29" s="46"/>
      <c r="F29" s="46"/>
      <c r="I29" s="46"/>
    </row>
    <row r="30" spans="4:15" x14ac:dyDescent="0.3">
      <c r="D30" s="245"/>
      <c r="E30" s="46"/>
      <c r="F30" s="46"/>
      <c r="I30" s="46"/>
    </row>
    <row r="31" spans="4:15" x14ac:dyDescent="0.3">
      <c r="E31" s="46"/>
      <c r="G31" s="46"/>
    </row>
    <row r="32" spans="4:15" x14ac:dyDescent="0.3">
      <c r="D32" s="245"/>
      <c r="F32" s="46"/>
      <c r="G32" s="46"/>
    </row>
    <row r="33" spans="4:9" x14ac:dyDescent="0.3">
      <c r="D33" s="245"/>
      <c r="F33" s="46"/>
      <c r="G33" s="46"/>
      <c r="I33" s="46"/>
    </row>
    <row r="34" spans="4:9" x14ac:dyDescent="0.3">
      <c r="D34" s="245"/>
      <c r="E34" s="46"/>
      <c r="F34" s="46"/>
      <c r="I34" s="46"/>
    </row>
    <row r="35" spans="4:9" x14ac:dyDescent="0.3">
      <c r="D35" s="251"/>
      <c r="F35" s="46"/>
      <c r="G35" s="46"/>
    </row>
    <row r="36" spans="4:9" x14ac:dyDescent="0.3">
      <c r="D36" s="251"/>
      <c r="F36" s="46"/>
      <c r="G36" s="46"/>
      <c r="H36" s="245"/>
      <c r="I36" s="46"/>
    </row>
    <row r="37" spans="4:9" x14ac:dyDescent="0.3">
      <c r="D37" s="254"/>
      <c r="F37" s="46"/>
      <c r="G37" s="46"/>
      <c r="H37" s="244"/>
    </row>
    <row r="38" spans="4:9" x14ac:dyDescent="0.3">
      <c r="D38" s="254"/>
      <c r="F38" s="46"/>
      <c r="G38" s="46"/>
      <c r="H38" s="244"/>
    </row>
    <row r="39" spans="4:9" x14ac:dyDescent="0.3">
      <c r="D39" s="252"/>
      <c r="F39" s="46"/>
      <c r="G39" s="46"/>
      <c r="H39" s="244"/>
    </row>
    <row r="40" spans="4:9" x14ac:dyDescent="0.3">
      <c r="D40" s="245"/>
      <c r="E40" s="46"/>
      <c r="F40" s="46"/>
      <c r="H40" s="244"/>
    </row>
    <row r="41" spans="4:9" x14ac:dyDescent="0.3">
      <c r="D41" s="245"/>
      <c r="E41" s="46"/>
      <c r="F41" s="46"/>
      <c r="H41" s="244"/>
    </row>
    <row r="42" spans="4:9" x14ac:dyDescent="0.3">
      <c r="D42" s="245"/>
      <c r="E42" s="46"/>
      <c r="F42" s="46"/>
      <c r="H42" s="244"/>
    </row>
    <row r="43" spans="4:9" x14ac:dyDescent="0.3">
      <c r="D43" s="245"/>
      <c r="E43" s="46"/>
      <c r="F43" s="46"/>
      <c r="H43" s="245"/>
      <c r="I43" s="46"/>
    </row>
    <row r="44" spans="4:9" x14ac:dyDescent="0.3">
      <c r="E44" s="46"/>
      <c r="H44" s="244"/>
    </row>
    <row r="45" spans="4:9" x14ac:dyDescent="0.3">
      <c r="E45" s="46"/>
      <c r="H45" s="244"/>
    </row>
    <row r="46" spans="4:9" x14ac:dyDescent="0.3">
      <c r="D46" s="245"/>
      <c r="E46" s="46"/>
      <c r="F46" s="46"/>
      <c r="H46" s="244"/>
    </row>
    <row r="47" spans="4:9" x14ac:dyDescent="0.3">
      <c r="D47" s="245"/>
      <c r="E47" s="46"/>
      <c r="F47" s="46"/>
      <c r="H47" s="244"/>
    </row>
    <row r="48" spans="4:9" x14ac:dyDescent="0.3">
      <c r="H48" s="244"/>
    </row>
    <row r="49" spans="8:8" x14ac:dyDescent="0.3">
      <c r="H49" s="244"/>
    </row>
    <row r="50" spans="8:8" x14ac:dyDescent="0.3">
      <c r="H50" s="244"/>
    </row>
    <row r="51" spans="8:8" x14ac:dyDescent="0.3">
      <c r="H51" s="24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4013-8628-4777-822E-C2519911147C}">
  <sheetPr codeName="Sheet10"/>
  <dimension ref="C2:F7"/>
  <sheetViews>
    <sheetView workbookViewId="0">
      <selection activeCell="F7" sqref="F7"/>
    </sheetView>
  </sheetViews>
  <sheetFormatPr defaultColWidth="9" defaultRowHeight="15" x14ac:dyDescent="0.3"/>
  <cols>
    <col min="1" max="2" width="9" style="1"/>
    <col min="3" max="3" width="9.625" style="1" bestFit="1" customWidth="1"/>
    <col min="4" max="6" width="8.25" style="1" bestFit="1" customWidth="1"/>
    <col min="7" max="16384" width="9" style="1"/>
  </cols>
  <sheetData>
    <row r="2" spans="3:6" ht="15.75" thickBot="1" x14ac:dyDescent="0.35"/>
    <row r="3" spans="3:6" ht="15.75" thickBot="1" x14ac:dyDescent="0.3">
      <c r="C3" s="33"/>
      <c r="D3" s="33" t="s">
        <v>165</v>
      </c>
      <c r="E3" s="33" t="s">
        <v>166</v>
      </c>
      <c r="F3" s="34" t="s">
        <v>84</v>
      </c>
    </row>
    <row r="4" spans="3:6" x14ac:dyDescent="0.25">
      <c r="C4" s="35" t="s">
        <v>167</v>
      </c>
      <c r="D4" s="36"/>
      <c r="E4" s="31"/>
      <c r="F4" s="36"/>
    </row>
    <row r="5" spans="3:6" x14ac:dyDescent="0.25">
      <c r="C5" s="35" t="s">
        <v>168</v>
      </c>
      <c r="D5" s="36"/>
      <c r="E5" s="31"/>
      <c r="F5" s="36"/>
    </row>
    <row r="6" spans="3:6" x14ac:dyDescent="0.25">
      <c r="C6" s="37" t="s">
        <v>169</v>
      </c>
      <c r="D6" s="31"/>
      <c r="E6" s="31"/>
      <c r="F6" s="36"/>
    </row>
    <row r="7" spans="3:6" ht="15.75" thickBot="1" x14ac:dyDescent="0.35">
      <c r="C7" s="38" t="s">
        <v>170</v>
      </c>
      <c r="D7" s="39" t="e">
        <f>D4/(D5-D6)</f>
        <v>#DIV/0!</v>
      </c>
      <c r="E7" s="39" t="e">
        <f>E4/(E5-E6)</f>
        <v>#DIV/0!</v>
      </c>
      <c r="F7" s="39" t="e">
        <f>F4/(F5-F6)</f>
        <v>#DIV/0!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B99E-DB0A-497B-B771-665296499268}">
  <sheetPr codeName="Sheet11"/>
  <dimension ref="C3:H41"/>
  <sheetViews>
    <sheetView workbookViewId="0">
      <selection activeCell="F7" sqref="F7"/>
    </sheetView>
  </sheetViews>
  <sheetFormatPr defaultRowHeight="16.5" x14ac:dyDescent="0.3"/>
  <cols>
    <col min="3" max="3" width="17.5" bestFit="1" customWidth="1"/>
    <col min="4" max="4" width="19.125" bestFit="1" customWidth="1"/>
    <col min="5" max="5" width="5.5" bestFit="1" customWidth="1"/>
    <col min="6" max="6" width="7.75" bestFit="1" customWidth="1"/>
    <col min="7" max="7" width="7.125" bestFit="1" customWidth="1"/>
    <col min="8" max="8" width="8.625" bestFit="1" customWidth="1"/>
  </cols>
  <sheetData>
    <row r="3" spans="3:8" x14ac:dyDescent="0.3">
      <c r="C3" s="40"/>
      <c r="D3" s="41"/>
      <c r="E3" s="41"/>
      <c r="F3" s="42" t="s">
        <v>165</v>
      </c>
      <c r="G3" s="42" t="s">
        <v>90</v>
      </c>
      <c r="H3" s="42" t="s">
        <v>84</v>
      </c>
    </row>
    <row r="4" spans="3:8" x14ac:dyDescent="0.3">
      <c r="C4" s="40" t="s">
        <v>6</v>
      </c>
      <c r="D4" s="41"/>
      <c r="E4" s="41"/>
      <c r="F4" s="36"/>
      <c r="G4" s="36"/>
      <c r="H4" s="36"/>
    </row>
    <row r="5" spans="3:8" x14ac:dyDescent="0.3">
      <c r="C5" s="40" t="s">
        <v>171</v>
      </c>
      <c r="D5" s="41"/>
      <c r="E5" s="41"/>
      <c r="F5" s="41">
        <v>0.05</v>
      </c>
      <c r="G5" s="41">
        <v>0.05</v>
      </c>
      <c r="H5" s="41">
        <v>0.05</v>
      </c>
    </row>
    <row r="6" spans="3:8" x14ac:dyDescent="0.3">
      <c r="C6" s="40"/>
      <c r="D6" s="41"/>
      <c r="E6" s="36"/>
      <c r="F6" s="36"/>
      <c r="G6" s="36"/>
      <c r="H6" s="36"/>
    </row>
    <row r="7" spans="3:8" x14ac:dyDescent="0.3">
      <c r="C7" s="40" t="s">
        <v>172</v>
      </c>
      <c r="D7" s="41"/>
      <c r="E7" s="36"/>
      <c r="F7" s="36">
        <f>((F8-F9-F10-F11)*(1-F12)+F11)</f>
        <v>0</v>
      </c>
      <c r="G7" s="36">
        <f>((G8-G9-G10-G11)*(1-G12)+G11)</f>
        <v>0</v>
      </c>
      <c r="H7" s="36">
        <f>((H8-H9-H10-H11)*(1-H12)+H11)</f>
        <v>0</v>
      </c>
    </row>
    <row r="8" spans="3:8" x14ac:dyDescent="0.3">
      <c r="C8" s="41"/>
      <c r="D8" s="41" t="s">
        <v>173</v>
      </c>
      <c r="E8" s="36"/>
      <c r="F8" s="36"/>
      <c r="G8" s="36"/>
      <c r="H8" s="36"/>
    </row>
    <row r="9" spans="3:8" x14ac:dyDescent="0.3">
      <c r="C9" s="41"/>
      <c r="D9" s="41" t="s">
        <v>174</v>
      </c>
      <c r="E9" s="36"/>
      <c r="F9" s="36"/>
      <c r="G9" s="36"/>
      <c r="H9" s="36"/>
    </row>
    <row r="10" spans="3:8" x14ac:dyDescent="0.3">
      <c r="C10" s="41"/>
      <c r="D10" s="41" t="s">
        <v>175</v>
      </c>
      <c r="E10" s="36"/>
      <c r="F10" s="36"/>
      <c r="G10" s="36"/>
      <c r="H10" s="36"/>
    </row>
    <row r="11" spans="3:8" x14ac:dyDescent="0.3">
      <c r="C11" s="41"/>
      <c r="D11" s="41" t="s">
        <v>176</v>
      </c>
      <c r="E11" s="36"/>
      <c r="F11" s="36"/>
      <c r="G11" s="36"/>
      <c r="H11" s="36"/>
    </row>
    <row r="12" spans="3:8" x14ac:dyDescent="0.3">
      <c r="C12" s="41"/>
      <c r="D12" s="41" t="s">
        <v>177</v>
      </c>
      <c r="E12" s="36"/>
      <c r="F12" s="41">
        <v>0.25</v>
      </c>
      <c r="G12" s="41">
        <v>0.25</v>
      </c>
      <c r="H12" s="41">
        <v>0.25</v>
      </c>
    </row>
    <row r="13" spans="3:8" x14ac:dyDescent="0.3">
      <c r="C13" s="40"/>
      <c r="D13" s="41"/>
      <c r="E13" s="36"/>
      <c r="F13" s="36"/>
      <c r="G13" s="36"/>
      <c r="H13" s="36"/>
    </row>
    <row r="14" spans="3:8" x14ac:dyDescent="0.3">
      <c r="C14" s="40"/>
      <c r="D14" s="41" t="s">
        <v>178</v>
      </c>
      <c r="E14" s="36">
        <v>1</v>
      </c>
      <c r="F14" s="36">
        <f>$F$7/((1+$F$5)^$E14)</f>
        <v>0</v>
      </c>
      <c r="G14" s="36">
        <f>$G$7/((1+$G$5)^$E14)</f>
        <v>0</v>
      </c>
      <c r="H14" s="36">
        <f>$H$7/((1+$H$5)^$E14)</f>
        <v>0</v>
      </c>
    </row>
    <row r="15" spans="3:8" x14ac:dyDescent="0.3">
      <c r="C15" s="40"/>
      <c r="D15" s="41" t="s">
        <v>178</v>
      </c>
      <c r="E15" s="36">
        <v>2</v>
      </c>
      <c r="F15" s="36">
        <f t="shared" ref="F15:F38" si="0">$F$7/((1+$F$5)^$E15)</f>
        <v>0</v>
      </c>
      <c r="G15" s="36">
        <f t="shared" ref="G15:G38" si="1">$G$7/((1+$G$5)^$E15)</f>
        <v>0</v>
      </c>
      <c r="H15" s="36">
        <f t="shared" ref="H15:H38" si="2">$H$7/((1+$H$5)^$E15)</f>
        <v>0</v>
      </c>
    </row>
    <row r="16" spans="3:8" x14ac:dyDescent="0.3">
      <c r="C16" s="40"/>
      <c r="D16" s="41" t="s">
        <v>178</v>
      </c>
      <c r="E16" s="36">
        <v>3</v>
      </c>
      <c r="F16" s="36">
        <f t="shared" si="0"/>
        <v>0</v>
      </c>
      <c r="G16" s="36">
        <f t="shared" si="1"/>
        <v>0</v>
      </c>
      <c r="H16" s="36">
        <f t="shared" si="2"/>
        <v>0</v>
      </c>
    </row>
    <row r="17" spans="3:8" x14ac:dyDescent="0.3">
      <c r="C17" s="40"/>
      <c r="D17" s="41" t="s">
        <v>178</v>
      </c>
      <c r="E17" s="36">
        <v>4</v>
      </c>
      <c r="F17" s="36">
        <f t="shared" si="0"/>
        <v>0</v>
      </c>
      <c r="G17" s="36">
        <f t="shared" si="1"/>
        <v>0</v>
      </c>
      <c r="H17" s="36">
        <f t="shared" si="2"/>
        <v>0</v>
      </c>
    </row>
    <row r="18" spans="3:8" x14ac:dyDescent="0.3">
      <c r="C18" s="40"/>
      <c r="D18" s="41" t="s">
        <v>178</v>
      </c>
      <c r="E18" s="36">
        <v>5</v>
      </c>
      <c r="F18" s="36">
        <f t="shared" si="0"/>
        <v>0</v>
      </c>
      <c r="G18" s="36">
        <f t="shared" si="1"/>
        <v>0</v>
      </c>
      <c r="H18" s="36">
        <f t="shared" si="2"/>
        <v>0</v>
      </c>
    </row>
    <row r="19" spans="3:8" x14ac:dyDescent="0.3">
      <c r="C19" s="40"/>
      <c r="D19" s="41" t="s">
        <v>178</v>
      </c>
      <c r="E19" s="36">
        <v>6</v>
      </c>
      <c r="F19" s="36">
        <f t="shared" si="0"/>
        <v>0</v>
      </c>
      <c r="G19" s="36">
        <f t="shared" si="1"/>
        <v>0</v>
      </c>
      <c r="H19" s="36">
        <f t="shared" si="2"/>
        <v>0</v>
      </c>
    </row>
    <row r="20" spans="3:8" x14ac:dyDescent="0.3">
      <c r="C20" s="40"/>
      <c r="D20" s="41" t="s">
        <v>178</v>
      </c>
      <c r="E20" s="36">
        <v>7</v>
      </c>
      <c r="F20" s="36">
        <f t="shared" si="0"/>
        <v>0</v>
      </c>
      <c r="G20" s="36">
        <f t="shared" si="1"/>
        <v>0</v>
      </c>
      <c r="H20" s="36">
        <f t="shared" si="2"/>
        <v>0</v>
      </c>
    </row>
    <row r="21" spans="3:8" x14ac:dyDescent="0.3">
      <c r="C21" s="40"/>
      <c r="D21" s="41" t="s">
        <v>178</v>
      </c>
      <c r="E21" s="36">
        <v>8</v>
      </c>
      <c r="F21" s="36">
        <f t="shared" si="0"/>
        <v>0</v>
      </c>
      <c r="G21" s="36">
        <f t="shared" si="1"/>
        <v>0</v>
      </c>
      <c r="H21" s="36">
        <f t="shared" si="2"/>
        <v>0</v>
      </c>
    </row>
    <row r="22" spans="3:8" x14ac:dyDescent="0.3">
      <c r="C22" s="40"/>
      <c r="D22" s="41" t="s">
        <v>178</v>
      </c>
      <c r="E22" s="36">
        <v>9</v>
      </c>
      <c r="F22" s="36">
        <f t="shared" si="0"/>
        <v>0</v>
      </c>
      <c r="G22" s="36">
        <f t="shared" si="1"/>
        <v>0</v>
      </c>
      <c r="H22" s="36">
        <f t="shared" si="2"/>
        <v>0</v>
      </c>
    </row>
    <row r="23" spans="3:8" x14ac:dyDescent="0.3">
      <c r="C23" s="40"/>
      <c r="D23" s="41" t="s">
        <v>178</v>
      </c>
      <c r="E23" s="36">
        <v>10</v>
      </c>
      <c r="F23" s="36">
        <f t="shared" si="0"/>
        <v>0</v>
      </c>
      <c r="G23" s="36">
        <f t="shared" si="1"/>
        <v>0</v>
      </c>
      <c r="H23" s="36">
        <f t="shared" si="2"/>
        <v>0</v>
      </c>
    </row>
    <row r="24" spans="3:8" x14ac:dyDescent="0.3">
      <c r="C24" s="40"/>
      <c r="D24" s="41" t="s">
        <v>178</v>
      </c>
      <c r="E24" s="36">
        <v>11</v>
      </c>
      <c r="F24" s="36">
        <f t="shared" si="0"/>
        <v>0</v>
      </c>
      <c r="G24" s="36">
        <f t="shared" si="1"/>
        <v>0</v>
      </c>
      <c r="H24" s="36">
        <f t="shared" si="2"/>
        <v>0</v>
      </c>
    </row>
    <row r="25" spans="3:8" x14ac:dyDescent="0.3">
      <c r="C25" s="40"/>
      <c r="D25" s="41" t="s">
        <v>178</v>
      </c>
      <c r="E25" s="36">
        <v>12</v>
      </c>
      <c r="F25" s="36">
        <f t="shared" si="0"/>
        <v>0</v>
      </c>
      <c r="G25" s="36">
        <f t="shared" si="1"/>
        <v>0</v>
      </c>
      <c r="H25" s="36">
        <f t="shared" si="2"/>
        <v>0</v>
      </c>
    </row>
    <row r="26" spans="3:8" x14ac:dyDescent="0.3">
      <c r="C26" s="40"/>
      <c r="D26" s="41" t="s">
        <v>178</v>
      </c>
      <c r="E26" s="36">
        <v>13</v>
      </c>
      <c r="F26" s="36">
        <f t="shared" si="0"/>
        <v>0</v>
      </c>
      <c r="G26" s="36">
        <f t="shared" si="1"/>
        <v>0</v>
      </c>
      <c r="H26" s="36">
        <f t="shared" si="2"/>
        <v>0</v>
      </c>
    </row>
    <row r="27" spans="3:8" x14ac:dyDescent="0.3">
      <c r="C27" s="40"/>
      <c r="D27" s="41" t="s">
        <v>178</v>
      </c>
      <c r="E27" s="36">
        <v>14</v>
      </c>
      <c r="F27" s="36">
        <f t="shared" si="0"/>
        <v>0</v>
      </c>
      <c r="G27" s="36">
        <f t="shared" si="1"/>
        <v>0</v>
      </c>
      <c r="H27" s="36">
        <f t="shared" si="2"/>
        <v>0</v>
      </c>
    </row>
    <row r="28" spans="3:8" x14ac:dyDescent="0.3">
      <c r="C28" s="40"/>
      <c r="D28" s="41" t="s">
        <v>178</v>
      </c>
      <c r="E28" s="36">
        <v>15</v>
      </c>
      <c r="F28" s="36">
        <f t="shared" si="0"/>
        <v>0</v>
      </c>
      <c r="G28" s="36">
        <f t="shared" si="1"/>
        <v>0</v>
      </c>
      <c r="H28" s="36">
        <f t="shared" si="2"/>
        <v>0</v>
      </c>
    </row>
    <row r="29" spans="3:8" x14ac:dyDescent="0.3">
      <c r="C29" s="40"/>
      <c r="D29" s="41" t="s">
        <v>178</v>
      </c>
      <c r="E29" s="36">
        <v>16</v>
      </c>
      <c r="F29" s="36">
        <f t="shared" si="0"/>
        <v>0</v>
      </c>
      <c r="G29" s="36">
        <f t="shared" si="1"/>
        <v>0</v>
      </c>
      <c r="H29" s="36">
        <f t="shared" si="2"/>
        <v>0</v>
      </c>
    </row>
    <row r="30" spans="3:8" x14ac:dyDescent="0.3">
      <c r="C30" s="40"/>
      <c r="D30" s="41" t="s">
        <v>178</v>
      </c>
      <c r="E30" s="36">
        <v>17</v>
      </c>
      <c r="F30" s="36">
        <f t="shared" si="0"/>
        <v>0</v>
      </c>
      <c r="G30" s="36">
        <f t="shared" si="1"/>
        <v>0</v>
      </c>
      <c r="H30" s="36">
        <f t="shared" si="2"/>
        <v>0</v>
      </c>
    </row>
    <row r="31" spans="3:8" x14ac:dyDescent="0.3">
      <c r="C31" s="40"/>
      <c r="D31" s="41" t="s">
        <v>178</v>
      </c>
      <c r="E31" s="36">
        <v>18</v>
      </c>
      <c r="F31" s="36">
        <f t="shared" si="0"/>
        <v>0</v>
      </c>
      <c r="G31" s="36">
        <f t="shared" si="1"/>
        <v>0</v>
      </c>
      <c r="H31" s="36">
        <f t="shared" si="2"/>
        <v>0</v>
      </c>
    </row>
    <row r="32" spans="3:8" x14ac:dyDescent="0.3">
      <c r="C32" s="40"/>
      <c r="D32" s="41" t="s">
        <v>178</v>
      </c>
      <c r="E32" s="36">
        <v>19</v>
      </c>
      <c r="F32" s="36">
        <f t="shared" si="0"/>
        <v>0</v>
      </c>
      <c r="G32" s="36">
        <f t="shared" si="1"/>
        <v>0</v>
      </c>
      <c r="H32" s="36">
        <f t="shared" si="2"/>
        <v>0</v>
      </c>
    </row>
    <row r="33" spans="3:8" x14ac:dyDescent="0.3">
      <c r="C33" s="40"/>
      <c r="D33" s="41" t="s">
        <v>178</v>
      </c>
      <c r="E33" s="36">
        <v>20</v>
      </c>
      <c r="F33" s="36">
        <f t="shared" si="0"/>
        <v>0</v>
      </c>
      <c r="G33" s="36">
        <f t="shared" si="1"/>
        <v>0</v>
      </c>
      <c r="H33" s="36">
        <f t="shared" si="2"/>
        <v>0</v>
      </c>
    </row>
    <row r="34" spans="3:8" x14ac:dyDescent="0.3">
      <c r="C34" s="40"/>
      <c r="D34" s="41" t="s">
        <v>178</v>
      </c>
      <c r="E34" s="36">
        <v>21</v>
      </c>
      <c r="F34" s="36">
        <f t="shared" si="0"/>
        <v>0</v>
      </c>
      <c r="G34" s="36">
        <f t="shared" si="1"/>
        <v>0</v>
      </c>
      <c r="H34" s="36">
        <f t="shared" si="2"/>
        <v>0</v>
      </c>
    </row>
    <row r="35" spans="3:8" x14ac:dyDescent="0.3">
      <c r="C35" s="40"/>
      <c r="D35" s="41" t="s">
        <v>178</v>
      </c>
      <c r="E35" s="36">
        <v>22</v>
      </c>
      <c r="F35" s="36">
        <f t="shared" si="0"/>
        <v>0</v>
      </c>
      <c r="G35" s="36">
        <f t="shared" si="1"/>
        <v>0</v>
      </c>
      <c r="H35" s="36">
        <f t="shared" si="2"/>
        <v>0</v>
      </c>
    </row>
    <row r="36" spans="3:8" x14ac:dyDescent="0.3">
      <c r="C36" s="40"/>
      <c r="D36" s="41" t="s">
        <v>178</v>
      </c>
      <c r="E36" s="36">
        <v>23</v>
      </c>
      <c r="F36" s="36">
        <f t="shared" si="0"/>
        <v>0</v>
      </c>
      <c r="G36" s="36">
        <f t="shared" si="1"/>
        <v>0</v>
      </c>
      <c r="H36" s="36">
        <f t="shared" si="2"/>
        <v>0</v>
      </c>
    </row>
    <row r="37" spans="3:8" x14ac:dyDescent="0.3">
      <c r="C37" s="40"/>
      <c r="D37" s="41" t="s">
        <v>178</v>
      </c>
      <c r="E37" s="36">
        <v>24</v>
      </c>
      <c r="F37" s="36">
        <f t="shared" si="0"/>
        <v>0</v>
      </c>
      <c r="G37" s="36">
        <f t="shared" si="1"/>
        <v>0</v>
      </c>
      <c r="H37" s="36">
        <f t="shared" si="2"/>
        <v>0</v>
      </c>
    </row>
    <row r="38" spans="3:8" x14ac:dyDescent="0.3">
      <c r="C38" s="40"/>
      <c r="D38" s="41" t="s">
        <v>178</v>
      </c>
      <c r="E38" s="36">
        <v>25</v>
      </c>
      <c r="F38" s="36">
        <f t="shared" si="0"/>
        <v>0</v>
      </c>
      <c r="G38" s="36">
        <f t="shared" si="1"/>
        <v>0</v>
      </c>
      <c r="H38" s="36">
        <f t="shared" si="2"/>
        <v>0</v>
      </c>
    </row>
    <row r="39" spans="3:8" x14ac:dyDescent="0.3">
      <c r="C39" s="40"/>
      <c r="D39" s="41" t="s">
        <v>179</v>
      </c>
      <c r="E39" s="41"/>
      <c r="F39" s="36">
        <f>SUM(F14:F38)</f>
        <v>0</v>
      </c>
      <c r="G39" s="36">
        <f>SUM(G14:G38)</f>
        <v>0</v>
      </c>
      <c r="H39" s="36">
        <f>SUM(H14:H38)</f>
        <v>0</v>
      </c>
    </row>
    <row r="40" spans="3:8" x14ac:dyDescent="0.3">
      <c r="C40" s="40"/>
      <c r="D40" s="41"/>
      <c r="E40" s="41"/>
      <c r="F40" s="41"/>
      <c r="G40" s="41"/>
      <c r="H40" s="41"/>
    </row>
    <row r="41" spans="3:8" x14ac:dyDescent="0.3">
      <c r="C41" s="40" t="s">
        <v>180</v>
      </c>
      <c r="D41" s="41"/>
      <c r="E41" s="36"/>
      <c r="F41" s="36">
        <f>F39-F4</f>
        <v>0</v>
      </c>
      <c r="G41" s="36">
        <f>G39-G4</f>
        <v>0</v>
      </c>
      <c r="H41" s="36">
        <f>H39-H4</f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DDBA-9259-4F83-962C-637428FFF45F}">
  <sheetPr codeName="Sheet12"/>
  <dimension ref="C1:AF88"/>
  <sheetViews>
    <sheetView topLeftCell="F1" zoomScale="62" zoomScaleNormal="62" workbookViewId="0">
      <selection activeCell="N40" sqref="N40"/>
    </sheetView>
  </sheetViews>
  <sheetFormatPr defaultColWidth="9" defaultRowHeight="13.5" customHeight="1" x14ac:dyDescent="0.3"/>
  <cols>
    <col min="1" max="2" width="9" style="58"/>
    <col min="3" max="3" width="33.125" style="45" bestFit="1" customWidth="1"/>
    <col min="4" max="4" width="28.25" style="58" bestFit="1" customWidth="1"/>
    <col min="5" max="5" width="29.375" style="58" bestFit="1" customWidth="1"/>
    <col min="6" max="6" width="24.875" style="58" bestFit="1" customWidth="1"/>
    <col min="7" max="8" width="33.25" style="58" bestFit="1" customWidth="1"/>
    <col min="9" max="9" width="24.875" style="58" bestFit="1" customWidth="1"/>
    <col min="10" max="13" width="33.25" style="58" bestFit="1" customWidth="1"/>
    <col min="14" max="14" width="30.125" style="58" customWidth="1"/>
    <col min="15" max="15" width="32.75" style="58" bestFit="1" customWidth="1"/>
    <col min="16" max="16" width="23.25" style="58" bestFit="1" customWidth="1"/>
    <col min="17" max="17" width="27" style="58" bestFit="1" customWidth="1"/>
    <col min="18" max="18" width="23.25" style="58" bestFit="1" customWidth="1"/>
    <col min="19" max="19" width="27" style="58" bestFit="1" customWidth="1"/>
    <col min="20" max="21" width="23.5" style="58" bestFit="1" customWidth="1"/>
    <col min="22" max="22" width="31.375" style="58" bestFit="1" customWidth="1"/>
    <col min="23" max="23" width="25.75" style="58" bestFit="1" customWidth="1"/>
    <col min="24" max="24" width="24.125" style="58" bestFit="1" customWidth="1"/>
    <col min="25" max="25" width="29" style="58" bestFit="1" customWidth="1"/>
    <col min="26" max="26" width="34.75" style="58" bestFit="1" customWidth="1"/>
    <col min="27" max="27" width="31.875" style="58" bestFit="1" customWidth="1"/>
    <col min="28" max="29" width="29" style="58" bestFit="1" customWidth="1"/>
    <col min="30" max="30" width="26.75" style="58" bestFit="1" customWidth="1"/>
    <col min="31" max="31" width="29" style="58" bestFit="1" customWidth="1"/>
    <col min="32" max="32" width="24.5" style="58" bestFit="1" customWidth="1"/>
    <col min="33" max="33" width="26.75" style="58" bestFit="1" customWidth="1"/>
    <col min="34" max="34" width="24.125" style="58" bestFit="1" customWidth="1"/>
    <col min="35" max="35" width="16.25" style="58" bestFit="1" customWidth="1"/>
    <col min="36" max="16384" width="9" style="58"/>
  </cols>
  <sheetData>
    <row r="1" spans="3:32" ht="15" x14ac:dyDescent="0.3">
      <c r="C1" s="63"/>
    </row>
    <row r="2" spans="3:32" ht="15" x14ac:dyDescent="0.3">
      <c r="C2" s="64" t="s">
        <v>575</v>
      </c>
    </row>
    <row r="3" spans="3:32" ht="16.5" customHeight="1" x14ac:dyDescent="0.3">
      <c r="C3" s="59" t="s">
        <v>199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</row>
    <row r="4" spans="3:32" ht="16.5" customHeight="1" x14ac:dyDescent="0.3">
      <c r="E4" s="337" t="s">
        <v>601</v>
      </c>
      <c r="F4" s="337"/>
      <c r="G4" s="337"/>
      <c r="H4" s="337" t="s">
        <v>602</v>
      </c>
      <c r="I4" s="337"/>
      <c r="J4" s="337"/>
      <c r="K4" s="337"/>
      <c r="L4" s="337"/>
      <c r="M4" s="337" t="s">
        <v>603</v>
      </c>
      <c r="N4" s="337"/>
      <c r="O4" s="337"/>
      <c r="P4" s="337"/>
      <c r="Q4" s="337"/>
      <c r="R4" s="337"/>
      <c r="S4" s="337"/>
      <c r="T4" s="337"/>
      <c r="U4" s="337"/>
      <c r="V4" s="337"/>
    </row>
    <row r="5" spans="3:32" ht="15" x14ac:dyDescent="0.3">
      <c r="C5" s="45" t="s">
        <v>186</v>
      </c>
      <c r="D5" s="61" t="s">
        <v>200</v>
      </c>
      <c r="E5" s="349" t="s">
        <v>576</v>
      </c>
      <c r="F5" s="45" t="s">
        <v>577</v>
      </c>
      <c r="G5" s="349" t="s">
        <v>578</v>
      </c>
      <c r="H5" s="349" t="s">
        <v>580</v>
      </c>
      <c r="I5" s="45" t="s">
        <v>581</v>
      </c>
      <c r="J5" s="349" t="s">
        <v>582</v>
      </c>
      <c r="K5" s="45" t="s">
        <v>583</v>
      </c>
      <c r="L5" s="349" t="s">
        <v>584</v>
      </c>
      <c r="M5" s="220" t="s">
        <v>585</v>
      </c>
      <c r="N5" s="350" t="s">
        <v>556</v>
      </c>
      <c r="O5" s="350" t="s">
        <v>586</v>
      </c>
      <c r="P5" s="349" t="s">
        <v>587</v>
      </c>
      <c r="Q5" s="350" t="s">
        <v>588</v>
      </c>
      <c r="R5" s="349" t="s">
        <v>589</v>
      </c>
      <c r="S5" s="350" t="s">
        <v>590</v>
      </c>
      <c r="T5" s="45" t="s">
        <v>592</v>
      </c>
      <c r="U5" s="45" t="s">
        <v>591</v>
      </c>
      <c r="V5" s="220" t="s">
        <v>593</v>
      </c>
      <c r="Y5" s="47"/>
      <c r="AD5" s="47"/>
      <c r="AE5" s="47"/>
      <c r="AF5" s="47"/>
    </row>
    <row r="6" spans="3:32" ht="15" x14ac:dyDescent="0.3">
      <c r="D6" s="183" t="s">
        <v>187</v>
      </c>
      <c r="E6" s="169">
        <f>'NH3 CAPCOST'!I39</f>
        <v>1483263.627229064</v>
      </c>
      <c r="F6" s="329">
        <f>F16</f>
        <v>53900</v>
      </c>
      <c r="G6" s="169">
        <f>'NH3 CAPCOST'!I48</f>
        <v>1418425.6673946765</v>
      </c>
      <c r="H6" s="210">
        <f>'NH3 CAPCOST'!I57</f>
        <v>995564.27692297881</v>
      </c>
      <c r="I6" s="169">
        <f>I16</f>
        <v>25500</v>
      </c>
      <c r="J6" s="169">
        <f>'NH3 CAPCOST'!I66</f>
        <v>1223115.3255735713</v>
      </c>
      <c r="K6" s="211">
        <f>K16</f>
        <v>128000</v>
      </c>
      <c r="L6" s="169">
        <f>'NH3 CAPCOST'!I75</f>
        <v>641441.44755738752</v>
      </c>
      <c r="M6" s="169">
        <f t="shared" ref="M6:V6" si="0">M16</f>
        <v>0</v>
      </c>
      <c r="N6" s="169">
        <f>'NH3 CAPCOST'!L13</f>
        <v>65867.90662814911</v>
      </c>
      <c r="O6" s="169">
        <f>'NH3 CAPCOST'!I96</f>
        <v>170313631.8996785</v>
      </c>
      <c r="P6" s="169">
        <f>'NH3 CAPCOST'!L88</f>
        <v>35302.389059617395</v>
      </c>
      <c r="Q6" s="169">
        <f>'NH3 CAPCOST'!I103</f>
        <v>131521703.18037571</v>
      </c>
      <c r="R6" s="169">
        <f>'NH3 CAPCOST'!L21</f>
        <v>30724.755988070083</v>
      </c>
      <c r="S6" s="169">
        <f>'NH3 CAPCOST'!I110</f>
        <v>101565319.31428848</v>
      </c>
      <c r="T6" s="169">
        <f>T16</f>
        <v>377000</v>
      </c>
      <c r="U6" s="169">
        <f>'NH3 CAPCOST'!L29</f>
        <v>48411.612783217548</v>
      </c>
      <c r="V6" s="169">
        <f t="shared" si="0"/>
        <v>336000</v>
      </c>
    </row>
    <row r="7" spans="3:32" ht="15" x14ac:dyDescent="0.3">
      <c r="D7" s="63" t="s">
        <v>188</v>
      </c>
      <c r="E7" s="169"/>
      <c r="F7" s="169"/>
      <c r="G7" s="169"/>
      <c r="H7" s="210"/>
      <c r="I7" s="169"/>
      <c r="J7" s="169"/>
      <c r="K7" s="210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</row>
    <row r="8" spans="3:32" ht="15" x14ac:dyDescent="0.3">
      <c r="D8" s="63" t="s">
        <v>189</v>
      </c>
      <c r="E8" s="169"/>
      <c r="F8" s="169"/>
      <c r="G8" s="169"/>
      <c r="H8" s="210"/>
      <c r="I8" s="169"/>
      <c r="J8" s="169"/>
      <c r="K8" s="210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</row>
    <row r="9" spans="3:32" ht="15" x14ac:dyDescent="0.3">
      <c r="C9" s="45" t="s">
        <v>190</v>
      </c>
      <c r="D9" s="63"/>
      <c r="E9" s="169"/>
      <c r="F9" s="169"/>
      <c r="G9" s="169"/>
      <c r="H9" s="210"/>
      <c r="I9" s="169"/>
      <c r="J9" s="169"/>
      <c r="K9" s="210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</row>
    <row r="10" spans="3:32" ht="15" x14ac:dyDescent="0.3">
      <c r="D10" s="63" t="s">
        <v>191</v>
      </c>
      <c r="E10" s="169"/>
      <c r="F10" s="169"/>
      <c r="G10" s="169"/>
      <c r="H10" s="210"/>
      <c r="I10" s="169"/>
      <c r="J10" s="169"/>
      <c r="K10" s="210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</row>
    <row r="11" spans="3:32" ht="15" x14ac:dyDescent="0.3">
      <c r="D11" s="63" t="s">
        <v>192</v>
      </c>
      <c r="E11" s="169"/>
      <c r="F11" s="169"/>
      <c r="G11" s="169"/>
      <c r="H11" s="212"/>
      <c r="I11" s="169"/>
      <c r="J11" s="169"/>
      <c r="K11" s="212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</row>
    <row r="12" spans="3:32" ht="15" x14ac:dyDescent="0.3">
      <c r="D12" s="184" t="s">
        <v>201</v>
      </c>
      <c r="E12" s="169"/>
      <c r="F12" s="169"/>
      <c r="G12" s="169"/>
      <c r="H12" s="210"/>
      <c r="I12" s="169"/>
      <c r="J12" s="169"/>
      <c r="K12" s="210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</row>
    <row r="13" spans="3:32" ht="15" x14ac:dyDescent="0.3">
      <c r="D13" s="63"/>
      <c r="E13" s="169"/>
      <c r="F13" s="169"/>
      <c r="G13" s="169"/>
      <c r="H13" s="210"/>
      <c r="I13" s="169"/>
      <c r="J13" s="169"/>
      <c r="K13" s="210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</row>
    <row r="14" spans="3:32" ht="15" x14ac:dyDescent="0.3">
      <c r="C14" s="45" t="s">
        <v>193</v>
      </c>
      <c r="D14" s="63"/>
      <c r="E14" s="169"/>
      <c r="F14" s="169"/>
      <c r="G14" s="169"/>
      <c r="H14" s="213"/>
      <c r="I14" s="169"/>
      <c r="J14" s="169"/>
      <c r="K14" s="213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</row>
    <row r="15" spans="3:32" ht="15" x14ac:dyDescent="0.3">
      <c r="D15" s="63"/>
      <c r="E15" s="169"/>
      <c r="F15" s="169"/>
      <c r="G15" s="169"/>
      <c r="H15" s="210"/>
      <c r="I15" s="169"/>
      <c r="J15" s="169"/>
      <c r="K15" s="210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</row>
    <row r="16" spans="3:32" ht="15" x14ac:dyDescent="0.3">
      <c r="C16" s="45" t="s">
        <v>194</v>
      </c>
      <c r="D16" s="63" t="s">
        <v>187</v>
      </c>
      <c r="E16" s="168">
        <v>3124700</v>
      </c>
      <c r="F16" s="168">
        <v>53900</v>
      </c>
      <c r="G16" s="168">
        <v>0</v>
      </c>
      <c r="H16" s="168">
        <v>3690800</v>
      </c>
      <c r="I16" s="168">
        <v>25500</v>
      </c>
      <c r="J16" s="168">
        <v>2858200</v>
      </c>
      <c r="K16" s="168">
        <v>128000</v>
      </c>
      <c r="L16" s="168">
        <v>2072700</v>
      </c>
      <c r="M16" s="168">
        <v>0</v>
      </c>
      <c r="N16" s="168">
        <v>0</v>
      </c>
      <c r="O16" s="168">
        <v>0</v>
      </c>
      <c r="P16" s="168">
        <v>0</v>
      </c>
      <c r="Q16" s="168">
        <v>0</v>
      </c>
      <c r="R16" s="168">
        <v>0</v>
      </c>
      <c r="S16" s="168">
        <v>0</v>
      </c>
      <c r="T16" s="168">
        <v>377000</v>
      </c>
      <c r="U16" s="168">
        <v>0</v>
      </c>
      <c r="V16" s="168">
        <v>336000</v>
      </c>
    </row>
    <row r="17" spans="3:24" ht="15" x14ac:dyDescent="0.3">
      <c r="D17" s="63"/>
      <c r="E17" s="169"/>
      <c r="F17" s="169"/>
      <c r="G17" s="169"/>
      <c r="H17" s="210"/>
      <c r="I17" s="169"/>
      <c r="J17" s="169"/>
      <c r="K17" s="210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</row>
    <row r="18" spans="3:24" ht="15" x14ac:dyDescent="0.3">
      <c r="C18" s="45" t="s">
        <v>202</v>
      </c>
      <c r="E18" s="214" t="str">
        <f t="shared" ref="E18:L18" si="1">LEFT(E5, FIND("(", E5) - 1)</f>
        <v xml:space="preserve">COMPRESSOR </v>
      </c>
      <c r="F18" s="214" t="str">
        <f t="shared" si="1"/>
        <v xml:space="preserve">COOLER </v>
      </c>
      <c r="G18" s="214" t="str">
        <f t="shared" si="1"/>
        <v xml:space="preserve">COMPRESSOR </v>
      </c>
      <c r="H18" s="214" t="str">
        <f t="shared" si="1"/>
        <v xml:space="preserve">COMPRESSOR </v>
      </c>
      <c r="I18" s="214" t="str">
        <f t="shared" si="1"/>
        <v xml:space="preserve">COOLER </v>
      </c>
      <c r="J18" s="214" t="str">
        <f t="shared" si="1"/>
        <v xml:space="preserve">COMPRESSOR </v>
      </c>
      <c r="K18" s="214" t="str">
        <f t="shared" si="1"/>
        <v xml:space="preserve">COOLER </v>
      </c>
      <c r="L18" s="214" t="str">
        <f t="shared" si="1"/>
        <v xml:space="preserve">COMPRESSOR </v>
      </c>
      <c r="M18" s="214" t="str">
        <f t="shared" ref="M18:W18" si="2">LEFT(M5, FIND("(", M5) - 1)</f>
        <v xml:space="preserve">MIXER </v>
      </c>
      <c r="N18" s="214" t="str">
        <f>LEFT(N5, FIND("(", N5) - 1)</f>
        <v xml:space="preserve">HEAT EXCHANGER </v>
      </c>
      <c r="O18" s="214" t="str">
        <f>LEFT(O5, FIND("(", O5) - 1)</f>
        <v xml:space="preserve">REACTOR </v>
      </c>
      <c r="P18" s="214" t="str">
        <f>LEFT(P5, FIND("(", P5) - 1)</f>
        <v xml:space="preserve">HEATER </v>
      </c>
      <c r="Q18" s="214" t="str">
        <f>LEFT(Q5, FIND("(", Q5) - 1)</f>
        <v xml:space="preserve">REACTOR </v>
      </c>
      <c r="R18" s="214" t="str">
        <f t="shared" si="2"/>
        <v xml:space="preserve">HEATER </v>
      </c>
      <c r="S18" s="214" t="str">
        <f t="shared" si="2"/>
        <v xml:space="preserve">REACTOR </v>
      </c>
      <c r="T18" s="214" t="str">
        <f>LEFT(T5, FIND("(", T5) - 1)</f>
        <v xml:space="preserve">COOLER </v>
      </c>
      <c r="U18" s="214" t="str">
        <f>LEFT(U5, FIND("(", U5) - 1)</f>
        <v xml:space="preserve">COOLER </v>
      </c>
      <c r="V18" s="214" t="str">
        <f t="shared" si="2"/>
        <v xml:space="preserve">SEPERATOR </v>
      </c>
    </row>
    <row r="19" spans="3:24" ht="15" x14ac:dyDescent="0.3">
      <c r="C19" s="1"/>
      <c r="D19" s="1"/>
      <c r="F19" s="43"/>
      <c r="G19" s="43"/>
      <c r="H19" s="169"/>
      <c r="K19" s="169"/>
      <c r="W19" s="43"/>
      <c r="X19" s="43"/>
    </row>
    <row r="20" spans="3:24" ht="15" x14ac:dyDescent="0.3">
      <c r="C20" s="47" t="s">
        <v>203</v>
      </c>
      <c r="D20" s="1"/>
      <c r="E20" s="214" t="str">
        <f t="shared" ref="E20:L20" si="3">MID(E5, SEARCH("(", E5)+1, SEARCH(")", E5)-SEARCH("(", E5)-1)</f>
        <v>H-COMP-1</v>
      </c>
      <c r="F20" s="214" t="str">
        <f t="shared" si="3"/>
        <v>H-HTX-1</v>
      </c>
      <c r="G20" s="214" t="str">
        <f t="shared" si="3"/>
        <v>H-COMP-2</v>
      </c>
      <c r="H20" s="214" t="str">
        <f t="shared" si="3"/>
        <v>N-COMP-1</v>
      </c>
      <c r="I20" s="214" t="str">
        <f t="shared" si="3"/>
        <v>N-HTX-1</v>
      </c>
      <c r="J20" s="214" t="str">
        <f t="shared" si="3"/>
        <v>N-COMP-2</v>
      </c>
      <c r="K20" s="214" t="str">
        <f t="shared" si="3"/>
        <v>N-HTX-2</v>
      </c>
      <c r="L20" s="214" t="str">
        <f t="shared" si="3"/>
        <v>N-COMP-3</v>
      </c>
      <c r="M20" s="214" t="str">
        <f t="shared" ref="M20:W20" si="4">MID(M5, SEARCH("(", M5)+1, SEARCH(")", M5)-SEARCH("(", M5)-1)</f>
        <v>MIX-NH3</v>
      </c>
      <c r="N20" s="214" t="str">
        <f>MID(N5, SEARCH("(", N5)+1, SEARCH(")", N5)-SEARCH("(", N5)-1)</f>
        <v>HEX1</v>
      </c>
      <c r="O20" s="214" t="str">
        <f>MID(O5, SEARCH("(", O5)+1, SEARCH(")", O5)-SEARCH("(", O5)-1)</f>
        <v>REACT-1</v>
      </c>
      <c r="P20" s="214" t="str">
        <f>MID(P5, SEARCH("(", P5)+1, SEARCH(")", P5)-SEARCH("(", P5)-1)</f>
        <v>HTX-02</v>
      </c>
      <c r="Q20" s="214" t="str">
        <f>MID(Q5, SEARCH("(", Q5)+1, SEARCH(")", Q5)-SEARCH("(", Q5)-1)</f>
        <v>REACT-2</v>
      </c>
      <c r="R20" s="214" t="str">
        <f t="shared" si="4"/>
        <v>HTX-03</v>
      </c>
      <c r="S20" s="214" t="str">
        <f t="shared" si="4"/>
        <v>REACT-3</v>
      </c>
      <c r="T20" s="214" t="str">
        <f>MID(T5, SEARCH("(", T5)+1, SEARCH(")", T5)-SEARCH("(", T5)-1)</f>
        <v>HTX-04</v>
      </c>
      <c r="U20" s="214" t="str">
        <f>MID(U5, SEARCH("(", U5)+1, SEARCH(")", U5)-SEARCH("(", U5)-1)</f>
        <v>HTX-05</v>
      </c>
      <c r="V20" s="214" t="str">
        <f t="shared" si="4"/>
        <v>NH3FLASH</v>
      </c>
    </row>
    <row r="21" spans="3:24" ht="15" x14ac:dyDescent="0.3">
      <c r="C21" s="1"/>
      <c r="D21" s="1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</row>
    <row r="22" spans="3:24" ht="15" x14ac:dyDescent="0.3">
      <c r="C22" s="322" t="s">
        <v>195</v>
      </c>
      <c r="D22" s="323"/>
      <c r="E22" s="324" t="s">
        <v>503</v>
      </c>
      <c r="F22" s="324" t="s">
        <v>204</v>
      </c>
      <c r="G22" s="324" t="s">
        <v>503</v>
      </c>
      <c r="H22" s="325" t="s">
        <v>503</v>
      </c>
      <c r="I22" s="324" t="s">
        <v>196</v>
      </c>
      <c r="J22" s="324" t="s">
        <v>503</v>
      </c>
      <c r="K22" s="324" t="s">
        <v>182</v>
      </c>
      <c r="L22" s="324" t="s">
        <v>503</v>
      </c>
      <c r="M22" s="324" t="s">
        <v>182</v>
      </c>
      <c r="N22" s="324" t="s">
        <v>182</v>
      </c>
      <c r="O22" s="324" t="s">
        <v>182</v>
      </c>
      <c r="P22" s="324" t="s">
        <v>182</v>
      </c>
      <c r="Q22" s="324" t="s">
        <v>182</v>
      </c>
      <c r="R22" s="324" t="s">
        <v>196</v>
      </c>
      <c r="S22" s="324" t="s">
        <v>196</v>
      </c>
      <c r="T22" s="324" t="s">
        <v>182</v>
      </c>
      <c r="U22" s="324" t="s">
        <v>182</v>
      </c>
      <c r="V22" s="324" t="s">
        <v>182</v>
      </c>
    </row>
    <row r="25" spans="3:24" ht="15" x14ac:dyDescent="0.3">
      <c r="C25" s="58"/>
    </row>
    <row r="26" spans="3:24" ht="15" x14ac:dyDescent="0.3">
      <c r="C26" s="1" t="s">
        <v>81</v>
      </c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3:24" ht="16.5" customHeight="1" x14ac:dyDescent="0.3">
      <c r="C27" s="59" t="s">
        <v>185</v>
      </c>
      <c r="D27" s="60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09"/>
    </row>
    <row r="28" spans="3:24" ht="16.5" customHeight="1" x14ac:dyDescent="0.3">
      <c r="E28" s="340" t="s">
        <v>197</v>
      </c>
      <c r="F28" s="341"/>
      <c r="G28" s="341"/>
      <c r="H28" s="342"/>
      <c r="I28" s="331" t="s">
        <v>198</v>
      </c>
      <c r="J28" s="348" t="s">
        <v>161</v>
      </c>
      <c r="K28" s="348"/>
      <c r="L28" s="348"/>
      <c r="M28" s="348"/>
      <c r="N28" s="348"/>
      <c r="O28" s="348"/>
      <c r="P28" s="348"/>
      <c r="Q28" s="209"/>
      <c r="R28" s="209"/>
      <c r="S28" s="209"/>
      <c r="T28" s="209"/>
      <c r="U28" s="63"/>
    </row>
    <row r="29" spans="3:24" ht="16.5" customHeight="1" x14ac:dyDescent="0.3">
      <c r="C29" s="1"/>
      <c r="D29" s="216"/>
      <c r="E29" s="321"/>
      <c r="F29" s="321"/>
      <c r="G29" s="321"/>
      <c r="H29" s="45"/>
      <c r="I29" s="347"/>
      <c r="J29" s="320"/>
      <c r="K29" s="320"/>
      <c r="L29" s="47"/>
      <c r="M29" s="45"/>
      <c r="O29" s="209"/>
      <c r="Q29" s="209"/>
      <c r="R29" s="209"/>
      <c r="S29" s="209"/>
      <c r="T29" s="198"/>
    </row>
    <row r="30" spans="3:24" ht="15" x14ac:dyDescent="0.3">
      <c r="C30" s="61" t="s">
        <v>186</v>
      </c>
      <c r="D30" s="61" t="s">
        <v>200</v>
      </c>
      <c r="E30" s="45" t="s">
        <v>577</v>
      </c>
      <c r="F30" s="45" t="s">
        <v>581</v>
      </c>
      <c r="G30" s="45" t="s">
        <v>583</v>
      </c>
      <c r="H30" s="45" t="s">
        <v>592</v>
      </c>
      <c r="I30" s="45" t="s">
        <v>587</v>
      </c>
      <c r="J30" s="45" t="s">
        <v>589</v>
      </c>
      <c r="K30" s="45" t="s">
        <v>576</v>
      </c>
      <c r="L30" s="45" t="s">
        <v>578</v>
      </c>
      <c r="M30" s="45" t="s">
        <v>580</v>
      </c>
      <c r="N30" s="45" t="s">
        <v>582</v>
      </c>
      <c r="O30" s="45" t="s">
        <v>584</v>
      </c>
      <c r="P30" s="45" t="s">
        <v>591</v>
      </c>
      <c r="Q30" s="215"/>
      <c r="R30" s="215"/>
      <c r="S30" s="215"/>
      <c r="T30" s="1"/>
    </row>
    <row r="31" spans="3:24" ht="15" x14ac:dyDescent="0.3">
      <c r="C31" s="1"/>
      <c r="D31" s="190" t="s">
        <v>205</v>
      </c>
      <c r="E31" s="191">
        <f>E36</f>
        <v>80414.926582199987</v>
      </c>
      <c r="F31" s="191">
        <f>F36</f>
        <v>49129.54666788</v>
      </c>
      <c r="G31" s="191">
        <f>G36</f>
        <v>71215.451231399988</v>
      </c>
      <c r="H31" s="191">
        <f>H36</f>
        <v>286032.75293879997</v>
      </c>
      <c r="I31" s="191">
        <f>I41</f>
        <v>85035.733440613199</v>
      </c>
      <c r="J31" s="191">
        <f>J45</f>
        <v>494739.74088000006</v>
      </c>
      <c r="K31" s="191">
        <f>K45</f>
        <v>1919082.6038999998</v>
      </c>
      <c r="L31" s="191">
        <f>L45</f>
        <v>1785680.3672400001</v>
      </c>
      <c r="M31" s="191">
        <f>M45</f>
        <v>1034050.1094000001</v>
      </c>
      <c r="N31" s="191">
        <f>N45</f>
        <v>1413596.25792</v>
      </c>
      <c r="O31" s="191">
        <f>O45</f>
        <v>551997.52607999998</v>
      </c>
      <c r="P31" s="191">
        <f>P45</f>
        <v>1055549.5981800002</v>
      </c>
      <c r="T31" s="43"/>
    </row>
    <row r="32" spans="3:24" ht="15" x14ac:dyDescent="0.3">
      <c r="C32" s="1"/>
      <c r="D32" s="1"/>
      <c r="E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8"/>
      <c r="R32" s="198"/>
      <c r="S32" s="198"/>
      <c r="T32" s="1"/>
    </row>
    <row r="33" spans="3:21" ht="15" x14ac:dyDescent="0.3">
      <c r="C33" s="47" t="s">
        <v>206</v>
      </c>
      <c r="D33" s="43" t="s">
        <v>207</v>
      </c>
      <c r="E33" s="191">
        <v>609758.31499999994</v>
      </c>
      <c r="F33" s="326">
        <v>372532.201</v>
      </c>
      <c r="G33" s="191">
        <v>540001.90500000003</v>
      </c>
      <c r="H33" s="191">
        <v>2168886.5099999998</v>
      </c>
      <c r="I33" s="191"/>
      <c r="J33" s="191"/>
      <c r="K33" s="191"/>
      <c r="L33" s="191"/>
      <c r="M33" s="191"/>
      <c r="N33" s="191"/>
      <c r="O33" s="191"/>
      <c r="P33" s="191"/>
      <c r="T33" s="43"/>
    </row>
    <row r="34" spans="3:21" ht="15" x14ac:dyDescent="0.3">
      <c r="C34" s="47"/>
      <c r="D34" s="43" t="s">
        <v>208</v>
      </c>
      <c r="E34" s="191">
        <f>E33*'Parameters &amp; Assumptions'!$C$9</f>
        <v>5121969846</v>
      </c>
      <c r="F34" s="191">
        <f>F33*'Parameters &amp; Assumptions'!$C$9</f>
        <v>3129270488.4000001</v>
      </c>
      <c r="G34" s="191">
        <f>G33*'Parameters &amp; Assumptions'!$C$9</f>
        <v>4536016002</v>
      </c>
      <c r="H34" s="191">
        <f>H33*'Parameters &amp; Assumptions'!$C$9</f>
        <v>18218646684</v>
      </c>
      <c r="I34" s="191"/>
      <c r="J34" s="191"/>
      <c r="K34" s="191"/>
      <c r="L34" s="191"/>
      <c r="M34" s="191"/>
      <c r="N34" s="191"/>
      <c r="O34" s="191"/>
      <c r="P34" s="191"/>
      <c r="Q34" s="43"/>
      <c r="R34" s="43"/>
      <c r="S34" s="43"/>
    </row>
    <row r="35" spans="3:21" ht="15" x14ac:dyDescent="0.3">
      <c r="C35" s="47"/>
      <c r="D35" s="43" t="s">
        <v>209</v>
      </c>
      <c r="E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</row>
    <row r="36" spans="3:21" ht="15" x14ac:dyDescent="0.3">
      <c r="C36" s="47"/>
      <c r="D36" s="43" t="s">
        <v>210</v>
      </c>
      <c r="E36" s="191">
        <f>E34*'Parameters &amp; Assumptions'!$C$8</f>
        <v>80414.926582199987</v>
      </c>
      <c r="F36" s="191">
        <f>F34*'Parameters &amp; Assumptions'!$C$8</f>
        <v>49129.54666788</v>
      </c>
      <c r="G36" s="191">
        <f>G34*'Parameters &amp; Assumptions'!$C$8</f>
        <v>71215.451231399988</v>
      </c>
      <c r="H36" s="191">
        <f>H34*'Parameters &amp; Assumptions'!$C$8</f>
        <v>286032.75293879997</v>
      </c>
      <c r="I36" s="191"/>
      <c r="J36" s="191"/>
      <c r="K36" s="191"/>
      <c r="L36" s="191"/>
      <c r="M36" s="191"/>
      <c r="N36" s="191"/>
      <c r="O36" s="191"/>
      <c r="P36" s="191"/>
      <c r="Q36" s="43"/>
      <c r="R36" s="43"/>
      <c r="S36" s="43"/>
      <c r="T36" s="43"/>
    </row>
    <row r="37" spans="3:21" ht="15" x14ac:dyDescent="0.3">
      <c r="C37" s="1"/>
      <c r="D37" s="1"/>
      <c r="E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</row>
    <row r="38" spans="3:21" ht="15" x14ac:dyDescent="0.3">
      <c r="C38" s="47" t="s">
        <v>211</v>
      </c>
      <c r="D38" s="43" t="s">
        <v>212</v>
      </c>
      <c r="E38" s="191"/>
      <c r="G38" s="191"/>
      <c r="H38" s="191"/>
      <c r="I38" s="191">
        <v>1349.7735466764</v>
      </c>
      <c r="J38" s="191"/>
      <c r="K38" s="191"/>
      <c r="L38" s="191"/>
      <c r="M38" s="191"/>
      <c r="N38" s="191"/>
      <c r="O38" s="191"/>
      <c r="P38" s="191"/>
    </row>
    <row r="39" spans="3:21" ht="15" x14ac:dyDescent="0.3">
      <c r="C39" s="47"/>
      <c r="D39" s="43" t="s">
        <v>213</v>
      </c>
      <c r="E39" s="191"/>
      <c r="G39" s="191"/>
      <c r="H39" s="191"/>
      <c r="I39" s="191">
        <f>I38*'Parameters &amp; Assumptions'!C9</f>
        <v>11338097.79208176</v>
      </c>
      <c r="J39" s="191"/>
      <c r="K39" s="191"/>
      <c r="L39" s="191"/>
      <c r="M39" s="191"/>
      <c r="N39" s="191"/>
      <c r="O39" s="191"/>
      <c r="P39" s="191"/>
    </row>
    <row r="40" spans="3:21" ht="15" x14ac:dyDescent="0.3">
      <c r="C40" s="47"/>
      <c r="D40" s="43" t="s">
        <v>214</v>
      </c>
      <c r="E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</row>
    <row r="41" spans="3:21" ht="15" x14ac:dyDescent="0.3">
      <c r="C41" s="47"/>
      <c r="D41" s="43" t="s">
        <v>210</v>
      </c>
      <c r="E41" s="191"/>
      <c r="G41" s="191"/>
      <c r="H41" s="191"/>
      <c r="I41" s="191">
        <f>I39*'Parameters &amp; Assumptions'!$C$7</f>
        <v>85035.733440613199</v>
      </c>
      <c r="J41" s="191"/>
      <c r="K41" s="191"/>
      <c r="L41" s="191"/>
      <c r="M41" s="191"/>
      <c r="N41" s="191"/>
      <c r="O41" s="191"/>
      <c r="P41" s="191"/>
    </row>
    <row r="42" spans="3:21" ht="15" x14ac:dyDescent="0.3">
      <c r="C42" s="47"/>
      <c r="D42" s="1"/>
      <c r="E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</row>
    <row r="43" spans="3:21" ht="15" x14ac:dyDescent="0.3">
      <c r="C43" s="47" t="s">
        <v>215</v>
      </c>
      <c r="D43" s="43" t="s">
        <v>216</v>
      </c>
      <c r="E43" s="191"/>
      <c r="G43" s="191"/>
      <c r="H43" s="191"/>
      <c r="I43" s="191"/>
      <c r="J43" s="191">
        <v>1070.8652400000001</v>
      </c>
      <c r="K43" s="191">
        <v>4153.8584499999997</v>
      </c>
      <c r="L43" s="191">
        <v>3865.1090199999999</v>
      </c>
      <c r="M43" s="191">
        <v>2238.2037</v>
      </c>
      <c r="N43" s="191">
        <v>3059.73216</v>
      </c>
      <c r="O43" s="191">
        <v>1194.7998399999999</v>
      </c>
      <c r="P43" s="191">
        <v>2284.7393900000002</v>
      </c>
    </row>
    <row r="44" spans="3:21" ht="15" x14ac:dyDescent="0.3">
      <c r="C44" s="47"/>
      <c r="D44" s="43" t="s">
        <v>217</v>
      </c>
      <c r="E44" s="191"/>
      <c r="G44" s="191"/>
      <c r="H44" s="191"/>
      <c r="I44" s="191"/>
      <c r="J44" s="191">
        <f>J43*'Parameters &amp; Assumptions'!$C$9</f>
        <v>8995268.0160000008</v>
      </c>
      <c r="K44" s="191">
        <f>K43*'Parameters &amp; Assumptions'!$C$9</f>
        <v>34892410.979999997</v>
      </c>
      <c r="L44" s="191">
        <f>L43*'Parameters &amp; Assumptions'!$C$9</f>
        <v>32466915.767999999</v>
      </c>
      <c r="M44" s="191">
        <f>M43*'Parameters &amp; Assumptions'!$C$9</f>
        <v>18800911.080000002</v>
      </c>
      <c r="N44" s="191">
        <f>N43*'Parameters &amp; Assumptions'!$C$9</f>
        <v>25701750.144000001</v>
      </c>
      <c r="O44" s="191">
        <f>O43*'Parameters &amp; Assumptions'!$C$9</f>
        <v>10036318.655999999</v>
      </c>
      <c r="P44" s="191">
        <f>P43*'Parameters &amp; Assumptions'!$C$9</f>
        <v>19191810.876000002</v>
      </c>
    </row>
    <row r="45" spans="3:21" ht="15" x14ac:dyDescent="0.3">
      <c r="C45" s="47"/>
      <c r="D45" s="43" t="s">
        <v>210</v>
      </c>
      <c r="E45" s="191"/>
      <c r="G45" s="191"/>
      <c r="H45" s="191"/>
      <c r="I45" s="191"/>
      <c r="J45" s="191">
        <f>J44*'Parameters &amp; Assumptions'!$C$6</f>
        <v>494739.74088000006</v>
      </c>
      <c r="K45" s="191">
        <f>K44*'Parameters &amp; Assumptions'!$C$6</f>
        <v>1919082.6038999998</v>
      </c>
      <c r="L45" s="191">
        <f>L44*'Parameters &amp; Assumptions'!$C$6</f>
        <v>1785680.3672400001</v>
      </c>
      <c r="M45" s="191">
        <f>M44*'Parameters &amp; Assumptions'!$C$6</f>
        <v>1034050.1094000001</v>
      </c>
      <c r="N45" s="191">
        <f>N44*'Parameters &amp; Assumptions'!$C$6</f>
        <v>1413596.25792</v>
      </c>
      <c r="O45" s="191">
        <f>O44*'Parameters &amp; Assumptions'!$C$6</f>
        <v>551997.52607999998</v>
      </c>
      <c r="P45" s="191">
        <f>P44*'Parameters &amp; Assumptions'!$C$6</f>
        <v>1055549.5981800002</v>
      </c>
      <c r="U45" s="63"/>
    </row>
    <row r="46" spans="3:21" ht="15" x14ac:dyDescent="0.3">
      <c r="C46" s="1"/>
      <c r="D46" s="1"/>
      <c r="E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U46" s="198"/>
    </row>
    <row r="47" spans="3:21" ht="15" x14ac:dyDescent="0.3">
      <c r="C47" s="45" t="s">
        <v>202</v>
      </c>
      <c r="E47" s="215" t="str">
        <f t="shared" ref="E47:N47" si="5">LEFT(E30, FIND("(", E30) - 1)</f>
        <v xml:space="preserve">COOLER </v>
      </c>
      <c r="F47" s="215" t="str">
        <f t="shared" si="5"/>
        <v xml:space="preserve">COOLER </v>
      </c>
      <c r="G47" s="215" t="str">
        <f t="shared" si="5"/>
        <v xml:space="preserve">COOLER </v>
      </c>
      <c r="H47" s="215" t="str">
        <f t="shared" si="5"/>
        <v xml:space="preserve">COOLER </v>
      </c>
      <c r="I47" s="215" t="str">
        <f>LEFT(I30, FIND("(", I30) - 1)</f>
        <v xml:space="preserve">HEATER </v>
      </c>
      <c r="J47" s="215" t="str">
        <f>LEFT(J30, FIND("(", J30) - 1)</f>
        <v xml:space="preserve">HEATER </v>
      </c>
      <c r="K47" s="215" t="str">
        <f>LEFT(K30, FIND("(", K30) - 1)</f>
        <v xml:space="preserve">COMPRESSOR </v>
      </c>
      <c r="L47" s="215" t="str">
        <f>LEFT(L30, FIND("(", L30) - 1)</f>
        <v xml:space="preserve">COMPRESSOR </v>
      </c>
      <c r="M47" s="215" t="str">
        <f>LEFT(M30, FIND("(", M30) - 1)</f>
        <v xml:space="preserve">COMPRESSOR </v>
      </c>
      <c r="N47" s="215" t="str">
        <f>LEFT(N30, FIND("(", N30) - 1)</f>
        <v xml:space="preserve">COMPRESSOR </v>
      </c>
      <c r="O47" s="215" t="str">
        <f>LEFT(O30, FIND("(", O30) - 1)</f>
        <v xml:space="preserve">COMPRESSOR </v>
      </c>
      <c r="P47" s="215" t="str">
        <f>LEFT(P30, FIND("(", P30) - 1)</f>
        <v xml:space="preserve">COOLER </v>
      </c>
      <c r="U47" s="1"/>
    </row>
    <row r="48" spans="3:21" ht="15" x14ac:dyDescent="0.3">
      <c r="C48" s="1"/>
      <c r="D48" s="1"/>
      <c r="E48" s="1"/>
      <c r="F48" s="1"/>
      <c r="G48" s="1"/>
      <c r="H48" s="1"/>
      <c r="U48" s="43"/>
    </row>
    <row r="49" spans="3:27" ht="15" x14ac:dyDescent="0.3">
      <c r="C49" s="47" t="s">
        <v>203</v>
      </c>
      <c r="D49" s="1"/>
      <c r="E49" s="198" t="str">
        <f t="shared" ref="E49:N49" si="6">MID(E30, SEARCH("(", E30)+1, SEARCH(")", E30)-SEARCH("(", E30)-1)</f>
        <v>H-HTX-1</v>
      </c>
      <c r="F49" s="198" t="str">
        <f t="shared" si="6"/>
        <v>N-HTX-1</v>
      </c>
      <c r="G49" s="198" t="str">
        <f t="shared" si="6"/>
        <v>N-HTX-2</v>
      </c>
      <c r="H49" s="198" t="str">
        <f t="shared" si="6"/>
        <v>HTX-04</v>
      </c>
      <c r="I49" s="198" t="str">
        <f>MID(I30, SEARCH("(", I30)+1, SEARCH(")", I30)-SEARCH("(", I30)-1)</f>
        <v>HTX-02</v>
      </c>
      <c r="J49" s="198" t="str">
        <f>MID(J30, SEARCH("(", J30)+1, SEARCH(")", J30)-SEARCH("(", J30)-1)</f>
        <v>HTX-03</v>
      </c>
      <c r="K49" s="198" t="str">
        <f>MID(K30, SEARCH("(", K30)+1, SEARCH(")", K30)-SEARCH("(", K30)-1)</f>
        <v>H-COMP-1</v>
      </c>
      <c r="L49" s="198" t="str">
        <f>MID(L30, SEARCH("(", L30)+1, SEARCH(")", L30)-SEARCH("(", L30)-1)</f>
        <v>H-COMP-2</v>
      </c>
      <c r="M49" s="198" t="str">
        <f>MID(M30, SEARCH("(", M30)+1, SEARCH(")", M30)-SEARCH("(", M30)-1)</f>
        <v>N-COMP-1</v>
      </c>
      <c r="N49" s="198" t="str">
        <f>MID(N30, SEARCH("(", N30)+1, SEARCH(")", N30)-SEARCH("(", N30)-1)</f>
        <v>N-COMP-2</v>
      </c>
      <c r="O49" s="198" t="str">
        <f>MID(O30, SEARCH("(", O30)+1, SEARCH(")", O30)-SEARCH("(", O30)-1)</f>
        <v>N-COMP-3</v>
      </c>
      <c r="P49" s="198" t="str">
        <f>MID(P30, SEARCH("(", P30)+1, SEARCH(")", P30)-SEARCH("(", P30)-1)</f>
        <v>HTX-05</v>
      </c>
      <c r="U49" s="1"/>
    </row>
    <row r="50" spans="3:27" ht="15" x14ac:dyDescent="0.3">
      <c r="C50" s="1"/>
      <c r="D50" s="1"/>
      <c r="E50" s="1"/>
      <c r="F50" s="1"/>
      <c r="G50" s="1"/>
      <c r="H50" s="1"/>
      <c r="U50" s="43"/>
    </row>
    <row r="51" spans="3:27" ht="15" x14ac:dyDescent="0.3">
      <c r="C51" s="47" t="s">
        <v>158</v>
      </c>
      <c r="D51" s="1"/>
      <c r="E51" s="43" t="s">
        <v>218</v>
      </c>
      <c r="F51" s="43" t="s">
        <v>218</v>
      </c>
      <c r="G51" s="43" t="s">
        <v>218</v>
      </c>
      <c r="H51" s="43" t="s">
        <v>218</v>
      </c>
      <c r="I51" s="43" t="s">
        <v>506</v>
      </c>
      <c r="J51" s="43" t="s">
        <v>219</v>
      </c>
      <c r="K51" s="43" t="s">
        <v>219</v>
      </c>
      <c r="L51" s="43" t="s">
        <v>219</v>
      </c>
      <c r="M51" s="43" t="s">
        <v>219</v>
      </c>
      <c r="N51" s="43" t="s">
        <v>219</v>
      </c>
      <c r="O51" s="43" t="s">
        <v>219</v>
      </c>
      <c r="P51" s="43" t="s">
        <v>219</v>
      </c>
    </row>
    <row r="52" spans="3:27" ht="15" x14ac:dyDescent="0.3">
      <c r="C52" s="1"/>
      <c r="D52" s="1"/>
      <c r="E52" s="1"/>
      <c r="F52" s="1"/>
      <c r="G52" s="1"/>
      <c r="H52" s="1"/>
    </row>
    <row r="53" spans="3:27" ht="15" x14ac:dyDescent="0.3">
      <c r="C53" s="47" t="s">
        <v>10</v>
      </c>
      <c r="D53" s="1"/>
      <c r="E53" s="43" t="s">
        <v>220</v>
      </c>
      <c r="F53" s="43" t="s">
        <v>220</v>
      </c>
      <c r="G53" s="43" t="s">
        <v>220</v>
      </c>
      <c r="H53" s="43" t="s">
        <v>220</v>
      </c>
      <c r="I53" s="43" t="s">
        <v>221</v>
      </c>
      <c r="J53" s="43" t="s">
        <v>221</v>
      </c>
      <c r="K53" s="43" t="s">
        <v>221</v>
      </c>
      <c r="L53" s="43" t="s">
        <v>221</v>
      </c>
      <c r="M53" s="43" t="s">
        <v>221</v>
      </c>
      <c r="N53" s="43" t="s">
        <v>221</v>
      </c>
      <c r="O53" s="43" t="s">
        <v>221</v>
      </c>
      <c r="P53" s="43" t="s">
        <v>221</v>
      </c>
      <c r="U53" s="43"/>
      <c r="V53" s="43"/>
      <c r="W53" s="43"/>
      <c r="X53" s="43"/>
      <c r="Y53" s="43"/>
      <c r="Z53" s="43"/>
      <c r="AA53" s="43"/>
    </row>
    <row r="60" spans="3:27" ht="20.25" x14ac:dyDescent="0.3">
      <c r="C60" s="151" t="s">
        <v>155</v>
      </c>
    </row>
    <row r="65" spans="21:31" ht="15" x14ac:dyDescent="0.3">
      <c r="AC65" s="169"/>
      <c r="AE65" s="199"/>
    </row>
    <row r="66" spans="21:31" ht="15" x14ac:dyDescent="0.3">
      <c r="AC66" s="169"/>
      <c r="AE66" s="169"/>
    </row>
    <row r="67" spans="21:31" ht="15" x14ac:dyDescent="0.3">
      <c r="AC67" s="169"/>
      <c r="AE67" s="169"/>
    </row>
    <row r="68" spans="21:31" ht="15" x14ac:dyDescent="0.3">
      <c r="AC68" s="169"/>
      <c r="AE68" s="169"/>
    </row>
    <row r="69" spans="21:31" ht="15" x14ac:dyDescent="0.3">
      <c r="AC69" s="169"/>
      <c r="AE69" s="169"/>
    </row>
    <row r="70" spans="21:31" ht="15" x14ac:dyDescent="0.3">
      <c r="AC70" s="169"/>
      <c r="AE70" s="1"/>
    </row>
    <row r="71" spans="21:31" ht="15" x14ac:dyDescent="0.3">
      <c r="AC71" s="169"/>
      <c r="AE71" s="198"/>
    </row>
    <row r="72" spans="21:31" ht="15" x14ac:dyDescent="0.3">
      <c r="AC72" s="169"/>
      <c r="AE72" s="1"/>
    </row>
    <row r="73" spans="21:31" ht="15" x14ac:dyDescent="0.3">
      <c r="AC73" s="215"/>
      <c r="AE73" s="1"/>
    </row>
    <row r="74" spans="21:31" ht="15" x14ac:dyDescent="0.3">
      <c r="AE74" s="1"/>
    </row>
    <row r="75" spans="21:31" ht="15" x14ac:dyDescent="0.3">
      <c r="AC75" s="198"/>
      <c r="AE75" s="198"/>
    </row>
    <row r="76" spans="21:31" ht="15" x14ac:dyDescent="0.3">
      <c r="AE76" s="1"/>
    </row>
    <row r="77" spans="21:31" ht="15" x14ac:dyDescent="0.3">
      <c r="AC77" s="43"/>
      <c r="AE77" s="1"/>
    </row>
    <row r="78" spans="21:31" ht="15" x14ac:dyDescent="0.3">
      <c r="AE78" s="47"/>
    </row>
    <row r="79" spans="21:31" ht="15" x14ac:dyDescent="0.3">
      <c r="AC79" s="43"/>
      <c r="AE79" s="197"/>
    </row>
    <row r="80" spans="21:31" ht="15" x14ac:dyDescent="0.3">
      <c r="U80" s="63"/>
      <c r="V80" s="63"/>
    </row>
    <row r="81" spans="18:22" ht="15" x14ac:dyDescent="0.3">
      <c r="U81" s="198"/>
      <c r="V81" s="198"/>
    </row>
    <row r="82" spans="18:22" ht="15" x14ac:dyDescent="0.3">
      <c r="U82" s="1"/>
      <c r="V82" s="1"/>
    </row>
    <row r="83" spans="18:22" ht="15" x14ac:dyDescent="0.3">
      <c r="U83" s="43"/>
      <c r="V83" s="43"/>
    </row>
    <row r="84" spans="18:22" ht="15" x14ac:dyDescent="0.3">
      <c r="U84" s="1"/>
      <c r="V84" s="1"/>
    </row>
    <row r="85" spans="18:22" ht="15" x14ac:dyDescent="0.3">
      <c r="U85" s="43"/>
      <c r="V85" s="43"/>
    </row>
    <row r="88" spans="18:22" ht="15" x14ac:dyDescent="0.3">
      <c r="R88" s="339"/>
      <c r="S88" s="339"/>
      <c r="T88" s="339"/>
      <c r="U88" s="339"/>
      <c r="V88" s="339"/>
    </row>
  </sheetData>
  <mergeCells count="6">
    <mergeCell ref="E28:H28"/>
    <mergeCell ref="J28:P28"/>
    <mergeCell ref="E4:G4"/>
    <mergeCell ref="H4:L4"/>
    <mergeCell ref="M4:V4"/>
    <mergeCell ref="R88:V88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7E2F-426B-48A6-8025-37A7B8086040}">
  <sheetPr codeName="Sheet20"/>
  <dimension ref="A1:P110"/>
  <sheetViews>
    <sheetView topLeftCell="A42" zoomScale="60" zoomScaleNormal="60" workbookViewId="0">
      <selection activeCell="G116" sqref="G116"/>
    </sheetView>
  </sheetViews>
  <sheetFormatPr defaultColWidth="9" defaultRowHeight="15" x14ac:dyDescent="0.3"/>
  <cols>
    <col min="1" max="1" width="11.875" style="1" bestFit="1" customWidth="1"/>
    <col min="2" max="2" width="34.375" style="1" bestFit="1" customWidth="1"/>
    <col min="3" max="3" width="37.25" style="1" bestFit="1" customWidth="1"/>
    <col min="4" max="4" width="27" style="1" bestFit="1" customWidth="1"/>
    <col min="5" max="5" width="34.75" style="1" bestFit="1" customWidth="1"/>
    <col min="6" max="6" width="18.625" style="1" bestFit="1" customWidth="1"/>
    <col min="7" max="7" width="35.5" style="1" bestFit="1" customWidth="1"/>
    <col min="8" max="8" width="26.75" style="1" bestFit="1" customWidth="1"/>
    <col min="9" max="9" width="30" style="1" bestFit="1" customWidth="1"/>
    <col min="10" max="10" width="14" style="1" bestFit="1" customWidth="1"/>
    <col min="11" max="11" width="21.25" style="1" bestFit="1" customWidth="1"/>
    <col min="12" max="12" width="24.375" style="1" bestFit="1" customWidth="1"/>
    <col min="13" max="13" width="16.25" style="1" bestFit="1" customWidth="1"/>
    <col min="14" max="15" width="9" style="1"/>
    <col min="16" max="16" width="30.375" style="1" bestFit="1" customWidth="1"/>
    <col min="17" max="16384" width="9" style="1"/>
  </cols>
  <sheetData>
    <row r="1" spans="1:16" ht="20.25" x14ac:dyDescent="0.3">
      <c r="P1" s="151" t="s">
        <v>155</v>
      </c>
    </row>
    <row r="3" spans="1:16" x14ac:dyDescent="0.2">
      <c r="C3" s="221"/>
      <c r="D3" s="222"/>
      <c r="E3" s="222"/>
      <c r="F3" s="222"/>
      <c r="G3" s="222"/>
      <c r="H3" s="222"/>
      <c r="I3" s="222"/>
      <c r="J3" s="222"/>
      <c r="K3" s="222"/>
    </row>
    <row r="4" spans="1:16" x14ac:dyDescent="0.3">
      <c r="B4" s="223" t="s">
        <v>508</v>
      </c>
      <c r="C4" s="243">
        <v>798.8</v>
      </c>
    </row>
    <row r="5" spans="1:16" x14ac:dyDescent="0.3">
      <c r="B5" s="2"/>
    </row>
    <row r="6" spans="1:16" x14ac:dyDescent="0.3">
      <c r="B6" s="2"/>
    </row>
    <row r="7" spans="1:16" x14ac:dyDescent="0.3">
      <c r="A7" s="2" t="s">
        <v>184</v>
      </c>
      <c r="B7" s="2"/>
    </row>
    <row r="8" spans="1:16" x14ac:dyDescent="0.25">
      <c r="B8" s="224" t="s">
        <v>556</v>
      </c>
      <c r="C8" s="225"/>
      <c r="D8" s="226"/>
      <c r="E8" s="226"/>
      <c r="F8" s="226"/>
      <c r="G8" s="226"/>
      <c r="H8" s="226"/>
      <c r="I8" s="226"/>
      <c r="J8" s="226"/>
      <c r="K8" s="226"/>
    </row>
    <row r="9" spans="1:16" x14ac:dyDescent="0.3">
      <c r="A9" s="2"/>
      <c r="B9" s="227"/>
      <c r="C9" s="344" t="s">
        <v>509</v>
      </c>
      <c r="D9" s="344"/>
      <c r="E9" s="344"/>
      <c r="F9" s="344"/>
      <c r="G9" s="344"/>
      <c r="H9" s="344" t="s">
        <v>338</v>
      </c>
      <c r="I9" s="344"/>
      <c r="J9" s="344"/>
      <c r="K9" s="228"/>
      <c r="L9" s="228"/>
      <c r="M9" s="229"/>
      <c r="N9" s="2"/>
    </row>
    <row r="10" spans="1:16" ht="18" x14ac:dyDescent="0.3">
      <c r="A10" s="2"/>
      <c r="B10" s="230" t="s">
        <v>183</v>
      </c>
      <c r="C10" s="231" t="s">
        <v>510</v>
      </c>
      <c r="D10" s="231" t="s">
        <v>511</v>
      </c>
      <c r="E10" s="231" t="s">
        <v>512</v>
      </c>
      <c r="F10" s="166" t="s">
        <v>513</v>
      </c>
      <c r="G10" s="166" t="s">
        <v>514</v>
      </c>
      <c r="H10" s="231" t="s">
        <v>515</v>
      </c>
      <c r="I10" s="231" t="s">
        <v>516</v>
      </c>
      <c r="J10" s="231" t="s">
        <v>517</v>
      </c>
      <c r="K10" s="166" t="s">
        <v>518</v>
      </c>
      <c r="L10" s="166" t="s">
        <v>519</v>
      </c>
      <c r="M10" s="232" t="s">
        <v>520</v>
      </c>
      <c r="N10" s="2"/>
    </row>
    <row r="11" spans="1:16" x14ac:dyDescent="0.3">
      <c r="B11" s="218" t="s">
        <v>521</v>
      </c>
      <c r="C11" s="62">
        <v>4.3247</v>
      </c>
      <c r="D11" s="62">
        <v>-0.30299999999999999</v>
      </c>
      <c r="E11" s="62">
        <v>0.16339999999999999</v>
      </c>
      <c r="F11" s="233">
        <v>42.9085514</v>
      </c>
      <c r="G11" s="62" t="s">
        <v>522</v>
      </c>
      <c r="H11" s="62">
        <v>1.63</v>
      </c>
      <c r="I11" s="62">
        <v>1.66</v>
      </c>
      <c r="J11" s="62">
        <v>1.35</v>
      </c>
      <c r="K11" s="62">
        <v>397</v>
      </c>
      <c r="L11" s="234">
        <f>((10^(C11+D11+E11))*(F11/10)^0.6)*(C4/K11)</f>
        <v>73836.96909357913</v>
      </c>
      <c r="M11" s="235">
        <f>L11*(H11+I11*J11)</f>
        <v>285822.90736124478</v>
      </c>
    </row>
    <row r="12" spans="1:16" x14ac:dyDescent="0.3">
      <c r="B12" s="218" t="s">
        <v>523</v>
      </c>
      <c r="C12" s="62">
        <v>4.8305999999999996</v>
      </c>
      <c r="D12" s="62">
        <v>-0.85089999999999999</v>
      </c>
      <c r="E12" s="62">
        <v>0.31869999999999998</v>
      </c>
      <c r="F12" s="233">
        <v>42.9085514</v>
      </c>
      <c r="G12" s="62" t="s">
        <v>522</v>
      </c>
      <c r="H12" s="62">
        <v>1.63</v>
      </c>
      <c r="I12" s="62">
        <v>1.66</v>
      </c>
      <c r="J12" s="62">
        <v>1.35</v>
      </c>
      <c r="K12" s="62">
        <v>397</v>
      </c>
      <c r="L12" s="234">
        <f>((10^(C12+D12+E12))*(F12/10)^0.6)*(C4/K12)</f>
        <v>95845.970929453135</v>
      </c>
      <c r="M12" s="235">
        <f>L12*(H12+I12*J12)</f>
        <v>371019.75346791308</v>
      </c>
    </row>
    <row r="13" spans="1:16" x14ac:dyDescent="0.3">
      <c r="B13" s="218" t="s">
        <v>524</v>
      </c>
      <c r="C13" s="62">
        <v>4.1883999999999997</v>
      </c>
      <c r="D13" s="62">
        <v>-0.25030000000000002</v>
      </c>
      <c r="E13" s="62">
        <v>0.19739999999999999</v>
      </c>
      <c r="F13" s="233">
        <v>42.9085514</v>
      </c>
      <c r="G13" s="62" t="s">
        <v>522</v>
      </c>
      <c r="H13" s="62">
        <v>1.63</v>
      </c>
      <c r="I13" s="62">
        <v>1.66</v>
      </c>
      <c r="J13" s="62">
        <v>1.7</v>
      </c>
      <c r="K13" s="62">
        <v>397</v>
      </c>
      <c r="L13" s="236">
        <f>((10^(C13+D13+E13))*(F13/10)^0.6)*(C4/K13)</f>
        <v>65867.90662814911</v>
      </c>
      <c r="M13" s="235">
        <f>L13*(H13+I13*J13)</f>
        <v>293243.92030851985</v>
      </c>
    </row>
    <row r="14" spans="1:16" x14ac:dyDescent="0.3">
      <c r="B14" s="219" t="s">
        <v>525</v>
      </c>
      <c r="C14" s="237">
        <v>4.2767999999999997</v>
      </c>
      <c r="D14" s="237">
        <v>-4.9500000000000002E-2</v>
      </c>
      <c r="E14" s="237">
        <v>0.1431</v>
      </c>
      <c r="F14" s="238">
        <v>42.9085514</v>
      </c>
      <c r="G14" s="237" t="s">
        <v>522</v>
      </c>
      <c r="H14" s="237">
        <v>1.63</v>
      </c>
      <c r="I14" s="237">
        <v>1.66</v>
      </c>
      <c r="J14" s="237">
        <v>1.7</v>
      </c>
      <c r="K14" s="237">
        <v>397</v>
      </c>
      <c r="L14" s="239">
        <f>((10^(C14+D14+E14))*(F14/10)^0.6)*(C4/K14)</f>
        <v>113128.9773321096</v>
      </c>
      <c r="M14" s="240">
        <f>L14*(H14+I14*J14)</f>
        <v>503650.20708255196</v>
      </c>
    </row>
    <row r="15" spans="1:16" x14ac:dyDescent="0.3">
      <c r="B15" s="2"/>
    </row>
    <row r="16" spans="1:16" x14ac:dyDescent="0.3">
      <c r="B16" s="224" t="s">
        <v>589</v>
      </c>
      <c r="C16" s="241"/>
      <c r="D16" s="242"/>
      <c r="E16" s="242"/>
      <c r="F16" s="242"/>
      <c r="G16" s="242"/>
      <c r="H16" s="242"/>
      <c r="I16" s="242"/>
      <c r="J16" s="242"/>
      <c r="K16" s="242"/>
    </row>
    <row r="17" spans="1:14" x14ac:dyDescent="0.2">
      <c r="A17" s="2"/>
      <c r="B17" s="301"/>
      <c r="C17" s="343" t="s">
        <v>509</v>
      </c>
      <c r="D17" s="343"/>
      <c r="E17" s="343"/>
      <c r="F17" s="343"/>
      <c r="G17" s="343"/>
      <c r="H17" s="344" t="s">
        <v>338</v>
      </c>
      <c r="I17" s="344"/>
      <c r="J17" s="344"/>
      <c r="K17" s="228"/>
      <c r="L17" s="228"/>
      <c r="M17" s="229"/>
      <c r="N17" s="2"/>
    </row>
    <row r="18" spans="1:14" ht="18" x14ac:dyDescent="0.25">
      <c r="A18" s="2"/>
      <c r="B18" s="332" t="s">
        <v>562</v>
      </c>
      <c r="C18" s="330" t="s">
        <v>559</v>
      </c>
      <c r="D18" s="330" t="s">
        <v>558</v>
      </c>
      <c r="E18" s="330" t="s">
        <v>557</v>
      </c>
      <c r="F18" s="48" t="s">
        <v>563</v>
      </c>
      <c r="G18" s="48" t="s">
        <v>564</v>
      </c>
      <c r="H18" s="231" t="s">
        <v>515</v>
      </c>
      <c r="I18" s="231" t="s">
        <v>516</v>
      </c>
      <c r="J18" s="231" t="s">
        <v>517</v>
      </c>
      <c r="K18" s="166" t="s">
        <v>518</v>
      </c>
      <c r="L18" s="166" t="s">
        <v>519</v>
      </c>
      <c r="M18" s="232" t="s">
        <v>520</v>
      </c>
      <c r="N18" s="2"/>
    </row>
    <row r="19" spans="1:14" x14ac:dyDescent="0.3">
      <c r="B19" s="152" t="s">
        <v>565</v>
      </c>
      <c r="C19" s="62">
        <v>2.2627999999999999</v>
      </c>
      <c r="D19" s="62">
        <v>0.85809999999999997</v>
      </c>
      <c r="E19" s="62">
        <v>2.9999999999999997E-4</v>
      </c>
      <c r="F19" s="62">
        <v>1070.8652400000001</v>
      </c>
      <c r="G19" s="62" t="s">
        <v>566</v>
      </c>
      <c r="H19" s="62">
        <v>1.63</v>
      </c>
      <c r="I19" s="62">
        <v>1.66</v>
      </c>
      <c r="J19" s="62">
        <v>1.35</v>
      </c>
      <c r="K19" s="62">
        <v>397</v>
      </c>
      <c r="L19" s="234">
        <f>((10^(C19+D19+E19))*(F19/10)^0.6)*(C4/K19)</f>
        <v>43922.640674861315</v>
      </c>
      <c r="M19" s="235">
        <f>L19*(H19+I19*J19)</f>
        <v>170024.54205238816</v>
      </c>
    </row>
    <row r="20" spans="1:14" x14ac:dyDescent="0.3">
      <c r="B20" s="152" t="s">
        <v>567</v>
      </c>
      <c r="C20" s="62">
        <v>1.1979</v>
      </c>
      <c r="D20" s="62">
        <v>1.4782</v>
      </c>
      <c r="E20" s="62">
        <v>-9.5799999999999996E-2</v>
      </c>
      <c r="F20" s="62">
        <v>1070.8652400000001</v>
      </c>
      <c r="G20" s="62" t="s">
        <v>568</v>
      </c>
      <c r="H20" s="62">
        <v>1.63</v>
      </c>
      <c r="I20" s="62">
        <v>1.66</v>
      </c>
      <c r="J20" s="62">
        <v>1.35</v>
      </c>
      <c r="K20" s="62">
        <v>397</v>
      </c>
      <c r="L20" s="234">
        <f>((10^(C20+D20+E20))*(F20/10)^0.6)*(C4/K20)</f>
        <v>12641.204074604846</v>
      </c>
      <c r="M20" s="235">
        <f>L20*(H20+I20*J20)</f>
        <v>48934.100972795357</v>
      </c>
    </row>
    <row r="21" spans="1:14" x14ac:dyDescent="0.3">
      <c r="B21" s="152" t="s">
        <v>569</v>
      </c>
      <c r="C21" s="62">
        <v>2.0829</v>
      </c>
      <c r="D21" s="62">
        <v>0.90739999999999998</v>
      </c>
      <c r="E21" s="62">
        <v>-2.4299999999999999E-2</v>
      </c>
      <c r="F21" s="62">
        <v>1070.8652400000001</v>
      </c>
      <c r="G21" s="62" t="s">
        <v>568</v>
      </c>
      <c r="H21" s="62">
        <v>1.63</v>
      </c>
      <c r="I21" s="62">
        <v>1.66</v>
      </c>
      <c r="J21" s="62">
        <v>1.7</v>
      </c>
      <c r="K21" s="62">
        <v>397</v>
      </c>
      <c r="L21" s="236">
        <f>((10^(C21+D21+E21))*(F21/10)^0.6)*(C4/K21)</f>
        <v>30724.755988070083</v>
      </c>
      <c r="M21" s="235">
        <f>L21*(H21+I21*J21)</f>
        <v>136786.613658888</v>
      </c>
    </row>
    <row r="22" spans="1:14" x14ac:dyDescent="0.3">
      <c r="B22" s="153" t="s">
        <v>570</v>
      </c>
      <c r="C22" s="237">
        <v>6.9617000000000004</v>
      </c>
      <c r="D22" s="237">
        <v>-1.48</v>
      </c>
      <c r="E22" s="237">
        <v>0.31609999999999999</v>
      </c>
      <c r="F22" s="237">
        <v>1070.8652400000001</v>
      </c>
      <c r="G22" s="237" t="s">
        <v>571</v>
      </c>
      <c r="H22" s="237">
        <v>1.63</v>
      </c>
      <c r="I22" s="237">
        <v>1.66</v>
      </c>
      <c r="J22" s="237">
        <v>1.7</v>
      </c>
      <c r="K22" s="237">
        <v>397</v>
      </c>
      <c r="L22" s="239">
        <f>((10^(C22+D22+E22))*(F22/10)^0.6)*(C4/K22)</f>
        <v>20858757.853235804</v>
      </c>
      <c r="M22" s="240">
        <f>L22*(H22+I22*J22)</f>
        <v>92863189.962605789</v>
      </c>
    </row>
    <row r="24" spans="1:14" x14ac:dyDescent="0.25">
      <c r="A24" s="2"/>
      <c r="B24" s="224" t="s">
        <v>594</v>
      </c>
      <c r="C24" s="225"/>
      <c r="D24" s="226"/>
      <c r="E24" s="226"/>
      <c r="F24" s="226"/>
      <c r="G24" s="226"/>
      <c r="H24" s="226"/>
      <c r="I24" s="226"/>
      <c r="J24" s="226"/>
      <c r="K24" s="226"/>
    </row>
    <row r="25" spans="1:14" x14ac:dyDescent="0.2">
      <c r="A25" s="2"/>
      <c r="B25" s="301"/>
      <c r="C25" s="343" t="s">
        <v>509</v>
      </c>
      <c r="D25" s="343"/>
      <c r="E25" s="343"/>
      <c r="F25" s="343"/>
      <c r="G25" s="343"/>
      <c r="H25" s="344" t="s">
        <v>338</v>
      </c>
      <c r="I25" s="344"/>
      <c r="J25" s="344"/>
      <c r="K25" s="228"/>
      <c r="L25" s="228"/>
      <c r="M25" s="229"/>
    </row>
    <row r="26" spans="1:14" ht="18" x14ac:dyDescent="0.25">
      <c r="B26" s="332" t="s">
        <v>562</v>
      </c>
      <c r="C26" s="330" t="s">
        <v>559</v>
      </c>
      <c r="D26" s="330" t="s">
        <v>558</v>
      </c>
      <c r="E26" s="330" t="s">
        <v>557</v>
      </c>
      <c r="F26" s="48" t="s">
        <v>563</v>
      </c>
      <c r="G26" s="48" t="s">
        <v>564</v>
      </c>
      <c r="H26" s="231" t="s">
        <v>515</v>
      </c>
      <c r="I26" s="231" t="s">
        <v>516</v>
      </c>
      <c r="J26" s="231" t="s">
        <v>517</v>
      </c>
      <c r="K26" s="166" t="s">
        <v>518</v>
      </c>
      <c r="L26" s="166" t="s">
        <v>519</v>
      </c>
      <c r="M26" s="232" t="s">
        <v>520</v>
      </c>
      <c r="N26" s="2"/>
    </row>
    <row r="27" spans="1:14" x14ac:dyDescent="0.3">
      <c r="B27" s="152" t="s">
        <v>565</v>
      </c>
      <c r="C27" s="62">
        <v>2.2627999999999999</v>
      </c>
      <c r="D27" s="62">
        <v>0.85809999999999997</v>
      </c>
      <c r="E27" s="62">
        <v>2.9999999999999997E-4</v>
      </c>
      <c r="F27" s="62">
        <v>2284.7393900000002</v>
      </c>
      <c r="G27" s="62" t="s">
        <v>566</v>
      </c>
      <c r="H27" s="62">
        <v>1.63</v>
      </c>
      <c r="I27" s="62">
        <v>1.66</v>
      </c>
      <c r="J27" s="62">
        <v>1.35</v>
      </c>
      <c r="K27" s="62">
        <v>397</v>
      </c>
      <c r="L27" s="234">
        <f>((10^(C27+D27+E27))*(F27/10)^0.6)*(C4/K27)</f>
        <v>69206.924656892967</v>
      </c>
      <c r="M27" s="235">
        <f>L27*(H27+I27*J27)</f>
        <v>267900.00534683268</v>
      </c>
    </row>
    <row r="28" spans="1:14" x14ac:dyDescent="0.3">
      <c r="B28" s="152" t="s">
        <v>567</v>
      </c>
      <c r="C28" s="62">
        <v>1.1979</v>
      </c>
      <c r="D28" s="62">
        <v>1.4782</v>
      </c>
      <c r="E28" s="62">
        <v>-9.5799999999999996E-2</v>
      </c>
      <c r="F28" s="62">
        <v>2284.7393900000002</v>
      </c>
      <c r="G28" s="62" t="s">
        <v>568</v>
      </c>
      <c r="H28" s="62">
        <v>1.63</v>
      </c>
      <c r="I28" s="62">
        <v>1.66</v>
      </c>
      <c r="J28" s="62">
        <v>1.35</v>
      </c>
      <c r="K28" s="62">
        <v>397</v>
      </c>
      <c r="L28" s="234">
        <f>((10^(C28+D28+E28))*(F28/10)^0.6)*(C4/K28)</f>
        <v>19918.175331027003</v>
      </c>
      <c r="M28" s="235">
        <f>L28*(H28+I28*J28)</f>
        <v>77103.256706405533</v>
      </c>
    </row>
    <row r="29" spans="1:14" x14ac:dyDescent="0.3">
      <c r="B29" s="152" t="s">
        <v>569</v>
      </c>
      <c r="C29" s="62">
        <v>2.0829</v>
      </c>
      <c r="D29" s="62">
        <v>0.90739999999999998</v>
      </c>
      <c r="E29" s="62">
        <v>-2.4299999999999999E-2</v>
      </c>
      <c r="F29" s="62">
        <v>2284.7393900000002</v>
      </c>
      <c r="G29" s="62" t="s">
        <v>568</v>
      </c>
      <c r="H29" s="62">
        <v>1.63</v>
      </c>
      <c r="I29" s="62">
        <v>1.66</v>
      </c>
      <c r="J29" s="62">
        <v>1.7</v>
      </c>
      <c r="K29" s="62">
        <v>397</v>
      </c>
      <c r="L29" s="236">
        <f>((10^(C29+D29+E29))*(F29/10)^0.6)*(C4/K29)</f>
        <v>48411.612783217548</v>
      </c>
      <c r="M29" s="235">
        <f>L29*(H29+I29*J29)</f>
        <v>215528.50011088452</v>
      </c>
    </row>
    <row r="30" spans="1:14" x14ac:dyDescent="0.3">
      <c r="B30" s="153" t="s">
        <v>570</v>
      </c>
      <c r="C30" s="237">
        <v>6.9617000000000004</v>
      </c>
      <c r="D30" s="237">
        <v>-1.48</v>
      </c>
      <c r="E30" s="237">
        <v>0.31609999999999999</v>
      </c>
      <c r="F30" s="237">
        <v>2284.7393900000002</v>
      </c>
      <c r="G30" s="237" t="s">
        <v>571</v>
      </c>
      <c r="H30" s="237">
        <v>1.63</v>
      </c>
      <c r="I30" s="237">
        <v>1.66</v>
      </c>
      <c r="J30" s="237">
        <v>1.7</v>
      </c>
      <c r="K30" s="237">
        <v>397</v>
      </c>
      <c r="L30" s="239">
        <f>((10^(C30+D30+E30))*(F30/10)^0.6)*(C4/K30)</f>
        <v>32866204.331186257</v>
      </c>
      <c r="M30" s="240">
        <f>L30*(H30+I30*J30)</f>
        <v>146320341.6824412</v>
      </c>
    </row>
    <row r="31" spans="1:14" x14ac:dyDescent="0.3">
      <c r="N31" s="2"/>
    </row>
    <row r="36" spans="1:9" x14ac:dyDescent="0.2">
      <c r="A36" s="2" t="s">
        <v>184</v>
      </c>
      <c r="B36" s="300" t="s">
        <v>576</v>
      </c>
      <c r="C36" s="221"/>
      <c r="D36" s="222"/>
      <c r="E36" s="222"/>
      <c r="F36" s="222"/>
      <c r="G36" s="222"/>
      <c r="H36" s="222"/>
      <c r="I36" s="222"/>
    </row>
    <row r="37" spans="1:9" x14ac:dyDescent="0.2">
      <c r="B37" s="301"/>
      <c r="C37" s="343" t="s">
        <v>509</v>
      </c>
      <c r="D37" s="343"/>
      <c r="E37" s="343"/>
      <c r="F37" s="343"/>
      <c r="G37" s="343"/>
      <c r="H37" s="154"/>
      <c r="I37" s="302"/>
    </row>
    <row r="38" spans="1:9" x14ac:dyDescent="0.2">
      <c r="B38" s="303" t="s">
        <v>534</v>
      </c>
      <c r="C38" s="48" t="s">
        <v>527</v>
      </c>
      <c r="D38" s="48" t="s">
        <v>528</v>
      </c>
      <c r="E38" s="48" t="s">
        <v>528</v>
      </c>
      <c r="F38" s="48" t="s">
        <v>535</v>
      </c>
      <c r="G38" s="48" t="s">
        <v>536</v>
      </c>
      <c r="H38" s="48" t="s">
        <v>518</v>
      </c>
      <c r="I38" s="185" t="s">
        <v>537</v>
      </c>
    </row>
    <row r="39" spans="1:9" x14ac:dyDescent="0.3">
      <c r="B39" s="181" t="s">
        <v>538</v>
      </c>
      <c r="C39" s="304">
        <v>2.2896999999999998</v>
      </c>
      <c r="D39" s="304">
        <v>1.3604000000000001</v>
      </c>
      <c r="E39" s="304">
        <v>-0.1027</v>
      </c>
      <c r="F39" s="305">
        <v>4153.8584499999997</v>
      </c>
      <c r="G39" s="304" t="s">
        <v>539</v>
      </c>
      <c r="H39" s="304">
        <v>397</v>
      </c>
      <c r="I39" s="306">
        <f>(10^(C39+D39*LOG(F39)+E39*((LOG(F39))^2)))*($C$4/H39)</f>
        <v>1483263.627229064</v>
      </c>
    </row>
    <row r="40" spans="1:9" x14ac:dyDescent="0.3">
      <c r="B40" s="152" t="s">
        <v>540</v>
      </c>
      <c r="C40" s="62">
        <v>5.0354999999999999</v>
      </c>
      <c r="D40" s="62">
        <v>-1.8002</v>
      </c>
      <c r="E40" s="62">
        <v>0.82530000000000003</v>
      </c>
      <c r="F40" s="274">
        <v>4153.8584499999997</v>
      </c>
      <c r="G40" s="62" t="s">
        <v>541</v>
      </c>
      <c r="H40" s="62">
        <v>397</v>
      </c>
      <c r="I40" s="307">
        <f>(10^(C40+D40*LOG(F40)+E40*((LOG(F40))^2)))*($C$4/H40)</f>
        <v>4275852446.9108567</v>
      </c>
    </row>
    <row r="41" spans="1:9" x14ac:dyDescent="0.3">
      <c r="B41" s="153" t="s">
        <v>246</v>
      </c>
      <c r="C41" s="237"/>
      <c r="D41" s="237"/>
      <c r="E41" s="237"/>
      <c r="F41" s="237"/>
      <c r="G41" s="237"/>
      <c r="H41" s="167"/>
      <c r="I41" s="308"/>
    </row>
    <row r="45" spans="1:9" x14ac:dyDescent="0.2">
      <c r="B45" s="300" t="s">
        <v>578</v>
      </c>
      <c r="C45" s="221"/>
      <c r="D45" s="222"/>
      <c r="E45" s="222"/>
      <c r="F45" s="222"/>
      <c r="G45" s="222"/>
      <c r="H45" s="222"/>
      <c r="I45" s="222"/>
    </row>
    <row r="46" spans="1:9" x14ac:dyDescent="0.2">
      <c r="B46" s="301"/>
      <c r="C46" s="343" t="s">
        <v>509</v>
      </c>
      <c r="D46" s="343"/>
      <c r="E46" s="343"/>
      <c r="F46" s="343"/>
      <c r="G46" s="343"/>
      <c r="H46" s="154"/>
      <c r="I46" s="302"/>
    </row>
    <row r="47" spans="1:9" x14ac:dyDescent="0.2">
      <c r="B47" s="303" t="s">
        <v>534</v>
      </c>
      <c r="C47" s="48" t="s">
        <v>527</v>
      </c>
      <c r="D47" s="48" t="s">
        <v>528</v>
      </c>
      <c r="E47" s="48" t="s">
        <v>528</v>
      </c>
      <c r="F47" s="48" t="s">
        <v>535</v>
      </c>
      <c r="G47" s="48" t="s">
        <v>536</v>
      </c>
      <c r="H47" s="48" t="s">
        <v>518</v>
      </c>
      <c r="I47" s="185" t="s">
        <v>537</v>
      </c>
    </row>
    <row r="48" spans="1:9" x14ac:dyDescent="0.3">
      <c r="B48" s="181" t="s">
        <v>538</v>
      </c>
      <c r="C48" s="304">
        <v>2.2896999999999998</v>
      </c>
      <c r="D48" s="304">
        <v>1.3604000000000001</v>
      </c>
      <c r="E48" s="304">
        <v>-0.1027</v>
      </c>
      <c r="F48" s="305">
        <v>3865.1090199999999</v>
      </c>
      <c r="G48" s="304" t="s">
        <v>539</v>
      </c>
      <c r="H48" s="304">
        <v>397</v>
      </c>
      <c r="I48" s="306">
        <f>(10^(C48+D48*LOG(F48)+E48*((LOG(F48))^2)))*($C$4/H48)</f>
        <v>1418425.6673946765</v>
      </c>
    </row>
    <row r="49" spans="2:9" x14ac:dyDescent="0.3">
      <c r="B49" s="152" t="s">
        <v>540</v>
      </c>
      <c r="C49" s="62">
        <v>5.0354999999999999</v>
      </c>
      <c r="D49" s="62">
        <v>-1.8002</v>
      </c>
      <c r="E49" s="62">
        <v>0.82530000000000003</v>
      </c>
      <c r="F49" s="274">
        <v>3865.1090199999999</v>
      </c>
      <c r="G49" s="62" t="s">
        <v>541</v>
      </c>
      <c r="H49" s="62">
        <v>397</v>
      </c>
      <c r="I49" s="307">
        <f>(10^(C49+D49*LOG(F49)+E49*((LOG(F49))^2)))*($C$4/H49)</f>
        <v>3171582775.7968488</v>
      </c>
    </row>
    <row r="50" spans="2:9" x14ac:dyDescent="0.3">
      <c r="B50" s="153" t="s">
        <v>246</v>
      </c>
      <c r="C50" s="237"/>
      <c r="D50" s="237"/>
      <c r="E50" s="237"/>
      <c r="F50" s="237"/>
      <c r="G50" s="237"/>
      <c r="H50" s="167"/>
      <c r="I50" s="308"/>
    </row>
    <row r="53" spans="2:9" ht="16.5" x14ac:dyDescent="0.3">
      <c r="B53"/>
      <c r="C53" s="319"/>
      <c r="D53"/>
      <c r="E53"/>
      <c r="F53"/>
      <c r="G53"/>
      <c r="H53"/>
      <c r="I53"/>
    </row>
    <row r="54" spans="2:9" x14ac:dyDescent="0.2">
      <c r="B54" s="300" t="s">
        <v>579</v>
      </c>
      <c r="C54" s="221"/>
      <c r="D54" s="222"/>
      <c r="E54" s="222"/>
      <c r="F54" s="222"/>
      <c r="G54" s="222"/>
      <c r="H54" s="222"/>
      <c r="I54" s="222"/>
    </row>
    <row r="55" spans="2:9" x14ac:dyDescent="0.2">
      <c r="B55" s="301"/>
      <c r="C55" s="343" t="s">
        <v>509</v>
      </c>
      <c r="D55" s="343"/>
      <c r="E55" s="343"/>
      <c r="F55" s="343"/>
      <c r="G55" s="343"/>
      <c r="H55" s="154"/>
      <c r="I55" s="302"/>
    </row>
    <row r="56" spans="2:9" x14ac:dyDescent="0.2">
      <c r="B56" s="303" t="s">
        <v>534</v>
      </c>
      <c r="C56" s="48" t="s">
        <v>527</v>
      </c>
      <c r="D56" s="48" t="s">
        <v>528</v>
      </c>
      <c r="E56" s="48" t="s">
        <v>528</v>
      </c>
      <c r="F56" s="48" t="s">
        <v>535</v>
      </c>
      <c r="G56" s="48" t="s">
        <v>536</v>
      </c>
      <c r="H56" s="48" t="s">
        <v>518</v>
      </c>
      <c r="I56" s="185" t="s">
        <v>537</v>
      </c>
    </row>
    <row r="57" spans="2:9" x14ac:dyDescent="0.3">
      <c r="B57" s="181" t="s">
        <v>538</v>
      </c>
      <c r="C57" s="304">
        <v>2.2896999999999998</v>
      </c>
      <c r="D57" s="304">
        <v>1.3604000000000001</v>
      </c>
      <c r="E57" s="304">
        <v>-0.1027</v>
      </c>
      <c r="F57" s="305">
        <v>2238.2037</v>
      </c>
      <c r="G57" s="304" t="s">
        <v>539</v>
      </c>
      <c r="H57" s="304">
        <v>397</v>
      </c>
      <c r="I57" s="306">
        <f>(10^(C57+D57*LOG(F57)+E57*((LOG(F57))^2)))*($C$4/H57)</f>
        <v>995564.27692297881</v>
      </c>
    </row>
    <row r="58" spans="2:9" x14ac:dyDescent="0.3">
      <c r="B58" s="152" t="s">
        <v>540</v>
      </c>
      <c r="C58" s="62">
        <v>5.0354999999999999</v>
      </c>
      <c r="D58" s="62">
        <v>-1.8002</v>
      </c>
      <c r="E58" s="62">
        <v>0.82530000000000003</v>
      </c>
      <c r="F58" s="274">
        <v>2238.2037</v>
      </c>
      <c r="G58" s="62" t="s">
        <v>541</v>
      </c>
      <c r="H58" s="62">
        <v>397</v>
      </c>
      <c r="I58" s="307">
        <f>(10^(C58+D58*LOG(F58)+E58*((LOG(F58))^2)))*($C$4/H58)</f>
        <v>371562965.05247116</v>
      </c>
    </row>
    <row r="59" spans="2:9" x14ac:dyDescent="0.3">
      <c r="B59" s="153" t="s">
        <v>246</v>
      </c>
      <c r="C59" s="237"/>
      <c r="D59" s="237"/>
      <c r="E59" s="237"/>
      <c r="F59" s="237"/>
      <c r="G59" s="237"/>
      <c r="H59" s="167"/>
      <c r="I59" s="308"/>
    </row>
    <row r="63" spans="2:9" x14ac:dyDescent="0.2">
      <c r="B63" s="300" t="s">
        <v>582</v>
      </c>
      <c r="C63" s="221"/>
      <c r="D63" s="222"/>
      <c r="E63" s="222"/>
      <c r="F63" s="222"/>
      <c r="G63" s="222"/>
      <c r="H63" s="222"/>
      <c r="I63" s="222"/>
    </row>
    <row r="64" spans="2:9" x14ac:dyDescent="0.2">
      <c r="B64" s="301"/>
      <c r="C64" s="343" t="s">
        <v>509</v>
      </c>
      <c r="D64" s="343"/>
      <c r="E64" s="343"/>
      <c r="F64" s="343"/>
      <c r="G64" s="343"/>
      <c r="H64" s="154"/>
      <c r="I64" s="302"/>
    </row>
    <row r="65" spans="2:9" x14ac:dyDescent="0.2">
      <c r="B65" s="303" t="s">
        <v>534</v>
      </c>
      <c r="C65" s="48" t="s">
        <v>527</v>
      </c>
      <c r="D65" s="48" t="s">
        <v>528</v>
      </c>
      <c r="E65" s="48" t="s">
        <v>528</v>
      </c>
      <c r="F65" s="48" t="s">
        <v>535</v>
      </c>
      <c r="G65" s="48" t="s">
        <v>536</v>
      </c>
      <c r="H65" s="48" t="s">
        <v>518</v>
      </c>
      <c r="I65" s="185" t="s">
        <v>537</v>
      </c>
    </row>
    <row r="66" spans="2:9" x14ac:dyDescent="0.3">
      <c r="B66" s="181" t="s">
        <v>538</v>
      </c>
      <c r="C66" s="304">
        <v>2.2896999999999998</v>
      </c>
      <c r="D66" s="304">
        <v>1.3604000000000001</v>
      </c>
      <c r="E66" s="304">
        <v>-0.1027</v>
      </c>
      <c r="F66" s="305">
        <v>3059.73216</v>
      </c>
      <c r="G66" s="304" t="s">
        <v>539</v>
      </c>
      <c r="H66" s="304">
        <v>397</v>
      </c>
      <c r="I66" s="306">
        <f>(10^(C66+D66*LOG(F66)+E66*((LOG(F66))^2)))*($C$4/H66)</f>
        <v>1223115.3255735713</v>
      </c>
    </row>
    <row r="67" spans="2:9" x14ac:dyDescent="0.3">
      <c r="B67" s="152" t="s">
        <v>540</v>
      </c>
      <c r="C67" s="62">
        <v>5.0354999999999999</v>
      </c>
      <c r="D67" s="62">
        <v>-1.8002</v>
      </c>
      <c r="E67" s="62">
        <v>0.82530000000000003</v>
      </c>
      <c r="F67" s="274">
        <v>3059.73216</v>
      </c>
      <c r="G67" s="62" t="s">
        <v>541</v>
      </c>
      <c r="H67" s="62">
        <v>397</v>
      </c>
      <c r="I67" s="307">
        <f>(10^(C67+D67*LOG(F67)+E67*((LOG(F67))^2)))*($C$4/H67)</f>
        <v>1234826852.6614285</v>
      </c>
    </row>
    <row r="68" spans="2:9" x14ac:dyDescent="0.3">
      <c r="B68" s="153" t="s">
        <v>246</v>
      </c>
      <c r="C68" s="237"/>
      <c r="D68" s="237"/>
      <c r="E68" s="237"/>
      <c r="F68" s="237"/>
      <c r="G68" s="237"/>
      <c r="H68" s="167"/>
      <c r="I68" s="308"/>
    </row>
    <row r="69" spans="2:9" ht="16.5" x14ac:dyDescent="0.3">
      <c r="B69"/>
      <c r="C69" s="319"/>
      <c r="D69"/>
      <c r="E69"/>
      <c r="F69"/>
      <c r="G69"/>
      <c r="H69"/>
      <c r="I69"/>
    </row>
    <row r="72" spans="2:9" x14ac:dyDescent="0.2">
      <c r="B72" s="300" t="s">
        <v>584</v>
      </c>
      <c r="C72" s="221"/>
      <c r="D72" s="222"/>
      <c r="E72" s="222"/>
      <c r="F72" s="222"/>
      <c r="G72" s="222"/>
      <c r="H72" s="222"/>
      <c r="I72" s="222"/>
    </row>
    <row r="73" spans="2:9" x14ac:dyDescent="0.2">
      <c r="B73" s="301"/>
      <c r="C73" s="343" t="s">
        <v>509</v>
      </c>
      <c r="D73" s="343"/>
      <c r="E73" s="343"/>
      <c r="F73" s="343"/>
      <c r="G73" s="343"/>
      <c r="H73" s="154"/>
      <c r="I73" s="302"/>
    </row>
    <row r="74" spans="2:9" x14ac:dyDescent="0.2">
      <c r="B74" s="303" t="s">
        <v>534</v>
      </c>
      <c r="C74" s="48" t="s">
        <v>527</v>
      </c>
      <c r="D74" s="48" t="s">
        <v>528</v>
      </c>
      <c r="E74" s="48" t="s">
        <v>528</v>
      </c>
      <c r="F74" s="48" t="s">
        <v>535</v>
      </c>
      <c r="G74" s="48" t="s">
        <v>536</v>
      </c>
      <c r="H74" s="48" t="s">
        <v>518</v>
      </c>
      <c r="I74" s="185" t="s">
        <v>537</v>
      </c>
    </row>
    <row r="75" spans="2:9" x14ac:dyDescent="0.3">
      <c r="B75" s="181" t="s">
        <v>538</v>
      </c>
      <c r="C75" s="304">
        <v>2.2896999999999998</v>
      </c>
      <c r="D75" s="304">
        <v>1.3604000000000001</v>
      </c>
      <c r="E75" s="304">
        <v>-0.1027</v>
      </c>
      <c r="F75" s="305">
        <v>1194.7998399999999</v>
      </c>
      <c r="G75" s="304" t="s">
        <v>539</v>
      </c>
      <c r="H75" s="304">
        <v>397</v>
      </c>
      <c r="I75" s="306">
        <f>(10^(C75+D75*LOG(F75)+E75*((LOG(F75))^2)))*($C$4/H75)</f>
        <v>641441.44755738752</v>
      </c>
    </row>
    <row r="76" spans="2:9" x14ac:dyDescent="0.3">
      <c r="B76" s="152" t="s">
        <v>540</v>
      </c>
      <c r="C76" s="62">
        <v>5.0354999999999999</v>
      </c>
      <c r="D76" s="62">
        <v>-1.8002</v>
      </c>
      <c r="E76" s="62">
        <v>0.82530000000000003</v>
      </c>
      <c r="F76" s="274">
        <v>1194.7998399999999</v>
      </c>
      <c r="G76" s="62" t="s">
        <v>541</v>
      </c>
      <c r="H76" s="62">
        <v>397</v>
      </c>
      <c r="I76" s="307">
        <f>(10^(C76+D76*LOG(F76)+E76*((LOG(F76))^2)))*($C$4/H76)</f>
        <v>41189047.70581802</v>
      </c>
    </row>
    <row r="77" spans="2:9" x14ac:dyDescent="0.3">
      <c r="B77" s="153" t="s">
        <v>246</v>
      </c>
      <c r="C77" s="237"/>
      <c r="D77" s="237"/>
      <c r="E77" s="237"/>
      <c r="F77" s="237"/>
      <c r="G77" s="237"/>
      <c r="H77" s="167"/>
      <c r="I77" s="308"/>
    </row>
    <row r="80" spans="2:9" ht="16.5" x14ac:dyDescent="0.3">
      <c r="B80"/>
      <c r="C80" s="319"/>
      <c r="D80"/>
      <c r="E80"/>
      <c r="F80"/>
      <c r="G80"/>
      <c r="H80"/>
      <c r="I80"/>
    </row>
    <row r="83" spans="2:13" x14ac:dyDescent="0.25">
      <c r="B83" s="224" t="s">
        <v>587</v>
      </c>
      <c r="C83" s="225"/>
      <c r="D83" s="226"/>
      <c r="E83" s="226"/>
      <c r="F83" s="226"/>
      <c r="G83" s="226"/>
      <c r="H83" s="226"/>
      <c r="I83" s="226"/>
      <c r="J83" s="226"/>
      <c r="K83" s="226"/>
    </row>
    <row r="84" spans="2:13" x14ac:dyDescent="0.2">
      <c r="B84" s="301"/>
      <c r="C84" s="343" t="s">
        <v>509</v>
      </c>
      <c r="D84" s="343"/>
      <c r="E84" s="343"/>
      <c r="F84" s="343"/>
      <c r="G84" s="343"/>
      <c r="H84" s="344" t="s">
        <v>338</v>
      </c>
      <c r="I84" s="344"/>
      <c r="J84" s="344"/>
      <c r="K84" s="228"/>
      <c r="L84" s="228"/>
      <c r="M84" s="229"/>
    </row>
    <row r="85" spans="2:13" ht="18" x14ac:dyDescent="0.25">
      <c r="B85" s="332" t="s">
        <v>562</v>
      </c>
      <c r="C85" s="330" t="s">
        <v>559</v>
      </c>
      <c r="D85" s="330" t="s">
        <v>558</v>
      </c>
      <c r="E85" s="330" t="s">
        <v>557</v>
      </c>
      <c r="F85" s="48" t="s">
        <v>563</v>
      </c>
      <c r="G85" s="48" t="s">
        <v>564</v>
      </c>
      <c r="H85" s="231" t="s">
        <v>515</v>
      </c>
      <c r="I85" s="231" t="s">
        <v>516</v>
      </c>
      <c r="J85" s="231" t="s">
        <v>517</v>
      </c>
      <c r="K85" s="166" t="s">
        <v>518</v>
      </c>
      <c r="L85" s="166" t="s">
        <v>519</v>
      </c>
      <c r="M85" s="232" t="s">
        <v>520</v>
      </c>
    </row>
    <row r="86" spans="2:13" x14ac:dyDescent="0.3">
      <c r="B86" s="152" t="s">
        <v>565</v>
      </c>
      <c r="C86" s="62">
        <v>2.2627999999999999</v>
      </c>
      <c r="D86" s="62">
        <v>0.85809999999999997</v>
      </c>
      <c r="E86" s="62">
        <v>2.9999999999999997E-4</v>
      </c>
      <c r="F86" s="62">
        <v>1349.7735466764</v>
      </c>
      <c r="G86" s="62" t="s">
        <v>566</v>
      </c>
      <c r="H86" s="62">
        <v>1.63</v>
      </c>
      <c r="I86" s="62">
        <v>1.66</v>
      </c>
      <c r="J86" s="62">
        <v>1.35</v>
      </c>
      <c r="K86" s="62">
        <v>397</v>
      </c>
      <c r="L86" s="234">
        <f>((10^(C86+D86+E86))*(F86/10)^0.6)*(C4/K86)</f>
        <v>50466.60582859609</v>
      </c>
      <c r="M86" s="235">
        <f>L86*(H86+I86*J86)</f>
        <v>195356.23116249547</v>
      </c>
    </row>
    <row r="87" spans="2:13" x14ac:dyDescent="0.3">
      <c r="B87" s="152" t="s">
        <v>567</v>
      </c>
      <c r="C87" s="62">
        <v>1.1979</v>
      </c>
      <c r="D87" s="62">
        <v>1.4782</v>
      </c>
      <c r="E87" s="62">
        <v>-9.5799999999999996E-2</v>
      </c>
      <c r="F87" s="62">
        <v>1349.7735466764</v>
      </c>
      <c r="G87" s="62" t="s">
        <v>568</v>
      </c>
      <c r="H87" s="62">
        <v>1.63</v>
      </c>
      <c r="I87" s="62">
        <v>1.66</v>
      </c>
      <c r="J87" s="62">
        <v>1.35</v>
      </c>
      <c r="K87" s="62">
        <v>397</v>
      </c>
      <c r="L87" s="234">
        <f>((10^(C87+D87+E87))*(F87/10)^0.6)*(C4/K87)</f>
        <v>14524.59718791577</v>
      </c>
      <c r="M87" s="235">
        <f>L87*(H87+I87*J87)</f>
        <v>56224.715714421945</v>
      </c>
    </row>
    <row r="88" spans="2:13" x14ac:dyDescent="0.3">
      <c r="B88" s="152" t="s">
        <v>569</v>
      </c>
      <c r="C88" s="62">
        <v>2.0829</v>
      </c>
      <c r="D88" s="62">
        <v>0.90739999999999998</v>
      </c>
      <c r="E88" s="62">
        <v>-2.4299999999999999E-2</v>
      </c>
      <c r="F88" s="62">
        <v>1349.7735466764</v>
      </c>
      <c r="G88" s="62" t="s">
        <v>568</v>
      </c>
      <c r="H88" s="62">
        <v>1.63</v>
      </c>
      <c r="I88" s="62">
        <v>1.66</v>
      </c>
      <c r="J88" s="62">
        <v>1.7</v>
      </c>
      <c r="K88" s="62">
        <v>397</v>
      </c>
      <c r="L88" s="236">
        <f>((10^(C88+D88+E88))*(F88/10)^0.6)*(C4/K88)</f>
        <v>35302.389059617395</v>
      </c>
      <c r="M88" s="235">
        <f>L88*(H88+I88*J88)</f>
        <v>157166.23609341664</v>
      </c>
    </row>
    <row r="89" spans="2:13" x14ac:dyDescent="0.3">
      <c r="B89" s="153" t="s">
        <v>570</v>
      </c>
      <c r="C89" s="237">
        <v>6.9617000000000004</v>
      </c>
      <c r="D89" s="237">
        <v>-1.48</v>
      </c>
      <c r="E89" s="237">
        <v>0.31609999999999999</v>
      </c>
      <c r="F89" s="237">
        <v>1349.7735466764</v>
      </c>
      <c r="G89" s="237" t="s">
        <v>571</v>
      </c>
      <c r="H89" s="237">
        <v>1.63</v>
      </c>
      <c r="I89" s="237">
        <v>1.66</v>
      </c>
      <c r="J89" s="237">
        <v>1.7</v>
      </c>
      <c r="K89" s="237">
        <v>397</v>
      </c>
      <c r="L89" s="239">
        <f>((10^(C89+D89+E89))*(F89/10)^0.6)*(C4/K89)</f>
        <v>23966471.379665248</v>
      </c>
      <c r="M89" s="240">
        <f>L89*(H89+I89*J89)</f>
        <v>106698730.58226968</v>
      </c>
    </row>
    <row r="93" spans="2:13" x14ac:dyDescent="0.3">
      <c r="B93" s="351" t="s">
        <v>586</v>
      </c>
    </row>
    <row r="94" spans="2:13" x14ac:dyDescent="0.3">
      <c r="B94" s="316"/>
      <c r="C94" s="345" t="s">
        <v>526</v>
      </c>
      <c r="D94" s="345"/>
      <c r="E94" s="345"/>
      <c r="F94" s="345"/>
      <c r="G94" s="345"/>
      <c r="H94" s="345" t="s">
        <v>542</v>
      </c>
      <c r="I94" s="346"/>
    </row>
    <row r="95" spans="2:13" x14ac:dyDescent="0.3">
      <c r="B95" s="317"/>
      <c r="C95" s="43" t="s">
        <v>595</v>
      </c>
      <c r="D95" s="43" t="s">
        <v>546</v>
      </c>
      <c r="E95" s="43" t="s">
        <v>543</v>
      </c>
      <c r="F95" s="43" t="s">
        <v>547</v>
      </c>
      <c r="G95" s="43" t="s">
        <v>596</v>
      </c>
      <c r="H95" s="43" t="s">
        <v>595</v>
      </c>
      <c r="I95" s="186" t="s">
        <v>543</v>
      </c>
    </row>
    <row r="96" spans="2:13" x14ac:dyDescent="0.3">
      <c r="B96" s="314" t="s">
        <v>572</v>
      </c>
      <c r="C96" s="309">
        <v>1800</v>
      </c>
      <c r="D96" s="309" t="s">
        <v>162</v>
      </c>
      <c r="E96" s="310">
        <v>415378000</v>
      </c>
      <c r="F96" s="66">
        <v>0.7</v>
      </c>
      <c r="G96" s="309">
        <v>584.6</v>
      </c>
      <c r="H96" s="318">
        <v>242.09377847853401</v>
      </c>
      <c r="I96" s="315">
        <f>E96*((H96/C96)^0.6)*(C4/G96)</f>
        <v>170313631.8996785</v>
      </c>
    </row>
    <row r="97" spans="2:9" ht="16.5" x14ac:dyDescent="0.3">
      <c r="B97"/>
      <c r="C97"/>
      <c r="D97"/>
      <c r="E97"/>
      <c r="F97"/>
      <c r="G97"/>
      <c r="H97"/>
      <c r="I97"/>
    </row>
    <row r="100" spans="2:9" x14ac:dyDescent="0.3">
      <c r="B100" s="351" t="s">
        <v>588</v>
      </c>
    </row>
    <row r="101" spans="2:9" x14ac:dyDescent="0.3">
      <c r="B101" s="316"/>
      <c r="C101" s="345" t="s">
        <v>526</v>
      </c>
      <c r="D101" s="345"/>
      <c r="E101" s="345"/>
      <c r="F101" s="345"/>
      <c r="G101" s="345"/>
      <c r="H101" s="345" t="s">
        <v>542</v>
      </c>
      <c r="I101" s="346"/>
    </row>
    <row r="102" spans="2:9" x14ac:dyDescent="0.3">
      <c r="B102" s="317"/>
      <c r="C102" s="43" t="s">
        <v>595</v>
      </c>
      <c r="D102" s="43" t="s">
        <v>546</v>
      </c>
      <c r="E102" s="43" t="s">
        <v>543</v>
      </c>
      <c r="F102" s="43" t="s">
        <v>547</v>
      </c>
      <c r="G102" s="43" t="s">
        <v>596</v>
      </c>
      <c r="H102" s="43" t="s">
        <v>595</v>
      </c>
      <c r="I102" s="186" t="s">
        <v>543</v>
      </c>
    </row>
    <row r="103" spans="2:9" x14ac:dyDescent="0.3">
      <c r="B103" s="314" t="s">
        <v>572</v>
      </c>
      <c r="C103" s="309">
        <v>1800</v>
      </c>
      <c r="D103" s="309" t="s">
        <v>162</v>
      </c>
      <c r="E103" s="310">
        <v>415378000</v>
      </c>
      <c r="F103" s="66">
        <v>0.7</v>
      </c>
      <c r="G103" s="309">
        <v>584.6</v>
      </c>
      <c r="H103" s="318">
        <v>157.360956011046</v>
      </c>
      <c r="I103" s="315">
        <f>E103*((H103/C103)^0.6)*(C4/G103)</f>
        <v>131521703.18037571</v>
      </c>
    </row>
    <row r="107" spans="2:9" x14ac:dyDescent="0.3">
      <c r="B107" s="351" t="s">
        <v>590</v>
      </c>
    </row>
    <row r="108" spans="2:9" x14ac:dyDescent="0.3">
      <c r="B108" s="316"/>
      <c r="C108" s="345" t="s">
        <v>526</v>
      </c>
      <c r="D108" s="345"/>
      <c r="E108" s="345"/>
      <c r="F108" s="345"/>
      <c r="G108" s="345"/>
      <c r="H108" s="345" t="s">
        <v>542</v>
      </c>
      <c r="I108" s="346"/>
    </row>
    <row r="109" spans="2:9" x14ac:dyDescent="0.3">
      <c r="B109" s="317"/>
      <c r="C109" s="43" t="s">
        <v>595</v>
      </c>
      <c r="D109" s="43" t="s">
        <v>546</v>
      </c>
      <c r="E109" s="43" t="s">
        <v>543</v>
      </c>
      <c r="F109" s="43" t="s">
        <v>547</v>
      </c>
      <c r="G109" s="43" t="s">
        <v>596</v>
      </c>
      <c r="H109" s="43" t="s">
        <v>595</v>
      </c>
      <c r="I109" s="186" t="s">
        <v>543</v>
      </c>
    </row>
    <row r="110" spans="2:9" x14ac:dyDescent="0.3">
      <c r="B110" s="314" t="s">
        <v>572</v>
      </c>
      <c r="C110" s="309">
        <v>1800</v>
      </c>
      <c r="D110" s="309" t="s">
        <v>162</v>
      </c>
      <c r="E110" s="310">
        <v>415378000</v>
      </c>
      <c r="F110" s="66">
        <v>0.7</v>
      </c>
      <c r="G110" s="309">
        <v>584.6</v>
      </c>
      <c r="H110" s="318">
        <v>102.28462140718101</v>
      </c>
      <c r="I110" s="315">
        <f>E110*((H110/C110)^0.6)*(C4/G110)</f>
        <v>101565319.31428848</v>
      </c>
    </row>
  </sheetData>
  <mergeCells count="19">
    <mergeCell ref="C108:G108"/>
    <mergeCell ref="H108:I108"/>
    <mergeCell ref="C73:G73"/>
    <mergeCell ref="C94:G94"/>
    <mergeCell ref="H94:I94"/>
    <mergeCell ref="C101:G101"/>
    <mergeCell ref="H101:I101"/>
    <mergeCell ref="C25:G25"/>
    <mergeCell ref="H25:J25"/>
    <mergeCell ref="C46:G46"/>
    <mergeCell ref="C55:G55"/>
    <mergeCell ref="C64:G64"/>
    <mergeCell ref="C9:G9"/>
    <mergeCell ref="H9:J9"/>
    <mergeCell ref="C17:G17"/>
    <mergeCell ref="H17:J17"/>
    <mergeCell ref="C37:G37"/>
    <mergeCell ref="C84:G84"/>
    <mergeCell ref="H84:J84"/>
  </mergeCells>
  <phoneticPr fontId="3" type="noConversion"/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B9D3-1405-4C15-962E-DF007F96161C}">
  <sheetPr codeName="Sheet29"/>
  <dimension ref="A1:I17"/>
  <sheetViews>
    <sheetView workbookViewId="0">
      <selection activeCell="C16" sqref="C16"/>
    </sheetView>
  </sheetViews>
  <sheetFormatPr defaultColWidth="9" defaultRowHeight="15" x14ac:dyDescent="0.3"/>
  <cols>
    <col min="1" max="1" width="6.5" style="1" customWidth="1"/>
    <col min="2" max="2" width="55.5" style="1" bestFit="1" customWidth="1"/>
    <col min="3" max="3" width="16.75" style="1" bestFit="1" customWidth="1"/>
    <col min="4" max="4" width="10" style="1" bestFit="1" customWidth="1"/>
    <col min="5" max="5" width="62" style="1" bestFit="1" customWidth="1"/>
    <col min="6" max="8" width="9" style="1"/>
    <col min="9" max="9" width="9.125" style="1" bestFit="1" customWidth="1"/>
    <col min="10" max="16384" width="9" style="1"/>
  </cols>
  <sheetData>
    <row r="1" spans="1:9" x14ac:dyDescent="0.3">
      <c r="A1" s="49" t="s">
        <v>222</v>
      </c>
      <c r="B1" s="49" t="s">
        <v>105</v>
      </c>
      <c r="C1" s="49" t="s">
        <v>223</v>
      </c>
      <c r="D1" s="49" t="s">
        <v>224</v>
      </c>
      <c r="E1" s="49" t="s">
        <v>225</v>
      </c>
    </row>
    <row r="2" spans="1:9" x14ac:dyDescent="0.3">
      <c r="A2" s="49">
        <v>1</v>
      </c>
      <c r="B2" s="49" t="s">
        <v>226</v>
      </c>
      <c r="C2" s="161">
        <v>27.5</v>
      </c>
      <c r="D2" s="162" t="s">
        <v>227</v>
      </c>
      <c r="E2" s="49" t="s">
        <v>228</v>
      </c>
    </row>
    <row r="3" spans="1:9" x14ac:dyDescent="0.3">
      <c r="A3" s="49">
        <v>2</v>
      </c>
      <c r="B3" s="49" t="s">
        <v>171</v>
      </c>
      <c r="C3" s="161">
        <v>5</v>
      </c>
      <c r="D3" s="163" t="s">
        <v>227</v>
      </c>
      <c r="E3" s="49" t="s">
        <v>229</v>
      </c>
    </row>
    <row r="4" spans="1:9" x14ac:dyDescent="0.3">
      <c r="A4" s="49">
        <v>3</v>
      </c>
      <c r="B4" s="49" t="s">
        <v>230</v>
      </c>
      <c r="C4" s="161">
        <v>30</v>
      </c>
      <c r="D4" s="49" t="s">
        <v>231</v>
      </c>
      <c r="E4" s="49" t="s">
        <v>232</v>
      </c>
    </row>
    <row r="5" spans="1:9" x14ac:dyDescent="0.3">
      <c r="A5" s="49">
        <v>4</v>
      </c>
      <c r="B5" s="49" t="s">
        <v>233</v>
      </c>
      <c r="C5" s="161">
        <v>15</v>
      </c>
      <c r="D5" s="49" t="s">
        <v>231</v>
      </c>
      <c r="E5" s="49" t="s">
        <v>234</v>
      </c>
    </row>
    <row r="6" spans="1:9" x14ac:dyDescent="0.3">
      <c r="A6" s="49">
        <v>5</v>
      </c>
      <c r="B6" s="49" t="s">
        <v>573</v>
      </c>
      <c r="C6" s="164">
        <v>5.5E-2</v>
      </c>
      <c r="D6" s="49" t="s">
        <v>235</v>
      </c>
      <c r="E6" s="49"/>
    </row>
    <row r="7" spans="1:9" x14ac:dyDescent="0.3">
      <c r="A7" s="49">
        <v>6</v>
      </c>
      <c r="B7" s="49" t="s">
        <v>236</v>
      </c>
      <c r="C7" s="1">
        <v>7.4999999999999997E-3</v>
      </c>
      <c r="D7" s="49" t="s">
        <v>235</v>
      </c>
      <c r="E7" s="49"/>
    </row>
    <row r="8" spans="1:9" x14ac:dyDescent="0.3">
      <c r="A8" s="49">
        <v>7</v>
      </c>
      <c r="B8" s="49" t="s">
        <v>574</v>
      </c>
      <c r="C8" s="188">
        <f>0.0000157</f>
        <v>1.5699999999999999E-5</v>
      </c>
      <c r="D8" s="49" t="s">
        <v>245</v>
      </c>
      <c r="E8" s="49"/>
    </row>
    <row r="9" spans="1:9" x14ac:dyDescent="0.3">
      <c r="A9" s="49">
        <v>8</v>
      </c>
      <c r="B9" s="49" t="s">
        <v>237</v>
      </c>
      <c r="C9" s="161">
        <v>8400</v>
      </c>
      <c r="D9" s="49" t="s">
        <v>238</v>
      </c>
      <c r="E9" s="49"/>
    </row>
    <row r="10" spans="1:9" x14ac:dyDescent="0.3">
      <c r="A10" s="49">
        <v>9</v>
      </c>
      <c r="B10" s="49" t="s">
        <v>239</v>
      </c>
      <c r="C10" s="161">
        <v>0.6</v>
      </c>
      <c r="D10" s="49" t="s">
        <v>162</v>
      </c>
      <c r="E10" s="49"/>
    </row>
    <row r="11" spans="1:9" x14ac:dyDescent="0.3">
      <c r="A11" s="49">
        <v>10</v>
      </c>
      <c r="B11" s="49" t="s">
        <v>240</v>
      </c>
      <c r="C11" s="161">
        <v>5</v>
      </c>
      <c r="D11" s="49" t="s">
        <v>241</v>
      </c>
      <c r="E11" s="49" t="s">
        <v>550</v>
      </c>
    </row>
    <row r="12" spans="1:9" x14ac:dyDescent="0.3">
      <c r="A12" s="49">
        <v>11</v>
      </c>
      <c r="B12" s="49" t="s">
        <v>242</v>
      </c>
      <c r="C12" s="161">
        <v>1379.3</v>
      </c>
      <c r="D12" s="49" t="s">
        <v>243</v>
      </c>
      <c r="E12" s="49" t="s">
        <v>244</v>
      </c>
    </row>
    <row r="13" spans="1:9" x14ac:dyDescent="0.3">
      <c r="A13" s="49">
        <v>12</v>
      </c>
      <c r="B13" s="49" t="s">
        <v>551</v>
      </c>
      <c r="C13" s="327">
        <v>0.08</v>
      </c>
      <c r="D13" s="49" t="s">
        <v>245</v>
      </c>
      <c r="E13" s="49" t="s">
        <v>550</v>
      </c>
    </row>
    <row r="14" spans="1:9" x14ac:dyDescent="0.3">
      <c r="A14" s="49">
        <v>13</v>
      </c>
      <c r="B14" s="49" t="s">
        <v>552</v>
      </c>
      <c r="C14" s="49">
        <f>0.53/1000</f>
        <v>5.2999999999999998E-4</v>
      </c>
      <c r="D14" s="49" t="s">
        <v>245</v>
      </c>
      <c r="E14" s="49" t="s">
        <v>550</v>
      </c>
    </row>
    <row r="15" spans="1:9" ht="16.5" x14ac:dyDescent="0.3">
      <c r="A15" s="49">
        <v>14</v>
      </c>
      <c r="B15" s="49" t="s">
        <v>555</v>
      </c>
      <c r="C15" s="49">
        <v>0.53</v>
      </c>
      <c r="D15" s="49" t="s">
        <v>554</v>
      </c>
      <c r="E15" s="49"/>
      <c r="I15" s="189"/>
    </row>
    <row r="16" spans="1:9" x14ac:dyDescent="0.3">
      <c r="A16" s="49">
        <v>15</v>
      </c>
      <c r="B16" s="49" t="s">
        <v>599</v>
      </c>
      <c r="C16" s="49">
        <v>2</v>
      </c>
      <c r="D16" s="49" t="s">
        <v>245</v>
      </c>
      <c r="E16" s="49" t="s">
        <v>550</v>
      </c>
    </row>
    <row r="17" spans="1:5" x14ac:dyDescent="0.3">
      <c r="A17" s="49">
        <v>16</v>
      </c>
      <c r="B17" s="49" t="s">
        <v>600</v>
      </c>
      <c r="C17" s="49">
        <v>1</v>
      </c>
      <c r="D17" s="49" t="s">
        <v>554</v>
      </c>
      <c r="E17" s="49" t="s">
        <v>550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D20D-1A3B-4CC9-AD93-4F18C4CEDBAC}">
  <sheetPr codeName="Sheet26"/>
  <dimension ref="B2:X291"/>
  <sheetViews>
    <sheetView workbookViewId="0">
      <selection activeCell="J80" sqref="J80"/>
    </sheetView>
  </sheetViews>
  <sheetFormatPr defaultRowHeight="12.75" x14ac:dyDescent="0.2"/>
  <cols>
    <col min="1" max="1" width="3.875" style="67" customWidth="1"/>
    <col min="2" max="2" width="21.25" style="67" customWidth="1"/>
    <col min="3" max="8" width="9" style="67"/>
    <col min="9" max="10" width="12.875" style="67" bestFit="1" customWidth="1"/>
    <col min="11" max="14" width="9" style="67"/>
    <col min="15" max="15" width="9.375" style="67" bestFit="1" customWidth="1"/>
    <col min="16" max="256" width="9" style="67"/>
    <col min="257" max="257" width="3.875" style="67" customWidth="1"/>
    <col min="258" max="258" width="21.25" style="67" customWidth="1"/>
    <col min="259" max="264" width="9" style="67"/>
    <col min="265" max="266" width="12.875" style="67" bestFit="1" customWidth="1"/>
    <col min="267" max="270" width="9" style="67"/>
    <col min="271" max="271" width="9.375" style="67" bestFit="1" customWidth="1"/>
    <col min="272" max="512" width="9" style="67"/>
    <col min="513" max="513" width="3.875" style="67" customWidth="1"/>
    <col min="514" max="514" width="21.25" style="67" customWidth="1"/>
    <col min="515" max="520" width="9" style="67"/>
    <col min="521" max="522" width="12.875" style="67" bestFit="1" customWidth="1"/>
    <col min="523" max="526" width="9" style="67"/>
    <col min="527" max="527" width="9.375" style="67" bestFit="1" customWidth="1"/>
    <col min="528" max="768" width="9" style="67"/>
    <col min="769" max="769" width="3.875" style="67" customWidth="1"/>
    <col min="770" max="770" width="21.25" style="67" customWidth="1"/>
    <col min="771" max="776" width="9" style="67"/>
    <col min="777" max="778" width="12.875" style="67" bestFit="1" customWidth="1"/>
    <col min="779" max="782" width="9" style="67"/>
    <col min="783" max="783" width="9.375" style="67" bestFit="1" customWidth="1"/>
    <col min="784" max="1024" width="9" style="67"/>
    <col min="1025" max="1025" width="3.875" style="67" customWidth="1"/>
    <col min="1026" max="1026" width="21.25" style="67" customWidth="1"/>
    <col min="1027" max="1032" width="9" style="67"/>
    <col min="1033" max="1034" width="12.875" style="67" bestFit="1" customWidth="1"/>
    <col min="1035" max="1038" width="9" style="67"/>
    <col min="1039" max="1039" width="9.375" style="67" bestFit="1" customWidth="1"/>
    <col min="1040" max="1280" width="9" style="67"/>
    <col min="1281" max="1281" width="3.875" style="67" customWidth="1"/>
    <col min="1282" max="1282" width="21.25" style="67" customWidth="1"/>
    <col min="1283" max="1288" width="9" style="67"/>
    <col min="1289" max="1290" width="12.875" style="67" bestFit="1" customWidth="1"/>
    <col min="1291" max="1294" width="9" style="67"/>
    <col min="1295" max="1295" width="9.375" style="67" bestFit="1" customWidth="1"/>
    <col min="1296" max="1536" width="9" style="67"/>
    <col min="1537" max="1537" width="3.875" style="67" customWidth="1"/>
    <col min="1538" max="1538" width="21.25" style="67" customWidth="1"/>
    <col min="1539" max="1544" width="9" style="67"/>
    <col min="1545" max="1546" width="12.875" style="67" bestFit="1" customWidth="1"/>
    <col min="1547" max="1550" width="9" style="67"/>
    <col min="1551" max="1551" width="9.375" style="67" bestFit="1" customWidth="1"/>
    <col min="1552" max="1792" width="9" style="67"/>
    <col min="1793" max="1793" width="3.875" style="67" customWidth="1"/>
    <col min="1794" max="1794" width="21.25" style="67" customWidth="1"/>
    <col min="1795" max="1800" width="9" style="67"/>
    <col min="1801" max="1802" width="12.875" style="67" bestFit="1" customWidth="1"/>
    <col min="1803" max="1806" width="9" style="67"/>
    <col min="1807" max="1807" width="9.375" style="67" bestFit="1" customWidth="1"/>
    <col min="1808" max="2048" width="9" style="67"/>
    <col min="2049" max="2049" width="3.875" style="67" customWidth="1"/>
    <col min="2050" max="2050" width="21.25" style="67" customWidth="1"/>
    <col min="2051" max="2056" width="9" style="67"/>
    <col min="2057" max="2058" width="12.875" style="67" bestFit="1" customWidth="1"/>
    <col min="2059" max="2062" width="9" style="67"/>
    <col min="2063" max="2063" width="9.375" style="67" bestFit="1" customWidth="1"/>
    <col min="2064" max="2304" width="9" style="67"/>
    <col min="2305" max="2305" width="3.875" style="67" customWidth="1"/>
    <col min="2306" max="2306" width="21.25" style="67" customWidth="1"/>
    <col min="2307" max="2312" width="9" style="67"/>
    <col min="2313" max="2314" width="12.875" style="67" bestFit="1" customWidth="1"/>
    <col min="2315" max="2318" width="9" style="67"/>
    <col min="2319" max="2319" width="9.375" style="67" bestFit="1" customWidth="1"/>
    <col min="2320" max="2560" width="9" style="67"/>
    <col min="2561" max="2561" width="3.875" style="67" customWidth="1"/>
    <col min="2562" max="2562" width="21.25" style="67" customWidth="1"/>
    <col min="2563" max="2568" width="9" style="67"/>
    <col min="2569" max="2570" width="12.875" style="67" bestFit="1" customWidth="1"/>
    <col min="2571" max="2574" width="9" style="67"/>
    <col min="2575" max="2575" width="9.375" style="67" bestFit="1" customWidth="1"/>
    <col min="2576" max="2816" width="9" style="67"/>
    <col min="2817" max="2817" width="3.875" style="67" customWidth="1"/>
    <col min="2818" max="2818" width="21.25" style="67" customWidth="1"/>
    <col min="2819" max="2824" width="9" style="67"/>
    <col min="2825" max="2826" width="12.875" style="67" bestFit="1" customWidth="1"/>
    <col min="2827" max="2830" width="9" style="67"/>
    <col min="2831" max="2831" width="9.375" style="67" bestFit="1" customWidth="1"/>
    <col min="2832" max="3072" width="9" style="67"/>
    <col min="3073" max="3073" width="3.875" style="67" customWidth="1"/>
    <col min="3074" max="3074" width="21.25" style="67" customWidth="1"/>
    <col min="3075" max="3080" width="9" style="67"/>
    <col min="3081" max="3082" width="12.875" style="67" bestFit="1" customWidth="1"/>
    <col min="3083" max="3086" width="9" style="67"/>
    <col min="3087" max="3087" width="9.375" style="67" bestFit="1" customWidth="1"/>
    <col min="3088" max="3328" width="9" style="67"/>
    <col min="3329" max="3329" width="3.875" style="67" customWidth="1"/>
    <col min="3330" max="3330" width="21.25" style="67" customWidth="1"/>
    <col min="3331" max="3336" width="9" style="67"/>
    <col min="3337" max="3338" width="12.875" style="67" bestFit="1" customWidth="1"/>
    <col min="3339" max="3342" width="9" style="67"/>
    <col min="3343" max="3343" width="9.375" style="67" bestFit="1" customWidth="1"/>
    <col min="3344" max="3584" width="9" style="67"/>
    <col min="3585" max="3585" width="3.875" style="67" customWidth="1"/>
    <col min="3586" max="3586" width="21.25" style="67" customWidth="1"/>
    <col min="3587" max="3592" width="9" style="67"/>
    <col min="3593" max="3594" width="12.875" style="67" bestFit="1" customWidth="1"/>
    <col min="3595" max="3598" width="9" style="67"/>
    <col min="3599" max="3599" width="9.375" style="67" bestFit="1" customWidth="1"/>
    <col min="3600" max="3840" width="9" style="67"/>
    <col min="3841" max="3841" width="3.875" style="67" customWidth="1"/>
    <col min="3842" max="3842" width="21.25" style="67" customWidth="1"/>
    <col min="3843" max="3848" width="9" style="67"/>
    <col min="3849" max="3850" width="12.875" style="67" bestFit="1" customWidth="1"/>
    <col min="3851" max="3854" width="9" style="67"/>
    <col min="3855" max="3855" width="9.375" style="67" bestFit="1" customWidth="1"/>
    <col min="3856" max="4096" width="9" style="67"/>
    <col min="4097" max="4097" width="3.875" style="67" customWidth="1"/>
    <col min="4098" max="4098" width="21.25" style="67" customWidth="1"/>
    <col min="4099" max="4104" width="9" style="67"/>
    <col min="4105" max="4106" width="12.875" style="67" bestFit="1" customWidth="1"/>
    <col min="4107" max="4110" width="9" style="67"/>
    <col min="4111" max="4111" width="9.375" style="67" bestFit="1" customWidth="1"/>
    <col min="4112" max="4352" width="9" style="67"/>
    <col min="4353" max="4353" width="3.875" style="67" customWidth="1"/>
    <col min="4354" max="4354" width="21.25" style="67" customWidth="1"/>
    <col min="4355" max="4360" width="9" style="67"/>
    <col min="4361" max="4362" width="12.875" style="67" bestFit="1" customWidth="1"/>
    <col min="4363" max="4366" width="9" style="67"/>
    <col min="4367" max="4367" width="9.375" style="67" bestFit="1" customWidth="1"/>
    <col min="4368" max="4608" width="9" style="67"/>
    <col min="4609" max="4609" width="3.875" style="67" customWidth="1"/>
    <col min="4610" max="4610" width="21.25" style="67" customWidth="1"/>
    <col min="4611" max="4616" width="9" style="67"/>
    <col min="4617" max="4618" width="12.875" style="67" bestFit="1" customWidth="1"/>
    <col min="4619" max="4622" width="9" style="67"/>
    <col min="4623" max="4623" width="9.375" style="67" bestFit="1" customWidth="1"/>
    <col min="4624" max="4864" width="9" style="67"/>
    <col min="4865" max="4865" width="3.875" style="67" customWidth="1"/>
    <col min="4866" max="4866" width="21.25" style="67" customWidth="1"/>
    <col min="4867" max="4872" width="9" style="67"/>
    <col min="4873" max="4874" width="12.875" style="67" bestFit="1" customWidth="1"/>
    <col min="4875" max="4878" width="9" style="67"/>
    <col min="4879" max="4879" width="9.375" style="67" bestFit="1" customWidth="1"/>
    <col min="4880" max="5120" width="9" style="67"/>
    <col min="5121" max="5121" width="3.875" style="67" customWidth="1"/>
    <col min="5122" max="5122" width="21.25" style="67" customWidth="1"/>
    <col min="5123" max="5128" width="9" style="67"/>
    <col min="5129" max="5130" width="12.875" style="67" bestFit="1" customWidth="1"/>
    <col min="5131" max="5134" width="9" style="67"/>
    <col min="5135" max="5135" width="9.375" style="67" bestFit="1" customWidth="1"/>
    <col min="5136" max="5376" width="9" style="67"/>
    <col min="5377" max="5377" width="3.875" style="67" customWidth="1"/>
    <col min="5378" max="5378" width="21.25" style="67" customWidth="1"/>
    <col min="5379" max="5384" width="9" style="67"/>
    <col min="5385" max="5386" width="12.875" style="67" bestFit="1" customWidth="1"/>
    <col min="5387" max="5390" width="9" style="67"/>
    <col min="5391" max="5391" width="9.375" style="67" bestFit="1" customWidth="1"/>
    <col min="5392" max="5632" width="9" style="67"/>
    <col min="5633" max="5633" width="3.875" style="67" customWidth="1"/>
    <col min="5634" max="5634" width="21.25" style="67" customWidth="1"/>
    <col min="5635" max="5640" width="9" style="67"/>
    <col min="5641" max="5642" width="12.875" style="67" bestFit="1" customWidth="1"/>
    <col min="5643" max="5646" width="9" style="67"/>
    <col min="5647" max="5647" width="9.375" style="67" bestFit="1" customWidth="1"/>
    <col min="5648" max="5888" width="9" style="67"/>
    <col min="5889" max="5889" width="3.875" style="67" customWidth="1"/>
    <col min="5890" max="5890" width="21.25" style="67" customWidth="1"/>
    <col min="5891" max="5896" width="9" style="67"/>
    <col min="5897" max="5898" width="12.875" style="67" bestFit="1" customWidth="1"/>
    <col min="5899" max="5902" width="9" style="67"/>
    <col min="5903" max="5903" width="9.375" style="67" bestFit="1" customWidth="1"/>
    <col min="5904" max="6144" width="9" style="67"/>
    <col min="6145" max="6145" width="3.875" style="67" customWidth="1"/>
    <col min="6146" max="6146" width="21.25" style="67" customWidth="1"/>
    <col min="6147" max="6152" width="9" style="67"/>
    <col min="6153" max="6154" width="12.875" style="67" bestFit="1" customWidth="1"/>
    <col min="6155" max="6158" width="9" style="67"/>
    <col min="6159" max="6159" width="9.375" style="67" bestFit="1" customWidth="1"/>
    <col min="6160" max="6400" width="9" style="67"/>
    <col min="6401" max="6401" width="3.875" style="67" customWidth="1"/>
    <col min="6402" max="6402" width="21.25" style="67" customWidth="1"/>
    <col min="6403" max="6408" width="9" style="67"/>
    <col min="6409" max="6410" width="12.875" style="67" bestFit="1" customWidth="1"/>
    <col min="6411" max="6414" width="9" style="67"/>
    <col min="6415" max="6415" width="9.375" style="67" bestFit="1" customWidth="1"/>
    <col min="6416" max="6656" width="9" style="67"/>
    <col min="6657" max="6657" width="3.875" style="67" customWidth="1"/>
    <col min="6658" max="6658" width="21.25" style="67" customWidth="1"/>
    <col min="6659" max="6664" width="9" style="67"/>
    <col min="6665" max="6666" width="12.875" style="67" bestFit="1" customWidth="1"/>
    <col min="6667" max="6670" width="9" style="67"/>
    <col min="6671" max="6671" width="9.375" style="67" bestFit="1" customWidth="1"/>
    <col min="6672" max="6912" width="9" style="67"/>
    <col min="6913" max="6913" width="3.875" style="67" customWidth="1"/>
    <col min="6914" max="6914" width="21.25" style="67" customWidth="1"/>
    <col min="6915" max="6920" width="9" style="67"/>
    <col min="6921" max="6922" width="12.875" style="67" bestFit="1" customWidth="1"/>
    <col min="6923" max="6926" width="9" style="67"/>
    <col min="6927" max="6927" width="9.375" style="67" bestFit="1" customWidth="1"/>
    <col min="6928" max="7168" width="9" style="67"/>
    <col min="7169" max="7169" width="3.875" style="67" customWidth="1"/>
    <col min="7170" max="7170" width="21.25" style="67" customWidth="1"/>
    <col min="7171" max="7176" width="9" style="67"/>
    <col min="7177" max="7178" width="12.875" style="67" bestFit="1" customWidth="1"/>
    <col min="7179" max="7182" width="9" style="67"/>
    <col min="7183" max="7183" width="9.375" style="67" bestFit="1" customWidth="1"/>
    <col min="7184" max="7424" width="9" style="67"/>
    <col min="7425" max="7425" width="3.875" style="67" customWidth="1"/>
    <col min="7426" max="7426" width="21.25" style="67" customWidth="1"/>
    <col min="7427" max="7432" width="9" style="67"/>
    <col min="7433" max="7434" width="12.875" style="67" bestFit="1" customWidth="1"/>
    <col min="7435" max="7438" width="9" style="67"/>
    <col min="7439" max="7439" width="9.375" style="67" bestFit="1" customWidth="1"/>
    <col min="7440" max="7680" width="9" style="67"/>
    <col min="7681" max="7681" width="3.875" style="67" customWidth="1"/>
    <col min="7682" max="7682" width="21.25" style="67" customWidth="1"/>
    <col min="7683" max="7688" width="9" style="67"/>
    <col min="7689" max="7690" width="12.875" style="67" bestFit="1" customWidth="1"/>
    <col min="7691" max="7694" width="9" style="67"/>
    <col min="7695" max="7695" width="9.375" style="67" bestFit="1" customWidth="1"/>
    <col min="7696" max="7936" width="9" style="67"/>
    <col min="7937" max="7937" width="3.875" style="67" customWidth="1"/>
    <col min="7938" max="7938" width="21.25" style="67" customWidth="1"/>
    <col min="7939" max="7944" width="9" style="67"/>
    <col min="7945" max="7946" width="12.875" style="67" bestFit="1" customWidth="1"/>
    <col min="7947" max="7950" width="9" style="67"/>
    <col min="7951" max="7951" width="9.375" style="67" bestFit="1" customWidth="1"/>
    <col min="7952" max="8192" width="9" style="67"/>
    <col min="8193" max="8193" width="3.875" style="67" customWidth="1"/>
    <col min="8194" max="8194" width="21.25" style="67" customWidth="1"/>
    <col min="8195" max="8200" width="9" style="67"/>
    <col min="8201" max="8202" width="12.875" style="67" bestFit="1" customWidth="1"/>
    <col min="8203" max="8206" width="9" style="67"/>
    <col min="8207" max="8207" width="9.375" style="67" bestFit="1" customWidth="1"/>
    <col min="8208" max="8448" width="9" style="67"/>
    <col min="8449" max="8449" width="3.875" style="67" customWidth="1"/>
    <col min="8450" max="8450" width="21.25" style="67" customWidth="1"/>
    <col min="8451" max="8456" width="9" style="67"/>
    <col min="8457" max="8458" width="12.875" style="67" bestFit="1" customWidth="1"/>
    <col min="8459" max="8462" width="9" style="67"/>
    <col min="8463" max="8463" width="9.375" style="67" bestFit="1" customWidth="1"/>
    <col min="8464" max="8704" width="9" style="67"/>
    <col min="8705" max="8705" width="3.875" style="67" customWidth="1"/>
    <col min="8706" max="8706" width="21.25" style="67" customWidth="1"/>
    <col min="8707" max="8712" width="9" style="67"/>
    <col min="8713" max="8714" width="12.875" style="67" bestFit="1" customWidth="1"/>
    <col min="8715" max="8718" width="9" style="67"/>
    <col min="8719" max="8719" width="9.375" style="67" bestFit="1" customWidth="1"/>
    <col min="8720" max="8960" width="9" style="67"/>
    <col min="8961" max="8961" width="3.875" style="67" customWidth="1"/>
    <col min="8962" max="8962" width="21.25" style="67" customWidth="1"/>
    <col min="8963" max="8968" width="9" style="67"/>
    <col min="8969" max="8970" width="12.875" style="67" bestFit="1" customWidth="1"/>
    <col min="8971" max="8974" width="9" style="67"/>
    <col min="8975" max="8975" width="9.375" style="67" bestFit="1" customWidth="1"/>
    <col min="8976" max="9216" width="9" style="67"/>
    <col min="9217" max="9217" width="3.875" style="67" customWidth="1"/>
    <col min="9218" max="9218" width="21.25" style="67" customWidth="1"/>
    <col min="9219" max="9224" width="9" style="67"/>
    <col min="9225" max="9226" width="12.875" style="67" bestFit="1" customWidth="1"/>
    <col min="9227" max="9230" width="9" style="67"/>
    <col min="9231" max="9231" width="9.375" style="67" bestFit="1" customWidth="1"/>
    <col min="9232" max="9472" width="9" style="67"/>
    <col min="9473" max="9473" width="3.875" style="67" customWidth="1"/>
    <col min="9474" max="9474" width="21.25" style="67" customWidth="1"/>
    <col min="9475" max="9480" width="9" style="67"/>
    <col min="9481" max="9482" width="12.875" style="67" bestFit="1" customWidth="1"/>
    <col min="9483" max="9486" width="9" style="67"/>
    <col min="9487" max="9487" width="9.375" style="67" bestFit="1" customWidth="1"/>
    <col min="9488" max="9728" width="9" style="67"/>
    <col min="9729" max="9729" width="3.875" style="67" customWidth="1"/>
    <col min="9730" max="9730" width="21.25" style="67" customWidth="1"/>
    <col min="9731" max="9736" width="9" style="67"/>
    <col min="9737" max="9738" width="12.875" style="67" bestFit="1" customWidth="1"/>
    <col min="9739" max="9742" width="9" style="67"/>
    <col min="9743" max="9743" width="9.375" style="67" bestFit="1" customWidth="1"/>
    <col min="9744" max="9984" width="9" style="67"/>
    <col min="9985" max="9985" width="3.875" style="67" customWidth="1"/>
    <col min="9986" max="9986" width="21.25" style="67" customWidth="1"/>
    <col min="9987" max="9992" width="9" style="67"/>
    <col min="9993" max="9994" width="12.875" style="67" bestFit="1" customWidth="1"/>
    <col min="9995" max="9998" width="9" style="67"/>
    <col min="9999" max="9999" width="9.375" style="67" bestFit="1" customWidth="1"/>
    <col min="10000" max="10240" width="9" style="67"/>
    <col min="10241" max="10241" width="3.875" style="67" customWidth="1"/>
    <col min="10242" max="10242" width="21.25" style="67" customWidth="1"/>
    <col min="10243" max="10248" width="9" style="67"/>
    <col min="10249" max="10250" width="12.875" style="67" bestFit="1" customWidth="1"/>
    <col min="10251" max="10254" width="9" style="67"/>
    <col min="10255" max="10255" width="9.375" style="67" bestFit="1" customWidth="1"/>
    <col min="10256" max="10496" width="9" style="67"/>
    <col min="10497" max="10497" width="3.875" style="67" customWidth="1"/>
    <col min="10498" max="10498" width="21.25" style="67" customWidth="1"/>
    <col min="10499" max="10504" width="9" style="67"/>
    <col min="10505" max="10506" width="12.875" style="67" bestFit="1" customWidth="1"/>
    <col min="10507" max="10510" width="9" style="67"/>
    <col min="10511" max="10511" width="9.375" style="67" bestFit="1" customWidth="1"/>
    <col min="10512" max="10752" width="9" style="67"/>
    <col min="10753" max="10753" width="3.875" style="67" customWidth="1"/>
    <col min="10754" max="10754" width="21.25" style="67" customWidth="1"/>
    <col min="10755" max="10760" width="9" style="67"/>
    <col min="10761" max="10762" width="12.875" style="67" bestFit="1" customWidth="1"/>
    <col min="10763" max="10766" width="9" style="67"/>
    <col min="10767" max="10767" width="9.375" style="67" bestFit="1" customWidth="1"/>
    <col min="10768" max="11008" width="9" style="67"/>
    <col min="11009" max="11009" width="3.875" style="67" customWidth="1"/>
    <col min="11010" max="11010" width="21.25" style="67" customWidth="1"/>
    <col min="11011" max="11016" width="9" style="67"/>
    <col min="11017" max="11018" width="12.875" style="67" bestFit="1" customWidth="1"/>
    <col min="11019" max="11022" width="9" style="67"/>
    <col min="11023" max="11023" width="9.375" style="67" bestFit="1" customWidth="1"/>
    <col min="11024" max="11264" width="9" style="67"/>
    <col min="11265" max="11265" width="3.875" style="67" customWidth="1"/>
    <col min="11266" max="11266" width="21.25" style="67" customWidth="1"/>
    <col min="11267" max="11272" width="9" style="67"/>
    <col min="11273" max="11274" width="12.875" style="67" bestFit="1" customWidth="1"/>
    <col min="11275" max="11278" width="9" style="67"/>
    <col min="11279" max="11279" width="9.375" style="67" bestFit="1" customWidth="1"/>
    <col min="11280" max="11520" width="9" style="67"/>
    <col min="11521" max="11521" width="3.875" style="67" customWidth="1"/>
    <col min="11522" max="11522" width="21.25" style="67" customWidth="1"/>
    <col min="11523" max="11528" width="9" style="67"/>
    <col min="11529" max="11530" width="12.875" style="67" bestFit="1" customWidth="1"/>
    <col min="11531" max="11534" width="9" style="67"/>
    <col min="11535" max="11535" width="9.375" style="67" bestFit="1" customWidth="1"/>
    <col min="11536" max="11776" width="9" style="67"/>
    <col min="11777" max="11777" width="3.875" style="67" customWidth="1"/>
    <col min="11778" max="11778" width="21.25" style="67" customWidth="1"/>
    <col min="11779" max="11784" width="9" style="67"/>
    <col min="11785" max="11786" width="12.875" style="67" bestFit="1" customWidth="1"/>
    <col min="11787" max="11790" width="9" style="67"/>
    <col min="11791" max="11791" width="9.375" style="67" bestFit="1" customWidth="1"/>
    <col min="11792" max="12032" width="9" style="67"/>
    <col min="12033" max="12033" width="3.875" style="67" customWidth="1"/>
    <col min="12034" max="12034" width="21.25" style="67" customWidth="1"/>
    <col min="12035" max="12040" width="9" style="67"/>
    <col min="12041" max="12042" width="12.875" style="67" bestFit="1" customWidth="1"/>
    <col min="12043" max="12046" width="9" style="67"/>
    <col min="12047" max="12047" width="9.375" style="67" bestFit="1" customWidth="1"/>
    <col min="12048" max="12288" width="9" style="67"/>
    <col min="12289" max="12289" width="3.875" style="67" customWidth="1"/>
    <col min="12290" max="12290" width="21.25" style="67" customWidth="1"/>
    <col min="12291" max="12296" width="9" style="67"/>
    <col min="12297" max="12298" width="12.875" style="67" bestFit="1" customWidth="1"/>
    <col min="12299" max="12302" width="9" style="67"/>
    <col min="12303" max="12303" width="9.375" style="67" bestFit="1" customWidth="1"/>
    <col min="12304" max="12544" width="9" style="67"/>
    <col min="12545" max="12545" width="3.875" style="67" customWidth="1"/>
    <col min="12546" max="12546" width="21.25" style="67" customWidth="1"/>
    <col min="12547" max="12552" width="9" style="67"/>
    <col min="12553" max="12554" width="12.875" style="67" bestFit="1" customWidth="1"/>
    <col min="12555" max="12558" width="9" style="67"/>
    <col min="12559" max="12559" width="9.375" style="67" bestFit="1" customWidth="1"/>
    <col min="12560" max="12800" width="9" style="67"/>
    <col min="12801" max="12801" width="3.875" style="67" customWidth="1"/>
    <col min="12802" max="12802" width="21.25" style="67" customWidth="1"/>
    <col min="12803" max="12808" width="9" style="67"/>
    <col min="12809" max="12810" width="12.875" style="67" bestFit="1" customWidth="1"/>
    <col min="12811" max="12814" width="9" style="67"/>
    <col min="12815" max="12815" width="9.375" style="67" bestFit="1" customWidth="1"/>
    <col min="12816" max="13056" width="9" style="67"/>
    <col min="13057" max="13057" width="3.875" style="67" customWidth="1"/>
    <col min="13058" max="13058" width="21.25" style="67" customWidth="1"/>
    <col min="13059" max="13064" width="9" style="67"/>
    <col min="13065" max="13066" width="12.875" style="67" bestFit="1" customWidth="1"/>
    <col min="13067" max="13070" width="9" style="67"/>
    <col min="13071" max="13071" width="9.375" style="67" bestFit="1" customWidth="1"/>
    <col min="13072" max="13312" width="9" style="67"/>
    <col min="13313" max="13313" width="3.875" style="67" customWidth="1"/>
    <col min="13314" max="13314" width="21.25" style="67" customWidth="1"/>
    <col min="13315" max="13320" width="9" style="67"/>
    <col min="13321" max="13322" width="12.875" style="67" bestFit="1" customWidth="1"/>
    <col min="13323" max="13326" width="9" style="67"/>
    <col min="13327" max="13327" width="9.375" style="67" bestFit="1" customWidth="1"/>
    <col min="13328" max="13568" width="9" style="67"/>
    <col min="13569" max="13569" width="3.875" style="67" customWidth="1"/>
    <col min="13570" max="13570" width="21.25" style="67" customWidth="1"/>
    <col min="13571" max="13576" width="9" style="67"/>
    <col min="13577" max="13578" width="12.875" style="67" bestFit="1" customWidth="1"/>
    <col min="13579" max="13582" width="9" style="67"/>
    <col min="13583" max="13583" width="9.375" style="67" bestFit="1" customWidth="1"/>
    <col min="13584" max="13824" width="9" style="67"/>
    <col min="13825" max="13825" width="3.875" style="67" customWidth="1"/>
    <col min="13826" max="13826" width="21.25" style="67" customWidth="1"/>
    <col min="13827" max="13832" width="9" style="67"/>
    <col min="13833" max="13834" width="12.875" style="67" bestFit="1" customWidth="1"/>
    <col min="13835" max="13838" width="9" style="67"/>
    <col min="13839" max="13839" width="9.375" style="67" bestFit="1" customWidth="1"/>
    <col min="13840" max="14080" width="9" style="67"/>
    <col min="14081" max="14081" width="3.875" style="67" customWidth="1"/>
    <col min="14082" max="14082" width="21.25" style="67" customWidth="1"/>
    <col min="14083" max="14088" width="9" style="67"/>
    <col min="14089" max="14090" width="12.875" style="67" bestFit="1" customWidth="1"/>
    <col min="14091" max="14094" width="9" style="67"/>
    <col min="14095" max="14095" width="9.375" style="67" bestFit="1" customWidth="1"/>
    <col min="14096" max="14336" width="9" style="67"/>
    <col min="14337" max="14337" width="3.875" style="67" customWidth="1"/>
    <col min="14338" max="14338" width="21.25" style="67" customWidth="1"/>
    <col min="14339" max="14344" width="9" style="67"/>
    <col min="14345" max="14346" width="12.875" style="67" bestFit="1" customWidth="1"/>
    <col min="14347" max="14350" width="9" style="67"/>
    <col min="14351" max="14351" width="9.375" style="67" bestFit="1" customWidth="1"/>
    <col min="14352" max="14592" width="9" style="67"/>
    <col min="14593" max="14593" width="3.875" style="67" customWidth="1"/>
    <col min="14594" max="14594" width="21.25" style="67" customWidth="1"/>
    <col min="14595" max="14600" width="9" style="67"/>
    <col min="14601" max="14602" width="12.875" style="67" bestFit="1" customWidth="1"/>
    <col min="14603" max="14606" width="9" style="67"/>
    <col min="14607" max="14607" width="9.375" style="67" bestFit="1" customWidth="1"/>
    <col min="14608" max="14848" width="9" style="67"/>
    <col min="14849" max="14849" width="3.875" style="67" customWidth="1"/>
    <col min="14850" max="14850" width="21.25" style="67" customWidth="1"/>
    <col min="14851" max="14856" width="9" style="67"/>
    <col min="14857" max="14858" width="12.875" style="67" bestFit="1" customWidth="1"/>
    <col min="14859" max="14862" width="9" style="67"/>
    <col min="14863" max="14863" width="9.375" style="67" bestFit="1" customWidth="1"/>
    <col min="14864" max="15104" width="9" style="67"/>
    <col min="15105" max="15105" width="3.875" style="67" customWidth="1"/>
    <col min="15106" max="15106" width="21.25" style="67" customWidth="1"/>
    <col min="15107" max="15112" width="9" style="67"/>
    <col min="15113" max="15114" width="12.875" style="67" bestFit="1" customWidth="1"/>
    <col min="15115" max="15118" width="9" style="67"/>
    <col min="15119" max="15119" width="9.375" style="67" bestFit="1" customWidth="1"/>
    <col min="15120" max="15360" width="9" style="67"/>
    <col min="15361" max="15361" width="3.875" style="67" customWidth="1"/>
    <col min="15362" max="15362" width="21.25" style="67" customWidth="1"/>
    <col min="15363" max="15368" width="9" style="67"/>
    <col min="15369" max="15370" width="12.875" style="67" bestFit="1" customWidth="1"/>
    <col min="15371" max="15374" width="9" style="67"/>
    <col min="15375" max="15375" width="9.375" style="67" bestFit="1" customWidth="1"/>
    <col min="15376" max="15616" width="9" style="67"/>
    <col min="15617" max="15617" width="3.875" style="67" customWidth="1"/>
    <col min="15618" max="15618" width="21.25" style="67" customWidth="1"/>
    <col min="15619" max="15624" width="9" style="67"/>
    <col min="15625" max="15626" width="12.875" style="67" bestFit="1" customWidth="1"/>
    <col min="15627" max="15630" width="9" style="67"/>
    <col min="15631" max="15631" width="9.375" style="67" bestFit="1" customWidth="1"/>
    <col min="15632" max="15872" width="9" style="67"/>
    <col min="15873" max="15873" width="3.875" style="67" customWidth="1"/>
    <col min="15874" max="15874" width="21.25" style="67" customWidth="1"/>
    <col min="15875" max="15880" width="9" style="67"/>
    <col min="15881" max="15882" width="12.875" style="67" bestFit="1" customWidth="1"/>
    <col min="15883" max="15886" width="9" style="67"/>
    <col min="15887" max="15887" width="9.375" style="67" bestFit="1" customWidth="1"/>
    <col min="15888" max="16128" width="9" style="67"/>
    <col min="16129" max="16129" width="3.875" style="67" customWidth="1"/>
    <col min="16130" max="16130" width="21.25" style="67" customWidth="1"/>
    <col min="16131" max="16136" width="9" style="67"/>
    <col min="16137" max="16138" width="12.875" style="67" bestFit="1" customWidth="1"/>
    <col min="16139" max="16142" width="9" style="67"/>
    <col min="16143" max="16143" width="9.375" style="67" bestFit="1" customWidth="1"/>
    <col min="16144" max="16384" width="9" style="67"/>
  </cols>
  <sheetData>
    <row r="2" spans="2:10" x14ac:dyDescent="0.2">
      <c r="B2" s="177" t="s">
        <v>247</v>
      </c>
    </row>
    <row r="3" spans="2:10" ht="16.5" x14ac:dyDescent="0.3">
      <c r="B3" s="68" t="s">
        <v>248</v>
      </c>
      <c r="C3" s="69" t="s">
        <v>249</v>
      </c>
      <c r="D3" s="69" t="s">
        <v>250</v>
      </c>
      <c r="E3" s="69" t="s">
        <v>251</v>
      </c>
      <c r="F3" s="69" t="s">
        <v>252</v>
      </c>
      <c r="G3" s="70" t="s">
        <v>253</v>
      </c>
      <c r="H3" s="71" t="s">
        <v>254</v>
      </c>
    </row>
    <row r="4" spans="2:10" ht="16.5" x14ac:dyDescent="0.3">
      <c r="B4" s="72" t="s">
        <v>255</v>
      </c>
      <c r="C4" s="52">
        <v>5.0141</v>
      </c>
      <c r="D4" s="52">
        <v>0.5867</v>
      </c>
      <c r="E4" s="52">
        <v>0.32240000000000002</v>
      </c>
      <c r="F4" s="52">
        <v>0.14000000000000001</v>
      </c>
      <c r="G4" s="73">
        <v>3</v>
      </c>
      <c r="H4" s="74">
        <v>1.1200000000000001</v>
      </c>
      <c r="J4" s="75"/>
    </row>
    <row r="5" spans="2:10" ht="16.5" x14ac:dyDescent="0.3">
      <c r="B5" s="76" t="s">
        <v>256</v>
      </c>
      <c r="C5" s="50">
        <v>4.1365999999999996</v>
      </c>
      <c r="D5" s="50">
        <v>0.50719999999999998</v>
      </c>
      <c r="E5" s="77">
        <v>7.0000000000000001E-3</v>
      </c>
      <c r="F5" s="78">
        <v>0.7</v>
      </c>
      <c r="G5" s="79">
        <v>11</v>
      </c>
      <c r="H5" s="74">
        <v>1.1200000000000001</v>
      </c>
      <c r="J5" s="75"/>
    </row>
    <row r="6" spans="2:10" ht="16.5" x14ac:dyDescent="0.3">
      <c r="B6" s="80" t="s">
        <v>257</v>
      </c>
      <c r="C6" s="54">
        <v>4.1365999999999996</v>
      </c>
      <c r="D6" s="54">
        <v>0.50719999999999998</v>
      </c>
      <c r="E6" s="81">
        <v>7.0000000000000001E-3</v>
      </c>
      <c r="F6" s="82">
        <v>0.7</v>
      </c>
      <c r="G6" s="55">
        <v>11</v>
      </c>
      <c r="H6" s="83">
        <v>1.1200000000000001</v>
      </c>
      <c r="J6" s="75"/>
    </row>
    <row r="9" spans="2:10" x14ac:dyDescent="0.2">
      <c r="B9" s="177" t="s">
        <v>258</v>
      </c>
    </row>
    <row r="10" spans="2:10" ht="16.5" x14ac:dyDescent="0.3">
      <c r="B10" s="84" t="s">
        <v>259</v>
      </c>
      <c r="C10" s="52" t="s">
        <v>249</v>
      </c>
      <c r="D10" s="52" t="s">
        <v>250</v>
      </c>
      <c r="E10" s="52" t="s">
        <v>251</v>
      </c>
      <c r="F10" s="52" t="s">
        <v>260</v>
      </c>
      <c r="G10" s="85" t="s">
        <v>261</v>
      </c>
      <c r="H10" s="71" t="s">
        <v>254</v>
      </c>
    </row>
    <row r="11" spans="2:10" ht="16.5" x14ac:dyDescent="0.3">
      <c r="B11" s="72" t="s">
        <v>262</v>
      </c>
      <c r="C11" s="86">
        <v>4.7680999999999996</v>
      </c>
      <c r="D11" s="86">
        <v>0.97399999999999998</v>
      </c>
      <c r="E11" s="86">
        <v>2.4E-2</v>
      </c>
      <c r="F11" s="87">
        <v>0.5</v>
      </c>
      <c r="G11" s="85">
        <v>1.7</v>
      </c>
      <c r="H11" s="88">
        <v>1.57</v>
      </c>
      <c r="I11" s="75"/>
    </row>
    <row r="12" spans="2:10" ht="16.5" x14ac:dyDescent="0.3">
      <c r="B12" s="76" t="s">
        <v>263</v>
      </c>
      <c r="C12" s="77">
        <v>4.3612000000000002</v>
      </c>
      <c r="D12" s="77">
        <v>0.87639999999999996</v>
      </c>
      <c r="E12" s="77">
        <v>-4.8999999999999998E-3</v>
      </c>
      <c r="F12" s="78">
        <v>0.5</v>
      </c>
      <c r="G12" s="89">
        <v>1</v>
      </c>
      <c r="H12" s="74">
        <v>1.57</v>
      </c>
      <c r="I12" s="75"/>
    </row>
    <row r="13" spans="2:10" ht="16.5" x14ac:dyDescent="0.3">
      <c r="B13" s="76" t="s">
        <v>264</v>
      </c>
      <c r="C13" s="77">
        <v>4.8600000000000003</v>
      </c>
      <c r="D13" s="77">
        <v>0.33400000000000002</v>
      </c>
      <c r="E13" s="77">
        <v>0.10630000000000001</v>
      </c>
      <c r="F13" s="78">
        <v>0.5</v>
      </c>
      <c r="G13" s="89">
        <v>1.1000000000000001</v>
      </c>
      <c r="H13" s="74">
        <v>1.57</v>
      </c>
      <c r="I13" s="75"/>
    </row>
    <row r="14" spans="2:10" ht="16.5" x14ac:dyDescent="0.3">
      <c r="B14" s="80" t="s">
        <v>265</v>
      </c>
      <c r="C14" s="81">
        <v>4.9696999999999996</v>
      </c>
      <c r="D14" s="81">
        <v>1.1689000000000001</v>
      </c>
      <c r="E14" s="81">
        <v>3.8E-3</v>
      </c>
      <c r="F14" s="82">
        <v>0.3</v>
      </c>
      <c r="G14" s="90">
        <v>2</v>
      </c>
      <c r="H14" s="83">
        <v>1.27</v>
      </c>
      <c r="I14" s="75"/>
    </row>
    <row r="15" spans="2:10" x14ac:dyDescent="0.2">
      <c r="C15" s="77"/>
      <c r="D15" s="77"/>
      <c r="E15" s="77"/>
      <c r="F15" s="78"/>
      <c r="G15" s="78"/>
    </row>
    <row r="16" spans="2:10" x14ac:dyDescent="0.2">
      <c r="C16" s="77"/>
      <c r="D16" s="77"/>
      <c r="E16" s="77"/>
      <c r="F16" s="78"/>
      <c r="G16" s="78"/>
    </row>
    <row r="17" spans="2:10" x14ac:dyDescent="0.2">
      <c r="B17" s="177" t="s">
        <v>266</v>
      </c>
      <c r="C17" s="178"/>
      <c r="D17" s="178"/>
    </row>
    <row r="18" spans="2:10" ht="16.5" x14ac:dyDescent="0.3">
      <c r="B18" s="84" t="s">
        <v>267</v>
      </c>
      <c r="C18" s="52" t="s">
        <v>249</v>
      </c>
      <c r="D18" s="52" t="s">
        <v>250</v>
      </c>
      <c r="E18" s="52" t="s">
        <v>251</v>
      </c>
      <c r="F18" s="52" t="s">
        <v>268</v>
      </c>
      <c r="G18" s="52" t="s">
        <v>269</v>
      </c>
      <c r="H18" s="52" t="s">
        <v>270</v>
      </c>
      <c r="I18" s="52" t="s">
        <v>271</v>
      </c>
      <c r="J18" s="73" t="s">
        <v>272</v>
      </c>
    </row>
    <row r="19" spans="2:10" x14ac:dyDescent="0.2">
      <c r="B19" s="72" t="s">
        <v>273</v>
      </c>
      <c r="C19" s="86">
        <v>2.2890999999999999</v>
      </c>
      <c r="D19" s="86">
        <v>1.3604000000000001</v>
      </c>
      <c r="E19" s="86">
        <v>-0.1027</v>
      </c>
      <c r="F19" s="91">
        <v>2.74</v>
      </c>
      <c r="G19" s="91">
        <v>5.75</v>
      </c>
      <c r="H19" s="91">
        <v>11.45</v>
      </c>
      <c r="I19" s="52">
        <v>450</v>
      </c>
      <c r="J19" s="73">
        <v>3000</v>
      </c>
    </row>
    <row r="20" spans="2:10" x14ac:dyDescent="0.2">
      <c r="B20" s="76" t="s">
        <v>274</v>
      </c>
      <c r="C20" s="77">
        <v>2.2890999999999999</v>
      </c>
      <c r="D20" s="77">
        <v>1.3604000000000001</v>
      </c>
      <c r="E20" s="77">
        <v>-0.1027</v>
      </c>
      <c r="F20" s="92">
        <v>3.83</v>
      </c>
      <c r="G20" s="92">
        <v>8.0399999999999991</v>
      </c>
      <c r="H20" s="92">
        <v>15.92</v>
      </c>
      <c r="I20" s="50">
        <v>450</v>
      </c>
      <c r="J20" s="79">
        <v>3000</v>
      </c>
    </row>
    <row r="21" spans="2:10" x14ac:dyDescent="0.2">
      <c r="B21" s="76" t="s">
        <v>257</v>
      </c>
      <c r="C21" s="77">
        <v>5.0354999999999999</v>
      </c>
      <c r="D21" s="77">
        <v>-1.8002</v>
      </c>
      <c r="E21" s="77">
        <v>0.82530000000000003</v>
      </c>
      <c r="F21" s="92">
        <v>2.41</v>
      </c>
      <c r="G21" s="92">
        <v>5.04</v>
      </c>
      <c r="H21" s="92">
        <v>9.85</v>
      </c>
      <c r="I21" s="50">
        <v>18</v>
      </c>
      <c r="J21" s="79">
        <v>950</v>
      </c>
    </row>
    <row r="22" spans="2:10" x14ac:dyDescent="0.2">
      <c r="B22" s="80" t="s">
        <v>275</v>
      </c>
      <c r="C22" s="81">
        <v>2.2890999999999999</v>
      </c>
      <c r="D22" s="81">
        <v>1.3604000000000001</v>
      </c>
      <c r="E22" s="81">
        <v>-0.1027</v>
      </c>
      <c r="F22" s="93">
        <v>3.37</v>
      </c>
      <c r="G22" s="93">
        <v>7</v>
      </c>
      <c r="H22" s="93">
        <v>13.88</v>
      </c>
      <c r="I22" s="54">
        <v>450</v>
      </c>
      <c r="J22" s="55">
        <v>3000</v>
      </c>
    </row>
    <row r="23" spans="2:10" x14ac:dyDescent="0.2">
      <c r="C23" s="77"/>
      <c r="D23" s="77"/>
      <c r="E23" s="77"/>
      <c r="F23" s="92"/>
      <c r="G23" s="92"/>
      <c r="H23" s="92"/>
      <c r="I23" s="50"/>
      <c r="J23" s="50"/>
    </row>
    <row r="24" spans="2:10" x14ac:dyDescent="0.2">
      <c r="C24" s="77"/>
      <c r="D24" s="77"/>
      <c r="E24" s="77"/>
      <c r="F24" s="92"/>
      <c r="G24" s="92"/>
      <c r="H24" s="92"/>
      <c r="I24" s="50"/>
      <c r="J24" s="50"/>
    </row>
    <row r="25" spans="2:10" x14ac:dyDescent="0.2">
      <c r="B25" s="177" t="s">
        <v>276</v>
      </c>
      <c r="D25" s="77"/>
      <c r="E25" s="77"/>
      <c r="G25" s="78"/>
      <c r="H25" s="92"/>
      <c r="I25" s="50"/>
    </row>
    <row r="26" spans="2:10" ht="16.5" x14ac:dyDescent="0.3">
      <c r="B26" s="68" t="s">
        <v>277</v>
      </c>
      <c r="C26" s="69" t="s">
        <v>249</v>
      </c>
      <c r="D26" s="69" t="s">
        <v>250</v>
      </c>
      <c r="E26" s="69" t="s">
        <v>251</v>
      </c>
      <c r="F26" s="69" t="s">
        <v>278</v>
      </c>
      <c r="G26" s="70" t="s">
        <v>279</v>
      </c>
      <c r="H26" s="71" t="s">
        <v>254</v>
      </c>
      <c r="I26" s="50"/>
      <c r="J26" s="50"/>
    </row>
    <row r="27" spans="2:10" x14ac:dyDescent="0.2">
      <c r="B27" s="72" t="s">
        <v>280</v>
      </c>
      <c r="C27" s="86">
        <v>3.9255</v>
      </c>
      <c r="D27" s="86">
        <v>0.50390000000000001</v>
      </c>
      <c r="E27" s="86">
        <v>0.15060000000000001</v>
      </c>
      <c r="F27" s="87">
        <v>1</v>
      </c>
      <c r="G27" s="85">
        <v>15</v>
      </c>
      <c r="H27" s="88">
        <v>2</v>
      </c>
      <c r="I27" s="50"/>
      <c r="J27" s="50"/>
    </row>
    <row r="28" spans="2:10" x14ac:dyDescent="0.2">
      <c r="B28" s="76" t="s">
        <v>281</v>
      </c>
      <c r="C28" s="77">
        <v>4.0636999999999999</v>
      </c>
      <c r="D28" s="77">
        <v>0.25840000000000002</v>
      </c>
      <c r="E28" s="77">
        <v>0.155</v>
      </c>
      <c r="F28" s="78">
        <v>0.5</v>
      </c>
      <c r="G28" s="89">
        <v>325</v>
      </c>
      <c r="H28" s="74">
        <v>1.25</v>
      </c>
      <c r="I28" s="50"/>
      <c r="J28" s="50"/>
    </row>
    <row r="29" spans="2:10" x14ac:dyDescent="0.2">
      <c r="B29" s="76" t="s">
        <v>282</v>
      </c>
      <c r="C29" s="77">
        <v>4.6616</v>
      </c>
      <c r="D29" s="77">
        <v>0.32050000000000001</v>
      </c>
      <c r="E29" s="77">
        <v>6.3799999999999996E-2</v>
      </c>
      <c r="F29" s="78">
        <v>0.75</v>
      </c>
      <c r="G29" s="89">
        <v>65</v>
      </c>
      <c r="H29" s="74">
        <v>1.25</v>
      </c>
      <c r="I29" s="50"/>
      <c r="J29" s="50"/>
    </row>
    <row r="30" spans="2:10" x14ac:dyDescent="0.2">
      <c r="B30" s="80" t="s">
        <v>283</v>
      </c>
      <c r="C30" s="81">
        <v>3.6061999999999999</v>
      </c>
      <c r="D30" s="81">
        <v>0.26590000000000003</v>
      </c>
      <c r="E30" s="81">
        <v>0.19819999999999999</v>
      </c>
      <c r="F30" s="82">
        <v>0.5</v>
      </c>
      <c r="G30" s="90">
        <v>30</v>
      </c>
      <c r="H30" s="83">
        <v>1.1000000000000001</v>
      </c>
      <c r="I30" s="50"/>
      <c r="J30" s="50"/>
    </row>
    <row r="31" spans="2:10" x14ac:dyDescent="0.2">
      <c r="C31" s="77"/>
      <c r="D31" s="77"/>
      <c r="E31" s="77"/>
      <c r="F31" s="92"/>
      <c r="G31" s="92"/>
      <c r="H31" s="92"/>
      <c r="I31" s="50"/>
      <c r="J31" s="50"/>
    </row>
    <row r="32" spans="2:10" x14ac:dyDescent="0.2">
      <c r="C32" s="77"/>
      <c r="D32" s="77"/>
      <c r="E32" s="77"/>
      <c r="F32" s="92"/>
      <c r="G32" s="92"/>
      <c r="H32" s="92"/>
      <c r="I32" s="50"/>
      <c r="J32" s="50"/>
    </row>
    <row r="33" spans="2:10" x14ac:dyDescent="0.2">
      <c r="B33" s="177" t="s">
        <v>284</v>
      </c>
      <c r="D33" s="77"/>
      <c r="E33" s="77"/>
      <c r="G33" s="78"/>
      <c r="H33" s="92"/>
      <c r="I33" s="50"/>
      <c r="J33" s="50"/>
    </row>
    <row r="34" spans="2:10" ht="16.5" x14ac:dyDescent="0.3">
      <c r="B34" s="68" t="s">
        <v>285</v>
      </c>
      <c r="C34" s="69" t="s">
        <v>249</v>
      </c>
      <c r="D34" s="69" t="s">
        <v>250</v>
      </c>
      <c r="E34" s="69" t="s">
        <v>251</v>
      </c>
      <c r="F34" s="69" t="s">
        <v>252</v>
      </c>
      <c r="G34" s="70" t="s">
        <v>253</v>
      </c>
      <c r="H34" s="71" t="s">
        <v>254</v>
      </c>
      <c r="I34" s="50"/>
      <c r="J34" s="50"/>
    </row>
    <row r="35" spans="2:10" x14ac:dyDescent="0.2">
      <c r="B35" s="94" t="s">
        <v>286</v>
      </c>
      <c r="C35" s="95">
        <v>4.5096999999999996</v>
      </c>
      <c r="D35" s="95">
        <v>0.1731</v>
      </c>
      <c r="E35" s="95">
        <v>0.13439999999999999</v>
      </c>
      <c r="F35" s="96">
        <v>1.5</v>
      </c>
      <c r="G35" s="70">
        <v>30</v>
      </c>
      <c r="H35" s="97">
        <v>1.6</v>
      </c>
      <c r="I35" s="50"/>
      <c r="J35" s="50"/>
    </row>
    <row r="36" spans="2:10" x14ac:dyDescent="0.2">
      <c r="C36" s="77"/>
      <c r="D36" s="77"/>
      <c r="E36" s="77"/>
      <c r="F36" s="92"/>
      <c r="G36" s="92"/>
      <c r="H36" s="92"/>
      <c r="I36" s="50"/>
      <c r="J36" s="50"/>
    </row>
    <row r="37" spans="2:10" x14ac:dyDescent="0.2">
      <c r="C37" s="77"/>
      <c r="D37" s="77"/>
      <c r="E37" s="77"/>
      <c r="F37" s="92"/>
      <c r="G37" s="92"/>
      <c r="H37" s="92"/>
      <c r="I37" s="50"/>
      <c r="J37" s="50"/>
    </row>
    <row r="38" spans="2:10" x14ac:dyDescent="0.2">
      <c r="B38" s="177" t="s">
        <v>287</v>
      </c>
    </row>
    <row r="39" spans="2:10" ht="16.5" x14ac:dyDescent="0.3">
      <c r="B39" s="68" t="s">
        <v>288</v>
      </c>
      <c r="C39" s="69" t="s">
        <v>249</v>
      </c>
      <c r="D39" s="69" t="s">
        <v>250</v>
      </c>
      <c r="E39" s="69" t="s">
        <v>251</v>
      </c>
      <c r="F39" s="69" t="s">
        <v>254</v>
      </c>
      <c r="G39" s="69" t="s">
        <v>271</v>
      </c>
      <c r="H39" s="98" t="s">
        <v>272</v>
      </c>
    </row>
    <row r="40" spans="2:10" x14ac:dyDescent="0.2">
      <c r="B40" s="76" t="s">
        <v>289</v>
      </c>
      <c r="C40" s="50">
        <v>2.4603999999999999</v>
      </c>
      <c r="D40" s="50">
        <v>1.4191</v>
      </c>
      <c r="E40" s="52">
        <v>-0.17979999999999999</v>
      </c>
      <c r="F40" s="52">
        <v>1.5</v>
      </c>
      <c r="G40" s="52">
        <v>75</v>
      </c>
      <c r="H40" s="73">
        <v>2600</v>
      </c>
    </row>
    <row r="41" spans="2:10" x14ac:dyDescent="0.2">
      <c r="B41" s="76" t="s">
        <v>290</v>
      </c>
      <c r="C41" s="50">
        <v>1.956</v>
      </c>
      <c r="D41" s="50">
        <v>1.7141999999999999</v>
      </c>
      <c r="E41" s="50">
        <v>-0.22819999999999999</v>
      </c>
      <c r="F41" s="50">
        <v>1.5</v>
      </c>
      <c r="G41" s="50">
        <v>75</v>
      </c>
      <c r="H41" s="79">
        <v>2600</v>
      </c>
    </row>
    <row r="42" spans="2:10" x14ac:dyDescent="0.2">
      <c r="B42" s="80" t="s">
        <v>291</v>
      </c>
      <c r="C42" s="54">
        <v>2.9508000000000001</v>
      </c>
      <c r="D42" s="54">
        <v>1.0688</v>
      </c>
      <c r="E42" s="54">
        <v>-0.13150000000000001</v>
      </c>
      <c r="F42" s="54">
        <v>1.5</v>
      </c>
      <c r="G42" s="54">
        <v>75</v>
      </c>
      <c r="H42" s="55">
        <v>2600</v>
      </c>
    </row>
    <row r="43" spans="2:10" x14ac:dyDescent="0.2">
      <c r="B43" s="94"/>
      <c r="C43" s="69"/>
      <c r="D43" s="69"/>
      <c r="E43" s="69"/>
      <c r="F43" s="69"/>
      <c r="G43" s="69"/>
      <c r="H43" s="98"/>
    </row>
    <row r="44" spans="2:10" ht="16.5" x14ac:dyDescent="0.3">
      <c r="B44" s="68" t="s">
        <v>292</v>
      </c>
      <c r="C44" s="69" t="s">
        <v>249</v>
      </c>
      <c r="D44" s="69" t="s">
        <v>250</v>
      </c>
      <c r="E44" s="69" t="s">
        <v>251</v>
      </c>
      <c r="F44" s="69" t="s">
        <v>254</v>
      </c>
      <c r="G44" s="69" t="s">
        <v>271</v>
      </c>
      <c r="H44" s="98" t="s">
        <v>272</v>
      </c>
    </row>
    <row r="45" spans="2:10" x14ac:dyDescent="0.2">
      <c r="B45" s="76" t="s">
        <v>293</v>
      </c>
      <c r="C45" s="50">
        <v>-21.770199999999999</v>
      </c>
      <c r="D45" s="50">
        <v>13.217499999999999</v>
      </c>
      <c r="E45" s="77">
        <v>-1.5279</v>
      </c>
      <c r="F45" s="52">
        <v>3.5</v>
      </c>
      <c r="G45" s="52">
        <v>7500</v>
      </c>
      <c r="H45" s="73">
        <v>23000</v>
      </c>
    </row>
    <row r="46" spans="2:10" x14ac:dyDescent="0.2">
      <c r="B46" s="76" t="s">
        <v>294</v>
      </c>
      <c r="C46" s="50">
        <v>2.6259000000000001</v>
      </c>
      <c r="D46" s="50">
        <v>1.4398</v>
      </c>
      <c r="E46" s="77">
        <v>-0.17760000000000001</v>
      </c>
      <c r="F46" s="50">
        <v>3.5</v>
      </c>
      <c r="G46" s="50">
        <v>70</v>
      </c>
      <c r="H46" s="79">
        <v>7500</v>
      </c>
    </row>
    <row r="47" spans="2:10" x14ac:dyDescent="0.2">
      <c r="B47" s="80" t="s">
        <v>295</v>
      </c>
      <c r="C47" s="54">
        <v>2.7635000000000001</v>
      </c>
      <c r="D47" s="54">
        <v>0.85740000000000005</v>
      </c>
      <c r="E47" s="81">
        <v>-9.7999999999999997E-3</v>
      </c>
      <c r="F47" s="93">
        <v>2</v>
      </c>
      <c r="G47" s="54">
        <v>10</v>
      </c>
      <c r="H47" s="55">
        <v>10000</v>
      </c>
    </row>
    <row r="48" spans="2:10" x14ac:dyDescent="0.2">
      <c r="C48" s="50"/>
      <c r="D48" s="50"/>
      <c r="E48" s="77"/>
      <c r="F48" s="92"/>
    </row>
    <row r="50" spans="2:9" x14ac:dyDescent="0.2">
      <c r="B50" s="177" t="s">
        <v>296</v>
      </c>
      <c r="D50" s="77"/>
      <c r="E50" s="77"/>
      <c r="G50" s="78"/>
    </row>
    <row r="51" spans="2:9" ht="16.5" x14ac:dyDescent="0.3">
      <c r="B51" s="68" t="s">
        <v>297</v>
      </c>
      <c r="C51" s="69" t="s">
        <v>249</v>
      </c>
      <c r="D51" s="69" t="s">
        <v>250</v>
      </c>
      <c r="E51" s="69" t="s">
        <v>251</v>
      </c>
      <c r="F51" s="69" t="s">
        <v>278</v>
      </c>
      <c r="G51" s="70" t="s">
        <v>279</v>
      </c>
      <c r="H51" s="71" t="s">
        <v>254</v>
      </c>
    </row>
    <row r="52" spans="2:9" ht="16.5" x14ac:dyDescent="0.3">
      <c r="B52" s="72" t="s">
        <v>298</v>
      </c>
      <c r="C52" s="86">
        <v>4.5472000000000001</v>
      </c>
      <c r="D52" s="86">
        <f>0.2731</f>
        <v>0.27310000000000001</v>
      </c>
      <c r="E52" s="86">
        <v>0.13400000000000001</v>
      </c>
      <c r="F52" s="87">
        <v>0.5</v>
      </c>
      <c r="G52" s="85">
        <v>50</v>
      </c>
      <c r="H52" s="74">
        <v>1.6</v>
      </c>
      <c r="I52" s="99"/>
    </row>
    <row r="53" spans="2:9" ht="16.5" x14ac:dyDescent="0.3">
      <c r="B53" s="76" t="s">
        <v>299</v>
      </c>
      <c r="C53" s="77">
        <v>3.5644999999999998</v>
      </c>
      <c r="D53" s="77">
        <v>1.1117999999999999</v>
      </c>
      <c r="E53" s="77">
        <v>-7.7700000000000005E-2</v>
      </c>
      <c r="F53" s="78">
        <v>5</v>
      </c>
      <c r="G53" s="89">
        <v>100</v>
      </c>
      <c r="H53" s="74">
        <v>1.25</v>
      </c>
      <c r="I53" s="99"/>
    </row>
    <row r="54" spans="2:9" ht="16.5" x14ac:dyDescent="0.3">
      <c r="B54" s="80" t="s">
        <v>300</v>
      </c>
      <c r="C54" s="81">
        <v>3.6951000000000001</v>
      </c>
      <c r="D54" s="81">
        <v>0.54420000000000002</v>
      </c>
      <c r="E54" s="81">
        <v>-0.12479999999999999</v>
      </c>
      <c r="F54" s="82">
        <v>1.8</v>
      </c>
      <c r="G54" s="90">
        <v>20</v>
      </c>
      <c r="H54" s="83">
        <v>1.25</v>
      </c>
      <c r="I54" s="99"/>
    </row>
    <row r="55" spans="2:9" x14ac:dyDescent="0.2">
      <c r="C55" s="77"/>
      <c r="D55" s="77"/>
      <c r="E55" s="77"/>
      <c r="F55" s="78"/>
      <c r="G55" s="78"/>
    </row>
    <row r="56" spans="2:9" x14ac:dyDescent="0.2">
      <c r="D56" s="77"/>
      <c r="E56" s="77"/>
      <c r="G56" s="78"/>
    </row>
    <row r="57" spans="2:9" x14ac:dyDescent="0.2">
      <c r="B57" s="177" t="s">
        <v>301</v>
      </c>
      <c r="D57" s="77"/>
      <c r="E57" s="77"/>
      <c r="G57" s="78"/>
    </row>
    <row r="58" spans="2:9" ht="16.5" x14ac:dyDescent="0.3">
      <c r="B58" s="68" t="s">
        <v>302</v>
      </c>
      <c r="C58" s="69" t="s">
        <v>249</v>
      </c>
      <c r="D58" s="69" t="s">
        <v>250</v>
      </c>
      <c r="E58" s="69" t="s">
        <v>251</v>
      </c>
      <c r="F58" s="69" t="s">
        <v>303</v>
      </c>
      <c r="G58" s="70" t="s">
        <v>304</v>
      </c>
      <c r="H58" s="71" t="s">
        <v>254</v>
      </c>
    </row>
    <row r="59" spans="2:9" ht="16.5" x14ac:dyDescent="0.3">
      <c r="B59" s="72" t="s">
        <v>305</v>
      </c>
      <c r="C59" s="86">
        <v>4.5007000000000001</v>
      </c>
      <c r="D59" s="86">
        <v>0.41820000000000002</v>
      </c>
      <c r="E59" s="86">
        <v>8.1299999999999997E-2</v>
      </c>
      <c r="F59" s="87">
        <v>0.08</v>
      </c>
      <c r="G59" s="85">
        <v>350</v>
      </c>
      <c r="H59" s="88">
        <v>2.86</v>
      </c>
      <c r="I59" s="99"/>
    </row>
    <row r="60" spans="2:9" ht="16.5" x14ac:dyDescent="0.3">
      <c r="B60" s="76" t="s">
        <v>306</v>
      </c>
      <c r="C60" s="77">
        <v>3.6297999999999999</v>
      </c>
      <c r="D60" s="77">
        <f>1-0.4991</f>
        <v>0.50090000000000001</v>
      </c>
      <c r="E60" s="77">
        <v>4.1099999999999998E-2</v>
      </c>
      <c r="F60" s="78">
        <v>0.06</v>
      </c>
      <c r="G60" s="89">
        <v>200</v>
      </c>
      <c r="H60" s="74">
        <v>2.86</v>
      </c>
      <c r="I60" s="99"/>
    </row>
    <row r="61" spans="2:9" x14ac:dyDescent="0.2">
      <c r="B61" s="100" t="s">
        <v>307</v>
      </c>
      <c r="C61" s="77"/>
      <c r="D61" s="77"/>
      <c r="E61" s="77"/>
      <c r="F61" s="78"/>
      <c r="G61" s="89"/>
      <c r="H61" s="74"/>
    </row>
    <row r="62" spans="2:9" x14ac:dyDescent="0.2">
      <c r="B62" s="100" t="s">
        <v>308</v>
      </c>
      <c r="C62" s="77"/>
      <c r="D62" s="77"/>
      <c r="E62" s="77"/>
      <c r="F62" s="78"/>
      <c r="G62" s="89"/>
      <c r="H62" s="74"/>
    </row>
    <row r="63" spans="2:9" x14ac:dyDescent="0.2">
      <c r="B63" s="100" t="s">
        <v>309</v>
      </c>
      <c r="C63" s="77"/>
      <c r="D63" s="77"/>
      <c r="E63" s="77"/>
      <c r="F63" s="78"/>
      <c r="G63" s="89"/>
      <c r="H63" s="74"/>
    </row>
    <row r="64" spans="2:9" x14ac:dyDescent="0.2">
      <c r="B64" s="76" t="s">
        <v>310</v>
      </c>
      <c r="C64" s="77">
        <v>3.6297999999999999</v>
      </c>
      <c r="D64" s="77">
        <v>0.50090000000000001</v>
      </c>
      <c r="E64" s="77">
        <v>4.1099999999999998E-2</v>
      </c>
      <c r="F64" s="78">
        <v>0.06</v>
      </c>
      <c r="G64" s="89">
        <v>200</v>
      </c>
      <c r="H64" s="74">
        <v>2.86</v>
      </c>
    </row>
    <row r="65" spans="2:24" x14ac:dyDescent="0.2">
      <c r="B65" s="80" t="s">
        <v>311</v>
      </c>
      <c r="C65" s="81">
        <v>3.6297999999999999</v>
      </c>
      <c r="D65" s="81">
        <v>0.50090000000000001</v>
      </c>
      <c r="E65" s="81">
        <v>4.1099999999999998E-2</v>
      </c>
      <c r="F65" s="82">
        <v>0.06</v>
      </c>
      <c r="G65" s="90">
        <v>200</v>
      </c>
      <c r="H65" s="83">
        <v>2.86</v>
      </c>
    </row>
    <row r="68" spans="2:24" x14ac:dyDescent="0.2">
      <c r="B68" s="177" t="s">
        <v>312</v>
      </c>
      <c r="C68" s="178"/>
    </row>
    <row r="69" spans="2:24" ht="15.75" x14ac:dyDescent="0.3">
      <c r="B69" s="68" t="s">
        <v>313</v>
      </c>
      <c r="C69" s="69" t="s">
        <v>249</v>
      </c>
      <c r="D69" s="69" t="s">
        <v>250</v>
      </c>
      <c r="E69" s="69" t="s">
        <v>251</v>
      </c>
      <c r="F69" s="69" t="s">
        <v>268</v>
      </c>
      <c r="G69" s="69" t="s">
        <v>314</v>
      </c>
      <c r="H69" s="69" t="s">
        <v>269</v>
      </c>
      <c r="I69" s="69" t="s">
        <v>270</v>
      </c>
      <c r="J69" s="69" t="s">
        <v>315</v>
      </c>
      <c r="K69" s="69" t="s">
        <v>316</v>
      </c>
      <c r="L69" s="69" t="s">
        <v>317</v>
      </c>
      <c r="M69" s="69" t="s">
        <v>318</v>
      </c>
      <c r="N69" s="69" t="s">
        <v>319</v>
      </c>
      <c r="O69" s="69" t="s">
        <v>320</v>
      </c>
      <c r="P69" s="98" t="s">
        <v>321</v>
      </c>
      <c r="Q69" s="101"/>
      <c r="R69" s="101"/>
      <c r="S69" s="101"/>
      <c r="T69" s="101"/>
      <c r="U69" s="101"/>
      <c r="V69" s="101"/>
      <c r="W69" s="101"/>
      <c r="X69" s="101"/>
    </row>
    <row r="70" spans="2:24" x14ac:dyDescent="0.2">
      <c r="B70" s="72" t="s">
        <v>322</v>
      </c>
      <c r="C70" s="86">
        <v>3.5390999999999999</v>
      </c>
      <c r="D70" s="86">
        <v>-0.3533</v>
      </c>
      <c r="E70" s="86">
        <v>0.44769999999999999</v>
      </c>
      <c r="F70" s="91">
        <v>2.74</v>
      </c>
      <c r="G70" s="91">
        <v>4.97</v>
      </c>
      <c r="H70" s="91">
        <v>5.75</v>
      </c>
      <c r="I70" s="91">
        <v>11.45</v>
      </c>
      <c r="J70" s="87">
        <v>0.01</v>
      </c>
      <c r="K70" s="87">
        <v>0</v>
      </c>
      <c r="L70" s="102">
        <v>0.20899000000000001</v>
      </c>
      <c r="M70" s="102">
        <v>-3.2800000000000003E-2</v>
      </c>
      <c r="N70" s="52">
        <v>1</v>
      </c>
      <c r="O70" s="52">
        <v>100</v>
      </c>
      <c r="P70" s="73">
        <v>0.16</v>
      </c>
    </row>
    <row r="71" spans="2:24" x14ac:dyDescent="0.2">
      <c r="B71" s="76" t="s">
        <v>323</v>
      </c>
      <c r="C71" s="77">
        <v>3.3471000000000002</v>
      </c>
      <c r="D71" s="77">
        <v>-7.3400000000000007E-2</v>
      </c>
      <c r="E71" s="77">
        <v>0.309</v>
      </c>
      <c r="F71" s="92">
        <v>2.74</v>
      </c>
      <c r="G71" s="92">
        <v>4.97</v>
      </c>
      <c r="H71" s="92">
        <v>5.75</v>
      </c>
      <c r="I71" s="92">
        <v>11.45</v>
      </c>
      <c r="J71" s="78">
        <v>0.01</v>
      </c>
      <c r="K71" s="78">
        <v>0</v>
      </c>
      <c r="L71" s="103">
        <v>0.20899000000000001</v>
      </c>
      <c r="M71" s="103">
        <v>-3.2800000000000003E-2</v>
      </c>
      <c r="N71" s="50">
        <v>1</v>
      </c>
      <c r="O71" s="50">
        <v>100</v>
      </c>
      <c r="P71" s="79">
        <v>0.16</v>
      </c>
    </row>
    <row r="72" spans="2:24" x14ac:dyDescent="0.2">
      <c r="B72" s="76" t="s">
        <v>324</v>
      </c>
      <c r="C72" s="77">
        <v>3.0413999999999999</v>
      </c>
      <c r="D72" s="77">
        <v>-0.33750000000000002</v>
      </c>
      <c r="E72" s="77">
        <v>0.47220000000000001</v>
      </c>
      <c r="F72" s="92">
        <v>2.74</v>
      </c>
      <c r="G72" s="92">
        <v>4.97</v>
      </c>
      <c r="H72" s="92">
        <v>5.75</v>
      </c>
      <c r="I72" s="92">
        <v>11.45</v>
      </c>
      <c r="J72" s="78">
        <v>0.04</v>
      </c>
      <c r="K72" s="78">
        <v>0</v>
      </c>
      <c r="L72" s="103">
        <v>0.20899000000000001</v>
      </c>
      <c r="M72" s="103">
        <v>-3.2800000000000003E-2</v>
      </c>
      <c r="N72" s="50">
        <v>1</v>
      </c>
      <c r="O72" s="50">
        <v>100</v>
      </c>
      <c r="P72" s="79">
        <v>0.16</v>
      </c>
    </row>
    <row r="73" spans="2:24" x14ac:dyDescent="0.2">
      <c r="B73" s="80" t="s">
        <v>325</v>
      </c>
      <c r="C73" s="81">
        <v>3.1760999999999999</v>
      </c>
      <c r="D73" s="81">
        <v>-0.13730000000000001</v>
      </c>
      <c r="E73" s="81">
        <v>0.34139999999999998</v>
      </c>
      <c r="F73" s="93">
        <v>2.74</v>
      </c>
      <c r="G73" s="93">
        <v>4.97</v>
      </c>
      <c r="H73" s="93">
        <v>5.75</v>
      </c>
      <c r="I73" s="93">
        <v>11.45</v>
      </c>
      <c r="J73" s="82">
        <v>0.04</v>
      </c>
      <c r="K73" s="82">
        <v>0</v>
      </c>
      <c r="L73" s="104">
        <v>0.20899000000000001</v>
      </c>
      <c r="M73" s="104">
        <v>-3.2800000000000003E-2</v>
      </c>
      <c r="N73" s="54">
        <v>1</v>
      </c>
      <c r="O73" s="54">
        <v>100</v>
      </c>
      <c r="P73" s="105">
        <v>0.16</v>
      </c>
    </row>
    <row r="74" spans="2:24" x14ac:dyDescent="0.2">
      <c r="C74" s="77"/>
      <c r="D74" s="77"/>
      <c r="E74" s="77"/>
      <c r="F74" s="92"/>
      <c r="G74" s="92"/>
      <c r="H74" s="92"/>
      <c r="I74" s="92"/>
      <c r="J74" s="78"/>
      <c r="K74" s="50"/>
      <c r="O74" s="50"/>
      <c r="P74" s="50"/>
    </row>
    <row r="75" spans="2:24" x14ac:dyDescent="0.2">
      <c r="C75" s="77"/>
      <c r="D75" s="77"/>
      <c r="E75" s="77"/>
      <c r="F75" s="92"/>
      <c r="G75" s="92"/>
      <c r="H75" s="92"/>
      <c r="I75" s="92"/>
      <c r="J75" s="78"/>
      <c r="K75" s="50"/>
      <c r="O75" s="50"/>
      <c r="P75" s="50"/>
    </row>
    <row r="76" spans="2:24" x14ac:dyDescent="0.2">
      <c r="B76" s="177" t="s">
        <v>326</v>
      </c>
      <c r="D76" s="77"/>
      <c r="E76" s="77"/>
      <c r="G76" s="78"/>
      <c r="H76" s="92"/>
      <c r="I76" s="92"/>
      <c r="J76" s="78"/>
      <c r="K76" s="50"/>
      <c r="O76" s="50"/>
      <c r="P76" s="50"/>
    </row>
    <row r="77" spans="2:24" ht="16.5" x14ac:dyDescent="0.3">
      <c r="B77" s="68" t="s">
        <v>327</v>
      </c>
      <c r="C77" s="69" t="s">
        <v>249</v>
      </c>
      <c r="D77" s="69" t="s">
        <v>250</v>
      </c>
      <c r="E77" s="69" t="s">
        <v>251</v>
      </c>
      <c r="F77" s="69" t="s">
        <v>278</v>
      </c>
      <c r="G77" s="70" t="s">
        <v>279</v>
      </c>
      <c r="H77" s="71" t="s">
        <v>254</v>
      </c>
      <c r="I77" s="92"/>
      <c r="J77" s="78"/>
      <c r="K77" s="50"/>
      <c r="O77" s="50"/>
      <c r="P77" s="50"/>
    </row>
    <row r="78" spans="2:24" ht="16.5" x14ac:dyDescent="0.3">
      <c r="B78" s="72" t="s">
        <v>328</v>
      </c>
      <c r="C78" s="86">
        <v>5.1055000000000001</v>
      </c>
      <c r="D78" s="86">
        <v>0.49990000000000001</v>
      </c>
      <c r="E78" s="86">
        <v>1E-4</v>
      </c>
      <c r="F78" s="87">
        <v>0.9</v>
      </c>
      <c r="G78" s="85">
        <v>115</v>
      </c>
      <c r="H78" s="88">
        <v>1.65</v>
      </c>
      <c r="I78" s="106"/>
      <c r="J78" s="78"/>
      <c r="K78" s="50"/>
      <c r="O78" s="50"/>
      <c r="P78" s="50"/>
    </row>
    <row r="79" spans="2:24" ht="16.5" x14ac:dyDescent="0.3">
      <c r="B79" s="76" t="s">
        <v>329</v>
      </c>
      <c r="C79" s="77">
        <v>3.2107000000000001</v>
      </c>
      <c r="D79" s="77">
        <v>0.75970000000000004</v>
      </c>
      <c r="E79" s="77">
        <v>2.7000000000000001E-3</v>
      </c>
      <c r="F79" s="78">
        <v>15</v>
      </c>
      <c r="G79" s="89">
        <v>200</v>
      </c>
      <c r="H79" s="74">
        <v>1.65</v>
      </c>
      <c r="I79" s="106"/>
      <c r="J79" s="78"/>
      <c r="K79" s="50"/>
      <c r="O79" s="50"/>
      <c r="P79" s="50"/>
    </row>
    <row r="80" spans="2:24" ht="16.5" x14ac:dyDescent="0.3">
      <c r="B80" s="76" t="s">
        <v>330</v>
      </c>
      <c r="C80" s="77">
        <v>4.8122999999999996</v>
      </c>
      <c r="D80" s="77">
        <v>0.2858</v>
      </c>
      <c r="E80" s="77">
        <v>4.2000000000000003E-2</v>
      </c>
      <c r="F80" s="78">
        <v>0.9</v>
      </c>
      <c r="G80" s="89">
        <v>300</v>
      </c>
      <c r="H80" s="74">
        <v>1.65</v>
      </c>
      <c r="I80" s="106"/>
      <c r="J80" s="78"/>
      <c r="K80" s="50"/>
      <c r="O80" s="50"/>
      <c r="P80" s="50"/>
    </row>
    <row r="81" spans="2:16" ht="16.5" x14ac:dyDescent="0.3">
      <c r="B81" s="76" t="s">
        <v>331</v>
      </c>
      <c r="C81" s="77">
        <v>4.2755999999999998</v>
      </c>
      <c r="D81" s="77">
        <v>0.35199999999999998</v>
      </c>
      <c r="E81" s="77">
        <v>7.1400000000000005E-2</v>
      </c>
      <c r="F81" s="78">
        <v>0.5</v>
      </c>
      <c r="G81" s="89">
        <v>80</v>
      </c>
      <c r="H81" s="74">
        <v>1.65</v>
      </c>
      <c r="I81" s="106"/>
      <c r="J81" s="78"/>
      <c r="K81" s="50"/>
      <c r="O81" s="50"/>
      <c r="P81" s="50"/>
    </row>
    <row r="82" spans="2:16" ht="16.5" x14ac:dyDescent="0.3">
      <c r="B82" s="76" t="s">
        <v>332</v>
      </c>
      <c r="C82" s="77">
        <v>3.8187000000000002</v>
      </c>
      <c r="D82" s="77">
        <v>0.62350000000000005</v>
      </c>
      <c r="E82" s="77">
        <v>1.7600000000000001E-2</v>
      </c>
      <c r="F82" s="78">
        <v>0.6</v>
      </c>
      <c r="G82" s="89">
        <v>235</v>
      </c>
      <c r="H82" s="74">
        <v>1.65</v>
      </c>
      <c r="I82" s="106"/>
      <c r="J82" s="78"/>
      <c r="K82" s="50"/>
      <c r="O82" s="50"/>
      <c r="P82" s="50"/>
    </row>
    <row r="83" spans="2:16" x14ac:dyDescent="0.2">
      <c r="B83" s="76" t="s">
        <v>333</v>
      </c>
      <c r="C83" s="77">
        <v>4.8122999999999996</v>
      </c>
      <c r="D83" s="77">
        <v>0.2858</v>
      </c>
      <c r="E83" s="77">
        <v>4.2000000000000003E-2</v>
      </c>
      <c r="F83" s="78">
        <v>0.9</v>
      </c>
      <c r="G83" s="89">
        <v>300</v>
      </c>
      <c r="H83" s="74">
        <v>1.65</v>
      </c>
      <c r="I83" s="92"/>
      <c r="K83" s="50"/>
      <c r="O83" s="50"/>
      <c r="P83" s="50"/>
    </row>
    <row r="84" spans="2:16" x14ac:dyDescent="0.2">
      <c r="B84" s="76" t="s">
        <v>334</v>
      </c>
      <c r="C84" s="77">
        <v>4.2755999999999998</v>
      </c>
      <c r="D84" s="77">
        <v>0.35199999999999998</v>
      </c>
      <c r="E84" s="77">
        <v>7.1400000000000005E-2</v>
      </c>
      <c r="F84" s="78">
        <v>0.5</v>
      </c>
      <c r="G84" s="89">
        <v>80</v>
      </c>
      <c r="H84" s="107">
        <v>1.8</v>
      </c>
      <c r="I84" s="92"/>
      <c r="J84" s="78"/>
      <c r="K84" s="50"/>
      <c r="O84" s="50"/>
      <c r="P84" s="50"/>
    </row>
    <row r="85" spans="2:16" x14ac:dyDescent="0.2">
      <c r="B85" s="76" t="s">
        <v>335</v>
      </c>
      <c r="C85" s="77">
        <v>5.1055000000000001</v>
      </c>
      <c r="D85" s="77">
        <v>0.49990000000000001</v>
      </c>
      <c r="E85" s="77">
        <v>1E-4</v>
      </c>
      <c r="F85" s="78">
        <v>0.9</v>
      </c>
      <c r="G85" s="89">
        <v>115</v>
      </c>
      <c r="H85" s="108">
        <v>1.65</v>
      </c>
      <c r="I85" s="92"/>
      <c r="J85" s="78"/>
      <c r="K85" s="50"/>
      <c r="O85" s="50"/>
      <c r="P85" s="50"/>
    </row>
    <row r="86" spans="2:16" x14ac:dyDescent="0.2">
      <c r="B86" s="80" t="s">
        <v>336</v>
      </c>
      <c r="C86" s="81">
        <v>5.1055000000000001</v>
      </c>
      <c r="D86" s="81">
        <v>0.49990000000000001</v>
      </c>
      <c r="E86" s="81">
        <v>1E-4</v>
      </c>
      <c r="F86" s="82">
        <v>0.9</v>
      </c>
      <c r="G86" s="90">
        <v>115</v>
      </c>
      <c r="H86" s="109">
        <v>1.54</v>
      </c>
      <c r="I86" s="92"/>
      <c r="J86" s="78"/>
      <c r="K86" s="50"/>
      <c r="O86" s="50"/>
      <c r="P86" s="50"/>
    </row>
    <row r="87" spans="2:16" x14ac:dyDescent="0.2">
      <c r="C87" s="77"/>
      <c r="D87" s="77"/>
      <c r="E87" s="77"/>
      <c r="F87" s="92"/>
      <c r="G87" s="92"/>
      <c r="H87" s="92"/>
      <c r="I87" s="92"/>
      <c r="J87" s="78"/>
      <c r="K87" s="50"/>
      <c r="O87" s="50"/>
      <c r="P87" s="50"/>
    </row>
    <row r="88" spans="2:16" x14ac:dyDescent="0.2">
      <c r="C88" s="77"/>
      <c r="D88" s="77"/>
      <c r="E88" s="77"/>
      <c r="F88" s="92"/>
      <c r="G88" s="92"/>
      <c r="H88" s="92"/>
      <c r="I88" s="92"/>
      <c r="J88" s="78"/>
      <c r="K88" s="50"/>
      <c r="O88" s="50"/>
      <c r="P88" s="50"/>
    </row>
    <row r="89" spans="2:16" x14ac:dyDescent="0.2">
      <c r="B89" s="179" t="s">
        <v>337</v>
      </c>
      <c r="L89" s="50"/>
      <c r="M89" s="50"/>
      <c r="N89" s="92"/>
    </row>
    <row r="90" spans="2:16" x14ac:dyDescent="0.2">
      <c r="B90" s="72"/>
      <c r="C90" s="110"/>
      <c r="D90" s="110"/>
      <c r="E90" s="110"/>
      <c r="F90" s="110"/>
      <c r="G90" s="110"/>
      <c r="H90" s="110"/>
      <c r="I90" s="110"/>
      <c r="J90" s="110"/>
      <c r="K90" s="110"/>
      <c r="L90" s="111" t="s">
        <v>338</v>
      </c>
      <c r="M90" s="91"/>
      <c r="N90" s="112"/>
      <c r="O90" s="101"/>
      <c r="P90" s="101"/>
    </row>
    <row r="91" spans="2:16" ht="16.5" x14ac:dyDescent="0.3">
      <c r="B91" s="113" t="s">
        <v>339</v>
      </c>
      <c r="C91" s="54" t="s">
        <v>249</v>
      </c>
      <c r="D91" s="54" t="s">
        <v>250</v>
      </c>
      <c r="E91" s="54" t="s">
        <v>251</v>
      </c>
      <c r="F91" s="54" t="s">
        <v>340</v>
      </c>
      <c r="G91" s="54" t="s">
        <v>341</v>
      </c>
      <c r="H91" s="54" t="s">
        <v>342</v>
      </c>
      <c r="I91" s="54" t="s">
        <v>316</v>
      </c>
      <c r="J91" s="54" t="s">
        <v>317</v>
      </c>
      <c r="K91" s="54" t="s">
        <v>318</v>
      </c>
      <c r="L91" s="54" t="s">
        <v>343</v>
      </c>
      <c r="M91" s="54" t="s">
        <v>344</v>
      </c>
      <c r="N91" s="55" t="s">
        <v>345</v>
      </c>
    </row>
    <row r="92" spans="2:16" x14ac:dyDescent="0.2">
      <c r="B92" s="76" t="s">
        <v>346</v>
      </c>
      <c r="C92" s="50">
        <v>3.0680000000000001</v>
      </c>
      <c r="D92" s="50">
        <v>0.65969999999999995</v>
      </c>
      <c r="E92" s="50">
        <v>1.9400000000000001E-2</v>
      </c>
      <c r="F92" s="50">
        <v>3000</v>
      </c>
      <c r="G92" s="50">
        <v>100000</v>
      </c>
      <c r="H92" s="50">
        <v>200</v>
      </c>
      <c r="I92" s="50">
        <v>0.14050000000000001</v>
      </c>
      <c r="J92" s="50">
        <v>-0.26979999999999998</v>
      </c>
      <c r="K92" s="50">
        <v>0.1293</v>
      </c>
      <c r="L92" s="50">
        <v>2.13</v>
      </c>
      <c r="M92" s="50">
        <v>2.5099999999999998</v>
      </c>
      <c r="N92" s="79">
        <v>2.81</v>
      </c>
    </row>
    <row r="93" spans="2:16" x14ac:dyDescent="0.2">
      <c r="B93" s="114" t="s">
        <v>347</v>
      </c>
      <c r="C93" s="54">
        <v>2.3858999999999999</v>
      </c>
      <c r="D93" s="54">
        <v>0.97209999999999996</v>
      </c>
      <c r="E93" s="54">
        <v>-2.06E-2</v>
      </c>
      <c r="F93" s="54">
        <v>3000</v>
      </c>
      <c r="G93" s="54">
        <v>100000</v>
      </c>
      <c r="H93" s="54">
        <v>200</v>
      </c>
      <c r="I93" s="54">
        <v>0.1017</v>
      </c>
      <c r="J93" s="54">
        <v>-0.19570000000000001</v>
      </c>
      <c r="K93" s="54">
        <v>9.4030000000000002E-2</v>
      </c>
      <c r="L93" s="54">
        <v>2.13</v>
      </c>
      <c r="M93" s="54">
        <v>2.5099999999999998</v>
      </c>
      <c r="N93" s="55">
        <v>2.81</v>
      </c>
    </row>
    <row r="94" spans="2:16" x14ac:dyDescent="0.2">
      <c r="B94" s="115"/>
      <c r="C94" s="50"/>
      <c r="D94" s="50"/>
      <c r="E94" s="50"/>
      <c r="F94" s="50"/>
      <c r="G94" s="50"/>
      <c r="H94" s="50"/>
      <c r="I94" s="50"/>
      <c r="J94" s="50"/>
      <c r="K94" s="50"/>
    </row>
    <row r="95" spans="2:16" x14ac:dyDescent="0.2">
      <c r="B95" s="116"/>
      <c r="C95" s="52"/>
      <c r="D95" s="52"/>
      <c r="E95" s="110"/>
      <c r="F95" s="110"/>
      <c r="G95" s="110"/>
      <c r="H95" s="110"/>
      <c r="I95" s="110"/>
      <c r="J95" s="110"/>
      <c r="K95" s="110"/>
      <c r="L95" s="111" t="s">
        <v>338</v>
      </c>
      <c r="M95" s="91"/>
      <c r="N95" s="112"/>
    </row>
    <row r="96" spans="2:16" ht="16.5" x14ac:dyDescent="0.3">
      <c r="B96" s="113" t="s">
        <v>348</v>
      </c>
      <c r="C96" s="54" t="s">
        <v>249</v>
      </c>
      <c r="D96" s="54" t="s">
        <v>250</v>
      </c>
      <c r="E96" s="54" t="s">
        <v>251</v>
      </c>
      <c r="F96" s="54" t="s">
        <v>340</v>
      </c>
      <c r="G96" s="54" t="s">
        <v>341</v>
      </c>
      <c r="H96" s="54" t="s">
        <v>342</v>
      </c>
      <c r="I96" s="54" t="s">
        <v>316</v>
      </c>
      <c r="J96" s="54" t="s">
        <v>317</v>
      </c>
      <c r="K96" s="54" t="s">
        <v>318</v>
      </c>
      <c r="L96" s="54" t="s">
        <v>343</v>
      </c>
      <c r="M96" s="54" t="s">
        <v>344</v>
      </c>
      <c r="N96" s="55" t="s">
        <v>345</v>
      </c>
    </row>
    <row r="97" spans="2:16" x14ac:dyDescent="0.2">
      <c r="B97" s="114" t="s">
        <v>349</v>
      </c>
      <c r="C97" s="54">
        <v>7.3487999999999998</v>
      </c>
      <c r="D97" s="54">
        <v>-1.1666000000000001</v>
      </c>
      <c r="E97" s="54">
        <v>0.20280000000000001</v>
      </c>
      <c r="F97" s="54">
        <v>1000</v>
      </c>
      <c r="G97" s="54">
        <v>100000</v>
      </c>
      <c r="H97" s="54">
        <v>200</v>
      </c>
      <c r="I97" s="54">
        <v>0.13469999999999999</v>
      </c>
      <c r="J97" s="54">
        <v>-0.23680000000000001</v>
      </c>
      <c r="K97" s="54">
        <v>0.1021</v>
      </c>
      <c r="L97" s="54">
        <v>2.13</v>
      </c>
      <c r="M97" s="54">
        <v>2.5099999999999998</v>
      </c>
      <c r="N97" s="55">
        <v>2.81</v>
      </c>
    </row>
    <row r="98" spans="2:16" x14ac:dyDescent="0.2">
      <c r="B98" s="115"/>
      <c r="C98" s="50"/>
      <c r="D98" s="50"/>
      <c r="E98" s="50"/>
      <c r="F98" s="50"/>
      <c r="G98" s="50"/>
      <c r="H98" s="50"/>
      <c r="I98" s="78"/>
      <c r="J98" s="78"/>
      <c r="K98" s="78"/>
      <c r="L98" s="78"/>
    </row>
    <row r="99" spans="2:16" x14ac:dyDescent="0.2">
      <c r="B99" s="115"/>
      <c r="C99" s="50"/>
      <c r="D99" s="50"/>
      <c r="K99" s="50"/>
      <c r="L99" s="92"/>
    </row>
    <row r="100" spans="2:16" x14ac:dyDescent="0.2">
      <c r="B100" s="116"/>
      <c r="C100" s="52"/>
      <c r="D100" s="52"/>
      <c r="E100" s="110"/>
      <c r="F100" s="110"/>
      <c r="G100" s="110"/>
      <c r="H100" s="110"/>
      <c r="I100" s="110"/>
      <c r="J100" s="110"/>
      <c r="K100" s="52"/>
      <c r="L100" s="91"/>
      <c r="M100" s="110" t="s">
        <v>350</v>
      </c>
      <c r="N100" s="110"/>
      <c r="O100" s="112"/>
      <c r="P100" s="101"/>
    </row>
    <row r="101" spans="2:16" ht="16.5" x14ac:dyDescent="0.3">
      <c r="B101" s="113" t="s">
        <v>351</v>
      </c>
      <c r="C101" s="54" t="s">
        <v>249</v>
      </c>
      <c r="D101" s="54" t="s">
        <v>250</v>
      </c>
      <c r="E101" s="54" t="s">
        <v>251</v>
      </c>
      <c r="F101" s="54" t="s">
        <v>340</v>
      </c>
      <c r="G101" s="54" t="s">
        <v>341</v>
      </c>
      <c r="H101" s="54" t="s">
        <v>342</v>
      </c>
      <c r="I101" s="54" t="s">
        <v>316</v>
      </c>
      <c r="J101" s="54" t="s">
        <v>317</v>
      </c>
      <c r="K101" s="54" t="s">
        <v>318</v>
      </c>
      <c r="L101" s="54" t="s">
        <v>352</v>
      </c>
      <c r="M101" s="54" t="s">
        <v>353</v>
      </c>
      <c r="N101" s="54" t="s">
        <v>354</v>
      </c>
      <c r="O101" s="55" t="s">
        <v>355</v>
      </c>
    </row>
    <row r="102" spans="2:16" x14ac:dyDescent="0.2">
      <c r="B102" s="51" t="s">
        <v>356</v>
      </c>
      <c r="C102" s="52">
        <v>2.0829</v>
      </c>
      <c r="D102" s="52">
        <v>0.90739999999999998</v>
      </c>
      <c r="E102" s="52">
        <v>-2.4299999999999999E-2</v>
      </c>
      <c r="F102" s="52">
        <v>650</v>
      </c>
      <c r="G102" s="52">
        <v>10750</v>
      </c>
      <c r="H102" s="52">
        <v>200</v>
      </c>
      <c r="I102" s="86">
        <v>-1.6330000000000001E-2</v>
      </c>
      <c r="J102" s="86">
        <v>5.6875000000000002E-2</v>
      </c>
      <c r="K102" s="86">
        <v>-8.7600000000000004E-3</v>
      </c>
      <c r="L102" s="52">
        <v>2.17</v>
      </c>
      <c r="M102" s="52"/>
      <c r="N102" s="52"/>
      <c r="O102" s="73"/>
    </row>
    <row r="103" spans="2:16" x14ac:dyDescent="0.2">
      <c r="B103" s="117" t="s">
        <v>357</v>
      </c>
      <c r="C103" s="50">
        <v>1.1979</v>
      </c>
      <c r="D103" s="50">
        <v>1.4782</v>
      </c>
      <c r="E103" s="50">
        <v>-9.5799999999999996E-2</v>
      </c>
      <c r="F103" s="50">
        <v>650</v>
      </c>
      <c r="G103" s="50">
        <v>10750</v>
      </c>
      <c r="H103" s="50">
        <v>200</v>
      </c>
      <c r="I103" s="77">
        <v>-1.6330000000000001E-2</v>
      </c>
      <c r="J103" s="77">
        <v>5.6875000000000002E-2</v>
      </c>
      <c r="K103" s="77">
        <v>-8.7600000000000004E-3</v>
      </c>
      <c r="L103" s="50">
        <v>2.17</v>
      </c>
      <c r="M103" s="50"/>
      <c r="N103" s="50"/>
      <c r="O103" s="79"/>
    </row>
    <row r="104" spans="2:16" x14ac:dyDescent="0.2">
      <c r="B104" s="76" t="s">
        <v>358</v>
      </c>
      <c r="C104" s="50">
        <v>2.2627999999999999</v>
      </c>
      <c r="D104" s="50">
        <v>0.85809999999999997</v>
      </c>
      <c r="E104" s="50">
        <v>2.9999999999999997E-4</v>
      </c>
      <c r="F104" s="50">
        <v>650</v>
      </c>
      <c r="G104" s="50">
        <v>10750</v>
      </c>
      <c r="H104" s="50">
        <v>200</v>
      </c>
      <c r="I104" s="77">
        <v>-1.6330000000000001E-2</v>
      </c>
      <c r="J104" s="77">
        <v>5.6875000000000002E-2</v>
      </c>
      <c r="K104" s="77">
        <v>-8.7600000000000004E-3</v>
      </c>
      <c r="L104" s="50">
        <v>2.17</v>
      </c>
      <c r="M104" s="50"/>
      <c r="N104" s="50"/>
      <c r="O104" s="79"/>
    </row>
    <row r="105" spans="2:16" x14ac:dyDescent="0.2">
      <c r="B105" s="80" t="s">
        <v>359</v>
      </c>
      <c r="C105" s="54">
        <v>6.9617000000000004</v>
      </c>
      <c r="D105" s="54">
        <v>-1.48</v>
      </c>
      <c r="E105" s="54">
        <v>0.31609999999999999</v>
      </c>
      <c r="F105" s="54">
        <v>1200</v>
      </c>
      <c r="G105" s="54">
        <v>9400</v>
      </c>
      <c r="H105" s="54">
        <v>40</v>
      </c>
      <c r="I105" s="81">
        <v>2.5940720000000002</v>
      </c>
      <c r="J105" s="81">
        <v>-4.2347599999999996</v>
      </c>
      <c r="K105" s="81">
        <v>1.722404</v>
      </c>
      <c r="L105" s="93">
        <v>2.17</v>
      </c>
      <c r="M105" s="104">
        <v>1</v>
      </c>
      <c r="N105" s="118">
        <v>1.8400000000000001E-3</v>
      </c>
      <c r="O105" s="119">
        <v>3.3500000000000001E-6</v>
      </c>
    </row>
    <row r="106" spans="2:16" x14ac:dyDescent="0.2">
      <c r="C106" s="50"/>
      <c r="D106" s="50"/>
      <c r="E106" s="50"/>
      <c r="F106" s="50"/>
      <c r="G106" s="50"/>
      <c r="H106" s="50"/>
      <c r="I106" s="77"/>
      <c r="J106" s="77"/>
      <c r="K106" s="77"/>
      <c r="L106" s="92"/>
      <c r="M106" s="103"/>
      <c r="N106" s="120"/>
      <c r="O106" s="121"/>
    </row>
    <row r="107" spans="2:16" x14ac:dyDescent="0.2">
      <c r="C107" s="78"/>
      <c r="D107" s="78"/>
      <c r="E107" s="78"/>
      <c r="F107" s="50"/>
      <c r="G107" s="50"/>
      <c r="H107" s="50"/>
      <c r="I107" s="50"/>
      <c r="J107" s="50"/>
      <c r="K107" s="50"/>
      <c r="L107" s="50"/>
      <c r="M107" s="50"/>
      <c r="N107" s="92"/>
    </row>
    <row r="108" spans="2:16" x14ac:dyDescent="0.2">
      <c r="B108" s="177" t="s">
        <v>360</v>
      </c>
    </row>
    <row r="109" spans="2:16" x14ac:dyDescent="0.2">
      <c r="B109" s="72"/>
      <c r="C109" s="110"/>
      <c r="D109" s="110"/>
      <c r="E109" s="110"/>
      <c r="F109" s="110"/>
      <c r="G109" s="110"/>
      <c r="H109" s="110"/>
      <c r="I109" s="110"/>
      <c r="J109" s="110"/>
      <c r="K109" s="112"/>
      <c r="L109" s="101"/>
      <c r="M109" s="101"/>
    </row>
    <row r="110" spans="2:16" ht="15.75" x14ac:dyDescent="0.3">
      <c r="B110" s="113" t="s">
        <v>361</v>
      </c>
      <c r="C110" s="54" t="s">
        <v>249</v>
      </c>
      <c r="D110" s="54" t="s">
        <v>250</v>
      </c>
      <c r="E110" s="54" t="s">
        <v>251</v>
      </c>
      <c r="F110" s="54" t="s">
        <v>362</v>
      </c>
      <c r="G110" s="54" t="s">
        <v>363</v>
      </c>
      <c r="H110" s="54" t="s">
        <v>321</v>
      </c>
      <c r="I110" s="54" t="s">
        <v>316</v>
      </c>
      <c r="J110" s="54" t="s">
        <v>317</v>
      </c>
      <c r="K110" s="55" t="s">
        <v>318</v>
      </c>
    </row>
    <row r="111" spans="2:16" x14ac:dyDescent="0.2">
      <c r="B111" s="72" t="s">
        <v>364</v>
      </c>
      <c r="C111" s="52">
        <v>5.0237999999999996</v>
      </c>
      <c r="D111" s="52">
        <v>0.34749999999999998</v>
      </c>
      <c r="E111" s="52">
        <v>7.0300000000000001E-2</v>
      </c>
      <c r="F111" s="52">
        <v>5</v>
      </c>
      <c r="G111" s="52">
        <v>1000</v>
      </c>
      <c r="H111" s="52">
        <v>150</v>
      </c>
      <c r="I111" s="52">
        <v>0.1578</v>
      </c>
      <c r="J111" s="52">
        <v>-0.29920000000000002</v>
      </c>
      <c r="K111" s="73">
        <v>0.14130000000000001</v>
      </c>
    </row>
    <row r="112" spans="2:16" x14ac:dyDescent="0.2">
      <c r="B112" s="76" t="s">
        <v>365</v>
      </c>
      <c r="C112" s="50">
        <v>3.9119000000000002</v>
      </c>
      <c r="D112" s="50">
        <v>0.86270000000000002</v>
      </c>
      <c r="E112" s="50">
        <v>-8.8000000000000005E-3</v>
      </c>
      <c r="F112" s="50">
        <v>50</v>
      </c>
      <c r="G112" s="50">
        <v>500</v>
      </c>
      <c r="H112" s="50">
        <v>150</v>
      </c>
      <c r="I112" s="50">
        <v>0.1578</v>
      </c>
      <c r="J112" s="50">
        <v>-0.29920000000000002</v>
      </c>
      <c r="K112" s="79">
        <v>0.14130000000000001</v>
      </c>
    </row>
    <row r="113" spans="2:18" x14ac:dyDescent="0.2">
      <c r="B113" s="76" t="s">
        <v>366</v>
      </c>
      <c r="C113" s="50">
        <v>5</v>
      </c>
      <c r="D113" s="50">
        <v>0.14899999999999999</v>
      </c>
      <c r="E113" s="50">
        <v>-1.34E-2</v>
      </c>
      <c r="F113" s="50">
        <v>0.5</v>
      </c>
      <c r="G113" s="50">
        <v>5</v>
      </c>
      <c r="H113" s="50">
        <v>150</v>
      </c>
      <c r="I113" s="50">
        <v>0.1578</v>
      </c>
      <c r="J113" s="50">
        <v>-0.29920000000000002</v>
      </c>
      <c r="K113" s="79">
        <v>0.14130000000000001</v>
      </c>
      <c r="L113" s="101"/>
      <c r="M113" s="101"/>
    </row>
    <row r="114" spans="2:18" x14ac:dyDescent="0.2">
      <c r="B114" s="76" t="s">
        <v>367</v>
      </c>
      <c r="C114" s="50">
        <v>5.2366000000000001</v>
      </c>
      <c r="D114" s="50">
        <v>-0.65720000000000001</v>
      </c>
      <c r="E114" s="50">
        <v>0.35</v>
      </c>
      <c r="F114" s="50">
        <v>10</v>
      </c>
      <c r="G114" s="50">
        <v>100</v>
      </c>
      <c r="H114" s="50">
        <v>150</v>
      </c>
      <c r="I114" s="50">
        <v>0.1578</v>
      </c>
      <c r="J114" s="50">
        <v>-0.29920000000000002</v>
      </c>
      <c r="K114" s="79">
        <v>0.14130000000000001</v>
      </c>
      <c r="L114" s="101"/>
      <c r="M114" s="101"/>
    </row>
    <row r="115" spans="2:18" x14ac:dyDescent="0.2">
      <c r="B115" s="80" t="s">
        <v>368</v>
      </c>
      <c r="C115" s="54">
        <v>4.6420000000000003</v>
      </c>
      <c r="D115" s="54">
        <v>0.36980000000000002</v>
      </c>
      <c r="E115" s="54">
        <v>2.5000000000000001E-3</v>
      </c>
      <c r="F115" s="54">
        <v>100</v>
      </c>
      <c r="G115" s="54">
        <v>10000</v>
      </c>
      <c r="H115" s="54">
        <v>150</v>
      </c>
      <c r="I115" s="54">
        <v>0.1578</v>
      </c>
      <c r="J115" s="54">
        <v>-0.29920000000000002</v>
      </c>
      <c r="K115" s="55">
        <v>0.14130000000000001</v>
      </c>
      <c r="L115" s="101"/>
      <c r="M115" s="101"/>
    </row>
    <row r="116" spans="2:18" x14ac:dyDescent="0.2">
      <c r="C116" s="50"/>
      <c r="D116" s="50"/>
      <c r="E116" s="50"/>
      <c r="F116" s="50"/>
      <c r="G116" s="50"/>
      <c r="H116" s="50"/>
      <c r="I116" s="78"/>
      <c r="J116" s="78"/>
      <c r="K116" s="78"/>
      <c r="M116" s="122"/>
      <c r="N116" s="122"/>
      <c r="O116" s="122"/>
      <c r="P116" s="101"/>
    </row>
    <row r="117" spans="2:18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92"/>
      <c r="P117" s="101"/>
    </row>
    <row r="118" spans="2:18" x14ac:dyDescent="0.2">
      <c r="B118" s="177" t="s">
        <v>369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92"/>
    </row>
    <row r="119" spans="2:18" ht="15.75" x14ac:dyDescent="0.3">
      <c r="B119" s="84" t="s">
        <v>370</v>
      </c>
      <c r="C119" s="52" t="s">
        <v>249</v>
      </c>
      <c r="D119" s="52" t="s">
        <v>250</v>
      </c>
      <c r="E119" s="52" t="s">
        <v>251</v>
      </c>
      <c r="F119" s="52" t="s">
        <v>316</v>
      </c>
      <c r="G119" s="52" t="s">
        <v>317</v>
      </c>
      <c r="H119" s="52" t="s">
        <v>318</v>
      </c>
      <c r="I119" s="52" t="s">
        <v>371</v>
      </c>
      <c r="J119" s="52" t="s">
        <v>372</v>
      </c>
      <c r="K119" s="52" t="s">
        <v>362</v>
      </c>
      <c r="L119" s="52" t="s">
        <v>363</v>
      </c>
      <c r="M119" s="73" t="s">
        <v>321</v>
      </c>
      <c r="N119" s="92"/>
    </row>
    <row r="120" spans="2:18" x14ac:dyDescent="0.2">
      <c r="B120" s="72" t="s">
        <v>373</v>
      </c>
      <c r="C120" s="52">
        <v>3.3443999999999998</v>
      </c>
      <c r="D120" s="52">
        <v>0.27450000000000002</v>
      </c>
      <c r="E120" s="52">
        <v>-4.7199999999999999E-2</v>
      </c>
      <c r="F120" s="52">
        <v>13.146699999999999</v>
      </c>
      <c r="G120" s="52">
        <v>-12.657400000000001</v>
      </c>
      <c r="H120" s="52">
        <v>3.0705</v>
      </c>
      <c r="I120" s="87">
        <v>1.74</v>
      </c>
      <c r="J120" s="87">
        <v>1.55</v>
      </c>
      <c r="K120" s="52">
        <v>1</v>
      </c>
      <c r="L120" s="52">
        <v>10</v>
      </c>
      <c r="M120" s="73">
        <v>300</v>
      </c>
      <c r="N120" s="92"/>
    </row>
    <row r="121" spans="2:18" x14ac:dyDescent="0.2">
      <c r="B121" s="123" t="s">
        <v>374</v>
      </c>
      <c r="C121" s="50"/>
      <c r="D121" s="50"/>
      <c r="E121" s="50"/>
      <c r="F121" s="50">
        <v>0.60719999999999996</v>
      </c>
      <c r="G121" s="50">
        <v>-0.91200000000000003</v>
      </c>
      <c r="H121" s="50">
        <v>0.3327</v>
      </c>
      <c r="I121" s="78"/>
      <c r="J121" s="78"/>
      <c r="K121" s="78"/>
      <c r="L121" s="78"/>
      <c r="M121" s="89"/>
      <c r="N121" s="92"/>
    </row>
    <row r="122" spans="2:18" x14ac:dyDescent="0.2">
      <c r="B122" s="123" t="s">
        <v>375</v>
      </c>
      <c r="C122" s="50"/>
      <c r="D122" s="50"/>
      <c r="E122" s="50"/>
      <c r="F122" s="50">
        <v>0</v>
      </c>
      <c r="G122" s="50">
        <v>0</v>
      </c>
      <c r="H122" s="50">
        <v>0</v>
      </c>
      <c r="I122" s="78"/>
      <c r="J122" s="78"/>
      <c r="K122" s="78"/>
      <c r="L122" s="78"/>
      <c r="M122" s="89"/>
      <c r="N122" s="92"/>
    </row>
    <row r="123" spans="2:18" x14ac:dyDescent="0.2">
      <c r="B123" s="76" t="s">
        <v>376</v>
      </c>
      <c r="C123" s="50">
        <v>2.7652000000000001</v>
      </c>
      <c r="D123" s="50">
        <v>0.72819999999999996</v>
      </c>
      <c r="E123" s="50">
        <v>7.8299999999999995E-2</v>
      </c>
      <c r="F123" s="50">
        <v>13.146699999999999</v>
      </c>
      <c r="G123" s="50">
        <v>-12.657400000000001</v>
      </c>
      <c r="H123" s="50">
        <v>3.0705</v>
      </c>
      <c r="I123" s="78">
        <v>1.74</v>
      </c>
      <c r="J123" s="78">
        <v>1.55</v>
      </c>
      <c r="K123" s="50">
        <v>10</v>
      </c>
      <c r="L123" s="50">
        <v>100</v>
      </c>
      <c r="M123" s="79">
        <v>300</v>
      </c>
      <c r="N123" s="92"/>
    </row>
    <row r="124" spans="2:18" x14ac:dyDescent="0.2">
      <c r="B124" s="123" t="s">
        <v>374</v>
      </c>
      <c r="C124" s="50"/>
      <c r="D124" s="50"/>
      <c r="E124" s="50"/>
      <c r="F124" s="50">
        <v>0.60719999999999996</v>
      </c>
      <c r="G124" s="50">
        <v>-0.91200000000000003</v>
      </c>
      <c r="H124" s="50">
        <v>0.3327</v>
      </c>
      <c r="I124" s="78"/>
      <c r="J124" s="78"/>
      <c r="K124" s="78"/>
      <c r="L124" s="78"/>
      <c r="M124" s="89"/>
      <c r="N124" s="92"/>
    </row>
    <row r="125" spans="2:18" x14ac:dyDescent="0.2">
      <c r="B125" s="123" t="s">
        <v>375</v>
      </c>
      <c r="C125" s="50"/>
      <c r="D125" s="50"/>
      <c r="E125" s="50"/>
      <c r="F125" s="50">
        <v>0</v>
      </c>
      <c r="G125" s="50">
        <v>0</v>
      </c>
      <c r="H125" s="50">
        <v>0</v>
      </c>
      <c r="I125" s="78"/>
      <c r="J125" s="78"/>
      <c r="K125" s="78"/>
      <c r="L125" s="78"/>
      <c r="M125" s="89"/>
      <c r="N125" s="92"/>
      <c r="O125" s="92"/>
      <c r="P125" s="92"/>
      <c r="Q125" s="92"/>
      <c r="R125" s="92"/>
    </row>
    <row r="126" spans="2:18" x14ac:dyDescent="0.2">
      <c r="B126" s="76" t="s">
        <v>377</v>
      </c>
      <c r="C126" s="50">
        <v>4.3247</v>
      </c>
      <c r="D126" s="50">
        <v>-0.30299999999999999</v>
      </c>
      <c r="E126" s="50">
        <v>0.16339999999999999</v>
      </c>
      <c r="F126" s="50">
        <v>3.8809999999999997E-2</v>
      </c>
      <c r="G126" s="50">
        <v>-0.11272</v>
      </c>
      <c r="H126" s="50">
        <v>8.183E-2</v>
      </c>
      <c r="I126" s="78">
        <v>1.63</v>
      </c>
      <c r="J126" s="78">
        <v>1.66</v>
      </c>
      <c r="K126" s="92">
        <v>10</v>
      </c>
      <c r="L126" s="50">
        <v>1000</v>
      </c>
      <c r="M126" s="79">
        <v>140</v>
      </c>
      <c r="N126" s="92"/>
      <c r="O126" s="92"/>
      <c r="P126" s="92"/>
      <c r="Q126" s="92"/>
      <c r="R126" s="92"/>
    </row>
    <row r="127" spans="2:18" x14ac:dyDescent="0.2">
      <c r="B127" s="123" t="s">
        <v>378</v>
      </c>
      <c r="C127" s="50"/>
      <c r="D127" s="50"/>
      <c r="E127" s="50"/>
      <c r="F127" s="50">
        <v>-1.64E-3</v>
      </c>
      <c r="G127" s="50">
        <v>-6.2700000000000004E-3</v>
      </c>
      <c r="H127" s="50">
        <v>1.23E-2</v>
      </c>
      <c r="I127" s="78"/>
      <c r="J127" s="78"/>
      <c r="K127" s="92"/>
      <c r="L127" s="50"/>
      <c r="M127" s="79"/>
      <c r="N127" s="92"/>
      <c r="O127" s="92"/>
      <c r="P127" s="92"/>
      <c r="Q127" s="92"/>
      <c r="R127" s="92"/>
    </row>
    <row r="128" spans="2:18" x14ac:dyDescent="0.2">
      <c r="B128" s="76" t="s">
        <v>379</v>
      </c>
      <c r="C128" s="50">
        <v>4.8305999999999996</v>
      </c>
      <c r="D128" s="50">
        <v>-0.85089999999999999</v>
      </c>
      <c r="E128" s="50">
        <v>0.31869999999999998</v>
      </c>
      <c r="F128" s="50">
        <v>3.8809999999999997E-2</v>
      </c>
      <c r="G128" s="50">
        <v>-0.11272</v>
      </c>
      <c r="H128" s="50">
        <v>8.183E-2</v>
      </c>
      <c r="I128" s="78">
        <v>1.63</v>
      </c>
      <c r="J128" s="78">
        <v>1.66</v>
      </c>
      <c r="K128" s="92">
        <v>10</v>
      </c>
      <c r="L128" s="50">
        <v>1000</v>
      </c>
      <c r="M128" s="79">
        <v>140</v>
      </c>
      <c r="N128" s="92"/>
      <c r="O128" s="92"/>
      <c r="P128" s="92"/>
      <c r="Q128" s="92"/>
      <c r="R128" s="92"/>
    </row>
    <row r="129" spans="2:18" x14ac:dyDescent="0.2">
      <c r="B129" s="123" t="s">
        <v>380</v>
      </c>
      <c r="C129" s="50"/>
      <c r="D129" s="50"/>
      <c r="E129" s="50"/>
      <c r="F129" s="50">
        <v>-1.64E-3</v>
      </c>
      <c r="G129" s="50">
        <v>-6.2700000000000004E-3</v>
      </c>
      <c r="H129" s="50">
        <v>1.23E-2</v>
      </c>
      <c r="I129" s="78"/>
      <c r="J129" s="78"/>
      <c r="K129" s="92"/>
      <c r="L129" s="50"/>
      <c r="M129" s="79"/>
      <c r="N129" s="92"/>
      <c r="O129" s="92"/>
      <c r="P129" s="92"/>
      <c r="Q129" s="92"/>
      <c r="R129" s="92"/>
    </row>
    <row r="130" spans="2:18" x14ac:dyDescent="0.2">
      <c r="B130" s="76" t="s">
        <v>381</v>
      </c>
      <c r="C130" s="50">
        <v>4.2767999999999997</v>
      </c>
      <c r="D130" s="50">
        <v>-4.9500000000000002E-2</v>
      </c>
      <c r="E130" s="50">
        <v>0.1431</v>
      </c>
      <c r="F130" s="50">
        <v>3.8809999999999997E-2</v>
      </c>
      <c r="G130" s="50">
        <v>-0.11272</v>
      </c>
      <c r="H130" s="50">
        <v>8.183E-2</v>
      </c>
      <c r="I130" s="78">
        <v>1.63</v>
      </c>
      <c r="J130" s="78">
        <v>1.66</v>
      </c>
      <c r="K130" s="92">
        <v>10</v>
      </c>
      <c r="L130" s="50">
        <v>1000</v>
      </c>
      <c r="M130" s="79">
        <v>140</v>
      </c>
      <c r="N130" s="92"/>
      <c r="O130" s="92"/>
      <c r="P130" s="92"/>
      <c r="Q130" s="92"/>
      <c r="R130" s="92"/>
    </row>
    <row r="131" spans="2:18" x14ac:dyDescent="0.2">
      <c r="B131" s="123" t="s">
        <v>378</v>
      </c>
      <c r="C131" s="50"/>
      <c r="D131" s="50"/>
      <c r="E131" s="50"/>
      <c r="F131" s="50">
        <v>-1.64E-3</v>
      </c>
      <c r="G131" s="50">
        <v>-6.2700000000000004E-3</v>
      </c>
      <c r="H131" s="50">
        <v>1.23E-2</v>
      </c>
      <c r="I131" s="78"/>
      <c r="J131" s="78"/>
      <c r="K131" s="92"/>
      <c r="L131" s="50"/>
      <c r="M131" s="79"/>
      <c r="N131" s="92"/>
      <c r="O131" s="92"/>
      <c r="P131" s="92"/>
      <c r="Q131" s="92"/>
      <c r="R131" s="92"/>
    </row>
    <row r="132" spans="2:18" x14ac:dyDescent="0.2">
      <c r="B132" s="76" t="s">
        <v>382</v>
      </c>
      <c r="C132" s="50">
        <v>4.4645999999999999</v>
      </c>
      <c r="D132" s="50">
        <v>-0.52769999999999995</v>
      </c>
      <c r="E132" s="50">
        <v>0.39550000000000002</v>
      </c>
      <c r="F132" s="50">
        <v>3.8809999999999997E-2</v>
      </c>
      <c r="G132" s="50">
        <v>-0.11272</v>
      </c>
      <c r="H132" s="50">
        <v>8.183E-2</v>
      </c>
      <c r="I132" s="78">
        <v>1.63</v>
      </c>
      <c r="J132" s="78">
        <v>1.66</v>
      </c>
      <c r="K132" s="92">
        <v>10</v>
      </c>
      <c r="L132" s="50">
        <v>100</v>
      </c>
      <c r="M132" s="79">
        <v>140</v>
      </c>
      <c r="N132" s="92"/>
      <c r="O132" s="92"/>
      <c r="P132" s="92"/>
      <c r="Q132" s="92"/>
      <c r="R132" s="92"/>
    </row>
    <row r="133" spans="2:18" x14ac:dyDescent="0.2">
      <c r="B133" s="123" t="s">
        <v>378</v>
      </c>
      <c r="C133" s="50"/>
      <c r="D133" s="50"/>
      <c r="E133" s="50"/>
      <c r="F133" s="50">
        <v>-1.64E-3</v>
      </c>
      <c r="G133" s="50">
        <v>-6.2700000000000004E-3</v>
      </c>
      <c r="H133" s="50">
        <v>1.23E-2</v>
      </c>
      <c r="I133" s="78"/>
      <c r="J133" s="78"/>
      <c r="K133" s="92"/>
      <c r="L133" s="50"/>
      <c r="M133" s="79"/>
      <c r="N133" s="92"/>
      <c r="O133" s="92"/>
      <c r="P133" s="92"/>
      <c r="Q133" s="92"/>
      <c r="R133" s="92"/>
    </row>
    <row r="134" spans="2:18" x14ac:dyDescent="0.2">
      <c r="B134" s="76" t="s">
        <v>383</v>
      </c>
      <c r="C134" s="50">
        <v>3.7803</v>
      </c>
      <c r="D134" s="50">
        <v>0.8569</v>
      </c>
      <c r="E134" s="50">
        <v>3.49E-2</v>
      </c>
      <c r="F134" s="50">
        <v>13.146699999999999</v>
      </c>
      <c r="G134" s="50">
        <v>-12.657400000000001</v>
      </c>
      <c r="H134" s="50">
        <v>3.0705</v>
      </c>
      <c r="I134" s="78">
        <v>1.74</v>
      </c>
      <c r="J134" s="78">
        <v>1.55</v>
      </c>
      <c r="K134" s="92">
        <v>2</v>
      </c>
      <c r="L134" s="50">
        <v>20</v>
      </c>
      <c r="M134" s="79">
        <v>300</v>
      </c>
      <c r="N134" s="92"/>
      <c r="O134" s="92"/>
      <c r="P134" s="92"/>
      <c r="Q134" s="92"/>
      <c r="R134" s="92"/>
    </row>
    <row r="135" spans="2:18" x14ac:dyDescent="0.2">
      <c r="B135" s="123" t="s">
        <v>374</v>
      </c>
      <c r="C135" s="50"/>
      <c r="D135" s="50"/>
      <c r="E135" s="50"/>
      <c r="F135" s="50">
        <v>0.60719999999999996</v>
      </c>
      <c r="G135" s="50">
        <v>-0.91200000000000003</v>
      </c>
      <c r="H135" s="50">
        <v>0.3327</v>
      </c>
      <c r="I135" s="78"/>
      <c r="J135" s="78"/>
      <c r="K135" s="78"/>
      <c r="L135" s="78"/>
      <c r="M135" s="89"/>
      <c r="N135" s="92"/>
      <c r="O135" s="92"/>
      <c r="P135" s="92"/>
      <c r="Q135" s="92"/>
      <c r="R135" s="92"/>
    </row>
    <row r="136" spans="2:18" x14ac:dyDescent="0.2">
      <c r="B136" s="123" t="s">
        <v>375</v>
      </c>
      <c r="C136" s="50"/>
      <c r="D136" s="50"/>
      <c r="E136" s="50"/>
      <c r="F136" s="50">
        <v>0</v>
      </c>
      <c r="G136" s="50">
        <v>0</v>
      </c>
      <c r="H136" s="50">
        <v>0</v>
      </c>
      <c r="I136" s="78"/>
      <c r="J136" s="78"/>
      <c r="K136" s="78"/>
      <c r="L136" s="78"/>
      <c r="M136" s="89"/>
      <c r="N136" s="92"/>
      <c r="O136" s="92"/>
      <c r="P136" s="92"/>
      <c r="Q136" s="92"/>
      <c r="R136" s="92"/>
    </row>
    <row r="137" spans="2:18" x14ac:dyDescent="0.2">
      <c r="B137" s="76" t="s">
        <v>384</v>
      </c>
      <c r="C137" s="50">
        <v>3.8062</v>
      </c>
      <c r="D137" s="50">
        <v>0.89239999999999997</v>
      </c>
      <c r="E137" s="50">
        <v>-0.1671</v>
      </c>
      <c r="F137" s="50">
        <v>0</v>
      </c>
      <c r="G137" s="50">
        <v>0</v>
      </c>
      <c r="H137" s="50">
        <v>0</v>
      </c>
      <c r="I137" s="78">
        <v>1.63</v>
      </c>
      <c r="J137" s="78">
        <v>1.66</v>
      </c>
      <c r="K137" s="92">
        <v>1</v>
      </c>
      <c r="L137" s="50">
        <v>10</v>
      </c>
      <c r="M137" s="79">
        <v>15</v>
      </c>
      <c r="N137" s="76"/>
    </row>
    <row r="138" spans="2:18" x14ac:dyDescent="0.2">
      <c r="B138" s="76" t="s">
        <v>385</v>
      </c>
      <c r="C138" s="50">
        <v>4.0335999999999999</v>
      </c>
      <c r="D138" s="50">
        <v>0.2341</v>
      </c>
      <c r="E138" s="50">
        <v>4.9700000000000001E-2</v>
      </c>
      <c r="F138" s="50">
        <v>-0.125</v>
      </c>
      <c r="G138" s="50">
        <v>0.15361</v>
      </c>
      <c r="H138" s="50">
        <v>-2.861E-2</v>
      </c>
      <c r="I138" s="78">
        <v>0.96</v>
      </c>
      <c r="J138" s="78">
        <v>1.21</v>
      </c>
      <c r="K138" s="50">
        <v>10</v>
      </c>
      <c r="L138" s="50">
        <v>10000</v>
      </c>
      <c r="M138" s="79">
        <v>100</v>
      </c>
      <c r="N138" s="124"/>
    </row>
    <row r="139" spans="2:18" x14ac:dyDescent="0.2">
      <c r="B139" s="76" t="s">
        <v>386</v>
      </c>
      <c r="C139" s="50">
        <v>3.9912000000000001</v>
      </c>
      <c r="D139" s="50">
        <v>6.6799999999999998E-2</v>
      </c>
      <c r="E139" s="50">
        <v>0.24299999999999999</v>
      </c>
      <c r="F139" s="50">
        <v>-0.40450000000000003</v>
      </c>
      <c r="G139" s="50">
        <v>0.18590000000000001</v>
      </c>
      <c r="H139" s="50">
        <v>0</v>
      </c>
      <c r="I139" s="78">
        <v>1.74</v>
      </c>
      <c r="J139" s="78">
        <v>1.55</v>
      </c>
      <c r="K139" s="50">
        <v>1</v>
      </c>
      <c r="L139" s="50">
        <v>100</v>
      </c>
      <c r="M139" s="79">
        <v>400</v>
      </c>
      <c r="N139" s="76"/>
    </row>
    <row r="140" spans="2:18" x14ac:dyDescent="0.2">
      <c r="B140" s="76" t="s">
        <v>387</v>
      </c>
      <c r="C140" s="50"/>
      <c r="D140" s="50"/>
      <c r="E140" s="50"/>
      <c r="F140" s="50">
        <v>-0.21149999999999999</v>
      </c>
      <c r="G140" s="50">
        <v>9.7170000000000006E-2</v>
      </c>
      <c r="H140" s="50">
        <v>0</v>
      </c>
      <c r="I140" s="78"/>
      <c r="J140" s="78"/>
      <c r="K140" s="50"/>
      <c r="L140" s="50"/>
      <c r="M140" s="79"/>
      <c r="N140" s="92"/>
    </row>
    <row r="141" spans="2:18" x14ac:dyDescent="0.2">
      <c r="B141" s="76" t="s">
        <v>388</v>
      </c>
      <c r="C141" s="50">
        <v>4.6561000000000003</v>
      </c>
      <c r="D141" s="50">
        <v>-0.29470000000000002</v>
      </c>
      <c r="E141" s="50">
        <v>0.22070000000000001</v>
      </c>
      <c r="F141" s="50">
        <v>0</v>
      </c>
      <c r="G141" s="50">
        <v>0</v>
      </c>
      <c r="H141" s="50">
        <v>0</v>
      </c>
      <c r="I141" s="78">
        <v>0.96</v>
      </c>
      <c r="J141" s="78">
        <v>1.21</v>
      </c>
      <c r="K141" s="50">
        <v>1</v>
      </c>
      <c r="L141" s="50">
        <v>100</v>
      </c>
      <c r="M141" s="79">
        <v>19</v>
      </c>
      <c r="N141" s="92"/>
    </row>
    <row r="142" spans="2:18" x14ac:dyDescent="0.2">
      <c r="B142" s="80" t="s">
        <v>389</v>
      </c>
      <c r="C142" s="54">
        <v>4.6656000000000004</v>
      </c>
      <c r="D142" s="54">
        <v>-0.15570000000000001</v>
      </c>
      <c r="E142" s="54">
        <v>0.1547</v>
      </c>
      <c r="F142" s="54">
        <v>0</v>
      </c>
      <c r="G142" s="54">
        <v>0</v>
      </c>
      <c r="H142" s="54">
        <v>0</v>
      </c>
      <c r="I142" s="82">
        <v>0.96</v>
      </c>
      <c r="J142" s="82">
        <v>1.21</v>
      </c>
      <c r="K142" s="54">
        <v>10</v>
      </c>
      <c r="L142" s="54">
        <v>1000</v>
      </c>
      <c r="M142" s="55">
        <v>19</v>
      </c>
      <c r="N142" s="92"/>
    </row>
    <row r="143" spans="2:18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92"/>
    </row>
    <row r="144" spans="2:18" ht="15.75" x14ac:dyDescent="0.3">
      <c r="B144" s="67" t="s">
        <v>390</v>
      </c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92"/>
    </row>
    <row r="145" spans="2:14" x14ac:dyDescent="0.2">
      <c r="B145" s="72"/>
      <c r="C145" s="52" t="s">
        <v>391</v>
      </c>
      <c r="D145" s="52" t="s">
        <v>343</v>
      </c>
      <c r="E145" s="52" t="s">
        <v>392</v>
      </c>
      <c r="F145" s="52" t="s">
        <v>343</v>
      </c>
      <c r="G145" s="52" t="s">
        <v>345</v>
      </c>
      <c r="H145" s="52" t="s">
        <v>343</v>
      </c>
      <c r="I145" s="52" t="s">
        <v>393</v>
      </c>
      <c r="J145" s="52" t="s">
        <v>343</v>
      </c>
      <c r="K145" s="73" t="s">
        <v>394</v>
      </c>
      <c r="L145" s="50"/>
      <c r="M145" s="50"/>
      <c r="N145" s="92"/>
    </row>
    <row r="146" spans="2:14" x14ac:dyDescent="0.2">
      <c r="B146" s="125" t="s">
        <v>395</v>
      </c>
      <c r="C146" s="50" t="s">
        <v>396</v>
      </c>
      <c r="D146" s="50" t="s">
        <v>392</v>
      </c>
      <c r="E146" s="50" t="s">
        <v>392</v>
      </c>
      <c r="F146" s="50" t="s">
        <v>345</v>
      </c>
      <c r="G146" s="50" t="s">
        <v>345</v>
      </c>
      <c r="H146" s="50" t="s">
        <v>393</v>
      </c>
      <c r="I146" s="50" t="s">
        <v>393</v>
      </c>
      <c r="J146" s="50" t="s">
        <v>394</v>
      </c>
      <c r="K146" s="79" t="s">
        <v>394</v>
      </c>
      <c r="L146" s="50"/>
      <c r="M146" s="50"/>
      <c r="N146" s="92"/>
    </row>
    <row r="147" spans="2:14" x14ac:dyDescent="0.2">
      <c r="B147" s="72" t="s">
        <v>373</v>
      </c>
      <c r="C147" s="87">
        <v>1</v>
      </c>
      <c r="D147" s="87">
        <v>1.35</v>
      </c>
      <c r="E147" s="87">
        <v>1.69</v>
      </c>
      <c r="F147" s="87">
        <v>1.81</v>
      </c>
      <c r="G147" s="87">
        <v>2.73</v>
      </c>
      <c r="H147" s="87">
        <v>2.68</v>
      </c>
      <c r="I147" s="87">
        <v>3.73</v>
      </c>
      <c r="J147" s="87">
        <v>4.63</v>
      </c>
      <c r="K147" s="85">
        <v>11.38</v>
      </c>
      <c r="L147" s="50"/>
      <c r="M147" s="50"/>
      <c r="N147" s="92"/>
    </row>
    <row r="148" spans="2:14" x14ac:dyDescent="0.2">
      <c r="B148" s="76" t="s">
        <v>376</v>
      </c>
      <c r="C148" s="78">
        <v>1</v>
      </c>
      <c r="D148" s="78">
        <v>1.35</v>
      </c>
      <c r="E148" s="78">
        <v>1.69</v>
      </c>
      <c r="F148" s="78">
        <v>1.81</v>
      </c>
      <c r="G148" s="78">
        <v>2.73</v>
      </c>
      <c r="H148" s="78">
        <v>2.68</v>
      </c>
      <c r="I148" s="78">
        <v>3.73</v>
      </c>
      <c r="J148" s="78">
        <v>4.63</v>
      </c>
      <c r="K148" s="89">
        <v>11.38</v>
      </c>
      <c r="L148" s="50"/>
      <c r="M148" s="50"/>
      <c r="N148" s="92"/>
    </row>
    <row r="149" spans="2:14" x14ac:dyDescent="0.2">
      <c r="B149" s="76" t="s">
        <v>377</v>
      </c>
      <c r="C149" s="78">
        <v>1</v>
      </c>
      <c r="D149" s="78">
        <v>1.35</v>
      </c>
      <c r="E149" s="78">
        <v>1.69</v>
      </c>
      <c r="F149" s="78">
        <v>1.81</v>
      </c>
      <c r="G149" s="78">
        <v>2.73</v>
      </c>
      <c r="H149" s="78">
        <v>2.68</v>
      </c>
      <c r="I149" s="78">
        <v>3.73</v>
      </c>
      <c r="J149" s="78">
        <v>4.63</v>
      </c>
      <c r="K149" s="89">
        <v>11.38</v>
      </c>
      <c r="L149" s="50"/>
      <c r="M149" s="50"/>
      <c r="N149" s="92"/>
    </row>
    <row r="150" spans="2:14" x14ac:dyDescent="0.2">
      <c r="B150" s="76" t="s">
        <v>379</v>
      </c>
      <c r="C150" s="78">
        <v>1</v>
      </c>
      <c r="D150" s="78">
        <v>1.35</v>
      </c>
      <c r="E150" s="78">
        <v>1.69</v>
      </c>
      <c r="F150" s="78">
        <v>1.81</v>
      </c>
      <c r="G150" s="78">
        <v>2.73</v>
      </c>
      <c r="H150" s="78">
        <v>2.68</v>
      </c>
      <c r="I150" s="78">
        <v>3.73</v>
      </c>
      <c r="J150" s="78">
        <v>4.63</v>
      </c>
      <c r="K150" s="89">
        <v>11.38</v>
      </c>
      <c r="L150" s="50"/>
      <c r="M150" s="50"/>
      <c r="N150" s="92"/>
    </row>
    <row r="151" spans="2:14" x14ac:dyDescent="0.2">
      <c r="B151" s="76" t="s">
        <v>381</v>
      </c>
      <c r="C151" s="78">
        <v>1</v>
      </c>
      <c r="D151" s="78">
        <v>1.35</v>
      </c>
      <c r="E151" s="78">
        <v>1.69</v>
      </c>
      <c r="F151" s="78">
        <v>1.81</v>
      </c>
      <c r="G151" s="78">
        <v>2.73</v>
      </c>
      <c r="H151" s="78">
        <v>2.68</v>
      </c>
      <c r="I151" s="78">
        <v>3.73</v>
      </c>
      <c r="J151" s="78">
        <v>4.63</v>
      </c>
      <c r="K151" s="89">
        <v>11.38</v>
      </c>
      <c r="L151" s="50"/>
      <c r="M151" s="50"/>
      <c r="N151" s="92"/>
    </row>
    <row r="152" spans="2:14" x14ac:dyDescent="0.2">
      <c r="B152" s="76" t="s">
        <v>382</v>
      </c>
      <c r="C152" s="78">
        <v>1</v>
      </c>
      <c r="D152" s="78">
        <v>1.35</v>
      </c>
      <c r="E152" s="78">
        <v>1.69</v>
      </c>
      <c r="F152" s="78">
        <v>1.81</v>
      </c>
      <c r="G152" s="78">
        <v>2.73</v>
      </c>
      <c r="H152" s="78">
        <v>2.68</v>
      </c>
      <c r="I152" s="78">
        <v>3.73</v>
      </c>
      <c r="J152" s="78">
        <v>4.63</v>
      </c>
      <c r="K152" s="89">
        <v>11.38</v>
      </c>
      <c r="L152" s="50"/>
      <c r="M152" s="50"/>
      <c r="N152" s="92"/>
    </row>
    <row r="153" spans="2:14" x14ac:dyDescent="0.2">
      <c r="B153" s="76" t="s">
        <v>383</v>
      </c>
      <c r="C153" s="78">
        <v>1</v>
      </c>
      <c r="D153" s="78">
        <v>1.35</v>
      </c>
      <c r="E153" s="78">
        <v>1.69</v>
      </c>
      <c r="F153" s="78">
        <v>1.81</v>
      </c>
      <c r="G153" s="78">
        <v>2.73</v>
      </c>
      <c r="H153" s="78">
        <v>2.68</v>
      </c>
      <c r="I153" s="78">
        <v>3.73</v>
      </c>
      <c r="J153" s="78">
        <v>4.63</v>
      </c>
      <c r="K153" s="89">
        <v>11.38</v>
      </c>
      <c r="L153" s="50"/>
      <c r="M153" s="50"/>
      <c r="N153" s="92"/>
    </row>
    <row r="154" spans="2:14" x14ac:dyDescent="0.2">
      <c r="B154" s="80" t="s">
        <v>397</v>
      </c>
      <c r="C154" s="82">
        <v>1</v>
      </c>
      <c r="D154" s="82">
        <v>1.35</v>
      </c>
      <c r="E154" s="82">
        <v>1.69</v>
      </c>
      <c r="F154" s="82">
        <v>1.81</v>
      </c>
      <c r="G154" s="82">
        <v>2.73</v>
      </c>
      <c r="H154" s="82">
        <v>2.68</v>
      </c>
      <c r="I154" s="82">
        <v>3.73</v>
      </c>
      <c r="J154" s="82">
        <v>4.63</v>
      </c>
      <c r="K154" s="90">
        <v>11.38</v>
      </c>
      <c r="L154" s="50"/>
      <c r="M154" s="50"/>
      <c r="N154" s="92"/>
    </row>
    <row r="155" spans="2:14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92"/>
    </row>
    <row r="156" spans="2:14" x14ac:dyDescent="0.2">
      <c r="B156" s="72"/>
      <c r="C156" s="126" t="s">
        <v>398</v>
      </c>
      <c r="D156" s="52"/>
      <c r="E156" s="52"/>
      <c r="F156" s="52"/>
      <c r="G156" s="73"/>
      <c r="H156" s="50"/>
      <c r="I156" s="50"/>
      <c r="J156" s="50"/>
      <c r="K156" s="50"/>
      <c r="L156" s="50"/>
      <c r="M156" s="50"/>
      <c r="N156" s="92"/>
    </row>
    <row r="157" spans="2:14" x14ac:dyDescent="0.2">
      <c r="B157" s="125" t="s">
        <v>395</v>
      </c>
      <c r="C157" s="54" t="s">
        <v>343</v>
      </c>
      <c r="D157" s="54" t="s">
        <v>392</v>
      </c>
      <c r="E157" s="54" t="s">
        <v>345</v>
      </c>
      <c r="F157" s="54" t="s">
        <v>393</v>
      </c>
      <c r="G157" s="55" t="s">
        <v>394</v>
      </c>
      <c r="H157" s="50"/>
      <c r="I157" s="50"/>
      <c r="J157" s="50"/>
      <c r="K157" s="50"/>
      <c r="L157" s="50"/>
      <c r="M157" s="50"/>
      <c r="N157" s="92"/>
    </row>
    <row r="158" spans="2:14" x14ac:dyDescent="0.2">
      <c r="B158" s="94" t="s">
        <v>399</v>
      </c>
      <c r="C158" s="96">
        <v>1</v>
      </c>
      <c r="D158" s="96">
        <v>1.2</v>
      </c>
      <c r="E158" s="96">
        <v>1.3</v>
      </c>
      <c r="F158" s="96">
        <v>1.4</v>
      </c>
      <c r="G158" s="70">
        <v>3.3</v>
      </c>
      <c r="H158" s="50"/>
      <c r="I158" s="50"/>
      <c r="J158" s="50"/>
      <c r="K158" s="50"/>
      <c r="L158" s="50"/>
      <c r="M158" s="50"/>
      <c r="N158" s="92"/>
    </row>
    <row r="159" spans="2:14" x14ac:dyDescent="0.2">
      <c r="C159" s="78"/>
      <c r="D159" s="78"/>
      <c r="E159" s="78"/>
      <c r="F159" s="78"/>
      <c r="G159" s="78"/>
      <c r="H159" s="50"/>
      <c r="I159" s="50"/>
      <c r="J159" s="50"/>
      <c r="K159" s="50"/>
      <c r="L159" s="50"/>
      <c r="M159" s="50"/>
      <c r="N159" s="92"/>
    </row>
    <row r="160" spans="2:14" x14ac:dyDescent="0.2">
      <c r="B160" s="72"/>
      <c r="C160" s="126" t="s">
        <v>400</v>
      </c>
      <c r="D160" s="52"/>
      <c r="E160" s="52"/>
      <c r="F160" s="52"/>
      <c r="G160" s="73"/>
      <c r="H160" s="50"/>
      <c r="I160" s="50"/>
      <c r="J160" s="50"/>
      <c r="K160" s="50"/>
      <c r="L160" s="50"/>
      <c r="M160" s="50"/>
      <c r="N160" s="92"/>
    </row>
    <row r="161" spans="2:14" x14ac:dyDescent="0.2">
      <c r="B161" s="125" t="s">
        <v>395</v>
      </c>
      <c r="C161" s="50" t="s">
        <v>343</v>
      </c>
      <c r="D161" s="50" t="s">
        <v>392</v>
      </c>
      <c r="E161" s="50" t="s">
        <v>345</v>
      </c>
      <c r="F161" s="50" t="s">
        <v>393</v>
      </c>
      <c r="G161" s="79" t="s">
        <v>394</v>
      </c>
      <c r="H161" s="50"/>
      <c r="I161" s="50"/>
      <c r="J161" s="50"/>
      <c r="K161" s="50"/>
      <c r="L161" s="50"/>
      <c r="M161" s="50"/>
      <c r="N161" s="92"/>
    </row>
    <row r="162" spans="2:14" x14ac:dyDescent="0.2">
      <c r="B162" s="72" t="s">
        <v>388</v>
      </c>
      <c r="C162" s="87">
        <v>1</v>
      </c>
      <c r="D162" s="87">
        <v>1.35</v>
      </c>
      <c r="E162" s="87">
        <v>2.4500000000000002</v>
      </c>
      <c r="F162" s="87">
        <v>2.68</v>
      </c>
      <c r="G162" s="85">
        <v>4.63</v>
      </c>
      <c r="H162" s="50"/>
      <c r="I162" s="50"/>
      <c r="J162" s="50"/>
      <c r="K162" s="50"/>
      <c r="L162" s="50"/>
      <c r="M162" s="50"/>
      <c r="N162" s="92"/>
    </row>
    <row r="163" spans="2:14" x14ac:dyDescent="0.2">
      <c r="B163" s="80" t="s">
        <v>389</v>
      </c>
      <c r="C163" s="82">
        <v>1</v>
      </c>
      <c r="D163" s="82">
        <v>1.35</v>
      </c>
      <c r="E163" s="82">
        <v>2.4500000000000002</v>
      </c>
      <c r="F163" s="82">
        <v>2.68</v>
      </c>
      <c r="G163" s="90">
        <v>4.63</v>
      </c>
      <c r="H163" s="50"/>
      <c r="I163" s="50"/>
      <c r="J163" s="50"/>
      <c r="K163" s="50"/>
      <c r="L163" s="50"/>
      <c r="M163" s="50"/>
      <c r="N163" s="92"/>
    </row>
    <row r="164" spans="2:14" x14ac:dyDescent="0.2"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92"/>
    </row>
    <row r="165" spans="2:14" x14ac:dyDescent="0.2">
      <c r="B165" s="72"/>
      <c r="C165" s="126" t="s">
        <v>401</v>
      </c>
      <c r="D165" s="52"/>
      <c r="E165" s="73"/>
      <c r="F165" s="50"/>
      <c r="G165" s="50"/>
      <c r="H165" s="50"/>
      <c r="I165" s="50"/>
      <c r="J165" s="50"/>
      <c r="M165" s="50"/>
      <c r="N165" s="92"/>
    </row>
    <row r="166" spans="2:14" x14ac:dyDescent="0.2">
      <c r="B166" s="125" t="s">
        <v>395</v>
      </c>
      <c r="C166" s="54" t="s">
        <v>343</v>
      </c>
      <c r="D166" s="54" t="s">
        <v>402</v>
      </c>
      <c r="E166" s="55" t="s">
        <v>345</v>
      </c>
      <c r="F166" s="50"/>
      <c r="G166" s="50"/>
      <c r="H166" s="50"/>
      <c r="I166" s="50"/>
      <c r="J166" s="50"/>
      <c r="K166" s="50"/>
      <c r="L166" s="50"/>
      <c r="M166" s="50"/>
      <c r="N166" s="92"/>
    </row>
    <row r="167" spans="2:14" x14ac:dyDescent="0.2">
      <c r="B167" s="94" t="s">
        <v>385</v>
      </c>
      <c r="C167" s="96">
        <v>1</v>
      </c>
      <c r="D167" s="96">
        <v>1.42</v>
      </c>
      <c r="E167" s="70">
        <v>2.93</v>
      </c>
      <c r="F167" s="50"/>
      <c r="G167" s="50"/>
      <c r="H167" s="50"/>
      <c r="I167" s="50"/>
      <c r="J167" s="50"/>
      <c r="K167" s="50"/>
      <c r="L167" s="50"/>
      <c r="M167" s="50"/>
      <c r="N167" s="92"/>
    </row>
    <row r="168" spans="2:14" x14ac:dyDescent="0.2">
      <c r="C168" s="78"/>
      <c r="D168" s="78"/>
      <c r="E168" s="78"/>
      <c r="F168" s="50"/>
      <c r="G168" s="50"/>
      <c r="H168" s="50"/>
      <c r="I168" s="50"/>
      <c r="J168" s="50"/>
      <c r="K168" s="50"/>
      <c r="L168" s="50"/>
      <c r="M168" s="50"/>
      <c r="N168" s="92"/>
    </row>
    <row r="169" spans="2:14" x14ac:dyDescent="0.2">
      <c r="C169" s="78"/>
      <c r="D169" s="78"/>
      <c r="E169" s="78"/>
      <c r="F169" s="50"/>
      <c r="G169" s="50"/>
      <c r="H169" s="50"/>
      <c r="I169" s="50"/>
      <c r="J169" s="50"/>
      <c r="K169" s="50"/>
      <c r="L169" s="50"/>
      <c r="M169" s="50"/>
      <c r="N169" s="92"/>
    </row>
    <row r="170" spans="2:14" x14ac:dyDescent="0.2">
      <c r="B170" s="177" t="s">
        <v>403</v>
      </c>
      <c r="D170" s="77"/>
      <c r="E170" s="77"/>
      <c r="G170" s="78"/>
      <c r="H170" s="50"/>
      <c r="I170" s="50"/>
      <c r="J170" s="50"/>
      <c r="K170" s="50"/>
      <c r="L170" s="50"/>
      <c r="M170" s="50"/>
      <c r="N170" s="92"/>
    </row>
    <row r="171" spans="2:14" ht="16.5" x14ac:dyDescent="0.3">
      <c r="B171" s="68" t="s">
        <v>404</v>
      </c>
      <c r="C171" s="69" t="s">
        <v>249</v>
      </c>
      <c r="D171" s="69" t="s">
        <v>250</v>
      </c>
      <c r="E171" s="69" t="s">
        <v>251</v>
      </c>
      <c r="F171" s="69" t="s">
        <v>405</v>
      </c>
      <c r="G171" s="70" t="s">
        <v>406</v>
      </c>
      <c r="H171" s="71" t="s">
        <v>254</v>
      </c>
      <c r="I171" s="50"/>
      <c r="J171" s="50"/>
      <c r="K171" s="50"/>
      <c r="L171" s="50"/>
      <c r="M171" s="50"/>
      <c r="N171" s="92"/>
    </row>
    <row r="172" spans="2:14" x14ac:dyDescent="0.2">
      <c r="B172" s="72" t="s">
        <v>407</v>
      </c>
      <c r="C172" s="86">
        <v>3.8511000000000002</v>
      </c>
      <c r="D172" s="86">
        <f>1-0.2991</f>
        <v>0.70090000000000008</v>
      </c>
      <c r="E172" s="86">
        <v>-2.9999999999999997E-4</v>
      </c>
      <c r="F172" s="87">
        <v>5</v>
      </c>
      <c r="G172" s="85">
        <v>150</v>
      </c>
      <c r="H172" s="74">
        <v>1.38</v>
      </c>
      <c r="I172" s="50"/>
      <c r="J172" s="50"/>
      <c r="K172" s="50"/>
      <c r="L172" s="50"/>
      <c r="M172" s="50"/>
      <c r="N172" s="92"/>
    </row>
    <row r="173" spans="2:14" x14ac:dyDescent="0.2">
      <c r="B173" s="76" t="s">
        <v>408</v>
      </c>
      <c r="C173" s="77">
        <v>4.3207000000000004</v>
      </c>
      <c r="D173" s="77">
        <f>1-0.9641</f>
        <v>3.5900000000000043E-2</v>
      </c>
      <c r="E173" s="77">
        <v>0.1346</v>
      </c>
      <c r="F173" s="78">
        <v>5</v>
      </c>
      <c r="G173" s="89">
        <v>500</v>
      </c>
      <c r="H173" s="74">
        <v>1.38</v>
      </c>
      <c r="I173" s="50"/>
      <c r="J173" s="50"/>
      <c r="K173" s="50"/>
      <c r="L173" s="50"/>
      <c r="M173" s="50"/>
      <c r="N173" s="92"/>
    </row>
    <row r="174" spans="2:14" x14ac:dyDescent="0.2">
      <c r="B174" s="80" t="s">
        <v>409</v>
      </c>
      <c r="C174" s="81">
        <v>3.4091999999999998</v>
      </c>
      <c r="D174" s="81">
        <f>1-0.5104</f>
        <v>0.48960000000000004</v>
      </c>
      <c r="E174" s="81">
        <v>3.0000000000000001E-3</v>
      </c>
      <c r="F174" s="82">
        <v>5</v>
      </c>
      <c r="G174" s="90">
        <v>150</v>
      </c>
      <c r="H174" s="83">
        <v>1.38</v>
      </c>
      <c r="I174" s="50"/>
      <c r="J174" s="50"/>
      <c r="K174" s="50"/>
      <c r="L174" s="50"/>
      <c r="M174" s="50"/>
      <c r="N174" s="92"/>
    </row>
    <row r="175" spans="2:14" x14ac:dyDescent="0.2">
      <c r="C175" s="78"/>
      <c r="D175" s="78"/>
      <c r="E175" s="78"/>
      <c r="F175" s="50"/>
      <c r="G175" s="50"/>
      <c r="H175" s="50"/>
      <c r="I175" s="50"/>
      <c r="J175" s="50"/>
      <c r="K175" s="50"/>
      <c r="L175" s="50"/>
      <c r="M175" s="50"/>
      <c r="N175" s="92"/>
    </row>
    <row r="176" spans="2:14" x14ac:dyDescent="0.2">
      <c r="C176" s="78"/>
      <c r="D176" s="78"/>
      <c r="E176" s="78"/>
      <c r="F176" s="50"/>
      <c r="G176" s="50"/>
      <c r="H176" s="50"/>
      <c r="I176" s="50"/>
      <c r="J176" s="50"/>
      <c r="K176" s="50"/>
      <c r="L176" s="50"/>
      <c r="M176" s="50"/>
      <c r="N176" s="92"/>
    </row>
    <row r="177" spans="2:19" x14ac:dyDescent="0.2">
      <c r="B177" s="177" t="s">
        <v>410</v>
      </c>
      <c r="C177" s="180"/>
      <c r="D177" s="180"/>
      <c r="E177" s="50"/>
      <c r="F177" s="50"/>
      <c r="G177" s="50"/>
      <c r="H177" s="50"/>
      <c r="I177" s="50"/>
      <c r="J177" s="50"/>
      <c r="K177" s="50"/>
      <c r="L177" s="50"/>
      <c r="M177" s="50"/>
      <c r="N177" s="92"/>
    </row>
    <row r="178" spans="2:19" ht="16.5" x14ac:dyDescent="0.3">
      <c r="B178" s="68" t="s">
        <v>411</v>
      </c>
      <c r="C178" s="69" t="s">
        <v>249</v>
      </c>
      <c r="D178" s="69" t="s">
        <v>250</v>
      </c>
      <c r="E178" s="69" t="s">
        <v>251</v>
      </c>
      <c r="F178" s="69" t="s">
        <v>316</v>
      </c>
      <c r="G178" s="69" t="s">
        <v>317</v>
      </c>
      <c r="H178" s="69" t="s">
        <v>318</v>
      </c>
      <c r="I178" s="69" t="s">
        <v>371</v>
      </c>
      <c r="J178" s="69" t="s">
        <v>372</v>
      </c>
      <c r="K178" s="69" t="s">
        <v>412</v>
      </c>
      <c r="L178" s="69" t="s">
        <v>413</v>
      </c>
      <c r="M178" s="69" t="s">
        <v>414</v>
      </c>
      <c r="N178" s="69" t="s">
        <v>415</v>
      </c>
      <c r="O178" s="69" t="s">
        <v>416</v>
      </c>
      <c r="P178" s="69" t="s">
        <v>417</v>
      </c>
      <c r="Q178" s="69" t="s">
        <v>321</v>
      </c>
      <c r="R178" s="69" t="s">
        <v>271</v>
      </c>
      <c r="S178" s="98" t="s">
        <v>272</v>
      </c>
    </row>
    <row r="179" spans="2:19" x14ac:dyDescent="0.2">
      <c r="B179" s="72" t="s">
        <v>418</v>
      </c>
      <c r="C179" s="52">
        <v>3.3892000000000002</v>
      </c>
      <c r="D179" s="52">
        <v>5.3600000000000002E-2</v>
      </c>
      <c r="E179" s="52">
        <v>0.15379999999999999</v>
      </c>
      <c r="F179" s="52">
        <v>-0.39350000000000002</v>
      </c>
      <c r="G179" s="52">
        <v>0.3957</v>
      </c>
      <c r="H179" s="52">
        <v>-2.2599999999999999E-3</v>
      </c>
      <c r="I179" s="87">
        <v>1.89</v>
      </c>
      <c r="J179" s="52">
        <v>1.35</v>
      </c>
      <c r="K179" s="91">
        <v>1</v>
      </c>
      <c r="L179" s="91">
        <v>1.55</v>
      </c>
      <c r="M179" s="91" t="s">
        <v>419</v>
      </c>
      <c r="N179" s="91">
        <v>2.2799999999999998</v>
      </c>
      <c r="O179" s="91">
        <v>4.3600000000000003</v>
      </c>
      <c r="P179" s="50" t="s">
        <v>419</v>
      </c>
      <c r="Q179" s="50">
        <v>100</v>
      </c>
      <c r="R179" s="50">
        <v>1</v>
      </c>
      <c r="S179" s="79">
        <v>300</v>
      </c>
    </row>
    <row r="180" spans="2:19" x14ac:dyDescent="0.2">
      <c r="B180" s="76" t="s">
        <v>420</v>
      </c>
      <c r="C180" s="77">
        <v>3.4771000000000001</v>
      </c>
      <c r="D180" s="77">
        <v>0.13500000000000001</v>
      </c>
      <c r="E180" s="120">
        <v>0.14380000000000001</v>
      </c>
      <c r="F180" s="50">
        <v>-0.24538199999999999</v>
      </c>
      <c r="G180" s="50">
        <v>0.25901600000000002</v>
      </c>
      <c r="H180" s="50">
        <v>-1.363E-2</v>
      </c>
      <c r="I180" s="78">
        <v>1.89</v>
      </c>
      <c r="J180" s="78">
        <v>1.35</v>
      </c>
      <c r="K180" s="92">
        <v>1</v>
      </c>
      <c r="L180" s="92">
        <v>1.41</v>
      </c>
      <c r="M180" s="92">
        <v>1.28</v>
      </c>
      <c r="N180" s="92">
        <v>2.67</v>
      </c>
      <c r="O180" s="92">
        <v>4.74</v>
      </c>
      <c r="P180" s="92">
        <v>10.66</v>
      </c>
      <c r="Q180" s="50">
        <v>100</v>
      </c>
      <c r="R180" s="50">
        <v>1</v>
      </c>
      <c r="S180" s="79">
        <v>100</v>
      </c>
    </row>
    <row r="181" spans="2:19" x14ac:dyDescent="0.2">
      <c r="B181" s="80" t="s">
        <v>421</v>
      </c>
      <c r="C181" s="81">
        <v>3.8696000000000002</v>
      </c>
      <c r="D181" s="81">
        <v>0.31609999999999999</v>
      </c>
      <c r="E181" s="118">
        <v>0.122</v>
      </c>
      <c r="F181" s="81">
        <v>-0.24538199999999999</v>
      </c>
      <c r="G181" s="81">
        <v>0.25901600000000002</v>
      </c>
      <c r="H181" s="81">
        <v>-1.363E-2</v>
      </c>
      <c r="I181" s="82">
        <v>1.89</v>
      </c>
      <c r="J181" s="82">
        <v>1.35</v>
      </c>
      <c r="K181" s="93">
        <v>1</v>
      </c>
      <c r="L181" s="93">
        <v>1.46</v>
      </c>
      <c r="M181" s="93">
        <v>1.28</v>
      </c>
      <c r="N181" s="93">
        <v>2.35</v>
      </c>
      <c r="O181" s="93">
        <v>3.95</v>
      </c>
      <c r="P181" s="93">
        <v>6.44</v>
      </c>
      <c r="Q181" s="54">
        <v>100</v>
      </c>
      <c r="R181" s="54">
        <v>0.1</v>
      </c>
      <c r="S181" s="55">
        <v>200</v>
      </c>
    </row>
    <row r="184" spans="2:19" x14ac:dyDescent="0.2">
      <c r="B184" s="177" t="s">
        <v>422</v>
      </c>
      <c r="D184" s="77"/>
      <c r="E184" s="77"/>
      <c r="G184" s="78"/>
    </row>
    <row r="185" spans="2:19" ht="16.5" x14ac:dyDescent="0.3">
      <c r="B185" s="68" t="s">
        <v>423</v>
      </c>
      <c r="C185" s="69" t="s">
        <v>249</v>
      </c>
      <c r="D185" s="69" t="s">
        <v>250</v>
      </c>
      <c r="E185" s="69" t="s">
        <v>251</v>
      </c>
      <c r="F185" s="69" t="s">
        <v>252</v>
      </c>
      <c r="G185" s="70" t="s">
        <v>253</v>
      </c>
      <c r="H185" s="71" t="s">
        <v>254</v>
      </c>
    </row>
    <row r="186" spans="2:19" ht="16.5" x14ac:dyDescent="0.3">
      <c r="B186" s="72" t="s">
        <v>424</v>
      </c>
      <c r="C186" s="86">
        <v>4.5587</v>
      </c>
      <c r="D186" s="86">
        <v>0.29859999999999998</v>
      </c>
      <c r="E186" s="86">
        <v>2E-3</v>
      </c>
      <c r="F186" s="87">
        <v>1</v>
      </c>
      <c r="G186" s="85">
        <v>15</v>
      </c>
      <c r="H186" s="127">
        <v>4</v>
      </c>
      <c r="I186" s="99"/>
    </row>
    <row r="187" spans="2:19" ht="16.5" x14ac:dyDescent="0.3">
      <c r="B187" s="76" t="s">
        <v>425</v>
      </c>
      <c r="C187" s="77">
        <v>4.1052</v>
      </c>
      <c r="D187" s="77">
        <v>0.53200000000000003</v>
      </c>
      <c r="E187" s="77">
        <v>-5.0000000000000001E-4</v>
      </c>
      <c r="F187" s="78">
        <v>0.1</v>
      </c>
      <c r="G187" s="89">
        <v>35</v>
      </c>
      <c r="H187" s="127">
        <v>4</v>
      </c>
      <c r="I187" s="99"/>
    </row>
    <row r="188" spans="2:19" ht="16.5" x14ac:dyDescent="0.3">
      <c r="B188" s="76" t="s">
        <v>426</v>
      </c>
      <c r="C188" s="77">
        <v>3.7957000000000001</v>
      </c>
      <c r="D188" s="77">
        <v>0.45929999999999999</v>
      </c>
      <c r="E188" s="77">
        <v>1.6E-2</v>
      </c>
      <c r="F188" s="78">
        <v>7.0000000000000007E-2</v>
      </c>
      <c r="G188" s="89">
        <v>1</v>
      </c>
      <c r="H188" s="127">
        <v>4</v>
      </c>
      <c r="I188" s="99"/>
    </row>
    <row r="189" spans="2:19" ht="16.5" x14ac:dyDescent="0.3">
      <c r="B189" s="76" t="s">
        <v>427</v>
      </c>
      <c r="C189" s="77">
        <v>4.1052</v>
      </c>
      <c r="D189" s="77">
        <v>0.53200000000000003</v>
      </c>
      <c r="E189" s="77">
        <v>-5.0000000000000001E-4</v>
      </c>
      <c r="F189" s="78">
        <v>0.1</v>
      </c>
      <c r="G189" s="89">
        <v>35</v>
      </c>
      <c r="H189" s="127">
        <v>4</v>
      </c>
      <c r="I189" s="99"/>
    </row>
    <row r="190" spans="2:19" ht="16.5" x14ac:dyDescent="0.3">
      <c r="B190" s="76" t="s">
        <v>428</v>
      </c>
      <c r="C190" s="77">
        <v>3.3496000000000001</v>
      </c>
      <c r="D190" s="77">
        <v>0.72350000000000003</v>
      </c>
      <c r="E190" s="77">
        <v>2.5000000000000001E-3</v>
      </c>
      <c r="F190" s="78">
        <v>5</v>
      </c>
      <c r="G190" s="89">
        <v>45</v>
      </c>
      <c r="H190" s="127">
        <v>4</v>
      </c>
      <c r="I190" s="99"/>
    </row>
    <row r="191" spans="2:19" ht="16.5" x14ac:dyDescent="0.3">
      <c r="B191" s="80" t="s">
        <v>429</v>
      </c>
      <c r="C191" s="81">
        <v>4.7115999999999998</v>
      </c>
      <c r="D191" s="81">
        <v>0.44790000000000002</v>
      </c>
      <c r="E191" s="81">
        <v>4.0000000000000002E-4</v>
      </c>
      <c r="F191" s="82">
        <v>0.04</v>
      </c>
      <c r="G191" s="90">
        <v>6</v>
      </c>
      <c r="H191" s="128">
        <v>4</v>
      </c>
      <c r="I191" s="99"/>
      <c r="K191" s="115"/>
    </row>
    <row r="192" spans="2:19" x14ac:dyDescent="0.2">
      <c r="C192" s="77"/>
      <c r="D192" s="77"/>
      <c r="E192" s="77"/>
      <c r="F192" s="78"/>
      <c r="G192" s="78"/>
    </row>
    <row r="193" spans="2:9" x14ac:dyDescent="0.2">
      <c r="D193" s="77"/>
      <c r="E193" s="77"/>
      <c r="G193" s="78"/>
    </row>
    <row r="194" spans="2:9" x14ac:dyDescent="0.2">
      <c r="B194" s="177" t="s">
        <v>430</v>
      </c>
      <c r="D194" s="77"/>
      <c r="E194" s="77"/>
      <c r="G194" s="78"/>
    </row>
    <row r="195" spans="2:9" ht="16.5" x14ac:dyDescent="0.3">
      <c r="B195" s="68" t="s">
        <v>431</v>
      </c>
      <c r="C195" s="69" t="s">
        <v>249</v>
      </c>
      <c r="D195" s="69" t="s">
        <v>250</v>
      </c>
      <c r="E195" s="69" t="s">
        <v>251</v>
      </c>
      <c r="F195" s="69" t="s">
        <v>278</v>
      </c>
      <c r="G195" s="70" t="s">
        <v>279</v>
      </c>
      <c r="H195" s="71" t="s">
        <v>254</v>
      </c>
    </row>
    <row r="196" spans="2:9" ht="16.5" x14ac:dyDescent="0.3">
      <c r="B196" s="72" t="s">
        <v>432</v>
      </c>
      <c r="C196" s="86">
        <v>3.8050000000000002</v>
      </c>
      <c r="D196" s="86">
        <f>1-0.4144</f>
        <v>0.58560000000000001</v>
      </c>
      <c r="E196" s="86">
        <v>0.21199999999999999</v>
      </c>
      <c r="F196" s="87">
        <v>0.3</v>
      </c>
      <c r="G196" s="85">
        <v>6</v>
      </c>
      <c r="H196" s="74">
        <v>1.34</v>
      </c>
      <c r="I196" s="99"/>
    </row>
    <row r="197" spans="2:9" ht="16.5" x14ac:dyDescent="0.3">
      <c r="B197" s="76" t="s">
        <v>257</v>
      </c>
      <c r="C197" s="77">
        <v>4.0484999999999998</v>
      </c>
      <c r="D197" s="77">
        <f>1-0.8882</f>
        <v>0.11180000000000001</v>
      </c>
      <c r="E197" s="77">
        <v>0.32600000000000001</v>
      </c>
      <c r="F197" s="78">
        <v>0.3</v>
      </c>
      <c r="G197" s="89">
        <v>15</v>
      </c>
      <c r="H197" s="74">
        <v>1.34</v>
      </c>
      <c r="I197" s="99"/>
    </row>
    <row r="198" spans="2:9" ht="16.5" x14ac:dyDescent="0.3">
      <c r="B198" s="76" t="s">
        <v>433</v>
      </c>
      <c r="C198" s="77">
        <v>3.8218999999999999</v>
      </c>
      <c r="D198" s="77">
        <v>1.0367999999999999</v>
      </c>
      <c r="E198" s="77">
        <v>-0.60499999999999998</v>
      </c>
      <c r="F198" s="78">
        <v>2</v>
      </c>
      <c r="G198" s="89">
        <v>11</v>
      </c>
      <c r="H198" s="74">
        <v>1.34</v>
      </c>
      <c r="I198" s="99"/>
    </row>
    <row r="199" spans="2:9" ht="16.5" x14ac:dyDescent="0.3">
      <c r="B199" s="80" t="s">
        <v>434</v>
      </c>
      <c r="C199" s="81">
        <v>4.0484999999999998</v>
      </c>
      <c r="D199" s="81">
        <f>1-0.8882</f>
        <v>0.11180000000000001</v>
      </c>
      <c r="E199" s="81">
        <v>0.32600000000000001</v>
      </c>
      <c r="F199" s="82">
        <v>0.3</v>
      </c>
      <c r="G199" s="90">
        <v>15</v>
      </c>
      <c r="H199" s="83">
        <v>1.34</v>
      </c>
      <c r="I199" s="99"/>
    </row>
    <row r="202" spans="2:9" x14ac:dyDescent="0.2">
      <c r="B202" s="177" t="s">
        <v>435</v>
      </c>
    </row>
    <row r="203" spans="2:9" ht="15.75" x14ac:dyDescent="0.3">
      <c r="B203" s="68" t="s">
        <v>436</v>
      </c>
      <c r="C203" s="69" t="s">
        <v>249</v>
      </c>
      <c r="D203" s="69" t="s">
        <v>250</v>
      </c>
      <c r="E203" s="69" t="s">
        <v>251</v>
      </c>
      <c r="F203" s="69" t="s">
        <v>371</v>
      </c>
      <c r="G203" s="69" t="s">
        <v>372</v>
      </c>
      <c r="H203" s="69" t="s">
        <v>319</v>
      </c>
      <c r="I203" s="98" t="s">
        <v>320</v>
      </c>
    </row>
    <row r="204" spans="2:9" x14ac:dyDescent="0.2">
      <c r="B204" s="72" t="s">
        <v>437</v>
      </c>
      <c r="C204" s="52">
        <v>4.8509000000000002</v>
      </c>
      <c r="D204" s="52">
        <v>-0.39729999999999999</v>
      </c>
      <c r="E204" s="52">
        <v>0.14449999999999999</v>
      </c>
      <c r="F204" s="87">
        <v>1.1000000000000001</v>
      </c>
      <c r="G204" s="52">
        <v>0</v>
      </c>
      <c r="H204" s="52">
        <v>90</v>
      </c>
      <c r="I204" s="73">
        <v>30000</v>
      </c>
    </row>
    <row r="205" spans="2:9" x14ac:dyDescent="0.2">
      <c r="B205" s="80" t="s">
        <v>438</v>
      </c>
      <c r="C205" s="54">
        <v>5.9566999999999997</v>
      </c>
      <c r="D205" s="54">
        <v>-0.75849999999999995</v>
      </c>
      <c r="E205" s="54">
        <v>0.1749</v>
      </c>
      <c r="F205" s="82">
        <v>1.1000000000000001</v>
      </c>
      <c r="G205" s="82">
        <v>0</v>
      </c>
      <c r="H205" s="54">
        <v>1000</v>
      </c>
      <c r="I205" s="55">
        <v>40000</v>
      </c>
    </row>
    <row r="208" spans="2:9" x14ac:dyDescent="0.2">
      <c r="B208" s="177" t="s">
        <v>439</v>
      </c>
    </row>
    <row r="209" spans="2:13" ht="16.5" x14ac:dyDescent="0.3">
      <c r="B209" s="68" t="s">
        <v>440</v>
      </c>
      <c r="C209" s="69" t="s">
        <v>249</v>
      </c>
      <c r="D209" s="69" t="s">
        <v>250</v>
      </c>
      <c r="E209" s="69" t="s">
        <v>251</v>
      </c>
      <c r="F209" s="69" t="s">
        <v>441</v>
      </c>
      <c r="G209" s="69" t="s">
        <v>268</v>
      </c>
      <c r="H209" s="69" t="s">
        <v>442</v>
      </c>
      <c r="I209" s="69" t="s">
        <v>269</v>
      </c>
      <c r="J209" s="69" t="s">
        <v>270</v>
      </c>
      <c r="K209" s="69" t="s">
        <v>443</v>
      </c>
      <c r="L209" s="69" t="s">
        <v>271</v>
      </c>
      <c r="M209" s="98" t="s">
        <v>272</v>
      </c>
    </row>
    <row r="210" spans="2:13" x14ac:dyDescent="0.2">
      <c r="B210" s="76" t="s">
        <v>274</v>
      </c>
      <c r="C210" s="50">
        <v>2.7050999999999998</v>
      </c>
      <c r="D210" s="50">
        <v>1.4398</v>
      </c>
      <c r="E210" s="77">
        <v>-0.17760000000000001</v>
      </c>
      <c r="F210" s="50" t="s">
        <v>419</v>
      </c>
      <c r="G210" s="50">
        <v>3.5</v>
      </c>
      <c r="H210" s="50" t="s">
        <v>419</v>
      </c>
      <c r="I210" s="92">
        <v>6.13</v>
      </c>
      <c r="J210" s="92">
        <v>11.66</v>
      </c>
      <c r="K210" s="50" t="s">
        <v>419</v>
      </c>
      <c r="L210" s="50">
        <v>100</v>
      </c>
      <c r="M210" s="79">
        <v>4000</v>
      </c>
    </row>
    <row r="211" spans="2:13" x14ac:dyDescent="0.2">
      <c r="B211" s="80" t="s">
        <v>444</v>
      </c>
      <c r="C211" s="54">
        <v>2.2475999999999998</v>
      </c>
      <c r="D211" s="54">
        <v>1.4964999999999999</v>
      </c>
      <c r="E211" s="81">
        <v>-0.1618</v>
      </c>
      <c r="F211" s="54" t="s">
        <v>419</v>
      </c>
      <c r="G211" s="93">
        <v>3.5</v>
      </c>
      <c r="H211" s="54" t="s">
        <v>419</v>
      </c>
      <c r="I211" s="93">
        <v>6.13</v>
      </c>
      <c r="J211" s="93">
        <v>11.66</v>
      </c>
      <c r="K211" s="54" t="s">
        <v>419</v>
      </c>
      <c r="L211" s="54">
        <v>100</v>
      </c>
      <c r="M211" s="55">
        <v>1500</v>
      </c>
    </row>
    <row r="213" spans="2:13" x14ac:dyDescent="0.2">
      <c r="B213" s="177" t="s">
        <v>445</v>
      </c>
      <c r="L213" s="101"/>
      <c r="M213" s="101"/>
    </row>
    <row r="214" spans="2:13" x14ac:dyDescent="0.2">
      <c r="B214" s="72"/>
      <c r="C214" s="110"/>
      <c r="D214" s="110"/>
      <c r="E214" s="110"/>
      <c r="F214" s="110"/>
      <c r="G214" s="110"/>
      <c r="H214" s="110"/>
      <c r="I214" s="110"/>
      <c r="J214" s="110"/>
      <c r="K214" s="112"/>
      <c r="L214" s="101"/>
      <c r="M214" s="101"/>
    </row>
    <row r="215" spans="2:13" ht="15.75" x14ac:dyDescent="0.3">
      <c r="B215" s="113" t="s">
        <v>446</v>
      </c>
      <c r="C215" s="54" t="s">
        <v>249</v>
      </c>
      <c r="D215" s="54" t="s">
        <v>250</v>
      </c>
      <c r="E215" s="54" t="s">
        <v>251</v>
      </c>
      <c r="F215" s="54" t="s">
        <v>447</v>
      </c>
      <c r="G215" s="54" t="s">
        <v>448</v>
      </c>
      <c r="H215" s="54" t="s">
        <v>321</v>
      </c>
      <c r="I215" s="54" t="s">
        <v>316</v>
      </c>
      <c r="J215" s="54" t="s">
        <v>317</v>
      </c>
      <c r="K215" s="55" t="s">
        <v>318</v>
      </c>
    </row>
    <row r="216" spans="2:13" x14ac:dyDescent="0.2">
      <c r="B216" s="72" t="s">
        <v>449</v>
      </c>
      <c r="C216" s="52">
        <v>3.8751000000000002</v>
      </c>
      <c r="D216" s="52">
        <v>0.33279999999999998</v>
      </c>
      <c r="E216" s="52">
        <v>0.19009999999999999</v>
      </c>
      <c r="F216" s="52">
        <v>1</v>
      </c>
      <c r="G216" s="52">
        <v>100</v>
      </c>
      <c r="H216" s="52">
        <v>320</v>
      </c>
      <c r="I216" s="52">
        <v>0.1578</v>
      </c>
      <c r="J216" s="52">
        <v>-0.29920000000000002</v>
      </c>
      <c r="K216" s="73">
        <v>0.14130000000000001</v>
      </c>
    </row>
    <row r="217" spans="2:13" x14ac:dyDescent="0.2">
      <c r="B217" s="76" t="s">
        <v>450</v>
      </c>
      <c r="C217" s="50">
        <v>4.0380000000000003</v>
      </c>
      <c r="D217" s="50">
        <v>9.1420000000000001E-2</v>
      </c>
      <c r="E217" s="50">
        <v>0.27660000000000001</v>
      </c>
      <c r="F217" s="50">
        <v>1</v>
      </c>
      <c r="G217" s="50">
        <v>100</v>
      </c>
      <c r="H217" s="50">
        <v>320</v>
      </c>
      <c r="I217" s="50">
        <v>0.1578</v>
      </c>
      <c r="J217" s="50">
        <v>-0.29920000000000002</v>
      </c>
      <c r="K217" s="79">
        <v>0.14130000000000001</v>
      </c>
    </row>
    <row r="218" spans="2:13" x14ac:dyDescent="0.2">
      <c r="B218" s="80" t="s">
        <v>451</v>
      </c>
      <c r="C218" s="54">
        <v>4.0380000000000003</v>
      </c>
      <c r="D218" s="54">
        <v>9.1420000000000001E-2</v>
      </c>
      <c r="E218" s="54">
        <v>0.27660000000000001</v>
      </c>
      <c r="F218" s="54">
        <v>1</v>
      </c>
      <c r="G218" s="54">
        <v>100</v>
      </c>
      <c r="H218" s="54">
        <v>320</v>
      </c>
      <c r="I218" s="54">
        <v>0.1578</v>
      </c>
      <c r="J218" s="54">
        <v>-0.29920000000000002</v>
      </c>
      <c r="K218" s="55">
        <v>0.14130000000000001</v>
      </c>
      <c r="L218" s="50"/>
    </row>
    <row r="220" spans="2:13" ht="15.75" x14ac:dyDescent="0.3">
      <c r="B220" s="72"/>
      <c r="C220" s="110"/>
      <c r="D220" s="110" t="s">
        <v>452</v>
      </c>
      <c r="E220" s="110"/>
      <c r="F220" s="110"/>
      <c r="G220" s="110"/>
      <c r="H220" s="110"/>
      <c r="I220" s="110"/>
      <c r="J220" s="110"/>
      <c r="K220" s="110"/>
      <c r="L220" s="112"/>
    </row>
    <row r="221" spans="2:13" x14ac:dyDescent="0.2">
      <c r="B221" s="113" t="s">
        <v>446</v>
      </c>
      <c r="C221" s="54" t="s">
        <v>343</v>
      </c>
      <c r="D221" s="54" t="s">
        <v>392</v>
      </c>
      <c r="E221" s="54" t="s">
        <v>453</v>
      </c>
      <c r="F221" s="54" t="s">
        <v>454</v>
      </c>
      <c r="G221" s="54" t="s">
        <v>345</v>
      </c>
      <c r="H221" s="54" t="s">
        <v>455</v>
      </c>
      <c r="I221" s="54" t="s">
        <v>456</v>
      </c>
      <c r="J221" s="54" t="s">
        <v>457</v>
      </c>
      <c r="K221" s="54" t="s">
        <v>394</v>
      </c>
      <c r="L221" s="55" t="s">
        <v>458</v>
      </c>
    </row>
    <row r="222" spans="2:13" x14ac:dyDescent="0.2">
      <c r="B222" s="76" t="s">
        <v>449</v>
      </c>
      <c r="C222" s="92">
        <v>2.74</v>
      </c>
      <c r="D222" s="92">
        <v>3.43</v>
      </c>
      <c r="E222" s="92">
        <v>4.66</v>
      </c>
      <c r="F222" s="92">
        <v>4.93</v>
      </c>
      <c r="G222" s="92">
        <v>4.8</v>
      </c>
      <c r="H222" s="92">
        <v>3.77</v>
      </c>
      <c r="I222" s="92">
        <v>9.1199999999999992</v>
      </c>
      <c r="J222" s="92">
        <v>5.93</v>
      </c>
      <c r="K222" s="92">
        <v>13.7</v>
      </c>
      <c r="L222" s="129">
        <v>9.5299999999999994</v>
      </c>
    </row>
    <row r="223" spans="2:13" x14ac:dyDescent="0.2">
      <c r="B223" s="76" t="s">
        <v>450</v>
      </c>
      <c r="C223" s="92">
        <v>3.03</v>
      </c>
      <c r="D223" s="92">
        <v>3.79</v>
      </c>
      <c r="E223" s="92">
        <v>5.15</v>
      </c>
      <c r="F223" s="92">
        <v>5.45</v>
      </c>
      <c r="G223" s="92">
        <v>5.15</v>
      </c>
      <c r="H223" s="92">
        <v>4.09</v>
      </c>
      <c r="I223" s="92">
        <v>10.09</v>
      </c>
      <c r="J223" s="92">
        <v>6.56</v>
      </c>
      <c r="K223" s="92">
        <v>15.15</v>
      </c>
      <c r="L223" s="129">
        <v>10.61</v>
      </c>
    </row>
    <row r="224" spans="2:13" x14ac:dyDescent="0.2">
      <c r="B224" s="80" t="s">
        <v>451</v>
      </c>
      <c r="C224" s="93">
        <v>3.03</v>
      </c>
      <c r="D224" s="93">
        <v>3.79</v>
      </c>
      <c r="E224" s="93">
        <v>5.15</v>
      </c>
      <c r="F224" s="93">
        <v>5.45</v>
      </c>
      <c r="G224" s="93">
        <v>5.15</v>
      </c>
      <c r="H224" s="93">
        <v>4.09</v>
      </c>
      <c r="I224" s="93">
        <v>10.09</v>
      </c>
      <c r="J224" s="93">
        <v>6.56</v>
      </c>
      <c r="K224" s="93">
        <v>15.15</v>
      </c>
      <c r="L224" s="130">
        <v>10.61</v>
      </c>
    </row>
    <row r="226" spans="2:16" x14ac:dyDescent="0.2">
      <c r="B226" s="177" t="s">
        <v>360</v>
      </c>
    </row>
    <row r="227" spans="2:16" ht="15.75" x14ac:dyDescent="0.3">
      <c r="B227" s="72"/>
      <c r="C227" s="110"/>
      <c r="D227" s="110" t="s">
        <v>452</v>
      </c>
      <c r="E227" s="110"/>
      <c r="F227" s="110"/>
      <c r="G227" s="112"/>
    </row>
    <row r="228" spans="2:16" x14ac:dyDescent="0.2">
      <c r="B228" s="113" t="s">
        <v>361</v>
      </c>
      <c r="C228" s="54" t="s">
        <v>343</v>
      </c>
      <c r="D228" s="54" t="s">
        <v>459</v>
      </c>
      <c r="E228" s="54" t="s">
        <v>345</v>
      </c>
      <c r="F228" s="54" t="s">
        <v>456</v>
      </c>
      <c r="G228" s="55" t="s">
        <v>394</v>
      </c>
    </row>
    <row r="229" spans="2:16" x14ac:dyDescent="0.2">
      <c r="B229" s="72" t="s">
        <v>364</v>
      </c>
      <c r="C229" s="52">
        <v>2.9</v>
      </c>
      <c r="D229" s="52">
        <v>3.63</v>
      </c>
      <c r="E229" s="52">
        <v>5.08</v>
      </c>
      <c r="F229" s="52">
        <v>9.66</v>
      </c>
      <c r="G229" s="73">
        <v>14.5</v>
      </c>
    </row>
    <row r="230" spans="2:16" x14ac:dyDescent="0.2">
      <c r="B230" s="76" t="s">
        <v>365</v>
      </c>
      <c r="C230" s="50">
        <v>2.25</v>
      </c>
      <c r="D230" s="50">
        <v>2.81</v>
      </c>
      <c r="E230" s="50">
        <v>3.94</v>
      </c>
      <c r="F230" s="50">
        <v>7.49</v>
      </c>
      <c r="G230" s="79">
        <v>11.25</v>
      </c>
    </row>
    <row r="231" spans="2:16" x14ac:dyDescent="0.2">
      <c r="B231" s="76" t="s">
        <v>366</v>
      </c>
      <c r="C231" s="50">
        <v>2.25</v>
      </c>
      <c r="D231" s="50">
        <v>2.81</v>
      </c>
      <c r="E231" s="50">
        <v>3.94</v>
      </c>
      <c r="F231" s="50">
        <v>7.49</v>
      </c>
      <c r="G231" s="79">
        <v>11.25</v>
      </c>
    </row>
    <row r="232" spans="2:16" x14ac:dyDescent="0.2">
      <c r="B232" s="76" t="s">
        <v>367</v>
      </c>
      <c r="C232" s="50">
        <v>2.9</v>
      </c>
      <c r="D232" s="50">
        <v>3.63</v>
      </c>
      <c r="E232" s="50">
        <v>5.08</v>
      </c>
      <c r="F232" s="50">
        <v>9.66</v>
      </c>
      <c r="G232" s="79">
        <v>14.5</v>
      </c>
    </row>
    <row r="233" spans="2:16" x14ac:dyDescent="0.2">
      <c r="B233" s="80" t="s">
        <v>368</v>
      </c>
      <c r="C233" s="54">
        <v>2.9</v>
      </c>
      <c r="D233" s="54">
        <v>3.63</v>
      </c>
      <c r="E233" s="54">
        <v>5.08</v>
      </c>
      <c r="F233" s="54">
        <v>9.66</v>
      </c>
      <c r="G233" s="55">
        <v>14.5</v>
      </c>
    </row>
    <row r="236" spans="2:16" x14ac:dyDescent="0.2">
      <c r="B236" s="177" t="s">
        <v>460</v>
      </c>
      <c r="C236" s="178"/>
      <c r="D236" s="178"/>
      <c r="E236" s="178"/>
      <c r="F236" s="178"/>
    </row>
    <row r="237" spans="2:16" x14ac:dyDescent="0.2">
      <c r="B237" s="84" t="s">
        <v>461</v>
      </c>
      <c r="C237" s="110"/>
      <c r="D237" s="52"/>
      <c r="E237" s="110"/>
      <c r="F237" s="110"/>
      <c r="G237" s="56" t="s">
        <v>462</v>
      </c>
      <c r="H237" s="110"/>
      <c r="I237" s="110"/>
      <c r="J237" s="110"/>
      <c r="K237" s="110"/>
      <c r="L237" s="112"/>
    </row>
    <row r="238" spans="2:16" ht="15.75" x14ac:dyDescent="0.3">
      <c r="B238" s="53" t="s">
        <v>249</v>
      </c>
      <c r="C238" s="54" t="s">
        <v>250</v>
      </c>
      <c r="D238" s="54" t="s">
        <v>251</v>
      </c>
      <c r="E238" s="54" t="s">
        <v>463</v>
      </c>
      <c r="F238" s="54" t="s">
        <v>464</v>
      </c>
      <c r="G238" s="54" t="s">
        <v>249</v>
      </c>
      <c r="H238" s="54" t="s">
        <v>250</v>
      </c>
      <c r="I238" s="54" t="s">
        <v>251</v>
      </c>
      <c r="J238" s="54" t="s">
        <v>463</v>
      </c>
      <c r="K238" s="54" t="s">
        <v>464</v>
      </c>
      <c r="L238" s="55" t="s">
        <v>321</v>
      </c>
    </row>
    <row r="239" spans="2:16" x14ac:dyDescent="0.2">
      <c r="B239" s="131">
        <v>3.4973999999999998</v>
      </c>
      <c r="C239" s="95">
        <v>0.44850000000000001</v>
      </c>
      <c r="D239" s="95">
        <v>0.1074</v>
      </c>
      <c r="E239" s="69">
        <v>0.3</v>
      </c>
      <c r="F239" s="69">
        <v>520</v>
      </c>
      <c r="G239" s="95">
        <v>3.5565000000000002</v>
      </c>
      <c r="H239" s="95">
        <v>0.37759999999999999</v>
      </c>
      <c r="I239" s="95">
        <v>9.0499999999999997E-2</v>
      </c>
      <c r="J239" s="132">
        <v>0.1</v>
      </c>
      <c r="K239" s="69">
        <v>628</v>
      </c>
      <c r="L239" s="98">
        <v>400</v>
      </c>
    </row>
    <row r="240" spans="2:16" x14ac:dyDescent="0.2">
      <c r="P240" s="50"/>
    </row>
    <row r="242" spans="2:23" x14ac:dyDescent="0.2">
      <c r="B242" s="84" t="s">
        <v>465</v>
      </c>
      <c r="C242" s="52" t="s">
        <v>466</v>
      </c>
      <c r="D242" s="73" t="s">
        <v>467</v>
      </c>
      <c r="W242" s="101"/>
    </row>
    <row r="243" spans="2:23" x14ac:dyDescent="0.2">
      <c r="B243" s="72" t="s">
        <v>468</v>
      </c>
      <c r="C243" s="87">
        <v>1.49</v>
      </c>
      <c r="D243" s="85">
        <v>1.52</v>
      </c>
    </row>
    <row r="244" spans="2:23" x14ac:dyDescent="0.2">
      <c r="B244" s="80" t="s">
        <v>469</v>
      </c>
      <c r="C244" s="82">
        <v>2.25</v>
      </c>
      <c r="D244" s="90">
        <v>1.82</v>
      </c>
    </row>
    <row r="245" spans="2:23" x14ac:dyDescent="0.2">
      <c r="C245" s="78"/>
      <c r="D245" s="78"/>
    </row>
    <row r="246" spans="2:23" x14ac:dyDescent="0.2">
      <c r="B246" s="67" t="s">
        <v>470</v>
      </c>
      <c r="D246" s="78"/>
    </row>
    <row r="247" spans="2:23" ht="15.75" x14ac:dyDescent="0.3">
      <c r="B247" s="72" t="s">
        <v>471</v>
      </c>
      <c r="C247" s="133">
        <v>1</v>
      </c>
      <c r="D247" s="78"/>
    </row>
    <row r="248" spans="2:23" ht="15.75" x14ac:dyDescent="0.3">
      <c r="B248" s="76" t="s">
        <v>472</v>
      </c>
      <c r="C248" s="134">
        <v>1.74</v>
      </c>
      <c r="D248" s="78"/>
    </row>
    <row r="249" spans="2:23" ht="15.75" x14ac:dyDescent="0.3">
      <c r="B249" s="76" t="s">
        <v>473</v>
      </c>
      <c r="C249" s="134">
        <v>3.11</v>
      </c>
      <c r="D249" s="78"/>
    </row>
    <row r="250" spans="2:23" ht="15.75" x14ac:dyDescent="0.3">
      <c r="B250" s="76" t="s">
        <v>474</v>
      </c>
      <c r="C250" s="134">
        <v>3.62</v>
      </c>
      <c r="D250" s="78"/>
    </row>
    <row r="251" spans="2:23" ht="15.75" x14ac:dyDescent="0.3">
      <c r="B251" s="76" t="s">
        <v>475</v>
      </c>
      <c r="C251" s="134">
        <v>7.07</v>
      </c>
      <c r="D251" s="78"/>
    </row>
    <row r="252" spans="2:23" ht="15.75" x14ac:dyDescent="0.3">
      <c r="B252" s="76" t="s">
        <v>476</v>
      </c>
      <c r="C252" s="134">
        <v>4.68</v>
      </c>
      <c r="D252" s="78"/>
    </row>
    <row r="253" spans="2:23" ht="15.75" x14ac:dyDescent="0.3">
      <c r="B253" s="80" t="s">
        <v>477</v>
      </c>
      <c r="C253" s="135">
        <v>9.4</v>
      </c>
      <c r="D253" s="78"/>
    </row>
    <row r="255" spans="2:23" x14ac:dyDescent="0.2">
      <c r="B255" s="177" t="s">
        <v>478</v>
      </c>
    </row>
    <row r="256" spans="2:23" ht="15.75" x14ac:dyDescent="0.3">
      <c r="B256" s="68" t="s">
        <v>479</v>
      </c>
      <c r="C256" s="69" t="s">
        <v>249</v>
      </c>
      <c r="D256" s="69" t="s">
        <v>250</v>
      </c>
      <c r="E256" s="69" t="s">
        <v>251</v>
      </c>
      <c r="F256" s="69" t="s">
        <v>480</v>
      </c>
      <c r="G256" s="98" t="s">
        <v>481</v>
      </c>
    </row>
    <row r="257" spans="2:7" x14ac:dyDescent="0.2">
      <c r="B257" s="117" t="s">
        <v>482</v>
      </c>
      <c r="C257" s="50">
        <v>2.9948999999999999</v>
      </c>
      <c r="D257" s="50">
        <v>0.44650000000000001</v>
      </c>
      <c r="E257" s="50">
        <v>0.39610000000000001</v>
      </c>
      <c r="F257" s="50">
        <v>7.0000000000000007E-2</v>
      </c>
      <c r="G257" s="79">
        <v>12.3</v>
      </c>
    </row>
    <row r="258" spans="2:7" x14ac:dyDescent="0.2">
      <c r="B258" s="117" t="s">
        <v>483</v>
      </c>
      <c r="C258" s="50">
        <v>3.3321999999999998</v>
      </c>
      <c r="D258" s="50">
        <v>0.48380000000000001</v>
      </c>
      <c r="E258" s="50">
        <v>0.34339999999999998</v>
      </c>
      <c r="F258" s="50">
        <v>0.7</v>
      </c>
      <c r="G258" s="79">
        <v>10.5</v>
      </c>
    </row>
    <row r="259" spans="2:7" x14ac:dyDescent="0.2">
      <c r="B259" s="53" t="s">
        <v>484</v>
      </c>
      <c r="C259" s="54">
        <v>3.2353000000000001</v>
      </c>
      <c r="D259" s="54">
        <v>0.48380000000000001</v>
      </c>
      <c r="E259" s="54">
        <v>0.34339999999999998</v>
      </c>
      <c r="F259" s="54">
        <v>0.7</v>
      </c>
      <c r="G259" s="55">
        <v>10.5</v>
      </c>
    </row>
    <row r="260" spans="2:7" ht="15.75" x14ac:dyDescent="0.3">
      <c r="B260" s="67" t="s">
        <v>254</v>
      </c>
      <c r="G260" s="50"/>
    </row>
    <row r="261" spans="2:7" x14ac:dyDescent="0.2">
      <c r="B261" s="72" t="s">
        <v>485</v>
      </c>
      <c r="C261" s="110"/>
      <c r="D261" s="52" t="s">
        <v>482</v>
      </c>
      <c r="E261" s="52" t="s">
        <v>483</v>
      </c>
      <c r="F261" s="73" t="s">
        <v>484</v>
      </c>
      <c r="G261" s="50"/>
    </row>
    <row r="262" spans="2:7" x14ac:dyDescent="0.2">
      <c r="B262" s="76" t="s">
        <v>343</v>
      </c>
      <c r="D262" s="92">
        <v>1</v>
      </c>
      <c r="E262" s="50">
        <v>1</v>
      </c>
      <c r="F262" s="129">
        <v>1</v>
      </c>
      <c r="G262" s="50"/>
    </row>
    <row r="263" spans="2:7" x14ac:dyDescent="0.2">
      <c r="B263" s="76" t="s">
        <v>345</v>
      </c>
      <c r="D263" s="92">
        <v>1.83</v>
      </c>
      <c r="E263" s="50">
        <v>1.83</v>
      </c>
      <c r="F263" s="129">
        <v>1</v>
      </c>
    </row>
    <row r="264" spans="2:7" x14ac:dyDescent="0.2">
      <c r="B264" s="76" t="s">
        <v>486</v>
      </c>
      <c r="D264" s="92"/>
      <c r="E264" s="50"/>
      <c r="F264" s="129">
        <v>1.83</v>
      </c>
    </row>
    <row r="265" spans="2:7" x14ac:dyDescent="0.2">
      <c r="B265" s="80" t="s">
        <v>487</v>
      </c>
      <c r="C265" s="136"/>
      <c r="D265" s="93">
        <v>5.58</v>
      </c>
      <c r="E265" s="54">
        <v>5.58</v>
      </c>
      <c r="F265" s="130">
        <v>5.58</v>
      </c>
    </row>
    <row r="267" spans="2:7" x14ac:dyDescent="0.2">
      <c r="B267" s="67" t="s">
        <v>488</v>
      </c>
    </row>
    <row r="269" spans="2:7" x14ac:dyDescent="0.2">
      <c r="B269" s="137" t="s">
        <v>489</v>
      </c>
      <c r="C269" s="137" t="s">
        <v>490</v>
      </c>
    </row>
    <row r="270" spans="2:7" x14ac:dyDescent="0.2">
      <c r="B270" s="50">
        <v>1</v>
      </c>
      <c r="C270" s="78">
        <f>10^(0.4771+0.08516*LOG10(B270)-0.3473*(LOG10(B270))^2)</f>
        <v>2.9998531811907938</v>
      </c>
    </row>
    <row r="271" spans="2:7" x14ac:dyDescent="0.2">
      <c r="B271" s="50">
        <v>2</v>
      </c>
      <c r="C271" s="78">
        <f t="shared" ref="C271:C278" si="0">10^(0.4771+0.08516*LOG10(B271)-0.3473*(LOG10(B271))^2)</f>
        <v>2.9598091980761878</v>
      </c>
    </row>
    <row r="272" spans="2:7" x14ac:dyDescent="0.2">
      <c r="B272" s="50">
        <v>3</v>
      </c>
      <c r="C272" s="78">
        <f t="shared" si="0"/>
        <v>2.745811025949318</v>
      </c>
    </row>
    <row r="273" spans="2:8" x14ac:dyDescent="0.2">
      <c r="B273" s="50">
        <v>4</v>
      </c>
      <c r="C273" s="78">
        <f t="shared" si="0"/>
        <v>2.5262913385408714</v>
      </c>
    </row>
    <row r="274" spans="2:8" x14ac:dyDescent="0.2">
      <c r="B274" s="50">
        <v>5</v>
      </c>
      <c r="C274" s="78">
        <f t="shared" si="0"/>
        <v>2.3278110295375591</v>
      </c>
    </row>
    <row r="275" spans="2:8" x14ac:dyDescent="0.2">
      <c r="B275" s="50">
        <v>8</v>
      </c>
      <c r="C275" s="78">
        <f t="shared" si="0"/>
        <v>1.8653449373966906</v>
      </c>
    </row>
    <row r="276" spans="2:8" x14ac:dyDescent="0.2">
      <c r="B276" s="50">
        <v>10</v>
      </c>
      <c r="C276" s="78">
        <f t="shared" si="0"/>
        <v>1.6404386762556979</v>
      </c>
    </row>
    <row r="277" spans="2:8" x14ac:dyDescent="0.2">
      <c r="B277" s="50">
        <v>15</v>
      </c>
      <c r="C277" s="78">
        <f t="shared" si="0"/>
        <v>1.2498958296278693</v>
      </c>
    </row>
    <row r="278" spans="2:8" x14ac:dyDescent="0.2">
      <c r="B278" s="50">
        <v>20</v>
      </c>
      <c r="C278" s="78">
        <f t="shared" si="0"/>
        <v>1.0000651203747728</v>
      </c>
    </row>
    <row r="281" spans="2:8" x14ac:dyDescent="0.2">
      <c r="B281" s="177" t="s">
        <v>491</v>
      </c>
    </row>
    <row r="282" spans="2:8" ht="15.75" x14ac:dyDescent="0.3">
      <c r="B282" s="68" t="s">
        <v>470</v>
      </c>
      <c r="C282" s="52" t="s">
        <v>249</v>
      </c>
      <c r="D282" s="69" t="s">
        <v>250</v>
      </c>
      <c r="E282" s="69" t="s">
        <v>251</v>
      </c>
      <c r="F282" s="69" t="s">
        <v>492</v>
      </c>
      <c r="G282" s="98" t="s">
        <v>493</v>
      </c>
      <c r="H282" s="50" t="s">
        <v>494</v>
      </c>
    </row>
    <row r="283" spans="2:8" x14ac:dyDescent="0.2">
      <c r="B283" s="76" t="s">
        <v>495</v>
      </c>
      <c r="C283" s="110">
        <v>2.4493</v>
      </c>
      <c r="D283" s="67">
        <v>0.97440000000000004</v>
      </c>
      <c r="E283" s="67">
        <v>5.4999999999999997E-3</v>
      </c>
      <c r="F283" s="67">
        <v>0.03</v>
      </c>
      <c r="G283" s="138">
        <v>628</v>
      </c>
      <c r="H283" s="78">
        <v>4.1399999999999997</v>
      </c>
    </row>
    <row r="284" spans="2:8" x14ac:dyDescent="0.2">
      <c r="B284" s="76" t="s">
        <v>496</v>
      </c>
      <c r="C284" s="67">
        <v>2.4493</v>
      </c>
      <c r="D284" s="67">
        <v>0.97440000000000004</v>
      </c>
      <c r="E284" s="67">
        <v>5.4999999999999997E-3</v>
      </c>
      <c r="F284" s="67">
        <v>0.03</v>
      </c>
      <c r="G284" s="138">
        <v>628</v>
      </c>
      <c r="H284" s="78">
        <v>7.09</v>
      </c>
    </row>
    <row r="285" spans="2:8" x14ac:dyDescent="0.2">
      <c r="B285" s="80" t="s">
        <v>497</v>
      </c>
      <c r="C285" s="136">
        <v>2.4493</v>
      </c>
      <c r="D285" s="136">
        <v>0.97440000000000004</v>
      </c>
      <c r="E285" s="136">
        <v>5.4999999999999997E-3</v>
      </c>
      <c r="F285" s="136">
        <v>0.03</v>
      </c>
      <c r="G285" s="139">
        <v>628</v>
      </c>
      <c r="H285" s="78">
        <v>1</v>
      </c>
    </row>
    <row r="288" spans="2:8" x14ac:dyDescent="0.2">
      <c r="B288" s="140"/>
      <c r="C288" s="50"/>
    </row>
    <row r="289" spans="3:3" x14ac:dyDescent="0.2">
      <c r="C289" s="50"/>
    </row>
    <row r="290" spans="3:3" x14ac:dyDescent="0.2">
      <c r="C290" s="50"/>
    </row>
    <row r="291" spans="3:3" x14ac:dyDescent="0.2">
      <c r="C291" s="50"/>
    </row>
  </sheetData>
  <phoneticPr fontId="3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260A-BD79-466E-8110-898BC9F159B5}">
  <sheetPr codeName="Sheet27"/>
  <dimension ref="C3:C16"/>
  <sheetViews>
    <sheetView workbookViewId="0">
      <selection activeCell="C26" sqref="C26"/>
    </sheetView>
  </sheetViews>
  <sheetFormatPr defaultColWidth="9" defaultRowHeight="15" x14ac:dyDescent="0.3"/>
  <cols>
    <col min="1" max="2" width="9" style="1"/>
    <col min="3" max="3" width="83.5" style="1" bestFit="1" customWidth="1"/>
    <col min="4" max="6" width="9" style="1"/>
    <col min="7" max="7" width="11.5" style="1" bestFit="1" customWidth="1"/>
    <col min="8" max="8" width="15.625" style="1" bestFit="1" customWidth="1"/>
    <col min="9" max="9" width="6.375" style="1" bestFit="1" customWidth="1"/>
    <col min="10" max="16384" width="9" style="1"/>
  </cols>
  <sheetData>
    <row r="3" spans="3:3" ht="30" x14ac:dyDescent="0.3">
      <c r="C3" s="141" t="s">
        <v>498</v>
      </c>
    </row>
    <row r="4" spans="3:3" x14ac:dyDescent="0.3">
      <c r="C4" s="58"/>
    </row>
    <row r="5" spans="3:3" x14ac:dyDescent="0.3">
      <c r="C5" s="58"/>
    </row>
    <row r="6" spans="3:3" x14ac:dyDescent="0.3">
      <c r="C6" s="58"/>
    </row>
    <row r="7" spans="3:3" x14ac:dyDescent="0.3">
      <c r="C7" s="58"/>
    </row>
    <row r="8" spans="3:3" x14ac:dyDescent="0.3">
      <c r="C8" s="58" t="s">
        <v>499</v>
      </c>
    </row>
    <row r="9" spans="3:3" x14ac:dyDescent="0.3">
      <c r="C9" s="142" t="s">
        <v>500</v>
      </c>
    </row>
    <row r="10" spans="3:3" x14ac:dyDescent="0.3">
      <c r="C10" s="58"/>
    </row>
    <row r="11" spans="3:3" ht="30" x14ac:dyDescent="0.3">
      <c r="C11" s="143" t="s">
        <v>501</v>
      </c>
    </row>
    <row r="12" spans="3:3" x14ac:dyDescent="0.3">
      <c r="C12" s="58"/>
    </row>
    <row r="13" spans="3:3" x14ac:dyDescent="0.3">
      <c r="C13" s="58"/>
    </row>
    <row r="14" spans="3:3" x14ac:dyDescent="0.3">
      <c r="C14" s="58"/>
    </row>
    <row r="15" spans="3:3" x14ac:dyDescent="0.3">
      <c r="C15" s="58" t="s">
        <v>499</v>
      </c>
    </row>
    <row r="16" spans="3:3" x14ac:dyDescent="0.3">
      <c r="C16" s="142" t="s">
        <v>500</v>
      </c>
    </row>
  </sheetData>
  <phoneticPr fontId="3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DD0A-07DA-4FC4-BF01-6D226A1D614D}">
  <sheetPr codeName="Sheet30"/>
  <dimension ref="C2:D10"/>
  <sheetViews>
    <sheetView workbookViewId="0">
      <selection activeCell="J24" sqref="J24"/>
    </sheetView>
  </sheetViews>
  <sheetFormatPr defaultColWidth="9" defaultRowHeight="15" x14ac:dyDescent="0.3"/>
  <cols>
    <col min="1" max="16384" width="9" style="1"/>
  </cols>
  <sheetData>
    <row r="2" spans="3:4" x14ac:dyDescent="0.3">
      <c r="C2" s="47" t="s">
        <v>502</v>
      </c>
      <c r="D2" s="43"/>
    </row>
    <row r="3" spans="3:4" x14ac:dyDescent="0.3">
      <c r="C3" s="43" t="s">
        <v>503</v>
      </c>
      <c r="D3" s="1" t="s">
        <v>504</v>
      </c>
    </row>
    <row r="4" spans="3:4" x14ac:dyDescent="0.3">
      <c r="C4" s="43"/>
    </row>
    <row r="5" spans="3:4" x14ac:dyDescent="0.3">
      <c r="C5" s="43"/>
    </row>
    <row r="6" spans="3:4" x14ac:dyDescent="0.3">
      <c r="C6" s="43"/>
    </row>
    <row r="7" spans="3:4" x14ac:dyDescent="0.3">
      <c r="C7" s="43"/>
    </row>
    <row r="8" spans="3:4" x14ac:dyDescent="0.3">
      <c r="C8" s="43"/>
    </row>
    <row r="10" spans="3:4" x14ac:dyDescent="0.3">
      <c r="C10" s="4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VERSION</vt:lpstr>
      <vt:lpstr>CAPEX</vt:lpstr>
      <vt:lpstr>OPEX</vt:lpstr>
      <vt:lpstr>Profitability analysis</vt:lpstr>
      <vt:lpstr>CO2 CAPTURE</vt:lpstr>
      <vt:lpstr>NH3 (총괄)</vt:lpstr>
      <vt:lpstr>Equipment cost</vt:lpstr>
      <vt:lpstr>raw material</vt:lpstr>
      <vt:lpstr>PBP</vt:lpstr>
      <vt:lpstr>NPV</vt:lpstr>
      <vt:lpstr>NH3</vt:lpstr>
      <vt:lpstr>NH3 CAPCOST</vt:lpstr>
      <vt:lpstr>Parameters &amp; Assumptions</vt:lpstr>
      <vt:lpstr>cost data</vt:lpstr>
      <vt:lpstr>Equation</vt:lpstr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임준택</dc:creator>
  <cp:keywords/>
  <dc:description/>
  <cp:lastModifiedBy>천동준</cp:lastModifiedBy>
  <cp:revision/>
  <dcterms:created xsi:type="dcterms:W3CDTF">2025-01-21T06:00:30Z</dcterms:created>
  <dcterms:modified xsi:type="dcterms:W3CDTF">2025-09-01T05:48:27Z</dcterms:modified>
  <cp:category/>
  <cp:contentStatus/>
</cp:coreProperties>
</file>