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5200" windowHeight="11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1" l="1"/>
  <c r="N22" i="1" l="1"/>
  <c r="N20" i="1"/>
  <c r="M22" i="1"/>
  <c r="M20" i="1"/>
  <c r="N67" i="1"/>
  <c r="N68" i="1"/>
  <c r="N66" i="1"/>
  <c r="N41" i="1"/>
  <c r="M66" i="1"/>
  <c r="N25" i="1" l="1"/>
  <c r="J71" i="1"/>
  <c r="M28" i="1"/>
  <c r="H71" i="1"/>
  <c r="E22" i="1"/>
  <c r="D22" i="1"/>
  <c r="N28" i="1"/>
  <c r="D21" i="1" l="1"/>
  <c r="N26" i="1"/>
  <c r="N30" i="1"/>
  <c r="N32" i="1"/>
  <c r="N34" i="1"/>
  <c r="N36" i="1"/>
  <c r="N38" i="1"/>
  <c r="N40" i="1"/>
  <c r="E68" i="1"/>
  <c r="H68" i="1"/>
  <c r="J68" i="1" s="1"/>
  <c r="M68" i="1" s="1"/>
  <c r="H67" i="1"/>
  <c r="J67" i="1" s="1"/>
  <c r="M67" i="1" s="1"/>
  <c r="H66" i="1"/>
  <c r="J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H27" i="1"/>
  <c r="N27" i="1" s="1"/>
  <c r="H26" i="1"/>
  <c r="M26" i="1" s="1"/>
  <c r="H25" i="1"/>
  <c r="M25" i="1" l="1"/>
  <c r="N37" i="1"/>
  <c r="N33" i="1"/>
  <c r="N29" i="1"/>
  <c r="M27" i="1"/>
  <c r="E66" i="1"/>
  <c r="N39" i="1"/>
  <c r="N35" i="1"/>
  <c r="N31" i="1"/>
  <c r="E67" i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<sst xmlns="http://schemas.openxmlformats.org/spreadsheetml/2006/main" count="91" uniqueCount="84">
  <si>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</si>
  <si>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</si>
  <si>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</si>
  <si>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</si>
  <si>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</si>
  <si>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</si>
  <si>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</si>
  <si>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</si>
  <si>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</si>
  <si>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</si>
  <si>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</si>
  <si>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</si>
  <si>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</si>
  <si>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</si>
  <si>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</si>
  <si>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</si>
  <si>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</si>
  <si>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</si>
  <si>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</si>
  <si>
    <t>stuks</t>
  </si>
  <si>
    <t>feb</t>
  </si>
  <si>
    <t>101RH 1</t>
  </si>
  <si>
    <t>101RH 2</t>
  </si>
  <si>
    <t>111BH 1</t>
  </si>
  <si>
    <t>111BH 2</t>
  </si>
  <si>
    <t>141BH</t>
  </si>
  <si>
    <t>161CH</t>
  </si>
  <si>
    <t>161RH</t>
  </si>
  <si>
    <t>2KR 7</t>
  </si>
  <si>
    <t>4KR 1</t>
  </si>
  <si>
    <t>4KR 4</t>
  </si>
  <si>
    <t>61RH 1</t>
  </si>
  <si>
    <t>61RH 2</t>
  </si>
  <si>
    <t>81BH 1</t>
  </si>
  <si>
    <t>81RH 1</t>
  </si>
  <si>
    <t>81RH 2</t>
  </si>
  <si>
    <t>81RH 3</t>
  </si>
  <si>
    <t>81RH 4</t>
  </si>
  <si>
    <t>Lijn 1</t>
  </si>
  <si>
    <t>Lijn 10</t>
  </si>
  <si>
    <t>Lijn 11</t>
  </si>
  <si>
    <t>Lijn 12</t>
  </si>
  <si>
    <t>Lijn 13</t>
  </si>
  <si>
    <t>Lijn 14</t>
  </si>
  <si>
    <t>Lijn 2</t>
  </si>
  <si>
    <t>Lijn 22</t>
  </si>
  <si>
    <t>Lijn 23</t>
  </si>
  <si>
    <t>Lijn 24</t>
  </si>
  <si>
    <t>Lijn 25</t>
  </si>
  <si>
    <t>Lijn 26</t>
  </si>
  <si>
    <t>Lijn 27</t>
  </si>
  <si>
    <t>Lijn 28</t>
  </si>
  <si>
    <t>Lijn 29</t>
  </si>
  <si>
    <t>Lijn 3</t>
  </si>
  <si>
    <t>Lijn 30</t>
  </si>
  <si>
    <t>Lijn 31</t>
  </si>
  <si>
    <t>Lijn 4</t>
  </si>
  <si>
    <t>Lijn 5</t>
  </si>
  <si>
    <t>Lijn 6</t>
  </si>
  <si>
    <t>Lijn 7</t>
  </si>
  <si>
    <t>Lijn 8</t>
  </si>
  <si>
    <t>Lijn 9</t>
  </si>
  <si>
    <t>Oven 1</t>
  </si>
  <si>
    <t>Oven 2</t>
  </si>
  <si>
    <t>Oven 3</t>
  </si>
  <si>
    <t>SUM(Productie) (stuks)</t>
  </si>
  <si>
    <t>Naam</t>
  </si>
  <si>
    <t>AVG(Gewicht) (kg)</t>
  </si>
  <si>
    <t>AVG(OEE) (fractal (0-1))</t>
  </si>
  <si>
    <t>AVG(LijnSnelheid) (stuks/min)</t>
  </si>
  <si>
    <t>Ploegen na</t>
  </si>
  <si>
    <t>Ploegen voor</t>
  </si>
  <si>
    <t>Buffer na (stuks)</t>
  </si>
  <si>
    <t>Buffer voor (stuks)</t>
  </si>
  <si>
    <t>SLIJPERIJ Productie</t>
  </si>
  <si>
    <t>Werkelijkheid</t>
  </si>
  <si>
    <t>Simulatie</t>
  </si>
  <si>
    <t>%</t>
  </si>
  <si>
    <t>Gem. ploegen na persen</t>
  </si>
  <si>
    <t>AVG(AVG(Gewicht)) kg</t>
  </si>
  <si>
    <t>AVG(AVG(LijnSnelheid)) (stuks/min)</t>
  </si>
  <si>
    <t>Gem. ploegen na ovens</t>
  </si>
  <si>
    <t>Gem. ploegen voor ovens</t>
  </si>
  <si>
    <t>Gem. ploegen voor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</si>
</sst>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="" xmlns:a16="http://schemas.microsoft.com/office/drawing/2014/main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E37" workbookViewId="0">
      <selection activeCell="M71" sqref="M71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6.28515625" bestFit="1" customWidth="1"/>
    <col min="5" max="5" width="21.85546875" bestFit="1" customWidth="1"/>
    <col min="6" max="6" width="23" bestFit="1" customWidth="1"/>
    <col min="7" max="7" width="19.85546875" bestFit="1" customWidth="1"/>
    <col min="8" max="8" width="22.140625" bestFit="1" customWidth="1"/>
    <col min="9" max="9" width="18" customWidth="1"/>
    <col min="10" max="10" width="34.42578125" bestFit="1" customWidth="1"/>
    <col min="11" max="11" width="8.28515625" bestFit="1" customWidth="1"/>
    <col min="12" max="12" width="27.85546875" bestFit="1" customWidth="1"/>
    <col min="13" max="13" width="23.140625" bestFit="1" customWidth="1"/>
    <col min="14" max="14" width="25" bestFit="1" customWidth="1"/>
    <col min="15" max="15" width="21.140625" bestFit="1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24" t="s">
        <v>0</v>
      </c>
      <c r="C2" s="24"/>
      <c r="D2" s="24"/>
      <c r="E2" s="24"/>
      <c r="F2" s="24"/>
      <c r="G2" s="24"/>
      <c r="H2" s="24"/>
      <c r="I2" s="24"/>
      <c r="J2" s="24" t="s">
        <v>7</v>
      </c>
      <c r="K2" s="24"/>
    </row>
    <row r="3" spans="1:14" ht="4.5" customHeight="1" x14ac:dyDescent="0.25">
      <c r="A3" s="6"/>
      <c r="B3" s="24"/>
      <c r="C3" s="24"/>
      <c r="D3" s="24"/>
      <c r="E3" s="24"/>
      <c r="F3" s="24"/>
      <c r="G3" s="24"/>
      <c r="H3" s="24"/>
      <c r="I3" s="24"/>
    </row>
    <row r="4" spans="1:14" x14ac:dyDescent="0.25">
      <c r="A4" s="6"/>
      <c r="B4" s="25">
        <v>500</v>
      </c>
      <c r="C4" s="25"/>
      <c r="D4" s="25"/>
      <c r="E4" s="25"/>
      <c r="F4" s="25"/>
      <c r="G4" s="25"/>
      <c r="H4" s="25"/>
      <c r="I4" s="26"/>
      <c r="J4" s="23">
        <f>B4/(B6*D6*F6*H6)</f>
        <v>1.0629251700680271</v>
      </c>
      <c r="K4" s="22" t="s">
        <v>6</v>
      </c>
      <c r="M4" s="22"/>
      <c r="N4" s="22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26"/>
      <c r="J5" s="23"/>
      <c r="K5" s="22"/>
      <c r="M5" s="22"/>
      <c r="N5" s="22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26"/>
      <c r="J6" s="23"/>
      <c r="K6" s="22"/>
      <c r="M6" s="22"/>
      <c r="N6" s="22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500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100000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357.14285714285717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14" x14ac:dyDescent="0.25">
      <c r="B17">
        <f>B15*B16</f>
        <v>336</v>
      </c>
      <c r="D17" t="s">
        <v>14</v>
      </c>
      <c r="F17" t="s">
        <v>18</v>
      </c>
    </row>
    <row r="18" spans="2:14" x14ac:dyDescent="0.25">
      <c r="B18" s="9">
        <f>B14/B17</f>
        <v>1.0629251700680273</v>
      </c>
      <c r="D18" t="s">
        <v>15</v>
      </c>
    </row>
    <row r="19" spans="2:14" x14ac:dyDescent="0.25">
      <c r="M19" s="15" t="s">
        <v>78</v>
      </c>
      <c r="N19" s="15" t="s">
        <v>83</v>
      </c>
    </row>
    <row r="20" spans="2:14" x14ac:dyDescent="0.25">
      <c r="D20" s="15" t="s">
        <v>75</v>
      </c>
      <c r="E20" s="15" t="s">
        <v>76</v>
      </c>
      <c r="M20" s="9">
        <f>AVERAGE(M25:M41)</f>
        <v>4.3520906901170848</v>
      </c>
      <c r="N20" s="9">
        <f>AVERAGE(N25:N41)</f>
        <v>8.44344574023498E-3</v>
      </c>
    </row>
    <row r="21" spans="2:14" x14ac:dyDescent="0.25">
      <c r="B21" s="15" t="s">
        <v>74</v>
      </c>
      <c r="C21" s="2" t="s">
        <v>20</v>
      </c>
      <c r="D21">
        <f>SUM(E42:E65)</f>
        <v>95907961</v>
      </c>
      <c r="E21">
        <v>88214000</v>
      </c>
      <c r="F21" t="s">
        <v>19</v>
      </c>
      <c r="M21" s="15" t="s">
        <v>81</v>
      </c>
      <c r="N21" s="15" t="s">
        <v>82</v>
      </c>
    </row>
    <row r="22" spans="2:14" x14ac:dyDescent="0.25">
      <c r="D22">
        <f>D21/D21*100</f>
        <v>100</v>
      </c>
      <c r="E22">
        <f>E21/D21*D22</f>
        <v>91.977766058440139</v>
      </c>
      <c r="F22" t="s">
        <v>77</v>
      </c>
      <c r="M22" s="9">
        <f>AVERAGE(M66:M68)</f>
        <v>2.3239866524909697E-2</v>
      </c>
      <c r="N22" s="9">
        <f>AVERAGE(N66:N68)</f>
        <v>0</v>
      </c>
    </row>
    <row r="24" spans="2:14" x14ac:dyDescent="0.25">
      <c r="D24" s="15" t="s">
        <v>66</v>
      </c>
      <c r="E24" s="15" t="s">
        <v>65</v>
      </c>
      <c r="F24" s="15" t="s">
        <v>72</v>
      </c>
      <c r="G24" s="15" t="s">
        <v>73</v>
      </c>
      <c r="H24" s="15" t="s">
        <v>67</v>
      </c>
      <c r="I24" s="15"/>
      <c r="J24" s="15" t="s">
        <v>69</v>
      </c>
      <c r="K24" s="15"/>
      <c r="L24" s="15" t="s">
        <v>68</v>
      </c>
      <c r="M24" s="15" t="s">
        <v>70</v>
      </c>
      <c r="N24" s="15" t="s">
        <v>71</v>
      </c>
    </row>
    <row r="25" spans="2:14" x14ac:dyDescent="0.25">
      <c r="D25" t="s">
        <v>21</v>
      </c>
      <c r="E25">
        <v>5762552</v>
      </c>
      <c r="F25">
        <v>20000</v>
      </c>
      <c r="G25">
        <v>1000</v>
      </c>
      <c r="H25" s="20">
        <f>8.95748870850083/1000</f>
        <v>8.9574887085008287E-3</v>
      </c>
      <c r="J25" s="19">
        <v>393.99999618530302</v>
      </c>
      <c r="L25" s="18">
        <v>0.56569849196975597</v>
      </c>
      <c r="M25" s="9">
        <f t="shared" ref="M25:M41" si="0">F25*H25/(J25*H25*480*L25)</f>
        <v>0.18694227332757574</v>
      </c>
      <c r="N25" s="9">
        <f>G25*H25/(J25*H25*480*L25)</f>
        <v>9.3471136663787879E-3</v>
      </c>
    </row>
    <row r="26" spans="2:14" x14ac:dyDescent="0.25">
      <c r="D26" t="s">
        <v>22</v>
      </c>
      <c r="E26">
        <v>7839660</v>
      </c>
      <c r="F26">
        <v>1000</v>
      </c>
      <c r="G26">
        <v>1000</v>
      </c>
      <c r="H26" s="20">
        <f>6.90730498504868/1000</f>
        <v>6.9073049850486802E-3</v>
      </c>
      <c r="J26" s="19">
        <v>403.00000190734897</v>
      </c>
      <c r="L26" s="18">
        <v>0.69312423221654296</v>
      </c>
      <c r="M26" s="9">
        <f t="shared" si="0"/>
        <v>7.4583478061009106E-3</v>
      </c>
      <c r="N26" s="9">
        <f t="shared" ref="N26:N40" si="1">G26*H26/(J26*H26*480*L26)</f>
        <v>7.4583478061009106E-3</v>
      </c>
    </row>
    <row r="27" spans="2:14" x14ac:dyDescent="0.25">
      <c r="D27" t="s">
        <v>23</v>
      </c>
      <c r="E27">
        <v>8029520</v>
      </c>
      <c r="F27">
        <v>2699000</v>
      </c>
      <c r="G27">
        <v>1000</v>
      </c>
      <c r="H27" s="20">
        <f>3.08246622711922/1000</f>
        <v>3.08246622711922E-3</v>
      </c>
      <c r="J27" s="19">
        <v>427.99999237060501</v>
      </c>
      <c r="L27" s="18">
        <v>0.68487961598823399</v>
      </c>
      <c r="M27" s="9">
        <f t="shared" si="0"/>
        <v>19.182431029825466</v>
      </c>
      <c r="N27" s="9">
        <f t="shared" si="1"/>
        <v>7.1072363948964309E-3</v>
      </c>
    </row>
    <row r="28" spans="2:14" x14ac:dyDescent="0.25">
      <c r="D28" t="s">
        <v>24</v>
      </c>
      <c r="E28">
        <v>9788896</v>
      </c>
      <c r="F28">
        <v>2518000</v>
      </c>
      <c r="G28">
        <v>1000</v>
      </c>
      <c r="H28" s="20">
        <f>3.47811007659957/1000</f>
        <v>3.47811007659957E-3</v>
      </c>
      <c r="J28" s="19">
        <v>423.00001144409202</v>
      </c>
      <c r="L28" s="18">
        <v>0.834458335873144</v>
      </c>
      <c r="M28" s="9">
        <f>F28*H28/(J28*H28*480*L28)</f>
        <v>14.861732902972218</v>
      </c>
      <c r="N28" s="9">
        <f>G28*H28/(J28*H28*480*L28)</f>
        <v>5.9021973403384506E-3</v>
      </c>
    </row>
    <row r="29" spans="2:14" x14ac:dyDescent="0.25">
      <c r="D29" t="s">
        <v>25</v>
      </c>
      <c r="E29">
        <v>7846772</v>
      </c>
      <c r="F29">
        <v>76000</v>
      </c>
      <c r="G29">
        <v>1000</v>
      </c>
      <c r="H29" s="20">
        <f>6.30362333829065/1000</f>
        <v>6.3036233382906494E-3</v>
      </c>
      <c r="J29" s="19">
        <v>341.99998855590798</v>
      </c>
      <c r="L29" s="18">
        <v>0.77551487700821398</v>
      </c>
      <c r="M29" s="9">
        <f t="shared" si="0"/>
        <v>0.59697498033921759</v>
      </c>
      <c r="N29" s="9">
        <f t="shared" si="1"/>
        <v>7.854933951831811E-3</v>
      </c>
    </row>
    <row r="30" spans="2:14" x14ac:dyDescent="0.25">
      <c r="D30" t="s">
        <v>26</v>
      </c>
      <c r="E30">
        <v>4519512</v>
      </c>
      <c r="F30">
        <v>1000</v>
      </c>
      <c r="G30">
        <v>1000</v>
      </c>
      <c r="H30" s="20">
        <f>20.9671261909317/1000</f>
        <v>2.09671261909317E-2</v>
      </c>
      <c r="J30" s="19">
        <v>266.99998855590798</v>
      </c>
      <c r="L30" s="18">
        <v>0.60117790539627902</v>
      </c>
      <c r="M30" s="9">
        <f t="shared" si="0"/>
        <v>1.2979097919587866E-2</v>
      </c>
      <c r="N30" s="9">
        <f t="shared" si="1"/>
        <v>1.2979097919587866E-2</v>
      </c>
    </row>
    <row r="31" spans="2:14" x14ac:dyDescent="0.25">
      <c r="D31" t="s">
        <v>27</v>
      </c>
      <c r="E31">
        <v>3501620</v>
      </c>
      <c r="F31">
        <v>76000</v>
      </c>
      <c r="G31">
        <v>1000</v>
      </c>
      <c r="H31" s="20">
        <f>21.8599834611596/1000</f>
        <v>2.18599834611596E-2</v>
      </c>
      <c r="J31" s="19">
        <v>261.402118661305</v>
      </c>
      <c r="L31" s="18">
        <v>0.418486626636843</v>
      </c>
      <c r="M31" s="9">
        <f t="shared" si="0"/>
        <v>1.4473770020610628</v>
      </c>
      <c r="N31" s="9">
        <f t="shared" si="1"/>
        <v>1.9044434237645565E-2</v>
      </c>
    </row>
    <row r="32" spans="2:14" x14ac:dyDescent="0.25">
      <c r="D32" t="s">
        <v>28</v>
      </c>
      <c r="E32">
        <v>1482347</v>
      </c>
      <c r="F32">
        <v>1000</v>
      </c>
      <c r="G32">
        <v>1000</v>
      </c>
      <c r="H32" s="20">
        <f>3.26560463104033/1000</f>
        <v>3.2656046310403299E-3</v>
      </c>
      <c r="J32" s="19">
        <v>210</v>
      </c>
      <c r="L32" s="18">
        <v>0.90586364273396902</v>
      </c>
      <c r="M32" s="9">
        <f t="shared" si="0"/>
        <v>1.0951576432291344E-2</v>
      </c>
      <c r="N32" s="9">
        <f t="shared" si="1"/>
        <v>1.0951576432291344E-2</v>
      </c>
    </row>
    <row r="33" spans="4:14" x14ac:dyDescent="0.25">
      <c r="D33" t="s">
        <v>29</v>
      </c>
      <c r="E33">
        <v>585382</v>
      </c>
      <c r="F33">
        <v>1000</v>
      </c>
      <c r="G33">
        <v>1000</v>
      </c>
      <c r="H33" s="20">
        <f>4.0533018791114/1000</f>
        <v>4.0533018791113996E-3</v>
      </c>
      <c r="J33" s="19">
        <v>165</v>
      </c>
      <c r="L33" s="18">
        <v>0.87108941796671102</v>
      </c>
      <c r="M33" s="9">
        <f t="shared" si="0"/>
        <v>1.4494795098917325E-2</v>
      </c>
      <c r="N33" s="9">
        <f t="shared" si="1"/>
        <v>1.4494795098917325E-2</v>
      </c>
    </row>
    <row r="34" spans="4:14" x14ac:dyDescent="0.25">
      <c r="D34" t="s">
        <v>30</v>
      </c>
      <c r="E34">
        <v>1074539</v>
      </c>
      <c r="F34">
        <v>1000</v>
      </c>
      <c r="G34">
        <v>1000</v>
      </c>
      <c r="H34" s="20">
        <f>19.4119963157937/1000</f>
        <v>1.9411996315793701E-2</v>
      </c>
      <c r="J34" s="19">
        <v>165</v>
      </c>
      <c r="L34" s="18">
        <v>0.95861700118005799</v>
      </c>
      <c r="M34" s="9">
        <f t="shared" si="0"/>
        <v>1.3171331836092716E-2</v>
      </c>
      <c r="N34" s="9">
        <f t="shared" si="1"/>
        <v>1.3171331836092716E-2</v>
      </c>
    </row>
    <row r="35" spans="4:14" x14ac:dyDescent="0.25">
      <c r="D35" t="s">
        <v>31</v>
      </c>
      <c r="E35">
        <v>12187040</v>
      </c>
      <c r="F35">
        <v>2523000</v>
      </c>
      <c r="G35">
        <v>1000</v>
      </c>
      <c r="H35" s="20">
        <f>1.92200832952954/1000</f>
        <v>1.9220083295295399E-3</v>
      </c>
      <c r="J35" s="19">
        <v>625.00001907348599</v>
      </c>
      <c r="L35" s="18">
        <v>0.72786778963234999</v>
      </c>
      <c r="M35" s="9">
        <f t="shared" si="0"/>
        <v>11.554295798135424</v>
      </c>
      <c r="N35" s="9">
        <f t="shared" si="1"/>
        <v>4.579586126886811E-3</v>
      </c>
    </row>
    <row r="36" spans="4:14" x14ac:dyDescent="0.25">
      <c r="D36" t="s">
        <v>32</v>
      </c>
      <c r="E36">
        <v>12407600</v>
      </c>
      <c r="F36">
        <v>2528000</v>
      </c>
      <c r="G36">
        <v>1000</v>
      </c>
      <c r="H36" s="20">
        <f>2.15905238196507/1000</f>
        <v>2.1590523819650701E-3</v>
      </c>
      <c r="J36" s="19">
        <v>660</v>
      </c>
      <c r="L36" s="18">
        <v>0.69721304997938505</v>
      </c>
      <c r="M36" s="9">
        <f t="shared" si="0"/>
        <v>11.445279143920104</v>
      </c>
      <c r="N36" s="9">
        <f t="shared" si="1"/>
        <v>4.5274047246519396E-3</v>
      </c>
    </row>
    <row r="37" spans="4:14" x14ac:dyDescent="0.25">
      <c r="D37" t="s">
        <v>33</v>
      </c>
      <c r="E37">
        <v>15327560</v>
      </c>
      <c r="F37">
        <v>1000</v>
      </c>
      <c r="G37">
        <v>1000</v>
      </c>
      <c r="H37" s="20">
        <f>0.66846345040472/1000</f>
        <v>6.6846345040472003E-4</v>
      </c>
      <c r="J37" s="19">
        <v>633.826975537767</v>
      </c>
      <c r="L37" s="18">
        <v>0.82250949258375305</v>
      </c>
      <c r="M37" s="9">
        <f t="shared" si="0"/>
        <v>3.9961991680235853E-3</v>
      </c>
      <c r="N37" s="9">
        <f t="shared" si="1"/>
        <v>3.9961991680235853E-3</v>
      </c>
    </row>
    <row r="38" spans="4:14" x14ac:dyDescent="0.25">
      <c r="D38" t="s">
        <v>34</v>
      </c>
      <c r="E38">
        <v>10384816</v>
      </c>
      <c r="F38">
        <v>1000</v>
      </c>
      <c r="G38">
        <v>1000</v>
      </c>
      <c r="H38" s="20">
        <f>4.45269698507593/1000</f>
        <v>4.4526969850759296E-3</v>
      </c>
      <c r="J38" s="19">
        <v>479.17350733281802</v>
      </c>
      <c r="L38" s="18">
        <v>0.74978989337439095</v>
      </c>
      <c r="M38" s="9">
        <f t="shared" si="0"/>
        <v>5.7986431344907319E-3</v>
      </c>
      <c r="N38" s="9">
        <f t="shared" si="1"/>
        <v>5.7986431344907319E-3</v>
      </c>
    </row>
    <row r="39" spans="4:14" x14ac:dyDescent="0.25">
      <c r="D39" t="s">
        <v>35</v>
      </c>
      <c r="E39">
        <v>13252760</v>
      </c>
      <c r="F39">
        <v>1000</v>
      </c>
      <c r="G39">
        <v>1000</v>
      </c>
      <c r="H39" s="20">
        <f>3.69815107657532/1000</f>
        <v>3.6981510765753201E-3</v>
      </c>
      <c r="J39" s="19">
        <v>483.00001144409202</v>
      </c>
      <c r="L39" s="18">
        <v>0.891981577941797</v>
      </c>
      <c r="M39" s="9">
        <f t="shared" si="0"/>
        <v>4.8356597660512181E-3</v>
      </c>
      <c r="N39" s="9">
        <f t="shared" si="1"/>
        <v>4.8356597660512181E-3</v>
      </c>
    </row>
    <row r="40" spans="4:14" x14ac:dyDescent="0.25">
      <c r="D40" t="s">
        <v>36</v>
      </c>
      <c r="E40">
        <v>12088104</v>
      </c>
      <c r="F40">
        <v>2762000</v>
      </c>
      <c r="G40">
        <v>1000</v>
      </c>
      <c r="H40" s="20">
        <f>3.89941847511468/1000</f>
        <v>3.8994184751146798E-3</v>
      </c>
      <c r="J40" s="19">
        <v>483.00001144409202</v>
      </c>
      <c r="L40" s="18">
        <v>0.83073242756994803</v>
      </c>
      <c r="M40" s="9">
        <f t="shared" si="0"/>
        <v>14.34082487474236</v>
      </c>
      <c r="N40" s="9">
        <f t="shared" si="1"/>
        <v>5.1921885860761628E-3</v>
      </c>
    </row>
    <row r="41" spans="4:14" x14ac:dyDescent="0.25">
      <c r="D41" t="s">
        <v>37</v>
      </c>
      <c r="E41">
        <v>10638560</v>
      </c>
      <c r="F41">
        <v>47000</v>
      </c>
      <c r="G41">
        <v>1000</v>
      </c>
      <c r="H41" s="20">
        <f>3.78381132159395/1000</f>
        <v>3.78381132159395E-3</v>
      </c>
      <c r="J41" s="19">
        <v>489.17941116760102</v>
      </c>
      <c r="L41" s="18">
        <v>0.67623798704798499</v>
      </c>
      <c r="M41" s="9">
        <f t="shared" si="0"/>
        <v>0.29599807550545032</v>
      </c>
      <c r="N41" s="9">
        <f>G41*H41/(J41*H41*480*L41)</f>
        <v>6.2978313937329848E-3</v>
      </c>
    </row>
    <row r="42" spans="4:14" x14ac:dyDescent="0.25">
      <c r="D42" t="s">
        <v>38</v>
      </c>
      <c r="E42">
        <v>4502244</v>
      </c>
      <c r="H42" s="20">
        <f>1.79833904216144/1000</f>
        <v>1.7983390421614401E-3</v>
      </c>
      <c r="J42" s="19">
        <v>292.09190942222602</v>
      </c>
      <c r="L42" s="18">
        <v>0.48793678480548203</v>
      </c>
      <c r="M42" s="9"/>
      <c r="N42" s="9"/>
    </row>
    <row r="43" spans="4:14" x14ac:dyDescent="0.25">
      <c r="D43" t="s">
        <v>39</v>
      </c>
      <c r="E43">
        <v>4605108</v>
      </c>
      <c r="H43" s="20">
        <f>3.99685466418631/1000</f>
        <v>3.9968546641863095E-3</v>
      </c>
      <c r="J43" s="19">
        <v>286.41874550067899</v>
      </c>
      <c r="L43" s="18">
        <v>0.57933407298994299</v>
      </c>
      <c r="M43" s="9"/>
      <c r="N43" s="9"/>
    </row>
    <row r="44" spans="4:14" x14ac:dyDescent="0.25">
      <c r="D44" t="s">
        <v>40</v>
      </c>
      <c r="E44">
        <v>4888464</v>
      </c>
      <c r="H44" s="20">
        <f>2.98636386831565/1000</f>
        <v>2.98636386831565E-3</v>
      </c>
      <c r="J44" s="19">
        <v>300</v>
      </c>
      <c r="L44" s="18">
        <v>0.64726151267721199</v>
      </c>
      <c r="M44" s="9"/>
      <c r="N44" s="9"/>
    </row>
    <row r="45" spans="4:14" x14ac:dyDescent="0.25">
      <c r="D45" t="s">
        <v>41</v>
      </c>
      <c r="E45">
        <v>5565444</v>
      </c>
      <c r="H45" s="20">
        <f>2.85934264011567/1000</f>
        <v>2.8593426401156701E-3</v>
      </c>
      <c r="J45" s="19">
        <v>312.85597082724303</v>
      </c>
      <c r="L45" s="18">
        <v>0.66834057024015203</v>
      </c>
      <c r="M45" s="9"/>
      <c r="N45" s="9"/>
    </row>
    <row r="46" spans="4:14" x14ac:dyDescent="0.25">
      <c r="D46" t="s">
        <v>42</v>
      </c>
      <c r="E46">
        <v>3931000</v>
      </c>
      <c r="H46" s="20">
        <f>4.00765759075619/1000</f>
        <v>4.00765759075619E-3</v>
      </c>
      <c r="J46" s="19">
        <v>263.16579583595001</v>
      </c>
      <c r="L46" s="18">
        <v>0.49372229488084601</v>
      </c>
      <c r="M46" s="9"/>
      <c r="N46" s="9"/>
    </row>
    <row r="47" spans="4:14" x14ac:dyDescent="0.25">
      <c r="D47" t="s">
        <v>43</v>
      </c>
      <c r="E47">
        <v>4196322</v>
      </c>
      <c r="H47" s="20">
        <f>4.37136935664059/1000</f>
        <v>4.3713693566405894E-3</v>
      </c>
      <c r="J47" s="19">
        <v>279.99999046325701</v>
      </c>
      <c r="L47" s="18">
        <v>0.57930844113381696</v>
      </c>
      <c r="M47" s="9"/>
      <c r="N47" s="9"/>
    </row>
    <row r="48" spans="4:14" x14ac:dyDescent="0.25">
      <c r="D48" t="s">
        <v>44</v>
      </c>
      <c r="E48">
        <v>5157352</v>
      </c>
      <c r="H48" s="20">
        <f>3.1836603956552/1000</f>
        <v>3.1836603956552001E-3</v>
      </c>
      <c r="J48" s="19">
        <v>284.72995178137899</v>
      </c>
      <c r="L48" s="18">
        <v>0.66998113108977297</v>
      </c>
      <c r="M48" s="9"/>
      <c r="N48" s="9"/>
    </row>
    <row r="49" spans="4:14" x14ac:dyDescent="0.25">
      <c r="D49" t="s">
        <v>45</v>
      </c>
      <c r="E49">
        <v>2632713</v>
      </c>
      <c r="H49" s="20">
        <f>8.93216269229009/1000</f>
        <v>8.9321626922900903E-3</v>
      </c>
      <c r="J49" s="19">
        <v>150.50029379138101</v>
      </c>
      <c r="L49" s="18">
        <v>0.68915148180501296</v>
      </c>
      <c r="M49" s="9"/>
      <c r="N49" s="9"/>
    </row>
    <row r="50" spans="4:14" x14ac:dyDescent="0.25">
      <c r="D50" t="s">
        <v>46</v>
      </c>
      <c r="E50">
        <v>2005412</v>
      </c>
      <c r="H50" s="20">
        <f>10.1964611046349/1000</f>
        <v>1.0196461104634898E-2</v>
      </c>
      <c r="J50" s="19">
        <v>146.40475074882301</v>
      </c>
      <c r="L50" s="18">
        <v>0.52990503974713299</v>
      </c>
      <c r="M50" s="9"/>
      <c r="N50" s="9"/>
    </row>
    <row r="51" spans="4:14" x14ac:dyDescent="0.25">
      <c r="D51" t="s">
        <v>47</v>
      </c>
      <c r="E51">
        <v>7251312</v>
      </c>
      <c r="H51" s="20">
        <f>2.33542107577583/1000</f>
        <v>2.3354210757758299E-3</v>
      </c>
      <c r="J51" s="19">
        <v>279.99999046325701</v>
      </c>
      <c r="L51" s="18">
        <v>0.75486486993963497</v>
      </c>
      <c r="M51" s="9"/>
      <c r="N51" s="9"/>
    </row>
    <row r="52" spans="4:14" x14ac:dyDescent="0.25">
      <c r="D52" t="s">
        <v>48</v>
      </c>
      <c r="E52">
        <v>6086916</v>
      </c>
      <c r="H52" s="20">
        <f>3.24181305143847/1000</f>
        <v>3.2418130514384699E-3</v>
      </c>
      <c r="J52" s="19">
        <v>274.87825511216801</v>
      </c>
      <c r="L52" s="18">
        <v>0.68936781111033496</v>
      </c>
      <c r="M52" s="9"/>
      <c r="N52" s="9"/>
    </row>
    <row r="53" spans="4:14" x14ac:dyDescent="0.25">
      <c r="D53" t="s">
        <v>49</v>
      </c>
      <c r="E53">
        <v>4209796</v>
      </c>
      <c r="H53" s="20">
        <f>1.8650088585347/1000</f>
        <v>1.8650088585347E-3</v>
      </c>
      <c r="J53" s="19">
        <v>264.09920060626303</v>
      </c>
      <c r="L53" s="18">
        <v>0.54235818587372897</v>
      </c>
      <c r="M53" s="9"/>
      <c r="N53" s="9"/>
    </row>
    <row r="54" spans="4:14" x14ac:dyDescent="0.25">
      <c r="D54" t="s">
        <v>50</v>
      </c>
      <c r="E54">
        <v>4605340</v>
      </c>
      <c r="H54" s="20">
        <f>2.04443472676232/1000</f>
        <v>2.04443472676232E-3</v>
      </c>
      <c r="J54" s="19">
        <v>284.73175807738698</v>
      </c>
      <c r="L54" s="18">
        <v>0.56223781896990799</v>
      </c>
      <c r="M54" s="9"/>
      <c r="N54" s="9"/>
    </row>
    <row r="55" spans="4:14" x14ac:dyDescent="0.25">
      <c r="D55" t="s">
        <v>51</v>
      </c>
      <c r="E55">
        <v>4438288</v>
      </c>
      <c r="H55" s="20">
        <f>4.90999985408869/1000</f>
        <v>4.9099998540886904E-3</v>
      </c>
      <c r="J55" s="19">
        <v>260.00000953674299</v>
      </c>
      <c r="L55" s="18">
        <v>0.56317894721065598</v>
      </c>
      <c r="M55" s="9"/>
      <c r="N55" s="9"/>
    </row>
    <row r="56" spans="4:14" x14ac:dyDescent="0.25">
      <c r="D56" t="s">
        <v>52</v>
      </c>
      <c r="E56">
        <v>1520167</v>
      </c>
      <c r="H56" s="20">
        <f>25.8720012610716/1000</f>
        <v>2.58720012610716E-2</v>
      </c>
      <c r="J56" s="19">
        <v>92.830658335881296</v>
      </c>
      <c r="L56" s="18">
        <v>0.55287646564834803</v>
      </c>
      <c r="M56" s="9"/>
      <c r="N56" s="9"/>
    </row>
    <row r="57" spans="4:14" x14ac:dyDescent="0.25">
      <c r="D57" t="s">
        <v>53</v>
      </c>
      <c r="E57">
        <v>3040836</v>
      </c>
      <c r="H57" s="20">
        <f>3.92250190209233/1000</f>
        <v>3.9225019020923298E-3</v>
      </c>
      <c r="J57" s="19">
        <v>299.84565678211101</v>
      </c>
      <c r="L57" s="18">
        <v>0.62207607852207103</v>
      </c>
      <c r="M57" s="9"/>
      <c r="N57" s="9"/>
    </row>
    <row r="58" spans="4:14" x14ac:dyDescent="0.25">
      <c r="D58" t="s">
        <v>54</v>
      </c>
      <c r="E58">
        <v>914952</v>
      </c>
      <c r="H58" s="20">
        <f>26.1312100197428/1000</f>
        <v>2.61312100197428E-2</v>
      </c>
      <c r="J58" s="19">
        <v>87.513553970476096</v>
      </c>
      <c r="L58" s="18">
        <v>0.31301547333277502</v>
      </c>
      <c r="M58" s="9"/>
      <c r="N58" s="9"/>
    </row>
    <row r="59" spans="4:14" x14ac:dyDescent="0.25">
      <c r="D59" t="s">
        <v>55</v>
      </c>
      <c r="E59">
        <v>619432</v>
      </c>
      <c r="H59" s="20">
        <f>62.3202702976991/1000</f>
        <v>6.2320270297699105E-2</v>
      </c>
      <c r="J59" s="19">
        <v>60.480449534168301</v>
      </c>
      <c r="L59" s="18">
        <v>0.41502337592158201</v>
      </c>
      <c r="M59" s="9"/>
      <c r="N59" s="9"/>
    </row>
    <row r="60" spans="4:14" x14ac:dyDescent="0.25">
      <c r="D60" t="s">
        <v>56</v>
      </c>
      <c r="E60">
        <v>5507668</v>
      </c>
      <c r="H60" s="20">
        <f>4.99769163699139/1000</f>
        <v>4.9976916369913896E-3</v>
      </c>
      <c r="J60" s="19">
        <v>279.99999046325701</v>
      </c>
      <c r="L60" s="18">
        <v>0.67152074294702602</v>
      </c>
      <c r="M60" s="9"/>
      <c r="N60" s="9"/>
    </row>
    <row r="61" spans="4:14" x14ac:dyDescent="0.25">
      <c r="D61" t="s">
        <v>57</v>
      </c>
      <c r="E61">
        <v>6828400</v>
      </c>
      <c r="H61" s="20">
        <f>4.68241980228823/1000</f>
        <v>4.6824198022882299E-3</v>
      </c>
      <c r="J61" s="19">
        <v>260.00000953674299</v>
      </c>
      <c r="L61" s="18">
        <v>0.73077789643872104</v>
      </c>
      <c r="M61" s="9"/>
      <c r="N61" s="9"/>
    </row>
    <row r="62" spans="4:14" x14ac:dyDescent="0.25">
      <c r="D62" t="s">
        <v>58</v>
      </c>
      <c r="E62">
        <v>5567112</v>
      </c>
      <c r="H62" s="20">
        <f>3.95233314877769/1000</f>
        <v>3.9523331487776904E-3</v>
      </c>
      <c r="J62" s="19">
        <v>277.82067109152899</v>
      </c>
      <c r="L62" s="18">
        <v>0.62285858762021695</v>
      </c>
      <c r="M62" s="9"/>
      <c r="N62" s="9"/>
    </row>
    <row r="63" spans="4:14" x14ac:dyDescent="0.25">
      <c r="D63" t="s">
        <v>59</v>
      </c>
      <c r="E63">
        <v>3268978</v>
      </c>
      <c r="H63" s="20">
        <f>6.93669468434003/1000</f>
        <v>6.9366946843400301E-3</v>
      </c>
      <c r="J63" s="19">
        <v>176.52903509502201</v>
      </c>
      <c r="L63" s="18">
        <v>0.59053560942063699</v>
      </c>
      <c r="M63" s="9"/>
      <c r="N63" s="9"/>
    </row>
    <row r="64" spans="4:14" x14ac:dyDescent="0.25">
      <c r="D64" t="s">
        <v>60</v>
      </c>
      <c r="E64">
        <v>2206532</v>
      </c>
      <c r="H64" s="20">
        <f>15.5647624267794/1000</f>
        <v>1.5564762426779399E-2</v>
      </c>
      <c r="J64" s="19">
        <v>97.6573178133619</v>
      </c>
      <c r="L64" s="18">
        <v>0.75032931483717602</v>
      </c>
      <c r="M64" s="9"/>
      <c r="N64" s="9"/>
    </row>
    <row r="65" spans="4:14" x14ac:dyDescent="0.25">
      <c r="D65" t="s">
        <v>61</v>
      </c>
      <c r="E65">
        <v>2358173</v>
      </c>
      <c r="H65" s="20">
        <f>21.7001264386141/1000</f>
        <v>2.17001264386141E-2</v>
      </c>
      <c r="J65" s="19">
        <v>98.674181058758094</v>
      </c>
      <c r="L65" s="18">
        <v>0.74878745231924404</v>
      </c>
      <c r="M65" s="9"/>
      <c r="N65" s="9"/>
    </row>
    <row r="66" spans="4:14" x14ac:dyDescent="0.25">
      <c r="D66" t="s">
        <v>62</v>
      </c>
      <c r="E66" s="16">
        <f>114985.40625/H66</f>
        <v>34246634.877882801</v>
      </c>
      <c r="F66">
        <v>5871000</v>
      </c>
      <c r="H66" s="20">
        <f>3.35756802558899/1000</f>
        <v>3.3575680255889901E-3</v>
      </c>
      <c r="J66" s="19">
        <f>2.57500000298023*(500/H66)</f>
        <v>383462.07483443606</v>
      </c>
      <c r="L66" s="18">
        <v>1.1790338355157499</v>
      </c>
      <c r="M66" s="9">
        <f>F66*H66/(J66*H66*480*L66)</f>
        <v>2.705341886327297E-2</v>
      </c>
      <c r="N66" s="9">
        <f>G66*H66/(J66*H66*480*L66)</f>
        <v>0</v>
      </c>
    </row>
    <row r="67" spans="4:14" x14ac:dyDescent="0.25">
      <c r="D67" t="s">
        <v>63</v>
      </c>
      <c r="E67" s="17">
        <f>90653.4375/H67</f>
        <v>1711510.3729148097</v>
      </c>
      <c r="F67">
        <v>76000</v>
      </c>
      <c r="H67" s="20">
        <f>52.9669226284685/1000</f>
        <v>5.2966922628468499E-2</v>
      </c>
      <c r="J67" s="19">
        <f>3.29999998211861*(500/H67)</f>
        <v>31151.517006813381</v>
      </c>
      <c r="L67" s="18">
        <v>0.75279795798154303</v>
      </c>
      <c r="M67" s="9">
        <f>F67*H67/(J67*H67*480*L67)</f>
        <v>6.7517246404601482E-3</v>
      </c>
      <c r="N67" s="9">
        <f t="shared" ref="N67:N68" si="2">G67*H67/(J67*H67*480*L67)</f>
        <v>0</v>
      </c>
    </row>
    <row r="68" spans="4:14" x14ac:dyDescent="0.25">
      <c r="D68" t="s">
        <v>64</v>
      </c>
      <c r="E68" s="16">
        <f>108075.75/H68</f>
        <v>31899571.911138851</v>
      </c>
      <c r="F68">
        <v>7523000</v>
      </c>
      <c r="H68" s="20">
        <f>3.38800001144409/1000</f>
        <v>3.38800001144409E-3</v>
      </c>
      <c r="J68" s="19">
        <f>3.87096762657166*(500/H68)</f>
        <v>571276.2121452461</v>
      </c>
      <c r="L68" s="18">
        <v>0.76389627203334698</v>
      </c>
      <c r="M68" s="9">
        <f>F68*H68/(J68*H68*480*L68)</f>
        <v>3.5914456070995963E-2</v>
      </c>
      <c r="N68" s="9">
        <f t="shared" si="2"/>
        <v>0</v>
      </c>
    </row>
    <row r="70" spans="4:14" x14ac:dyDescent="0.25">
      <c r="H70" s="15" t="s">
        <v>79</v>
      </c>
      <c r="J70" s="15" t="s">
        <v>80</v>
      </c>
      <c r="L70" s="21"/>
      <c r="M70" s="21"/>
    </row>
    <row r="71" spans="4:14" x14ac:dyDescent="0.25">
      <c r="F71">
        <v>25000000</v>
      </c>
      <c r="H71" s="20">
        <f>AVERAGE(H25:H68)</f>
        <v>9.3498181599797545E-3</v>
      </c>
      <c r="J71" s="19">
        <f>AVERAGE(J25:J68)</f>
        <v>22686.65032195509</v>
      </c>
      <c r="L71" s="18">
        <v>1</v>
      </c>
      <c r="M71" s="18">
        <f>F71*H71/(J71*H71*480*L71)</f>
        <v>2.2957700936100509</v>
      </c>
    </row>
    <row r="72" spans="4:14" x14ac:dyDescent="0.25">
      <c r="M72" s="18"/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conditionalFormatting sqref="L25:L68 L71">
    <cfRule type="colorScale" priority="1">
      <colorScale>
        <cfvo type="num" val="0.4"/>
        <cfvo type="num" val="0.6"/>
        <cfvo type="num" val="0.85"/>
        <color rgb="FFF8696B"/>
        <color rgb="FFFFC000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D21" formulaRange="1"/>
    <ignoredError sqref="B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2018-06-25T09:11:53Z</dcterms:modified>
</cp:coreProperties>
</file>