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5"/>
  <workbookPr/>
  <mc:AlternateContent xmlns:mc="http://schemas.openxmlformats.org/markup-compatibility/2006">
    <mc:Choice Requires="x15">
      <x15ac:absPath xmlns:x15ac="http://schemas.microsoft.com/office/spreadsheetml/2010/11/ac" url="https://udemontreal-my.sharepoint.com/personal/simon_dufour_umontreal_ca/Documents/Enseignement UdM/Cours/Dx test validation-Dufour/General material/Exercises/"/>
    </mc:Choice>
  </mc:AlternateContent>
  <xr:revisionPtr revIDLastSave="0" documentId="8_{5FE6A4D6-AB45-4973-90E2-6633F2E2BC16}" xr6:coauthVersionLast="36" xr6:coauthVersionMax="36" xr10:uidLastSave="{00000000-0000-0000-0000-000000000000}"/>
  <bookViews>
    <workbookView xWindow="32760" yWindow="585" windowWidth="12060" windowHeight="9105" tabRatio="788" activeTab="1"/>
  </bookViews>
  <sheets>
    <sheet name="instructions" sheetId="8" r:id="rId1"/>
    <sheet name="compute sample sizes (spreads1)" sheetId="4" r:id="rId2"/>
    <sheet name="compute se's (spreads2)" sheetId="5" r:id="rId3"/>
    <sheet name="ML estimates (spreads3)" sheetId="7" r:id="rId4"/>
    <sheet name="ML calculations (spreads4)" sheetId="6" r:id="rId5"/>
  </sheets>
  <definedNames>
    <definedName name="multiplier">'compute sample sizes (spreads1)'!$B$8</definedName>
    <definedName name="N" localSheetId="2">'compute se''s (spreads2)'!$C$7</definedName>
    <definedName name="p_1.1">'ML calculations (spreads4)'!$E$5</definedName>
    <definedName name="p_1.2">'ML calculations (spreads4)'!$E$6</definedName>
    <definedName name="p_11.">'ML calculations (spreads4)'!$C$7</definedName>
    <definedName name="p_111">'ML calculations (spreads4)'!$C$5</definedName>
    <definedName name="p_112">'ML calculations (spreads4)'!$C$6</definedName>
    <definedName name="p_12.">'ML calculations (spreads4)'!$D$7</definedName>
    <definedName name="p_121">'ML calculations (spreads4)'!$D$5</definedName>
    <definedName name="p_122">'ML calculations (spreads4)'!$D$6</definedName>
    <definedName name="p_2.1">'ML calculations (spreads4)'!$K$5</definedName>
    <definedName name="p_2.2">'ML calculations (spreads4)'!$K$6</definedName>
    <definedName name="p_21.">'ML calculations (spreads4)'!$I$7</definedName>
    <definedName name="p_211">'ML calculations (spreads4)'!$I$5</definedName>
    <definedName name="p_212">'ML calculations (spreads4)'!$I$6</definedName>
    <definedName name="p_22.">'ML calculations (spreads4)'!$J$7</definedName>
    <definedName name="p_221">'ML calculations (spreads4)'!$J$5</definedName>
    <definedName name="p_222">'ML calculations (spreads4)'!$J$6</definedName>
    <definedName name="pbar111" localSheetId="1">'compute sample sizes (spreads1)'!$C$36</definedName>
    <definedName name="pbar112" localSheetId="1">'compute sample sizes (spreads1)'!$C$38</definedName>
    <definedName name="pbar121" localSheetId="1">'compute sample sizes (spreads1)'!$C$39</definedName>
    <definedName name="pbar122" localSheetId="1">'compute sample sizes (spreads1)'!$C$42</definedName>
    <definedName name="pbar211" localSheetId="1">'compute sample sizes (spreads1)'!$C$37</definedName>
    <definedName name="pbar212" localSheetId="1">'compute sample sizes (spreads1)'!$C$40</definedName>
    <definedName name="pbar221" localSheetId="1">'compute sample sizes (spreads1)'!$C$41</definedName>
    <definedName name="pbar222" localSheetId="1">'compute sample sizes (spreads1)'!$C$43</definedName>
    <definedName name="_pi1" localSheetId="1">'compute sample sizes (spreads1)'!$C$1</definedName>
    <definedName name="_pi2" localSheetId="1">'compute sample sizes (spreads1)'!$C$2</definedName>
    <definedName name="_se1" localSheetId="1">'compute sample sizes (spreads1)'!$C$3</definedName>
    <definedName name="_se2" localSheetId="1">'compute sample sizes (spreads1)'!$C$4</definedName>
    <definedName name="_sp1" localSheetId="1">'compute sample sizes (spreads1)'!$C$5</definedName>
    <definedName name="_sp2" localSheetId="1">'compute sample sizes (spreads1)'!$C$6</definedName>
    <definedName name="total1">'ML calculations (spreads4)'!$E$7</definedName>
    <definedName name="total2">'ML calculations (spreads4)'!$K$7</definedName>
    <definedName name="w_p1" localSheetId="1">'compute sample sizes (spreads1)'!$C$10</definedName>
    <definedName name="w_p2" localSheetId="1">'compute sample sizes (spreads1)'!$C$11</definedName>
    <definedName name="w_se1" localSheetId="1">'compute sample sizes (spreads1)'!$C$12</definedName>
    <definedName name="w_Se1Se2">'compute sample sizes (spreads1)'!$C$16</definedName>
    <definedName name="w_se2" localSheetId="1">'compute sample sizes (spreads1)'!$C$13</definedName>
    <definedName name="w_sp1" localSheetId="1">'compute sample sizes (spreads1)'!$C$14</definedName>
    <definedName name="w_Sp1Sp2">'compute sample sizes (spreads1)'!$C$17</definedName>
    <definedName name="w_sp2" localSheetId="1">'compute sample sizes (spreads1)'!$C$15</definedName>
    <definedName name="Z" localSheetId="1">'compute sample sizes (spreads1)'!$B$9</definedName>
  </definedNames>
  <calcPr calcId="191029"/>
</workbook>
</file>

<file path=xl/calcChain.xml><?xml version="1.0" encoding="utf-8"?>
<calcChain xmlns="http://schemas.openxmlformats.org/spreadsheetml/2006/main">
  <c r="C36" i="4" l="1"/>
  <c r="C38" i="4"/>
  <c r="C39" i="4"/>
  <c r="C42" i="4"/>
  <c r="C19" i="4"/>
  <c r="C11" i="5" s="1"/>
  <c r="C37" i="4"/>
  <c r="C40" i="4"/>
  <c r="C41" i="4"/>
  <c r="C43" i="4"/>
  <c r="E6" i="4"/>
  <c r="E5" i="4"/>
  <c r="D6" i="5"/>
  <c r="M8" i="5"/>
  <c r="U9" i="5" s="1"/>
  <c r="L8" i="5"/>
  <c r="U8" i="5" s="1"/>
  <c r="B48" i="5"/>
  <c r="F48" i="5" s="1"/>
  <c r="B47" i="5"/>
  <c r="F47" i="5" s="1"/>
  <c r="M3" i="5"/>
  <c r="U4" i="5" s="1"/>
  <c r="L3" i="5"/>
  <c r="U3" i="5" s="1"/>
  <c r="B12" i="5"/>
  <c r="F33" i="5"/>
  <c r="F32" i="5"/>
  <c r="F31" i="5"/>
  <c r="F30" i="5"/>
  <c r="F29" i="5"/>
  <c r="F28" i="5"/>
  <c r="C37" i="5"/>
  <c r="C36" i="5"/>
  <c r="D9" i="5"/>
  <c r="D8" i="5"/>
  <c r="D5" i="5"/>
  <c r="D4" i="5"/>
  <c r="D3" i="5"/>
  <c r="D2" i="5"/>
  <c r="D1" i="5"/>
  <c r="F1" i="5"/>
  <c r="K7" i="7"/>
  <c r="J5" i="6" s="1"/>
  <c r="J7" i="6" s="1"/>
  <c r="J6" i="6"/>
  <c r="I6" i="6"/>
  <c r="E7" i="7"/>
  <c r="D6" i="6" s="1"/>
  <c r="J7" i="7"/>
  <c r="I7" i="7"/>
  <c r="K6" i="7"/>
  <c r="K5" i="7"/>
  <c r="D7" i="7"/>
  <c r="C7" i="7"/>
  <c r="E6" i="7"/>
  <c r="E5" i="7"/>
  <c r="K6" i="6"/>
  <c r="E24" i="4" l="1"/>
  <c r="G22" i="4" s="1"/>
  <c r="G14" i="5" s="1"/>
  <c r="C21" i="4"/>
  <c r="D20" i="4" s="1"/>
  <c r="D12" i="5" s="1"/>
  <c r="B19" i="4"/>
  <c r="B11" i="5" s="1"/>
  <c r="C22" i="4"/>
  <c r="E20" i="4" s="1"/>
  <c r="E12" i="5" s="1"/>
  <c r="C24" i="4"/>
  <c r="G20" i="4" s="1"/>
  <c r="G12" i="5" s="1"/>
  <c r="D23" i="4"/>
  <c r="C13" i="5"/>
  <c r="B21" i="4"/>
  <c r="C6" i="6"/>
  <c r="E6" i="6" s="1"/>
  <c r="E23" i="4"/>
  <c r="F24" i="4"/>
  <c r="F23" i="4"/>
  <c r="F15" i="5" s="1"/>
  <c r="C23" i="4"/>
  <c r="C20" i="4"/>
  <c r="C12" i="5" s="1"/>
  <c r="D22" i="4"/>
  <c r="B22" i="4"/>
  <c r="I5" i="6"/>
  <c r="D24" i="4"/>
  <c r="G24" i="4"/>
  <c r="G16" i="5" s="1"/>
  <c r="D5" i="6"/>
  <c r="D7" i="6" s="1"/>
  <c r="C5" i="6"/>
  <c r="E22" i="4"/>
  <c r="E14" i="5" s="1"/>
  <c r="D21" i="4"/>
  <c r="D13" i="5" s="1"/>
  <c r="B24" i="4"/>
  <c r="B23" i="4"/>
  <c r="E16" i="5"/>
  <c r="C14" i="5" l="1"/>
  <c r="C16" i="5"/>
  <c r="E21" i="4"/>
  <c r="E13" i="5" s="1"/>
  <c r="D14" i="5"/>
  <c r="D19" i="4"/>
  <c r="B13" i="5"/>
  <c r="G23" i="4"/>
  <c r="G15" i="5" s="1"/>
  <c r="F16" i="5"/>
  <c r="C15" i="5"/>
  <c r="F20" i="4"/>
  <c r="F12" i="5" s="1"/>
  <c r="F19" i="4"/>
  <c r="F11" i="5" s="1"/>
  <c r="B15" i="5"/>
  <c r="C7" i="6"/>
  <c r="E5" i="6"/>
  <c r="E7" i="6"/>
  <c r="F21" i="4"/>
  <c r="F13" i="5" s="1"/>
  <c r="D15" i="5"/>
  <c r="E15" i="5"/>
  <c r="F22" i="4"/>
  <c r="F14" i="5" s="1"/>
  <c r="D16" i="5"/>
  <c r="G21" i="4"/>
  <c r="G13" i="5" s="1"/>
  <c r="K5" i="6"/>
  <c r="B10" i="6" s="1"/>
  <c r="I7" i="6"/>
  <c r="K7" i="6"/>
  <c r="B16" i="5"/>
  <c r="G19" i="4"/>
  <c r="G11" i="5" s="1"/>
  <c r="B14" i="5"/>
  <c r="E19" i="4"/>
  <c r="E11" i="5" s="1"/>
  <c r="B11" i="6" l="1"/>
  <c r="B12" i="6"/>
  <c r="B20" i="6" s="1"/>
  <c r="B13" i="6"/>
  <c r="E21" i="6" s="1"/>
  <c r="D12" i="7" s="1"/>
  <c r="D11" i="5"/>
  <c r="B20" i="5" s="1" a="1"/>
  <c r="B28" i="4" a="1"/>
  <c r="C11" i="7" l="1"/>
  <c r="E16" i="6"/>
  <c r="D16" i="7" s="1"/>
  <c r="E33" i="4"/>
  <c r="C31" i="4"/>
  <c r="G30" i="4"/>
  <c r="G28" i="4"/>
  <c r="E30" i="4"/>
  <c r="D33" i="4"/>
  <c r="F33" i="4"/>
  <c r="B32" i="4"/>
  <c r="F28" i="4"/>
  <c r="B29" i="4"/>
  <c r="C32" i="4"/>
  <c r="D31" i="4"/>
  <c r="B31" i="4"/>
  <c r="G31" i="4"/>
  <c r="G32" i="4"/>
  <c r="F30" i="4"/>
  <c r="D32" i="4"/>
  <c r="B28" i="4"/>
  <c r="B33" i="4"/>
  <c r="C33" i="4"/>
  <c r="F32" i="4"/>
  <c r="G29" i="4"/>
  <c r="F29" i="4"/>
  <c r="D29" i="4"/>
  <c r="C30" i="4"/>
  <c r="B30" i="4"/>
  <c r="E29" i="4"/>
  <c r="C28" i="4"/>
  <c r="E31" i="4"/>
  <c r="F40" i="4" s="1"/>
  <c r="F49" i="4" s="1"/>
  <c r="G33" i="4"/>
  <c r="F42" i="4" s="1"/>
  <c r="F51" i="4" s="1"/>
  <c r="E32" i="4"/>
  <c r="C29" i="4"/>
  <c r="F38" i="4" s="1"/>
  <c r="F47" i="4" s="1"/>
  <c r="D30" i="4"/>
  <c r="E28" i="4"/>
  <c r="D28" i="4"/>
  <c r="F31" i="4"/>
  <c r="E17" i="6"/>
  <c r="D15" i="7" s="1"/>
  <c r="B19" i="6"/>
  <c r="B18" i="6"/>
  <c r="B16" i="6"/>
  <c r="B17" i="6"/>
  <c r="E18" i="6"/>
  <c r="D14" i="7" s="1"/>
  <c r="E19" i="6"/>
  <c r="D13" i="7" s="1"/>
  <c r="E22" i="5"/>
  <c r="O4" i="5" s="1"/>
  <c r="P3" i="5" s="1"/>
  <c r="C23" i="5"/>
  <c r="C21" i="5"/>
  <c r="B29" i="5" s="1"/>
  <c r="E20" i="5"/>
  <c r="C24" i="5"/>
  <c r="G21" i="5"/>
  <c r="B21" i="5"/>
  <c r="B23" i="5"/>
  <c r="F24" i="5"/>
  <c r="D21" i="5"/>
  <c r="G25" i="5"/>
  <c r="B22" i="5"/>
  <c r="G22" i="5"/>
  <c r="E24" i="5"/>
  <c r="C22" i="5"/>
  <c r="C20" i="5"/>
  <c r="F21" i="5"/>
  <c r="D20" i="5"/>
  <c r="F25" i="5"/>
  <c r="J23" i="5" s="1"/>
  <c r="E25" i="5"/>
  <c r="E21" i="5"/>
  <c r="D25" i="5"/>
  <c r="G24" i="5"/>
  <c r="O9" i="5" s="1"/>
  <c r="P8" i="5" s="1"/>
  <c r="G20" i="5"/>
  <c r="E23" i="5"/>
  <c r="F23" i="5"/>
  <c r="F22" i="5"/>
  <c r="F20" i="5"/>
  <c r="B25" i="5"/>
  <c r="D23" i="5"/>
  <c r="D24" i="5"/>
  <c r="C25" i="5"/>
  <c r="D22" i="5"/>
  <c r="G23" i="5"/>
  <c r="B20" i="5"/>
  <c r="B24" i="5"/>
  <c r="E20" i="6"/>
  <c r="D11" i="7" s="1"/>
  <c r="B21" i="6"/>
  <c r="I37" i="4" l="1"/>
  <c r="J17" i="5"/>
  <c r="J19" i="5"/>
  <c r="J21" i="5"/>
  <c r="J18" i="5"/>
  <c r="B33" i="5"/>
  <c r="P9" i="5"/>
  <c r="B35" i="4"/>
  <c r="F44" i="4" s="1"/>
  <c r="F53" i="4" s="1"/>
  <c r="F41" i="4"/>
  <c r="F50" i="4" s="1"/>
  <c r="I38" i="4"/>
  <c r="H29" i="5"/>
  <c r="E29" i="5" s="1"/>
  <c r="D40" i="5"/>
  <c r="G29" i="5"/>
  <c r="D29" i="5" s="1"/>
  <c r="E40" i="5"/>
  <c r="J15" i="5"/>
  <c r="B30" i="5"/>
  <c r="B36" i="5"/>
  <c r="O3" i="5"/>
  <c r="P4" i="5"/>
  <c r="B31" i="5"/>
  <c r="B32" i="5"/>
  <c r="O8" i="5"/>
  <c r="B37" i="5"/>
  <c r="I44" i="4"/>
  <c r="I45" i="4"/>
  <c r="J11" i="5"/>
  <c r="I40" i="4"/>
  <c r="I43" i="4"/>
  <c r="G15" i="4"/>
  <c r="F37" i="4"/>
  <c r="I51" i="4"/>
  <c r="I42" i="4"/>
  <c r="B28" i="5"/>
  <c r="G9" i="5"/>
  <c r="J14" i="5"/>
  <c r="J24" i="5"/>
  <c r="J20" i="5"/>
  <c r="C15" i="7"/>
  <c r="F15" i="7" s="1"/>
  <c r="G17" i="6"/>
  <c r="F39" i="4"/>
  <c r="F48" i="4" s="1"/>
  <c r="B34" i="4"/>
  <c r="F43" i="4" s="1"/>
  <c r="F52" i="4" s="1"/>
  <c r="I41" i="4"/>
  <c r="I46" i="4"/>
  <c r="I49" i="4"/>
  <c r="J16" i="5"/>
  <c r="C16" i="7"/>
  <c r="F16" i="7" s="1"/>
  <c r="G16" i="6"/>
  <c r="I39" i="4"/>
  <c r="C12" i="7"/>
  <c r="F12" i="7" s="1"/>
  <c r="G21" i="6"/>
  <c r="J13" i="5"/>
  <c r="J12" i="5"/>
  <c r="J22" i="5"/>
  <c r="J10" i="5"/>
  <c r="C14" i="7"/>
  <c r="F14" i="7" s="1"/>
  <c r="G18" i="6"/>
  <c r="I48" i="4"/>
  <c r="I50" i="4"/>
  <c r="F11" i="7"/>
  <c r="G19" i="6"/>
  <c r="C13" i="7"/>
  <c r="F13" i="7" s="1"/>
  <c r="I47" i="4"/>
  <c r="G20" i="6"/>
  <c r="C29" i="5" l="1"/>
  <c r="F13" i="4"/>
  <c r="G13" i="4" s="1"/>
  <c r="F14" i="4"/>
  <c r="G14" i="4" s="1"/>
  <c r="E43" i="5"/>
  <c r="H32" i="5"/>
  <c r="E32" i="5" s="1"/>
  <c r="D43" i="5"/>
  <c r="G32" i="5"/>
  <c r="D32" i="5" s="1"/>
  <c r="E42" i="5"/>
  <c r="D42" i="5"/>
  <c r="G31" i="5"/>
  <c r="D31" i="5" s="1"/>
  <c r="H31" i="5"/>
  <c r="E31" i="5" s="1"/>
  <c r="R3" i="5" a="1"/>
  <c r="E39" i="5"/>
  <c r="H28" i="5"/>
  <c r="E28" i="5" s="1"/>
  <c r="D39" i="5"/>
  <c r="G28" i="5"/>
  <c r="D28" i="5" s="1"/>
  <c r="F36" i="5"/>
  <c r="G36" i="5"/>
  <c r="E36" i="5"/>
  <c r="D36" i="5"/>
  <c r="F7" i="5"/>
  <c r="G7" i="5" s="1"/>
  <c r="F8" i="5"/>
  <c r="G8" i="5" s="1"/>
  <c r="G37" i="4"/>
  <c r="F1" i="4" s="1"/>
  <c r="F46" i="4"/>
  <c r="G46" i="4" s="1"/>
  <c r="F2" i="4" s="1"/>
  <c r="E41" i="5"/>
  <c r="D41" i="5"/>
  <c r="H30" i="5"/>
  <c r="E30" i="5" s="1"/>
  <c r="C30" i="5" s="1"/>
  <c r="G30" i="5"/>
  <c r="D30" i="5" s="1"/>
  <c r="G37" i="5"/>
  <c r="D37" i="5"/>
  <c r="E37" i="5"/>
  <c r="F37" i="5"/>
  <c r="R8" i="5" a="1"/>
  <c r="C40" i="5"/>
  <c r="E44" i="5"/>
  <c r="G33" i="5"/>
  <c r="D33" i="5" s="1"/>
  <c r="D44" i="5"/>
  <c r="H33" i="5"/>
  <c r="E33" i="5" s="1"/>
  <c r="C33" i="5" l="1"/>
  <c r="C39" i="5"/>
  <c r="C32" i="5"/>
  <c r="C31" i="5"/>
  <c r="C41" i="5"/>
  <c r="C44" i="5"/>
  <c r="R8" i="5"/>
  <c r="W8" i="5" s="1" a="1"/>
  <c r="W8" i="5" s="1"/>
  <c r="S8" i="5"/>
  <c r="C42" i="5"/>
  <c r="C28" i="5"/>
  <c r="S3" i="5"/>
  <c r="R3" i="5"/>
  <c r="W3" i="5" s="1" a="1"/>
  <c r="W3" i="5" s="1"/>
  <c r="C43" i="5"/>
  <c r="G47" i="5" l="1"/>
  <c r="D47" i="5" s="1"/>
  <c r="H47" i="5"/>
  <c r="E47" i="5" s="1"/>
  <c r="G48" i="5"/>
  <c r="D48" i="5" s="1"/>
  <c r="H48" i="5"/>
  <c r="E48" i="5" s="1"/>
  <c r="C48" i="5" l="1"/>
  <c r="C47" i="5"/>
</calcChain>
</file>

<file path=xl/comments1.xml><?xml version="1.0" encoding="utf-8"?>
<comments xmlns="http://schemas.openxmlformats.org/spreadsheetml/2006/main">
  <authors>
    <author>svm</author>
  </authors>
  <commentList>
    <comment ref="A1" authorId="0" shapeId="0">
      <text>
        <r>
          <rPr>
            <b/>
            <sz val="9"/>
            <color indexed="81"/>
            <rFont val="Tahoma"/>
            <family val="2"/>
          </rPr>
          <t>Description of the spreadsheet and its use</t>
        </r>
        <r>
          <rPr>
            <sz val="9"/>
            <color indexed="81"/>
            <rFont val="Tahoma"/>
            <family val="2"/>
          </rPr>
          <t xml:space="preserve">
The EXCEL book, which is available at http://www.epi.ucdavis.edu/diagnostictests/ , consists of 4 spreadsheets, the first 2 of which are most likely to be of interest to users. In general, cells with orange background indicate inputs and cells with light blue background indicate results. 
Spreadsheet 1 uses inputs (guesses) of sensitivities, specificities and prevalences, and specified values for w’s, to calculate sample sizes needed to obtain 2-sided confidence intervals of specified width. Best guesses for the difference in sensitivities and specificities (Se1-Se2 and Sp1-Sp2) are calculated automatically based on the best guesses provided for the parameters. Note, that we can specify CI widths not only for the 6 parameters of interest, but also for the difference in the parameters Se1-Se2 and Sp1-Sp2.
Spreadsheet 2 uses the same inputs and specified sample sizes to calculate standard errors (s.e.) and confidence intervals (CIs) for parameter estimates. Two types of CIs are given. The first intervals (logit-based) are obtained by first calculating the logit of the parameter estimate, then finding a CI for the logit and then transforming back to the original scale of the parameter. The second type of interval is the regular normal approximation (estimate +/- z*s.e.).
Spreadsheet 2 also provides estimates of parameter differences and odds ratios (as they are defined in the spreadsheet and the accompanying paper) and respective CIs.
To facilitate readers obtaining the ML parameter estimates using the Hui and Walter (HW) formulas, we have included spreadsheet 3, in which cross-tabulated data are entered and parameter estimates are returned. 
In practice, one could use spreadsheet 1 during the design phase of a study, with a range of guesses for the parameters in order to get a range of required sample sizes. </t>
        </r>
        <r>
          <rPr>
            <u/>
            <sz val="9"/>
            <color indexed="81"/>
            <rFont val="Tahoma"/>
            <family val="2"/>
          </rPr>
          <t xml:space="preserve">Since the calculation of sample size requires the asymptotic normality of the ML estimates, after performing the calculation, one should check to see if the large-sample approximation is reasonable by calculating the initial estimate/guess ±3*s.e. to determine if the interval obtained includes 0 or 1.  If it does, the sample is likely not large enough to justify large-sample normality. </t>
        </r>
        <r>
          <rPr>
            <sz val="9"/>
            <color indexed="81"/>
            <rFont val="Tahoma"/>
            <family val="2"/>
          </rPr>
          <t xml:space="preserve">After the data have been collected, one can use spreadsheet 3 to get ML parameter estimates with the HW formulas. To get s.e.’s for the HW parameter estimates, we use spreadsheets 1 and 2. We initially substitute the point estimates (if one copies them from spreadsheet 3 they should use "Paste Special&gt;Values), Z and c (c = N2/N1) into spreadsheet 1 and these automatically appear as inputs in spreadsheet 2. Then, we input N1 in spreadsheet 2 and we obtain the s.e.’s at the end of spreadsheet 2. Spreadsheet 4 is used only for intermediate calculations and is of no value to the user.    
More specifically, the first spreadsheet uses inputs (best guesses) for the parameters of interest: sensitivities (Se1, Se2), specificities (Sp1, Sp2),  prevalences (pi1, pi2), and differences in Se's Sp's, the desired 2-sided CI widths (w_pi1, w_pi2, w_Se1, w_Se2, w_Sp1, w_Sp2, w_Se1-Se2, w_Sp1-Sp2), Z, and the sample size ratio (c = N2/N1). The outputs from the first spreadsheet are the matrices A and C, the estimated pairwise correlations, the estimated variances of (Se1-Se2) and (Sp1-Sp2) and the sample sizes required for the specified 2-sided CI width for each parameter. The diagonals of C, in blue, are equal to N1 times the estimated variances of the respective parameter estimates (N1. times the diagonals of hat(Cov)). These numbers must be positive and will be, provided the specified parameters in the HW model give rise to a non-singular Fisher Information matrix B.  This issue is further discussed in the accompanying paper. The estimated variances for (Se1-Se2) and (Sp1-Sp2) are calculated as {(estimated variance of variable 1) + (estimated variance of variable 2) – 2*[estimated covariance (variable 1, variable 2)], each time. The estimated variance and covariance values are taken from matrix C. </t>
        </r>
        <r>
          <rPr>
            <sz val="10"/>
            <color indexed="81"/>
            <rFont val="Tahoma"/>
            <family val="2"/>
          </rPr>
          <t xml:space="preserve">
The second spreadsheet can be used to obtain s.e.’s and CI’s  before data have been collected based on the guesses that were input in the sample size calculation in conjunction with those sample sizes. They can also be used to obtain s.e.’s after the data are collected, based on actual estimates that have been obtained in spreadsheet 3.  The ML estimates, Z and N2/N1 (c ) are input in the first spreadsheet. These values are shown automatically (in gray font) in spreadsheet 2, but changing them there would not influence the calculations. The only value input in spreadsheet 2 is N1. N1 could not be input in spreadsheet 1 since it is an output value in that spreadsheet. Matrix B is obtained by </t>
        </r>
        <r>
          <rPr>
            <sz val="9"/>
            <color indexed="81"/>
            <rFont val="Tahoma"/>
            <family val="2"/>
          </rPr>
          <t xml:space="preserve">multiplying matrix A by N1 and matrix hat(Cov) by inverting matrix B. Matrix hat(Cov) is the variance-covariance matrix of the 6 parameter estimates of interest. 
The main outputs of spreadsheet 2 are the s.e.’s for the parameter estimates and the 2-sided CIs of the respective parameters. The s.e.’s for hat(alpha) and hat(beta) are the same to those for 1-hat(alpha) = hat(Sp) and 1- hat(beta) = hat(Se), respectively. 
The second spreadsheet can also be used to calculate CI's for the difference between the sensitivity and the specificity variables (Se1 – Se2) and (Sp1 – Sp2). The difference of the 2 variables and the variance of the difference is calculated using the values inputted in spreadsheet 1. The estimated variance of the difference is calculated in cells B36 and B37 as {(estimated variance of variable 1) + (estimated variance of variable 2) – 2*[estimated covariance (variable 1, variable 2)]}. The estimated variance and covariance values are taken from matrix hat(Cov). The 2-sided CI’s are calculated using the Z value inputted in spreadsheet 1. The width of the 2-sided CI of the difference is calculated in cells F36 and F37. CIs for Odds Ratios are calculated using the matrices on the far right end of spreadsheet 2 (top).
One can input values for N1 in spreadsheet 2 and observe the respective 2-sided CI’s for all the parameters and the parameter differences, which is a useful exercise that can offer some insight for the sample size selection process.
Spreadsheet 3 yields ML parameter estimates using the HW formulas.  Cell counts are entered and 2 sets of parameter solutions are derived from calculations. One of these sets will be more reasonable to the researcher.  Corresponding probabilities are shown in spreadsheet </t>
        </r>
      </text>
    </comment>
  </commentList>
</comments>
</file>

<file path=xl/comments2.xml><?xml version="1.0" encoding="utf-8"?>
<comments xmlns="http://schemas.openxmlformats.org/spreadsheetml/2006/main">
  <authors>
    <author>User</author>
  </authors>
  <commentList>
    <comment ref="D5" authorId="0" shapeId="0">
      <text>
        <r>
          <rPr>
            <sz val="8"/>
            <color indexed="81"/>
            <rFont val="Tahoma"/>
            <family val="2"/>
          </rPr>
          <t xml:space="preserve">best guess for parameter differences calculated from previous best guesses </t>
        </r>
      </text>
    </comment>
  </commentList>
</comments>
</file>

<file path=xl/sharedStrings.xml><?xml version="1.0" encoding="utf-8"?>
<sst xmlns="http://schemas.openxmlformats.org/spreadsheetml/2006/main" count="250" uniqueCount="148">
  <si>
    <t>p111</t>
  </si>
  <si>
    <t>p211</t>
  </si>
  <si>
    <t>p112</t>
  </si>
  <si>
    <t>p121</t>
  </si>
  <si>
    <t>p212</t>
  </si>
  <si>
    <t>p221</t>
  </si>
  <si>
    <t>p122</t>
  </si>
  <si>
    <t>p222</t>
  </si>
  <si>
    <t>width of CI</t>
  </si>
  <si>
    <t>Z</t>
  </si>
  <si>
    <t>correlations</t>
  </si>
  <si>
    <t>pi1 * b1</t>
  </si>
  <si>
    <t>pi1 * b2</t>
  </si>
  <si>
    <t>pi1 * a1</t>
  </si>
  <si>
    <t>pi1 * a2</t>
  </si>
  <si>
    <t>pi2 * b1</t>
  </si>
  <si>
    <t>pi2 * b2</t>
  </si>
  <si>
    <t>pi2 * a1</t>
  </si>
  <si>
    <t>pi2 * a2</t>
  </si>
  <si>
    <t>b1 * b2</t>
  </si>
  <si>
    <t>b1 * a1</t>
  </si>
  <si>
    <t>b1 * a2</t>
  </si>
  <si>
    <t>a1 * a2</t>
  </si>
  <si>
    <t>b2 * a1</t>
  </si>
  <si>
    <t>b2 * a2</t>
  </si>
  <si>
    <t>pi1 * pi2</t>
  </si>
  <si>
    <t>Desired CI widths:</t>
  </si>
  <si>
    <r>
      <t xml:space="preserve">Matrix </t>
    </r>
    <r>
      <rPr>
        <b/>
        <u/>
        <sz val="10"/>
        <color indexed="10"/>
        <rFont val="Arial"/>
        <family val="2"/>
      </rPr>
      <t>A</t>
    </r>
  </si>
  <si>
    <t>Parameter best guesses</t>
  </si>
  <si>
    <r>
      <t>N</t>
    </r>
    <r>
      <rPr>
        <b/>
        <sz val="8"/>
        <color indexed="10"/>
        <rFont val="Arial"/>
        <family val="2"/>
      </rPr>
      <t>1</t>
    </r>
  </si>
  <si>
    <r>
      <t>N</t>
    </r>
    <r>
      <rPr>
        <b/>
        <sz val="8"/>
        <color indexed="10"/>
        <rFont val="Arial"/>
        <family val="2"/>
      </rPr>
      <t>2</t>
    </r>
  </si>
  <si>
    <t>max corr</t>
  </si>
  <si>
    <t>min corr</t>
  </si>
  <si>
    <t>parameter estimates</t>
  </si>
  <si>
    <r>
      <t>N</t>
    </r>
    <r>
      <rPr>
        <b/>
        <sz val="8"/>
        <rFont val="Arial"/>
        <family val="2"/>
      </rPr>
      <t>1</t>
    </r>
  </si>
  <si>
    <t>p_bar's</t>
  </si>
  <si>
    <r>
      <t xml:space="preserve">matrix </t>
    </r>
    <r>
      <rPr>
        <b/>
        <u/>
        <sz val="10"/>
        <color indexed="10"/>
        <rFont val="Arial"/>
        <family val="2"/>
      </rPr>
      <t>B</t>
    </r>
    <r>
      <rPr>
        <b/>
        <sz val="10"/>
        <color indexed="10"/>
        <rFont val="Arial"/>
        <family val="2"/>
      </rPr>
      <t xml:space="preserve"> = N</t>
    </r>
    <r>
      <rPr>
        <b/>
        <sz val="8"/>
        <color indexed="10"/>
        <rFont val="Arial"/>
        <family val="2"/>
      </rPr>
      <t>1</t>
    </r>
    <r>
      <rPr>
        <b/>
        <sz val="10"/>
        <color indexed="10"/>
        <rFont val="Arial"/>
        <family val="2"/>
      </rPr>
      <t xml:space="preserve"> * matrix </t>
    </r>
    <r>
      <rPr>
        <b/>
        <u/>
        <sz val="10"/>
        <color indexed="10"/>
        <rFont val="Arial"/>
        <family val="2"/>
      </rPr>
      <t>A</t>
    </r>
  </si>
  <si>
    <t>input in spreadsheet 1</t>
  </si>
  <si>
    <r>
      <t>N</t>
    </r>
    <r>
      <rPr>
        <b/>
        <sz val="8"/>
        <rFont val="Arial"/>
        <family val="2"/>
      </rPr>
      <t>1</t>
    </r>
    <r>
      <rPr>
        <b/>
        <sz val="10"/>
        <rFont val="Arial"/>
        <family val="2"/>
      </rPr>
      <t xml:space="preserve"> max</t>
    </r>
  </si>
  <si>
    <t>Parameter differences</t>
  </si>
  <si>
    <t>width of CI for difference</t>
  </si>
  <si>
    <t>lower CL</t>
  </si>
  <si>
    <t xml:space="preserve"> lower CL</t>
  </si>
  <si>
    <t>upper CL</t>
  </si>
  <si>
    <r>
      <t>N</t>
    </r>
    <r>
      <rPr>
        <b/>
        <sz val="8"/>
        <rFont val="Arial"/>
        <family val="2"/>
      </rPr>
      <t>2</t>
    </r>
    <r>
      <rPr>
        <b/>
        <sz val="10"/>
        <rFont val="Arial"/>
        <family val="2"/>
      </rPr>
      <t xml:space="preserve"> max</t>
    </r>
  </si>
  <si>
    <t>population 1 (g=1)</t>
  </si>
  <si>
    <t>test 1</t>
  </si>
  <si>
    <t>test 2</t>
  </si>
  <si>
    <t>+</t>
  </si>
  <si>
    <t>-</t>
  </si>
  <si>
    <t>population 2 (g=2)</t>
  </si>
  <si>
    <t>E1</t>
  </si>
  <si>
    <t>E2</t>
  </si>
  <si>
    <t>D+</t>
  </si>
  <si>
    <t>D-</t>
  </si>
  <si>
    <t>a1(D+)</t>
  </si>
  <si>
    <t>a1(D-)</t>
  </si>
  <si>
    <t>a2(D+)</t>
  </si>
  <si>
    <t>a2(D-)</t>
  </si>
  <si>
    <t>b1(D+)</t>
  </si>
  <si>
    <t>b1(D-)</t>
  </si>
  <si>
    <t>b2(D+)</t>
  </si>
  <si>
    <t>b2(D-)</t>
  </si>
  <si>
    <t>p1(D+)</t>
  </si>
  <si>
    <t>p1(D-)</t>
  </si>
  <si>
    <t>p2(D+)</t>
  </si>
  <si>
    <t>p2(D-)</t>
  </si>
  <si>
    <t>p1*p2</t>
  </si>
  <si>
    <t>solution set 1</t>
  </si>
  <si>
    <t>solution set 2</t>
  </si>
  <si>
    <r>
      <t>π</t>
    </r>
    <r>
      <rPr>
        <b/>
        <vertAlign val="subscript"/>
        <sz val="12"/>
        <rFont val="Arial"/>
        <family val="2"/>
      </rPr>
      <t>1</t>
    </r>
  </si>
  <si>
    <r>
      <t>π</t>
    </r>
    <r>
      <rPr>
        <b/>
        <vertAlign val="subscript"/>
        <sz val="12"/>
        <rFont val="Arial"/>
        <family val="2"/>
      </rPr>
      <t>2</t>
    </r>
  </si>
  <si>
    <r>
      <t>Se</t>
    </r>
    <r>
      <rPr>
        <b/>
        <vertAlign val="subscript"/>
        <sz val="12"/>
        <rFont val="Arial"/>
        <family val="2"/>
      </rPr>
      <t>1</t>
    </r>
  </si>
  <si>
    <r>
      <t>Se</t>
    </r>
    <r>
      <rPr>
        <b/>
        <vertAlign val="subscript"/>
        <sz val="12"/>
        <rFont val="Arial"/>
        <family val="2"/>
      </rPr>
      <t>2</t>
    </r>
  </si>
  <si>
    <r>
      <t>Sp</t>
    </r>
    <r>
      <rPr>
        <b/>
        <vertAlign val="subscript"/>
        <sz val="12"/>
        <rFont val="Arial"/>
        <family val="2"/>
      </rPr>
      <t>1</t>
    </r>
  </si>
  <si>
    <r>
      <t>Sp</t>
    </r>
    <r>
      <rPr>
        <b/>
        <vertAlign val="subscript"/>
        <sz val="12"/>
        <rFont val="Arial"/>
        <family val="2"/>
      </rPr>
      <t>2</t>
    </r>
  </si>
  <si>
    <t>summation</t>
  </si>
  <si>
    <r>
      <t xml:space="preserve">matrix </t>
    </r>
    <r>
      <rPr>
        <u/>
        <sz val="10"/>
        <rFont val="Arial"/>
        <family val="2"/>
      </rPr>
      <t>C</t>
    </r>
    <r>
      <rPr>
        <sz val="10"/>
        <rFont val="Arial"/>
      </rPr>
      <t xml:space="preserve"> diagonals</t>
    </r>
  </si>
  <si>
    <r>
      <t>π</t>
    </r>
    <r>
      <rPr>
        <b/>
        <vertAlign val="subscript"/>
        <sz val="10"/>
        <rFont val="Arial"/>
        <family val="2"/>
      </rPr>
      <t xml:space="preserve">1 </t>
    </r>
  </si>
  <si>
    <r>
      <t>π</t>
    </r>
    <r>
      <rPr>
        <b/>
        <vertAlign val="subscript"/>
        <sz val="10"/>
        <rFont val="Arial"/>
        <family val="2"/>
      </rPr>
      <t>2</t>
    </r>
  </si>
  <si>
    <r>
      <t>Se</t>
    </r>
    <r>
      <rPr>
        <b/>
        <vertAlign val="subscript"/>
        <sz val="10"/>
        <rFont val="Arial"/>
        <family val="2"/>
      </rPr>
      <t>1</t>
    </r>
  </si>
  <si>
    <r>
      <t>Se</t>
    </r>
    <r>
      <rPr>
        <b/>
        <vertAlign val="subscript"/>
        <sz val="10"/>
        <rFont val="Arial"/>
        <family val="2"/>
      </rPr>
      <t>2</t>
    </r>
  </si>
  <si>
    <r>
      <t>Sp</t>
    </r>
    <r>
      <rPr>
        <b/>
        <vertAlign val="subscript"/>
        <sz val="10"/>
        <rFont val="Arial"/>
        <family val="2"/>
      </rPr>
      <t>1</t>
    </r>
  </si>
  <si>
    <r>
      <t>Sp</t>
    </r>
    <r>
      <rPr>
        <b/>
        <vertAlign val="subscript"/>
        <sz val="10"/>
        <rFont val="Arial"/>
        <family val="2"/>
      </rPr>
      <t>2</t>
    </r>
  </si>
  <si>
    <r>
      <t xml:space="preserve">Matrix </t>
    </r>
    <r>
      <rPr>
        <b/>
        <u/>
        <sz val="10"/>
        <color indexed="10"/>
        <rFont val="Arial"/>
        <family val="2"/>
      </rPr>
      <t>C</t>
    </r>
  </si>
  <si>
    <r>
      <t>Sp</t>
    </r>
    <r>
      <rPr>
        <b/>
        <vertAlign val="subscript"/>
        <sz val="10"/>
        <rFont val="Arial"/>
        <family val="2"/>
      </rPr>
      <t>1</t>
    </r>
    <r>
      <rPr>
        <b/>
        <sz val="10"/>
        <rFont val="Arial"/>
        <family val="2"/>
      </rPr>
      <t>-Sp</t>
    </r>
    <r>
      <rPr>
        <b/>
        <vertAlign val="subscript"/>
        <sz val="10"/>
        <rFont val="Arial"/>
        <family val="2"/>
      </rPr>
      <t>2</t>
    </r>
  </si>
  <si>
    <r>
      <t>Se</t>
    </r>
    <r>
      <rPr>
        <b/>
        <vertAlign val="subscript"/>
        <sz val="10"/>
        <rFont val="Arial"/>
        <family val="2"/>
      </rPr>
      <t>1</t>
    </r>
    <r>
      <rPr>
        <b/>
        <sz val="10"/>
        <rFont val="Arial"/>
        <family val="2"/>
      </rPr>
      <t>-Se</t>
    </r>
    <r>
      <rPr>
        <b/>
        <vertAlign val="subscript"/>
        <sz val="10"/>
        <rFont val="Arial"/>
        <family val="2"/>
      </rPr>
      <t>2</t>
    </r>
  </si>
  <si>
    <r>
      <t>estimated variance of Se</t>
    </r>
    <r>
      <rPr>
        <vertAlign val="subscript"/>
        <sz val="10"/>
        <color indexed="10"/>
        <rFont val="Arial"/>
        <family val="2"/>
      </rPr>
      <t>1</t>
    </r>
    <r>
      <rPr>
        <sz val="10"/>
        <color indexed="10"/>
        <rFont val="Arial"/>
        <family val="2"/>
      </rPr>
      <t>-Se</t>
    </r>
    <r>
      <rPr>
        <vertAlign val="subscript"/>
        <sz val="10"/>
        <color indexed="10"/>
        <rFont val="Arial"/>
        <family val="2"/>
      </rPr>
      <t>2</t>
    </r>
  </si>
  <si>
    <r>
      <t>estimated variance of Sp</t>
    </r>
    <r>
      <rPr>
        <vertAlign val="subscript"/>
        <sz val="10"/>
        <color indexed="10"/>
        <rFont val="Arial"/>
        <family val="2"/>
      </rPr>
      <t>1</t>
    </r>
    <r>
      <rPr>
        <sz val="10"/>
        <color indexed="10"/>
        <rFont val="Arial"/>
        <family val="2"/>
      </rPr>
      <t>-Sp</t>
    </r>
    <r>
      <rPr>
        <vertAlign val="subscript"/>
        <sz val="10"/>
        <color indexed="10"/>
        <rFont val="Arial"/>
        <family val="2"/>
      </rPr>
      <t>2</t>
    </r>
  </si>
  <si>
    <r>
      <t>N</t>
    </r>
    <r>
      <rPr>
        <b/>
        <vertAlign val="subscript"/>
        <sz val="10"/>
        <rFont val="Arial"/>
        <family val="2"/>
      </rPr>
      <t>2</t>
    </r>
    <r>
      <rPr>
        <b/>
        <sz val="10"/>
        <rFont val="Arial"/>
        <family val="2"/>
      </rPr>
      <t>_Sp</t>
    </r>
    <r>
      <rPr>
        <b/>
        <vertAlign val="subscript"/>
        <sz val="10"/>
        <rFont val="Arial"/>
        <family val="2"/>
      </rPr>
      <t>1</t>
    </r>
    <r>
      <rPr>
        <b/>
        <sz val="10"/>
        <rFont val="Arial"/>
        <family val="2"/>
      </rPr>
      <t>-Sp</t>
    </r>
    <r>
      <rPr>
        <b/>
        <vertAlign val="subscript"/>
        <sz val="10"/>
        <rFont val="Arial"/>
        <family val="2"/>
      </rPr>
      <t>2</t>
    </r>
  </si>
  <si>
    <r>
      <t>N</t>
    </r>
    <r>
      <rPr>
        <b/>
        <sz val="8"/>
        <rFont val="Arial"/>
        <family val="2"/>
      </rPr>
      <t>2</t>
    </r>
    <r>
      <rPr>
        <b/>
        <sz val="10"/>
        <rFont val="Arial"/>
        <family val="2"/>
      </rPr>
      <t>_Se</t>
    </r>
    <r>
      <rPr>
        <b/>
        <sz val="8"/>
        <rFont val="Arial"/>
        <family val="2"/>
      </rPr>
      <t>2</t>
    </r>
  </si>
  <si>
    <r>
      <t>N</t>
    </r>
    <r>
      <rPr>
        <b/>
        <vertAlign val="subscript"/>
        <sz val="10"/>
        <rFont val="Arial"/>
        <family val="2"/>
      </rPr>
      <t>2</t>
    </r>
    <r>
      <rPr>
        <b/>
        <sz val="10"/>
        <rFont val="Arial"/>
        <family val="2"/>
      </rPr>
      <t>_Sp</t>
    </r>
    <r>
      <rPr>
        <b/>
        <vertAlign val="subscript"/>
        <sz val="10"/>
        <rFont val="Arial"/>
        <family val="2"/>
      </rPr>
      <t>1</t>
    </r>
  </si>
  <si>
    <r>
      <t>N</t>
    </r>
    <r>
      <rPr>
        <b/>
        <vertAlign val="subscript"/>
        <sz val="10"/>
        <rFont val="Arial"/>
        <family val="2"/>
      </rPr>
      <t>2</t>
    </r>
    <r>
      <rPr>
        <b/>
        <sz val="10"/>
        <rFont val="Arial"/>
        <family val="2"/>
      </rPr>
      <t>_Sp</t>
    </r>
    <r>
      <rPr>
        <b/>
        <vertAlign val="subscript"/>
        <sz val="8"/>
        <rFont val="Arial"/>
        <family val="2"/>
      </rPr>
      <t>2</t>
    </r>
  </si>
  <si>
    <r>
      <t>N</t>
    </r>
    <r>
      <rPr>
        <b/>
        <vertAlign val="subscript"/>
        <sz val="10"/>
        <rFont val="Arial"/>
        <family val="2"/>
      </rPr>
      <t>2</t>
    </r>
    <r>
      <rPr>
        <b/>
        <sz val="10"/>
        <rFont val="Arial"/>
        <family val="2"/>
      </rPr>
      <t>_Se</t>
    </r>
    <r>
      <rPr>
        <b/>
        <vertAlign val="subscript"/>
        <sz val="10"/>
        <rFont val="Arial"/>
        <family val="2"/>
      </rPr>
      <t>1</t>
    </r>
  </si>
  <si>
    <r>
      <t>N</t>
    </r>
    <r>
      <rPr>
        <b/>
        <vertAlign val="subscript"/>
        <sz val="10"/>
        <rFont val="Arial"/>
        <family val="2"/>
      </rPr>
      <t>2</t>
    </r>
    <r>
      <rPr>
        <b/>
        <sz val="10"/>
        <rFont val="Arial"/>
        <family val="2"/>
      </rPr>
      <t>_p</t>
    </r>
    <r>
      <rPr>
        <b/>
        <vertAlign val="subscript"/>
        <sz val="8"/>
        <rFont val="Arial"/>
        <family val="2"/>
      </rPr>
      <t>2</t>
    </r>
  </si>
  <si>
    <r>
      <t>N</t>
    </r>
    <r>
      <rPr>
        <b/>
        <vertAlign val="subscript"/>
        <sz val="10"/>
        <rFont val="Arial"/>
        <family val="2"/>
      </rPr>
      <t>2</t>
    </r>
    <r>
      <rPr>
        <b/>
        <sz val="10"/>
        <rFont val="Arial"/>
        <family val="2"/>
      </rPr>
      <t>_p</t>
    </r>
    <r>
      <rPr>
        <b/>
        <vertAlign val="subscript"/>
        <sz val="10"/>
        <rFont val="Arial"/>
        <family val="2"/>
      </rPr>
      <t>1</t>
    </r>
  </si>
  <si>
    <r>
      <t>N</t>
    </r>
    <r>
      <rPr>
        <b/>
        <vertAlign val="subscript"/>
        <sz val="10"/>
        <rFont val="Arial"/>
        <family val="2"/>
      </rPr>
      <t>1</t>
    </r>
    <r>
      <rPr>
        <b/>
        <sz val="10"/>
        <rFont val="Arial"/>
        <family val="2"/>
      </rPr>
      <t>_p</t>
    </r>
    <r>
      <rPr>
        <b/>
        <vertAlign val="subscript"/>
        <sz val="10"/>
        <rFont val="Arial"/>
        <family val="2"/>
      </rPr>
      <t>1</t>
    </r>
  </si>
  <si>
    <r>
      <t>N</t>
    </r>
    <r>
      <rPr>
        <b/>
        <vertAlign val="subscript"/>
        <sz val="10"/>
        <rFont val="Arial"/>
        <family val="2"/>
      </rPr>
      <t>1</t>
    </r>
    <r>
      <rPr>
        <b/>
        <sz val="10"/>
        <rFont val="Arial"/>
        <family val="2"/>
      </rPr>
      <t>_p</t>
    </r>
    <r>
      <rPr>
        <b/>
        <vertAlign val="subscript"/>
        <sz val="10"/>
        <rFont val="Arial"/>
        <family val="2"/>
      </rPr>
      <t>2</t>
    </r>
  </si>
  <si>
    <r>
      <t>N</t>
    </r>
    <r>
      <rPr>
        <b/>
        <vertAlign val="subscript"/>
        <sz val="10"/>
        <rFont val="Arial"/>
        <family val="2"/>
      </rPr>
      <t>1</t>
    </r>
    <r>
      <rPr>
        <b/>
        <sz val="10"/>
        <rFont val="Arial"/>
        <family val="2"/>
      </rPr>
      <t>_Se</t>
    </r>
    <r>
      <rPr>
        <b/>
        <vertAlign val="subscript"/>
        <sz val="10"/>
        <rFont val="Arial"/>
        <family val="2"/>
      </rPr>
      <t>1</t>
    </r>
  </si>
  <si>
    <r>
      <t>N</t>
    </r>
    <r>
      <rPr>
        <b/>
        <vertAlign val="subscript"/>
        <sz val="10"/>
        <rFont val="Arial"/>
        <family val="2"/>
      </rPr>
      <t>1</t>
    </r>
    <r>
      <rPr>
        <b/>
        <sz val="10"/>
        <rFont val="Arial"/>
        <family val="2"/>
      </rPr>
      <t>_Se</t>
    </r>
    <r>
      <rPr>
        <b/>
        <vertAlign val="subscript"/>
        <sz val="10"/>
        <rFont val="Arial"/>
        <family val="2"/>
      </rPr>
      <t>2</t>
    </r>
  </si>
  <si>
    <r>
      <t>N</t>
    </r>
    <r>
      <rPr>
        <b/>
        <vertAlign val="subscript"/>
        <sz val="10"/>
        <rFont val="Arial"/>
        <family val="2"/>
      </rPr>
      <t>1</t>
    </r>
    <r>
      <rPr>
        <b/>
        <sz val="10"/>
        <rFont val="Arial"/>
        <family val="2"/>
      </rPr>
      <t>_Sp</t>
    </r>
    <r>
      <rPr>
        <b/>
        <vertAlign val="subscript"/>
        <sz val="10"/>
        <rFont val="Arial"/>
        <family val="2"/>
      </rPr>
      <t>1</t>
    </r>
  </si>
  <si>
    <r>
      <t>N</t>
    </r>
    <r>
      <rPr>
        <b/>
        <vertAlign val="subscript"/>
        <sz val="10"/>
        <rFont val="Arial"/>
        <family val="2"/>
      </rPr>
      <t>1</t>
    </r>
    <r>
      <rPr>
        <b/>
        <sz val="10"/>
        <rFont val="Arial"/>
        <family val="2"/>
      </rPr>
      <t>_Sp</t>
    </r>
    <r>
      <rPr>
        <b/>
        <vertAlign val="subscript"/>
        <sz val="8"/>
        <rFont val="Arial"/>
        <family val="2"/>
      </rPr>
      <t>2</t>
    </r>
  </si>
  <si>
    <r>
      <t>matrix hat(</t>
    </r>
    <r>
      <rPr>
        <b/>
        <u/>
        <sz val="10"/>
        <color indexed="10"/>
        <rFont val="Arial"/>
        <family val="2"/>
      </rPr>
      <t>Cov)</t>
    </r>
    <r>
      <rPr>
        <b/>
        <sz val="10"/>
        <color indexed="10"/>
        <rFont val="Arial"/>
        <family val="2"/>
      </rPr>
      <t xml:space="preserve"> = inverse (</t>
    </r>
    <r>
      <rPr>
        <b/>
        <u/>
        <sz val="10"/>
        <color indexed="10"/>
        <rFont val="Arial"/>
        <family val="2"/>
      </rPr>
      <t>B</t>
    </r>
    <r>
      <rPr>
        <b/>
        <sz val="10"/>
        <color indexed="10"/>
        <rFont val="Arial"/>
        <family val="2"/>
      </rPr>
      <t>)</t>
    </r>
  </si>
  <si>
    <t>Se1-Se2</t>
  </si>
  <si>
    <t>Sp1-Sp2</t>
  </si>
  <si>
    <t>est. variance of difference</t>
  </si>
  <si>
    <t>est. parameter difference</t>
  </si>
  <si>
    <t>est. s.e. of difference</t>
  </si>
  <si>
    <r>
      <t>N</t>
    </r>
    <r>
      <rPr>
        <b/>
        <vertAlign val="subscript"/>
        <sz val="10"/>
        <rFont val="Arial"/>
        <family val="2"/>
      </rPr>
      <t>2</t>
    </r>
    <r>
      <rPr>
        <b/>
        <sz val="10"/>
        <rFont val="Arial"/>
        <family val="2"/>
      </rPr>
      <t>_Se</t>
    </r>
    <r>
      <rPr>
        <b/>
        <vertAlign val="subscript"/>
        <sz val="10"/>
        <rFont val="Arial"/>
        <family val="2"/>
      </rPr>
      <t>1</t>
    </r>
    <r>
      <rPr>
        <b/>
        <sz val="10"/>
        <rFont val="Arial"/>
        <family val="2"/>
      </rPr>
      <t>-Se</t>
    </r>
    <r>
      <rPr>
        <b/>
        <vertAlign val="subscript"/>
        <sz val="10"/>
        <rFont val="Arial"/>
        <family val="2"/>
      </rPr>
      <t>2</t>
    </r>
  </si>
  <si>
    <t>sum</t>
  </si>
  <si>
    <r>
      <t>pi</t>
    </r>
    <r>
      <rPr>
        <b/>
        <vertAlign val="subscript"/>
        <sz val="10"/>
        <rFont val="Arial"/>
        <family val="2"/>
      </rPr>
      <t>1</t>
    </r>
  </si>
  <si>
    <r>
      <t>pi</t>
    </r>
    <r>
      <rPr>
        <b/>
        <vertAlign val="subscript"/>
        <sz val="10"/>
        <rFont val="Arial"/>
        <family val="2"/>
      </rPr>
      <t>2</t>
    </r>
  </si>
  <si>
    <r>
      <t>(1-se</t>
    </r>
    <r>
      <rPr>
        <b/>
        <vertAlign val="subscript"/>
        <sz val="10"/>
        <rFont val="Arial"/>
        <family val="2"/>
      </rPr>
      <t>1</t>
    </r>
    <r>
      <rPr>
        <b/>
        <sz val="10"/>
        <rFont val="Arial"/>
        <family val="2"/>
      </rPr>
      <t>) = b</t>
    </r>
    <r>
      <rPr>
        <b/>
        <vertAlign val="subscript"/>
        <sz val="10"/>
        <rFont val="Arial"/>
        <family val="2"/>
      </rPr>
      <t>1</t>
    </r>
  </si>
  <si>
    <r>
      <t>(1-se</t>
    </r>
    <r>
      <rPr>
        <b/>
        <vertAlign val="subscript"/>
        <sz val="10"/>
        <rFont val="Arial"/>
        <family val="2"/>
      </rPr>
      <t>2</t>
    </r>
    <r>
      <rPr>
        <b/>
        <sz val="10"/>
        <rFont val="Arial"/>
        <family val="2"/>
      </rPr>
      <t>)=b</t>
    </r>
    <r>
      <rPr>
        <b/>
        <vertAlign val="subscript"/>
        <sz val="10"/>
        <rFont val="Arial"/>
        <family val="2"/>
      </rPr>
      <t>2</t>
    </r>
  </si>
  <si>
    <r>
      <t>(1-sp</t>
    </r>
    <r>
      <rPr>
        <b/>
        <vertAlign val="subscript"/>
        <sz val="10"/>
        <rFont val="Arial"/>
        <family val="2"/>
      </rPr>
      <t>1</t>
    </r>
    <r>
      <rPr>
        <b/>
        <sz val="10"/>
        <rFont val="Arial"/>
        <family val="2"/>
      </rPr>
      <t>)=a</t>
    </r>
    <r>
      <rPr>
        <b/>
        <vertAlign val="subscript"/>
        <sz val="10"/>
        <rFont val="Arial"/>
        <family val="2"/>
      </rPr>
      <t>1</t>
    </r>
  </si>
  <si>
    <r>
      <t>(1-sp</t>
    </r>
    <r>
      <rPr>
        <b/>
        <vertAlign val="subscript"/>
        <sz val="10"/>
        <rFont val="Arial"/>
        <family val="2"/>
      </rPr>
      <t>2</t>
    </r>
    <r>
      <rPr>
        <b/>
        <sz val="10"/>
        <rFont val="Arial"/>
        <family val="2"/>
      </rPr>
      <t>)=a</t>
    </r>
    <r>
      <rPr>
        <b/>
        <vertAlign val="subscript"/>
        <sz val="10"/>
        <rFont val="Arial"/>
        <family val="2"/>
      </rPr>
      <t>2</t>
    </r>
  </si>
  <si>
    <r>
      <t>SE pi</t>
    </r>
    <r>
      <rPr>
        <b/>
        <vertAlign val="subscript"/>
        <sz val="10"/>
        <rFont val="Arial"/>
        <family val="2"/>
      </rPr>
      <t>1</t>
    </r>
  </si>
  <si>
    <r>
      <t>SE pi</t>
    </r>
    <r>
      <rPr>
        <b/>
        <vertAlign val="subscript"/>
        <sz val="10"/>
        <rFont val="Arial"/>
        <family val="2"/>
      </rPr>
      <t>2</t>
    </r>
  </si>
  <si>
    <r>
      <t>SE Se</t>
    </r>
    <r>
      <rPr>
        <b/>
        <vertAlign val="subscript"/>
        <sz val="10"/>
        <rFont val="Arial"/>
        <family val="2"/>
      </rPr>
      <t>1</t>
    </r>
  </si>
  <si>
    <r>
      <t>SE Se</t>
    </r>
    <r>
      <rPr>
        <b/>
        <vertAlign val="subscript"/>
        <sz val="10"/>
        <rFont val="Arial"/>
        <family val="2"/>
      </rPr>
      <t>2</t>
    </r>
  </si>
  <si>
    <r>
      <t>SE Sp</t>
    </r>
    <r>
      <rPr>
        <b/>
        <vertAlign val="subscript"/>
        <sz val="10"/>
        <rFont val="Arial"/>
        <family val="2"/>
      </rPr>
      <t>1</t>
    </r>
  </si>
  <si>
    <r>
      <t>SE Sp</t>
    </r>
    <r>
      <rPr>
        <b/>
        <vertAlign val="subscript"/>
        <sz val="10"/>
        <rFont val="Arial"/>
        <family val="2"/>
      </rPr>
      <t>2</t>
    </r>
  </si>
  <si>
    <r>
      <t>se</t>
    </r>
    <r>
      <rPr>
        <b/>
        <vertAlign val="subscript"/>
        <sz val="10"/>
        <rFont val="Arial"/>
        <family val="2"/>
      </rPr>
      <t>1</t>
    </r>
    <r>
      <rPr>
        <b/>
        <sz val="10"/>
        <rFont val="Arial"/>
        <family val="2"/>
      </rPr>
      <t xml:space="preserve"> - se</t>
    </r>
    <r>
      <rPr>
        <b/>
        <vertAlign val="subscript"/>
        <sz val="10"/>
        <rFont val="Arial"/>
        <family val="2"/>
      </rPr>
      <t>2</t>
    </r>
  </si>
  <si>
    <r>
      <t>sp</t>
    </r>
    <r>
      <rPr>
        <b/>
        <vertAlign val="subscript"/>
        <sz val="10"/>
        <rFont val="Arial"/>
        <family val="2"/>
      </rPr>
      <t>1</t>
    </r>
    <r>
      <rPr>
        <b/>
        <sz val="10"/>
        <rFont val="Arial"/>
        <family val="2"/>
      </rPr>
      <t xml:space="preserve"> - sp</t>
    </r>
    <r>
      <rPr>
        <b/>
        <vertAlign val="subscript"/>
        <sz val="10"/>
        <rFont val="Arial"/>
        <family val="2"/>
      </rPr>
      <t>2</t>
    </r>
  </si>
  <si>
    <r>
      <t>matrix hat(Cov)</t>
    </r>
    <r>
      <rPr>
        <sz val="10"/>
        <rFont val="Arial"/>
      </rPr>
      <t xml:space="preserve"> diagonals</t>
    </r>
  </si>
  <si>
    <r>
      <t>c = N</t>
    </r>
    <r>
      <rPr>
        <b/>
        <vertAlign val="subscript"/>
        <sz val="10"/>
        <rFont val="Arial"/>
        <family val="2"/>
      </rPr>
      <t>2</t>
    </r>
    <r>
      <rPr>
        <b/>
        <sz val="10"/>
        <rFont val="Arial"/>
        <family val="2"/>
      </rPr>
      <t>/N</t>
    </r>
    <r>
      <rPr>
        <b/>
        <vertAlign val="subscript"/>
        <sz val="10"/>
        <rFont val="Arial"/>
        <family val="2"/>
      </rPr>
      <t>1</t>
    </r>
  </si>
  <si>
    <r>
      <t>c = N</t>
    </r>
    <r>
      <rPr>
        <b/>
        <vertAlign val="subscript"/>
        <sz val="10"/>
        <color indexed="48"/>
        <rFont val="Arial"/>
        <family val="2"/>
      </rPr>
      <t>2</t>
    </r>
    <r>
      <rPr>
        <b/>
        <sz val="10"/>
        <color indexed="48"/>
        <rFont val="Arial"/>
        <family val="2"/>
      </rPr>
      <t>/N</t>
    </r>
    <r>
      <rPr>
        <b/>
        <vertAlign val="subscript"/>
        <sz val="10"/>
        <color indexed="48"/>
        <rFont val="Arial"/>
        <family val="2"/>
      </rPr>
      <t>1</t>
    </r>
  </si>
  <si>
    <r>
      <t>N</t>
    </r>
    <r>
      <rPr>
        <b/>
        <vertAlign val="subscript"/>
        <sz val="10"/>
        <rFont val="Arial"/>
        <family val="2"/>
      </rPr>
      <t>1</t>
    </r>
    <r>
      <rPr>
        <b/>
        <sz val="10"/>
        <rFont val="Arial"/>
        <family val="2"/>
      </rPr>
      <t>_Se</t>
    </r>
    <r>
      <rPr>
        <b/>
        <vertAlign val="subscript"/>
        <sz val="10"/>
        <rFont val="Arial"/>
        <family val="2"/>
      </rPr>
      <t>1</t>
    </r>
    <r>
      <rPr>
        <b/>
        <sz val="10"/>
        <rFont val="Arial"/>
        <family val="2"/>
      </rPr>
      <t>-Se</t>
    </r>
    <r>
      <rPr>
        <b/>
        <vertAlign val="subscript"/>
        <sz val="10"/>
        <rFont val="Arial"/>
        <family val="2"/>
      </rPr>
      <t>2</t>
    </r>
  </si>
  <si>
    <r>
      <t>N</t>
    </r>
    <r>
      <rPr>
        <b/>
        <vertAlign val="subscript"/>
        <sz val="10"/>
        <rFont val="Arial"/>
        <family val="2"/>
      </rPr>
      <t>1</t>
    </r>
    <r>
      <rPr>
        <b/>
        <sz val="10"/>
        <rFont val="Arial"/>
        <family val="2"/>
      </rPr>
      <t>_Sp</t>
    </r>
    <r>
      <rPr>
        <b/>
        <vertAlign val="subscript"/>
        <sz val="10"/>
        <rFont val="Arial"/>
        <family val="2"/>
      </rPr>
      <t>1</t>
    </r>
    <r>
      <rPr>
        <b/>
        <sz val="10"/>
        <rFont val="Arial"/>
        <family val="2"/>
      </rPr>
      <t>-Sp</t>
    </r>
    <r>
      <rPr>
        <b/>
        <vertAlign val="subscript"/>
        <sz val="10"/>
        <rFont val="Arial"/>
        <family val="2"/>
      </rPr>
      <t>2</t>
    </r>
  </si>
  <si>
    <t>upper CI limit exponent</t>
  </si>
  <si>
    <t>lower CI limit exponent</t>
  </si>
  <si>
    <t>logits of the estimates</t>
  </si>
  <si>
    <t>standard errors of the estimates</t>
  </si>
  <si>
    <t>Odds ratios</t>
  </si>
  <si>
    <r>
      <t>Se</t>
    </r>
    <r>
      <rPr>
        <b/>
        <vertAlign val="subscript"/>
        <sz val="10"/>
        <rFont val="Arial"/>
        <family val="2"/>
      </rPr>
      <t xml:space="preserve">1 </t>
    </r>
    <r>
      <rPr>
        <b/>
        <sz val="10"/>
        <rFont val="Arial"/>
        <family val="2"/>
      </rPr>
      <t>: Se</t>
    </r>
    <r>
      <rPr>
        <b/>
        <vertAlign val="subscript"/>
        <sz val="10"/>
        <rFont val="Arial"/>
        <family val="2"/>
      </rPr>
      <t>2</t>
    </r>
  </si>
  <si>
    <r>
      <t>Sp</t>
    </r>
    <r>
      <rPr>
        <b/>
        <vertAlign val="subscript"/>
        <sz val="10"/>
        <rFont val="Arial"/>
        <family val="2"/>
      </rPr>
      <t xml:space="preserve">1 </t>
    </r>
    <r>
      <rPr>
        <b/>
        <sz val="10"/>
        <rFont val="Arial"/>
        <family val="2"/>
      </rPr>
      <t>: Sp</t>
    </r>
    <r>
      <rPr>
        <b/>
        <vertAlign val="subscript"/>
        <sz val="10"/>
        <rFont val="Arial"/>
        <family val="2"/>
      </rPr>
      <t>2</t>
    </r>
  </si>
  <si>
    <t>odds ratio for Se s</t>
  </si>
  <si>
    <t>A</t>
  </si>
  <si>
    <t>B</t>
  </si>
  <si>
    <t>A*B</t>
  </si>
  <si>
    <r>
      <t>A</t>
    </r>
    <r>
      <rPr>
        <vertAlign val="superscript"/>
        <sz val="10"/>
        <rFont val="Arial"/>
        <family val="2"/>
      </rPr>
      <t>T</t>
    </r>
  </si>
  <si>
    <r>
      <t>A*B*A</t>
    </r>
    <r>
      <rPr>
        <vertAlign val="superscript"/>
        <sz val="10"/>
        <rFont val="Arial"/>
        <family val="2"/>
      </rPr>
      <t>T</t>
    </r>
  </si>
  <si>
    <t>lower limit CI exponent</t>
  </si>
  <si>
    <t>upper limit CI exponent</t>
  </si>
  <si>
    <t>odds ratio for Sp s</t>
  </si>
  <si>
    <t>ln of the odds ratio</t>
  </si>
  <si>
    <t>LOGIT-BASED INTERVALS</t>
  </si>
  <si>
    <t>CIs USING NORMAL APPROXIMATION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</si>
</sst>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94" formatCode="0.000"/>
    <numFmt numFmtId="195" formatCode="0.0000"/>
    <numFmt numFmtId="199" formatCode="0.0"/>
  </numFmts>
  <fonts count="24" x14ac:knownFonts="1">
    <font>
      <sz val="10"/>
      <name val="Arial"/>
    </font>
    <font>
      <b/>
      <sz val="10"/>
      <name val="Arial"/>
      <family val="2"/>
    </font>
    <font>
      <sz val="10"/>
      <name val="Arial"/>
      <family val="2"/>
    </font>
    <font>
      <b/>
      <sz val="10"/>
      <color indexed="10"/>
      <name val="Arial"/>
      <family val="2"/>
    </font>
    <font>
      <b/>
      <u/>
      <sz val="10"/>
      <color indexed="10"/>
      <name val="Arial"/>
      <family val="2"/>
    </font>
    <font>
      <b/>
      <sz val="10"/>
      <color indexed="48"/>
      <name val="Arial"/>
      <family val="2"/>
    </font>
    <font>
      <b/>
      <sz val="8"/>
      <color indexed="10"/>
      <name val="Arial"/>
      <family val="2"/>
    </font>
    <font>
      <b/>
      <sz val="10"/>
      <color indexed="12"/>
      <name val="Arial"/>
      <family val="2"/>
    </font>
    <font>
      <b/>
      <sz val="8"/>
      <name val="Arial"/>
      <family val="2"/>
    </font>
    <font>
      <sz val="10"/>
      <color indexed="22"/>
      <name val="Arial"/>
      <family val="2"/>
    </font>
    <font>
      <b/>
      <sz val="12"/>
      <name val="Arial"/>
      <family val="2"/>
    </font>
    <font>
      <b/>
      <vertAlign val="subscript"/>
      <sz val="12"/>
      <name val="Arial"/>
      <family val="2"/>
    </font>
    <font>
      <u/>
      <sz val="10"/>
      <name val="Arial"/>
      <family val="2"/>
    </font>
    <font>
      <b/>
      <vertAlign val="subscript"/>
      <sz val="10"/>
      <name val="Arial"/>
      <family val="2"/>
    </font>
    <font>
      <sz val="10"/>
      <color indexed="10"/>
      <name val="Arial"/>
      <family val="2"/>
    </font>
    <font>
      <vertAlign val="subscript"/>
      <sz val="10"/>
      <color indexed="10"/>
      <name val="Arial"/>
      <family val="2"/>
    </font>
    <font>
      <b/>
      <vertAlign val="subscript"/>
      <sz val="8"/>
      <name val="Arial"/>
      <family val="2"/>
    </font>
    <font>
      <sz val="8"/>
      <color indexed="81"/>
      <name val="Tahoma"/>
      <family val="2"/>
    </font>
    <font>
      <sz val="10"/>
      <color indexed="81"/>
      <name val="Tahoma"/>
      <family val="2"/>
    </font>
    <font>
      <sz val="9"/>
      <color indexed="81"/>
      <name val="Tahoma"/>
      <family val="2"/>
    </font>
    <font>
      <u/>
      <sz val="9"/>
      <color indexed="81"/>
      <name val="Tahoma"/>
      <family val="2"/>
    </font>
    <font>
      <b/>
      <vertAlign val="subscript"/>
      <sz val="10"/>
      <color indexed="48"/>
      <name val="Arial"/>
      <family val="2"/>
    </font>
    <font>
      <vertAlign val="superscript"/>
      <sz val="10"/>
      <name val="Arial"/>
      <family val="2"/>
    </font>
    <font>
      <b/>
      <sz val="9"/>
      <color indexed="81"/>
      <name val="Tahoma"/>
      <family val="2"/>
    </font>
  </fonts>
  <fills count="6">
    <fill>
      <patternFill patternType="none"/>
    </fill>
    <fill>
      <patternFill patternType="gray125"/>
    </fill>
    <fill>
      <patternFill patternType="solid">
        <fgColor indexed="51"/>
        <bgColor indexed="64"/>
      </patternFill>
    </fill>
    <fill>
      <patternFill patternType="solid">
        <fgColor indexed="41"/>
        <bgColor indexed="64"/>
      </patternFill>
    </fill>
    <fill>
      <patternFill patternType="solid">
        <fgColor indexed="15"/>
        <bgColor indexed="64"/>
      </patternFill>
    </fill>
    <fill>
      <patternFill patternType="solid">
        <fgColor indexed="27"/>
        <bgColor indexed="64"/>
      </patternFill>
    </fill>
  </fills>
  <borders count="78">
    <border>
      <left/>
      <right/>
      <top/>
      <bottom/>
      <diagonal/>
    </border>
    <border>
      <left/>
      <right/>
      <top/>
      <bottom style="thin">
        <color indexed="64"/>
      </bottom>
      <diagonal/>
    </border>
    <border>
      <left style="medium">
        <color indexed="64"/>
      </left>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51"/>
      </left>
      <right/>
      <top style="medium">
        <color indexed="51"/>
      </top>
      <bottom/>
      <diagonal/>
    </border>
    <border>
      <left style="medium">
        <color indexed="51"/>
      </left>
      <right/>
      <top/>
      <bottom/>
      <diagonal/>
    </border>
    <border>
      <left/>
      <right style="medium">
        <color indexed="51"/>
      </right>
      <top/>
      <bottom/>
      <diagonal/>
    </border>
    <border>
      <left/>
      <right style="medium">
        <color indexed="51"/>
      </right>
      <top/>
      <bottom style="medium">
        <color indexed="51"/>
      </bottom>
      <diagonal/>
    </border>
    <border>
      <left style="medium">
        <color indexed="15"/>
      </left>
      <right/>
      <top style="medium">
        <color indexed="15"/>
      </top>
      <bottom/>
      <diagonal/>
    </border>
    <border>
      <left/>
      <right/>
      <top style="medium">
        <color indexed="15"/>
      </top>
      <bottom/>
      <diagonal/>
    </border>
    <border>
      <left/>
      <right style="medium">
        <color indexed="15"/>
      </right>
      <top style="medium">
        <color indexed="15"/>
      </top>
      <bottom/>
      <diagonal/>
    </border>
    <border>
      <left/>
      <right style="medium">
        <color indexed="15"/>
      </right>
      <top/>
      <bottom/>
      <diagonal/>
    </border>
    <border>
      <left style="medium">
        <color indexed="15"/>
      </left>
      <right/>
      <top/>
      <bottom/>
      <diagonal/>
    </border>
    <border>
      <left/>
      <right style="medium">
        <color indexed="15"/>
      </right>
      <top/>
      <bottom style="medium">
        <color indexed="15"/>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15"/>
      </left>
      <right/>
      <top/>
      <bottom style="medium">
        <color indexed="15"/>
      </bottom>
      <diagonal/>
    </border>
    <border>
      <left style="medium">
        <color indexed="52"/>
      </left>
      <right/>
      <top style="medium">
        <color indexed="52"/>
      </top>
      <bottom/>
      <diagonal/>
    </border>
    <border>
      <left style="medium">
        <color indexed="52"/>
      </left>
      <right/>
      <top/>
      <bottom/>
      <diagonal/>
    </border>
    <border>
      <left style="medium">
        <color indexed="52"/>
      </left>
      <right/>
      <top/>
      <bottom style="medium">
        <color indexed="52"/>
      </bottom>
      <diagonal/>
    </border>
    <border>
      <left/>
      <right/>
      <top/>
      <bottom style="medium">
        <color indexed="52"/>
      </bottom>
      <diagonal/>
    </border>
    <border>
      <left style="medium">
        <color indexed="64"/>
      </left>
      <right/>
      <top/>
      <bottom style="medium">
        <color indexed="64"/>
      </bottom>
      <diagonal/>
    </border>
    <border>
      <left style="thin">
        <color indexed="64"/>
      </left>
      <right style="medium">
        <color indexed="64"/>
      </right>
      <top style="thin">
        <color indexed="64"/>
      </top>
      <bottom/>
      <diagonal/>
    </border>
    <border>
      <left style="medium">
        <color indexed="12"/>
      </left>
      <right/>
      <top style="medium">
        <color indexed="12"/>
      </top>
      <bottom/>
      <diagonal/>
    </border>
    <border>
      <left style="medium">
        <color indexed="12"/>
      </left>
      <right/>
      <top/>
      <bottom/>
      <diagonal/>
    </border>
    <border>
      <left style="medium">
        <color indexed="12"/>
      </left>
      <right/>
      <top/>
      <bottom style="medium">
        <color indexed="12"/>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12"/>
      </right>
      <top style="medium">
        <color indexed="12"/>
      </top>
      <bottom/>
      <diagonal/>
    </border>
    <border>
      <left/>
      <right style="medium">
        <color indexed="12"/>
      </right>
      <top/>
      <bottom/>
      <diagonal/>
    </border>
    <border>
      <left/>
      <right style="medium">
        <color indexed="12"/>
      </right>
      <top/>
      <bottom style="medium">
        <color indexed="12"/>
      </bottom>
      <diagonal/>
    </border>
    <border>
      <left style="medium">
        <color indexed="52"/>
      </left>
      <right style="medium">
        <color indexed="52"/>
      </right>
      <top style="medium">
        <color indexed="52"/>
      </top>
      <bottom style="medium">
        <color indexed="52"/>
      </bottom>
      <diagonal/>
    </border>
    <border>
      <left style="medium">
        <color indexed="10"/>
      </left>
      <right/>
      <top style="medium">
        <color indexed="10"/>
      </top>
      <bottom/>
      <diagonal/>
    </border>
    <border>
      <left/>
      <right/>
      <top style="medium">
        <color indexed="10"/>
      </top>
      <bottom/>
      <diagonal/>
    </border>
    <border>
      <left style="medium">
        <color indexed="10"/>
      </left>
      <right/>
      <top/>
      <bottom/>
      <diagonal/>
    </border>
    <border>
      <left style="medium">
        <color indexed="10"/>
      </left>
      <right/>
      <top/>
      <bottom style="medium">
        <color indexed="10"/>
      </bottom>
      <diagonal/>
    </border>
    <border>
      <left/>
      <right/>
      <top/>
      <bottom style="medium">
        <color indexed="10"/>
      </bottom>
      <diagonal/>
    </border>
    <border>
      <left/>
      <right style="medium">
        <color indexed="10"/>
      </right>
      <top/>
      <bottom style="medium">
        <color indexed="10"/>
      </bottom>
      <diagonal/>
    </border>
    <border>
      <left style="mediumDashed">
        <color indexed="15"/>
      </left>
      <right/>
      <top style="mediumDashed">
        <color indexed="15"/>
      </top>
      <bottom/>
      <diagonal/>
    </border>
    <border>
      <left/>
      <right/>
      <top style="mediumDashed">
        <color indexed="15"/>
      </top>
      <bottom/>
      <diagonal/>
    </border>
    <border>
      <left/>
      <right style="mediumDashed">
        <color indexed="15"/>
      </right>
      <top style="mediumDashed">
        <color indexed="15"/>
      </top>
      <bottom/>
      <diagonal/>
    </border>
    <border>
      <left style="mediumDashed">
        <color indexed="15"/>
      </left>
      <right/>
      <top/>
      <bottom style="mediumDashed">
        <color indexed="15"/>
      </bottom>
      <diagonal/>
    </border>
    <border>
      <left style="mediumDashed">
        <color indexed="15"/>
      </left>
      <right/>
      <top/>
      <bottom/>
      <diagonal/>
    </border>
    <border>
      <left/>
      <right style="mediumDashed">
        <color indexed="15"/>
      </right>
      <top/>
      <bottom/>
      <diagonal/>
    </border>
    <border>
      <left/>
      <right/>
      <top/>
      <bottom style="mediumDashed">
        <color indexed="15"/>
      </bottom>
      <diagonal/>
    </border>
    <border>
      <left/>
      <right style="mediumDashed">
        <color indexed="15"/>
      </right>
      <top/>
      <bottom style="mediumDashed">
        <color indexed="15"/>
      </bottom>
      <diagonal/>
    </border>
    <border>
      <left/>
      <right/>
      <top/>
      <bottom style="medium">
        <color indexed="51"/>
      </bottom>
      <diagonal/>
    </border>
    <border>
      <left/>
      <right style="medium">
        <color indexed="64"/>
      </right>
      <top/>
      <bottom/>
      <diagonal/>
    </border>
    <border>
      <left/>
      <right/>
      <top/>
      <bottom style="medium">
        <color indexed="15"/>
      </bottom>
      <diagonal/>
    </border>
    <border>
      <left/>
      <right style="medium">
        <color indexed="10"/>
      </right>
      <top/>
      <bottom/>
      <diagonal/>
    </border>
    <border>
      <left/>
      <right style="medium">
        <color indexed="10"/>
      </right>
      <top style="medium">
        <color indexed="10"/>
      </top>
      <bottom/>
      <diagonal/>
    </border>
    <border>
      <left style="medium">
        <color indexed="39"/>
      </left>
      <right/>
      <top/>
      <bottom/>
      <diagonal/>
    </border>
    <border>
      <left/>
      <right style="medium">
        <color indexed="39"/>
      </right>
      <top/>
      <bottom/>
      <diagonal/>
    </border>
    <border>
      <left style="medium">
        <color indexed="39"/>
      </left>
      <right/>
      <top/>
      <bottom style="medium">
        <color indexed="39"/>
      </bottom>
      <diagonal/>
    </border>
    <border>
      <left/>
      <right style="medium">
        <color indexed="39"/>
      </right>
      <top/>
      <bottom style="medium">
        <color indexed="39"/>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39"/>
      </left>
      <right/>
      <top style="medium">
        <color indexed="39"/>
      </top>
      <bottom/>
      <diagonal/>
    </border>
    <border>
      <left/>
      <right style="medium">
        <color indexed="39"/>
      </right>
      <top style="medium">
        <color indexed="39"/>
      </top>
      <bottom/>
      <diagonal/>
    </border>
    <border>
      <left/>
      <right style="medium">
        <color indexed="51"/>
      </right>
      <top style="medium">
        <color indexed="51"/>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DashDotDot">
        <color indexed="52"/>
      </left>
      <right style="mediumDashDotDot">
        <color indexed="52"/>
      </right>
      <top style="mediumDashDotDot">
        <color indexed="52"/>
      </top>
      <bottom/>
      <diagonal/>
    </border>
    <border>
      <left style="mediumDashDotDot">
        <color indexed="52"/>
      </left>
      <right style="mediumDashDotDot">
        <color indexed="52"/>
      </right>
      <top/>
      <bottom/>
      <diagonal/>
    </border>
    <border>
      <left style="mediumDashDotDot">
        <color indexed="52"/>
      </left>
      <right style="mediumDashDotDot">
        <color indexed="52"/>
      </right>
      <top/>
      <bottom style="mediumDashDotDot">
        <color indexed="52"/>
      </bottom>
      <diagonal/>
    </border>
  </borders>
  <cellStyleXfs count="1">
    <xf numFmtId="0" fontId="0" fillId="0" borderId="0"/>
  </cellStyleXfs>
  <cellXfs count="159">
    <xf numFmtId="0" fontId="0" fillId="0" borderId="0" xfId="0"/>
    <xf numFmtId="0" fontId="0" fillId="0" borderId="0" xfId="0" applyBorder="1"/>
    <xf numFmtId="0" fontId="1" fillId="0" borderId="0" xfId="0" applyFont="1" applyBorder="1"/>
    <xf numFmtId="0" fontId="0" fillId="0" borderId="1" xfId="0" applyBorder="1"/>
    <xf numFmtId="0" fontId="0" fillId="0" borderId="0" xfId="0" applyFill="1" applyBorder="1"/>
    <xf numFmtId="0" fontId="0" fillId="0" borderId="2" xfId="0" applyBorder="1"/>
    <xf numFmtId="194" fontId="1" fillId="0" borderId="3" xfId="0" applyNumberFormat="1" applyFont="1" applyBorder="1"/>
    <xf numFmtId="194" fontId="1" fillId="0" borderId="4" xfId="0" applyNumberFormat="1" applyFont="1" applyBorder="1"/>
    <xf numFmtId="0" fontId="3" fillId="0" borderId="0" xfId="0" applyFont="1"/>
    <xf numFmtId="0" fontId="5" fillId="2" borderId="5" xfId="0" applyFont="1" applyFill="1" applyBorder="1"/>
    <xf numFmtId="0" fontId="0" fillId="0" borderId="6" xfId="0" applyBorder="1"/>
    <xf numFmtId="0" fontId="0" fillId="0" borderId="7" xfId="0" applyBorder="1"/>
    <xf numFmtId="0" fontId="5" fillId="2" borderId="6" xfId="0" applyFont="1" applyFill="1" applyBorder="1" applyAlignment="1">
      <alignment horizontal="right"/>
    </xf>
    <xf numFmtId="0" fontId="5" fillId="2" borderId="6" xfId="0" applyFont="1" applyFill="1" applyBorder="1"/>
    <xf numFmtId="0" fontId="0" fillId="0" borderId="8" xfId="0" applyBorder="1"/>
    <xf numFmtId="0" fontId="0" fillId="0" borderId="9" xfId="0" applyBorder="1"/>
    <xf numFmtId="0" fontId="0" fillId="0" borderId="10" xfId="0" applyBorder="1"/>
    <xf numFmtId="0" fontId="1" fillId="3" borderId="11" xfId="0" applyFont="1" applyFill="1" applyBorder="1"/>
    <xf numFmtId="0" fontId="0" fillId="0" borderId="12" xfId="0" applyBorder="1"/>
    <xf numFmtId="0" fontId="0" fillId="0" borderId="13" xfId="0" applyBorder="1"/>
    <xf numFmtId="0" fontId="1" fillId="3" borderId="12" xfId="0" applyFont="1" applyFill="1" applyBorder="1"/>
    <xf numFmtId="0" fontId="0" fillId="0" borderId="14" xfId="0" applyBorder="1"/>
    <xf numFmtId="0" fontId="0" fillId="0" borderId="15" xfId="0" applyBorder="1"/>
    <xf numFmtId="0" fontId="0" fillId="0" borderId="16" xfId="0" applyBorder="1"/>
    <xf numFmtId="0" fontId="1" fillId="0" borderId="17" xfId="0" applyFont="1" applyBorder="1"/>
    <xf numFmtId="0" fontId="0" fillId="0" borderId="18" xfId="0" applyBorder="1"/>
    <xf numFmtId="0" fontId="1" fillId="0" borderId="19" xfId="0" applyFont="1" applyBorder="1"/>
    <xf numFmtId="0" fontId="1" fillId="0" borderId="1" xfId="0" applyFont="1" applyBorder="1"/>
    <xf numFmtId="0" fontId="1" fillId="0" borderId="20" xfId="0" applyFont="1" applyBorder="1"/>
    <xf numFmtId="0" fontId="2" fillId="0" borderId="16" xfId="0" applyFont="1" applyBorder="1"/>
    <xf numFmtId="0" fontId="0" fillId="0" borderId="17" xfId="0" applyBorder="1"/>
    <xf numFmtId="0" fontId="0" fillId="0" borderId="19" xfId="0" applyBorder="1"/>
    <xf numFmtId="0" fontId="0" fillId="0" borderId="0" xfId="0" applyBorder="1" applyAlignment="1">
      <alignment horizontal="center"/>
    </xf>
    <xf numFmtId="0" fontId="3" fillId="4" borderId="9" xfId="0" applyFont="1" applyFill="1" applyBorder="1" applyAlignment="1">
      <alignment horizontal="right"/>
    </xf>
    <xf numFmtId="0" fontId="3" fillId="4" borderId="21" xfId="0" applyFont="1" applyFill="1" applyBorder="1" applyAlignment="1">
      <alignment horizontal="right"/>
    </xf>
    <xf numFmtId="1" fontId="0" fillId="0" borderId="11" xfId="0" applyNumberFormat="1" applyBorder="1" applyAlignment="1">
      <alignment horizontal="center"/>
    </xf>
    <xf numFmtId="1" fontId="0" fillId="0" borderId="14" xfId="0" applyNumberFormat="1" applyBorder="1" applyAlignment="1">
      <alignment horizontal="center"/>
    </xf>
    <xf numFmtId="0" fontId="7" fillId="2" borderId="22" xfId="0" applyFont="1" applyFill="1" applyBorder="1"/>
    <xf numFmtId="0" fontId="0" fillId="0" borderId="23" xfId="0" applyBorder="1"/>
    <xf numFmtId="0" fontId="0" fillId="0" borderId="24" xfId="0" applyBorder="1"/>
    <xf numFmtId="0" fontId="1" fillId="2" borderId="0" xfId="0" applyFont="1" applyFill="1" applyBorder="1" applyAlignment="1">
      <alignment horizontal="right"/>
    </xf>
    <xf numFmtId="0" fontId="1" fillId="2" borderId="25" xfId="0" applyFont="1" applyFill="1" applyBorder="1" applyAlignment="1">
      <alignment horizontal="right"/>
    </xf>
    <xf numFmtId="0" fontId="3" fillId="4" borderId="0" xfId="0" applyFont="1" applyFill="1" applyBorder="1" applyAlignment="1">
      <alignment horizontal="right"/>
    </xf>
    <xf numFmtId="0" fontId="3" fillId="0" borderId="0" xfId="0" applyFont="1" applyBorder="1"/>
    <xf numFmtId="0" fontId="1" fillId="0" borderId="0" xfId="0" applyFont="1" applyBorder="1" applyAlignment="1">
      <alignment horizontal="center"/>
    </xf>
    <xf numFmtId="0" fontId="0" fillId="0" borderId="18" xfId="0" applyBorder="1"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1" fillId="3" borderId="13" xfId="0" applyFont="1" applyFill="1" applyBorder="1" applyAlignment="1">
      <alignment horizontal="center"/>
    </xf>
    <xf numFmtId="0" fontId="1" fillId="3" borderId="21" xfId="0" applyFont="1" applyFill="1" applyBorder="1" applyAlignment="1">
      <alignment horizontal="center"/>
    </xf>
    <xf numFmtId="0" fontId="2" fillId="0" borderId="2" xfId="0" applyFont="1" applyBorder="1" applyAlignment="1">
      <alignment horizontal="left"/>
    </xf>
    <xf numFmtId="0" fontId="2" fillId="0" borderId="26" xfId="0" applyFont="1" applyBorder="1" applyAlignment="1">
      <alignment horizontal="left"/>
    </xf>
    <xf numFmtId="194" fontId="0" fillId="0" borderId="27" xfId="0" applyNumberFormat="1" applyBorder="1" applyAlignment="1">
      <alignment horizontal="right"/>
    </xf>
    <xf numFmtId="194" fontId="0" fillId="0" borderId="3" xfId="0" applyNumberFormat="1" applyBorder="1" applyAlignment="1">
      <alignment horizontal="right"/>
    </xf>
    <xf numFmtId="194" fontId="0" fillId="0" borderId="4" xfId="0" applyNumberFormat="1" applyBorder="1" applyAlignment="1">
      <alignment horizontal="right"/>
    </xf>
    <xf numFmtId="0" fontId="1" fillId="3" borderId="28" xfId="0" applyFont="1" applyFill="1" applyBorder="1" applyAlignment="1">
      <alignment horizontal="center"/>
    </xf>
    <xf numFmtId="0" fontId="1" fillId="3" borderId="29" xfId="0" applyFont="1" applyFill="1" applyBorder="1" applyAlignment="1">
      <alignment horizontal="center"/>
    </xf>
    <xf numFmtId="0" fontId="1" fillId="3" borderId="30" xfId="0" applyFont="1" applyFill="1" applyBorder="1" applyAlignment="1">
      <alignment horizontal="center"/>
    </xf>
    <xf numFmtId="0" fontId="0" fillId="0" borderId="31"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32" xfId="0"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xf>
    <xf numFmtId="0" fontId="1" fillId="0" borderId="35" xfId="0" applyFont="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195" fontId="9" fillId="0" borderId="0" xfId="0" applyNumberFormat="1" applyFont="1" applyBorder="1" applyAlignment="1">
      <alignment horizontal="center"/>
    </xf>
    <xf numFmtId="0" fontId="9" fillId="0" borderId="0" xfId="0" applyNumberFormat="1" applyFont="1" applyBorder="1" applyAlignment="1">
      <alignment horizontal="center"/>
    </xf>
    <xf numFmtId="0" fontId="1" fillId="2" borderId="39" xfId="0" applyFont="1" applyFill="1" applyBorder="1" applyAlignment="1">
      <alignment horizontal="center"/>
    </xf>
    <xf numFmtId="194" fontId="9" fillId="0" borderId="0" xfId="0" applyNumberFormat="1" applyFont="1" applyBorder="1" applyAlignment="1">
      <alignment horizontal="center"/>
    </xf>
    <xf numFmtId="0" fontId="0" fillId="0" borderId="0" xfId="0" applyNumberFormat="1" applyBorder="1" applyAlignment="1">
      <alignment horizontal="center"/>
    </xf>
    <xf numFmtId="0" fontId="1" fillId="3" borderId="40" xfId="0" applyFont="1" applyFill="1" applyBorder="1"/>
    <xf numFmtId="0" fontId="1" fillId="3" borderId="41" xfId="0" applyFont="1" applyFill="1" applyBorder="1"/>
    <xf numFmtId="0" fontId="1" fillId="0" borderId="42" xfId="0" applyFont="1" applyBorder="1" applyAlignment="1">
      <alignment horizontal="center"/>
    </xf>
    <xf numFmtId="0" fontId="1" fillId="0" borderId="43" xfId="0" applyFont="1" applyBorder="1" applyAlignment="1">
      <alignment horizontal="center"/>
    </xf>
    <xf numFmtId="0" fontId="1" fillId="3" borderId="41" xfId="0" applyFont="1" applyFill="1" applyBorder="1" applyAlignment="1">
      <alignment horizontal="center"/>
    </xf>
    <xf numFmtId="0" fontId="1" fillId="3" borderId="0" xfId="0" applyFont="1" applyFill="1" applyBorder="1" applyAlignment="1">
      <alignment horizontal="center"/>
    </xf>
    <xf numFmtId="0" fontId="0" fillId="0" borderId="44" xfId="0" applyBorder="1" applyAlignment="1">
      <alignment horizontal="center"/>
    </xf>
    <xf numFmtId="0" fontId="0" fillId="0" borderId="45" xfId="0" applyBorder="1" applyAlignment="1">
      <alignment horizontal="center"/>
    </xf>
    <xf numFmtId="195" fontId="0" fillId="0" borderId="0" xfId="0" applyNumberFormat="1" applyBorder="1" applyAlignment="1">
      <alignment horizontal="center"/>
    </xf>
    <xf numFmtId="195" fontId="0" fillId="0" borderId="44" xfId="0" applyNumberFormat="1" applyBorder="1" applyAlignment="1">
      <alignment horizontal="center"/>
    </xf>
    <xf numFmtId="0" fontId="0" fillId="0" borderId="20" xfId="0" applyBorder="1"/>
    <xf numFmtId="0" fontId="1" fillId="0" borderId="0" xfId="0" applyFont="1" applyAlignment="1">
      <alignment horizontal="center"/>
    </xf>
    <xf numFmtId="0" fontId="0" fillId="0" borderId="26" xfId="0" applyFill="1" applyBorder="1"/>
    <xf numFmtId="0" fontId="0" fillId="0" borderId="46" xfId="0" applyBorder="1"/>
    <xf numFmtId="194" fontId="0" fillId="0" borderId="47" xfId="0" applyNumberFormat="1" applyBorder="1"/>
    <xf numFmtId="0" fontId="3" fillId="0" borderId="48" xfId="0" applyFont="1" applyBorder="1" applyAlignment="1">
      <alignment horizontal="center"/>
    </xf>
    <xf numFmtId="0" fontId="0" fillId="0" borderId="49" xfId="0" applyBorder="1"/>
    <xf numFmtId="0" fontId="10" fillId="0" borderId="0" xfId="0" applyFont="1" applyAlignment="1">
      <alignment horizontal="right"/>
    </xf>
    <xf numFmtId="195" fontId="0" fillId="0" borderId="0" xfId="0" applyNumberFormat="1" applyAlignment="1">
      <alignment horizontal="center"/>
    </xf>
    <xf numFmtId="0" fontId="0" fillId="0" borderId="50" xfId="0" applyBorder="1"/>
    <xf numFmtId="194" fontId="0" fillId="0" borderId="0" xfId="0" applyNumberFormat="1" applyBorder="1"/>
    <xf numFmtId="0" fontId="3" fillId="0" borderId="51" xfId="0" applyFont="1" applyBorder="1" applyAlignment="1">
      <alignment horizontal="center"/>
    </xf>
    <xf numFmtId="0" fontId="0" fillId="0" borderId="52" xfId="0" applyBorder="1"/>
    <xf numFmtId="0" fontId="1" fillId="0" borderId="53" xfId="0" applyFont="1" applyBorder="1" applyAlignment="1">
      <alignment horizontal="center"/>
    </xf>
    <xf numFmtId="0" fontId="1" fillId="2" borderId="0" xfId="0" applyFont="1" applyFill="1" applyAlignment="1">
      <alignment horizontal="center"/>
    </xf>
    <xf numFmtId="195" fontId="0" fillId="0" borderId="0" xfId="0" applyNumberFormat="1"/>
    <xf numFmtId="0" fontId="1" fillId="2" borderId="0" xfId="0" applyFont="1" applyFill="1" applyBorder="1" applyAlignment="1">
      <alignment horizontal="center"/>
    </xf>
    <xf numFmtId="0" fontId="0" fillId="0" borderId="54" xfId="0" applyBorder="1"/>
    <xf numFmtId="0" fontId="1" fillId="2" borderId="54" xfId="0" applyFont="1" applyFill="1" applyBorder="1" applyAlignment="1">
      <alignment horizontal="center"/>
    </xf>
    <xf numFmtId="0" fontId="14" fillId="0" borderId="0" xfId="0" applyFont="1"/>
    <xf numFmtId="0" fontId="0" fillId="0" borderId="55" xfId="0" applyBorder="1"/>
    <xf numFmtId="0" fontId="7" fillId="0" borderId="20" xfId="0" applyFont="1" applyBorder="1"/>
    <xf numFmtId="199" fontId="0" fillId="0" borderId="0" xfId="0" applyNumberFormat="1" applyBorder="1"/>
    <xf numFmtId="199" fontId="0" fillId="0" borderId="0" xfId="0" applyNumberFormat="1" applyFill="1" applyBorder="1"/>
    <xf numFmtId="199" fontId="0" fillId="0" borderId="56" xfId="0" applyNumberFormat="1" applyFill="1" applyBorder="1"/>
    <xf numFmtId="199" fontId="0" fillId="0" borderId="12" xfId="0" applyNumberFormat="1" applyBorder="1"/>
    <xf numFmtId="0" fontId="14" fillId="0" borderId="0" xfId="0" applyFont="1" applyAlignment="1">
      <alignment horizontal="right"/>
    </xf>
    <xf numFmtId="0" fontId="1" fillId="3" borderId="41" xfId="0" applyFont="1" applyFill="1" applyBorder="1" applyAlignment="1">
      <alignment horizontal="left"/>
    </xf>
    <xf numFmtId="194" fontId="0" fillId="0" borderId="0" xfId="0" applyNumberFormat="1" applyBorder="1" applyAlignment="1">
      <alignment horizontal="center"/>
    </xf>
    <xf numFmtId="0" fontId="0" fillId="0" borderId="57" xfId="0" applyBorder="1" applyAlignment="1">
      <alignment horizontal="center"/>
    </xf>
    <xf numFmtId="0" fontId="1" fillId="5" borderId="58" xfId="0" applyFont="1" applyFill="1" applyBorder="1" applyAlignment="1">
      <alignment horizontal="center"/>
    </xf>
    <xf numFmtId="0" fontId="2" fillId="0" borderId="0" xfId="0" applyFont="1" applyFill="1" applyBorder="1" applyAlignment="1">
      <alignment horizontal="left"/>
    </xf>
    <xf numFmtId="0" fontId="2" fillId="0" borderId="0" xfId="0" applyFont="1" applyFill="1" applyBorder="1" applyAlignment="1">
      <alignment horizontal="center"/>
    </xf>
    <xf numFmtId="0" fontId="1" fillId="0" borderId="0" xfId="0" applyFont="1" applyFill="1" applyAlignment="1">
      <alignment horizontal="center"/>
    </xf>
    <xf numFmtId="195" fontId="0" fillId="0" borderId="59" xfId="0" applyNumberFormat="1" applyBorder="1" applyAlignment="1">
      <alignment horizontal="center"/>
    </xf>
    <xf numFmtId="195" fontId="0" fillId="0" borderId="60" xfId="0" applyNumberFormat="1" applyBorder="1" applyAlignment="1">
      <alignment horizontal="center"/>
    </xf>
    <xf numFmtId="195" fontId="0" fillId="0" borderId="61" xfId="0" applyNumberFormat="1" applyBorder="1" applyAlignment="1">
      <alignment horizontal="center"/>
    </xf>
    <xf numFmtId="195" fontId="0" fillId="0" borderId="62" xfId="0" applyNumberFormat="1" applyBorder="1" applyAlignment="1">
      <alignment horizontal="center"/>
    </xf>
    <xf numFmtId="0" fontId="0" fillId="0" borderId="0" xfId="0" applyAlignment="1">
      <alignment horizontal="center"/>
    </xf>
    <xf numFmtId="0" fontId="0" fillId="0" borderId="63" xfId="0" applyBorder="1"/>
    <xf numFmtId="0" fontId="0" fillId="0" borderId="64" xfId="0" applyBorder="1"/>
    <xf numFmtId="0" fontId="0" fillId="0" borderId="65" xfId="0" applyBorder="1"/>
    <xf numFmtId="0" fontId="0" fillId="0" borderId="66" xfId="0" applyBorder="1"/>
    <xf numFmtId="0" fontId="0" fillId="0" borderId="26" xfId="0" applyBorder="1"/>
    <xf numFmtId="0" fontId="0" fillId="0" borderId="67" xfId="0" applyBorder="1"/>
    <xf numFmtId="0" fontId="0" fillId="0" borderId="68" xfId="0" applyBorder="1"/>
    <xf numFmtId="0" fontId="0" fillId="0" borderId="69" xfId="0" applyBorder="1"/>
    <xf numFmtId="0" fontId="0" fillId="0" borderId="34" xfId="0" applyBorder="1"/>
    <xf numFmtId="0" fontId="1" fillId="3" borderId="0" xfId="0" applyFont="1" applyFill="1" applyAlignment="1">
      <alignment horizontal="center"/>
    </xf>
    <xf numFmtId="0" fontId="0" fillId="3" borderId="0" xfId="0" applyFill="1" applyAlignment="1">
      <alignment horizontal="center"/>
    </xf>
    <xf numFmtId="0" fontId="0" fillId="3" borderId="70" xfId="0" applyFill="1" applyBorder="1" applyAlignment="1">
      <alignment horizontal="center"/>
    </xf>
    <xf numFmtId="0" fontId="0" fillId="3" borderId="71" xfId="0" applyFill="1" applyBorder="1" applyAlignment="1">
      <alignment horizontal="center"/>
    </xf>
    <xf numFmtId="0" fontId="2" fillId="0" borderId="0" xfId="0" applyFont="1" applyAlignment="1">
      <alignment horizontal="right"/>
    </xf>
    <xf numFmtId="0" fontId="2" fillId="0" borderId="7" xfId="0" applyFont="1" applyBorder="1" applyAlignment="1">
      <alignment horizontal="right"/>
    </xf>
    <xf numFmtId="0" fontId="2" fillId="0" borderId="72" xfId="0" applyFont="1" applyBorder="1" applyAlignment="1">
      <alignment horizontal="right"/>
    </xf>
    <xf numFmtId="0" fontId="1" fillId="3" borderId="59" xfId="0" applyFont="1" applyFill="1" applyBorder="1" applyAlignment="1">
      <alignment horizontal="center"/>
    </xf>
    <xf numFmtId="0" fontId="1" fillId="3" borderId="60" xfId="0" applyFont="1" applyFill="1" applyBorder="1" applyAlignment="1">
      <alignment horizontal="center"/>
    </xf>
    <xf numFmtId="0" fontId="3" fillId="3" borderId="0" xfId="0" applyFont="1" applyFill="1"/>
    <xf numFmtId="195" fontId="0" fillId="0" borderId="29" xfId="0" applyNumberFormat="1" applyBorder="1" applyAlignment="1">
      <alignment horizontal="center"/>
    </xf>
    <xf numFmtId="195" fontId="0" fillId="0" borderId="37" xfId="0" applyNumberFormat="1" applyBorder="1" applyAlignment="1">
      <alignment horizontal="center"/>
    </xf>
    <xf numFmtId="195" fontId="0" fillId="0" borderId="30" xfId="0" applyNumberFormat="1" applyBorder="1" applyAlignment="1">
      <alignment horizontal="center"/>
    </xf>
    <xf numFmtId="195" fontId="0" fillId="0" borderId="38" xfId="0" applyNumberFormat="1" applyBorder="1" applyAlignment="1">
      <alignment horizontal="center"/>
    </xf>
    <xf numFmtId="0" fontId="2" fillId="3" borderId="28" xfId="0" applyFont="1" applyFill="1" applyBorder="1" applyAlignment="1">
      <alignment horizontal="center"/>
    </xf>
    <xf numFmtId="0" fontId="2" fillId="3" borderId="36" xfId="0" applyFont="1" applyFill="1" applyBorder="1" applyAlignment="1">
      <alignment horizontal="center"/>
    </xf>
    <xf numFmtId="0" fontId="0" fillId="3" borderId="0" xfId="0" applyFill="1"/>
    <xf numFmtId="0" fontId="1" fillId="3" borderId="73" xfId="0" applyFont="1" applyFill="1" applyBorder="1" applyAlignment="1">
      <alignment horizontal="center"/>
    </xf>
    <xf numFmtId="0" fontId="1" fillId="3" borderId="74" xfId="0" applyFont="1" applyFill="1" applyBorder="1" applyAlignment="1">
      <alignment horizontal="center"/>
    </xf>
    <xf numFmtId="0" fontId="3" fillId="0" borderId="75" xfId="0" applyFont="1" applyBorder="1" applyAlignment="1">
      <alignment horizontal="center" vertical="center" wrapText="1"/>
    </xf>
    <xf numFmtId="0" fontId="3" fillId="0" borderId="76" xfId="0" applyFont="1" applyBorder="1" applyAlignment="1">
      <alignment horizontal="center" vertical="center" wrapText="1"/>
    </xf>
    <xf numFmtId="0" fontId="3" fillId="0" borderId="77" xfId="0" applyFont="1" applyBorder="1" applyAlignment="1">
      <alignment horizontal="center" vertical="center" wrapText="1"/>
    </xf>
    <xf numFmtId="0" fontId="3" fillId="3" borderId="28" xfId="0" applyFont="1" applyFill="1" applyBorder="1" applyAlignment="1">
      <alignment horizontal="center"/>
    </xf>
    <xf numFmtId="0" fontId="3" fillId="3" borderId="36" xfId="0" applyFont="1" applyFill="1" applyBorder="1" applyAlignment="1">
      <alignment horizontal="center"/>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8">
    <dxf>
      <font>
        <b val="0"/>
        <i val="0"/>
        <condense val="0"/>
        <extend val="0"/>
        <color auto="1"/>
      </font>
    </dxf>
    <dxf>
      <font>
        <b/>
        <i val="0"/>
        <condense val="0"/>
        <extend val="0"/>
        <color indexed="10"/>
      </font>
    </dxf>
    <dxf>
      <font>
        <b val="0"/>
        <i val="0"/>
        <condense val="0"/>
        <extend val="0"/>
        <color auto="1"/>
      </font>
    </dxf>
    <dxf>
      <font>
        <b/>
        <i val="0"/>
        <condense val="0"/>
        <extend val="0"/>
        <color indexed="10"/>
      </font>
    </dxf>
    <dxf>
      <font>
        <b val="0"/>
        <i val="0"/>
        <condense val="0"/>
        <extend val="0"/>
        <color auto="1"/>
      </font>
    </dxf>
    <dxf>
      <font>
        <b/>
        <i val="0"/>
        <condense val="0"/>
        <extend val="0"/>
        <color indexed="10"/>
      </font>
    </dxf>
    <dxf>
      <font>
        <b val="0"/>
        <i val="0"/>
        <condense val="0"/>
        <extend val="0"/>
        <color auto="1"/>
      </font>
    </dxf>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25" workbookViewId="0">
      <selection activeCell="N34" sqref="N34"/>
    </sheetView>
  </sheetViews>
  <sheetFormatPr baseColWidth="10" defaultColWidth="8.85546875" defaultRowHeight="12.75" x14ac:dyDescent="0.2"/>
  <cols>
    <col min="1" max="13" width="8.85546875" customWidth="1"/>
    <col min="14" max="14" width="1.85546875" customWidth="1"/>
  </cols>
  <sheetData>
    <row r="1" spans="1:1" x14ac:dyDescent="0.2"/>
  </sheetData>
  <phoneticPr fontId="0" type="noConversion"/>
  <pageMargins left="0.25" right="0.25" top="0.984251969" bottom="0.5" header="0.5" footer="0.5"/>
  <pageSetup orientation="portrait" blackAndWhite="1" cellComments="asDisplayed"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abSelected="1" zoomScale="80" workbookViewId="0">
      <selection activeCell="L15" sqref="L15"/>
    </sheetView>
  </sheetViews>
  <sheetFormatPr baseColWidth="10" defaultColWidth="8.85546875" defaultRowHeight="12.75" x14ac:dyDescent="0.2"/>
  <cols>
    <col min="1" max="1" width="28.42578125" customWidth="1"/>
    <col min="2" max="5" width="11.7109375" customWidth="1"/>
    <col min="6" max="6" width="15.7109375" bestFit="1" customWidth="1"/>
    <col min="7" max="7" width="29.7109375" customWidth="1"/>
    <col min="8" max="8" width="12.7109375" customWidth="1"/>
    <col min="9" max="14" width="13.140625" bestFit="1" customWidth="1"/>
  </cols>
  <sheetData>
    <row r="1" spans="1:7" ht="14.25" x14ac:dyDescent="0.25">
      <c r="A1" s="9" t="s">
        <v>28</v>
      </c>
      <c r="B1" s="99" t="s">
        <v>78</v>
      </c>
      <c r="C1" s="139">
        <v>0.1</v>
      </c>
      <c r="E1" s="33" t="s">
        <v>29</v>
      </c>
      <c r="F1" s="35">
        <f>ROUNDUP(G37,0)</f>
        <v>129</v>
      </c>
    </row>
    <row r="2" spans="1:7" ht="15" thickBot="1" x14ac:dyDescent="0.3">
      <c r="A2" s="10"/>
      <c r="B2" s="99" t="s">
        <v>79</v>
      </c>
      <c r="C2" s="138">
        <v>0.5</v>
      </c>
      <c r="E2" s="34" t="s">
        <v>30</v>
      </c>
      <c r="F2" s="36">
        <f>ROUNDUP(G46,0)</f>
        <v>385</v>
      </c>
    </row>
    <row r="3" spans="1:7" ht="14.25" x14ac:dyDescent="0.25">
      <c r="A3" s="10"/>
      <c r="B3" s="99" t="s">
        <v>80</v>
      </c>
      <c r="C3" s="138">
        <v>0.9</v>
      </c>
    </row>
    <row r="4" spans="1:7" ht="14.25" x14ac:dyDescent="0.25">
      <c r="A4" s="10"/>
      <c r="B4" s="99" t="s">
        <v>81</v>
      </c>
      <c r="C4" s="138">
        <v>0.9</v>
      </c>
    </row>
    <row r="5" spans="1:7" ht="14.25" x14ac:dyDescent="0.25">
      <c r="A5" s="10"/>
      <c r="B5" s="99" t="s">
        <v>82</v>
      </c>
      <c r="C5" s="138">
        <v>0.9</v>
      </c>
      <c r="D5" s="111" t="s">
        <v>103</v>
      </c>
      <c r="E5">
        <f>_se1-_se2</f>
        <v>0</v>
      </c>
    </row>
    <row r="6" spans="1:7" ht="14.25" x14ac:dyDescent="0.25">
      <c r="A6" s="10"/>
      <c r="B6" s="99" t="s">
        <v>83</v>
      </c>
      <c r="C6" s="138">
        <v>0.9</v>
      </c>
      <c r="D6" s="111" t="s">
        <v>104</v>
      </c>
      <c r="E6">
        <f>_sp1-_sp2</f>
        <v>0</v>
      </c>
    </row>
    <row r="7" spans="1:7" x14ac:dyDescent="0.2">
      <c r="A7" s="10"/>
      <c r="B7" s="1"/>
      <c r="C7" s="11"/>
    </row>
    <row r="8" spans="1:7" ht="14.25" x14ac:dyDescent="0.25">
      <c r="A8" s="12" t="s">
        <v>126</v>
      </c>
      <c r="B8" s="1">
        <v>3</v>
      </c>
      <c r="C8" s="11"/>
    </row>
    <row r="9" spans="1:7" x14ac:dyDescent="0.2">
      <c r="A9" s="12" t="s">
        <v>9</v>
      </c>
      <c r="B9" s="1">
        <v>1.96</v>
      </c>
      <c r="C9" s="11"/>
    </row>
    <row r="10" spans="1:7" ht="14.25" x14ac:dyDescent="0.25">
      <c r="A10" s="13" t="s">
        <v>26</v>
      </c>
      <c r="B10" s="99" t="s">
        <v>78</v>
      </c>
      <c r="C10" s="137">
        <v>0.2</v>
      </c>
    </row>
    <row r="11" spans="1:7" ht="12.75" customHeight="1" x14ac:dyDescent="0.25">
      <c r="A11" s="10"/>
      <c r="B11" s="99" t="s">
        <v>79</v>
      </c>
      <c r="C11" s="137">
        <v>0.2</v>
      </c>
    </row>
    <row r="12" spans="1:7" ht="15" thickBot="1" x14ac:dyDescent="0.3">
      <c r="A12" s="10"/>
      <c r="B12" s="99" t="s">
        <v>80</v>
      </c>
      <c r="C12" s="137">
        <v>0.2</v>
      </c>
    </row>
    <row r="13" spans="1:7" ht="14.25" x14ac:dyDescent="0.25">
      <c r="A13" s="10"/>
      <c r="B13" s="99" t="s">
        <v>81</v>
      </c>
      <c r="C13" s="137">
        <v>0.2</v>
      </c>
      <c r="E13" s="88" t="s">
        <v>31</v>
      </c>
      <c r="F13" s="89">
        <f>MAX(I37:I51)</f>
        <v>0.5748484325926384</v>
      </c>
      <c r="G13" s="90" t="str">
        <f>IF(F13&gt;0.98,"warning !!!!!", "corr looks OK")</f>
        <v>corr looks OK</v>
      </c>
    </row>
    <row r="14" spans="1:7" ht="14.25" x14ac:dyDescent="0.25">
      <c r="A14" s="10"/>
      <c r="B14" s="99" t="s">
        <v>82</v>
      </c>
      <c r="C14" s="137">
        <v>0.2</v>
      </c>
      <c r="E14" s="94" t="s">
        <v>32</v>
      </c>
      <c r="F14" s="95">
        <f>MIN(I37:I51)</f>
        <v>-0.7714542762891774</v>
      </c>
      <c r="G14" s="96" t="str">
        <f>IF(F14&lt;-0.98,"warning !!!!!", "corr looks OK")</f>
        <v>corr looks OK</v>
      </c>
    </row>
    <row r="15" spans="1:7" ht="15" thickBot="1" x14ac:dyDescent="0.3">
      <c r="A15" s="10"/>
      <c r="B15" s="101" t="s">
        <v>83</v>
      </c>
      <c r="C15" s="137">
        <v>0.2</v>
      </c>
      <c r="E15" s="97" t="s">
        <v>77</v>
      </c>
      <c r="F15" s="97"/>
      <c r="G15" s="98" t="str">
        <f>IF(OR(B28&lt;0, C29&lt;0, D30&lt;0, E31&lt;0, F32&lt;0, G33&lt;0),"warning: negative diagonal(s)","OK")</f>
        <v>OK</v>
      </c>
    </row>
    <row r="16" spans="1:7" ht="14.25" x14ac:dyDescent="0.25">
      <c r="B16" s="99" t="s">
        <v>86</v>
      </c>
      <c r="C16" s="11">
        <v>1</v>
      </c>
    </row>
    <row r="17" spans="1:7" ht="15" thickBot="1" x14ac:dyDescent="0.3">
      <c r="A17" s="102"/>
      <c r="B17" s="103" t="s">
        <v>85</v>
      </c>
      <c r="C17" s="14">
        <v>1</v>
      </c>
      <c r="D17" s="1"/>
      <c r="E17" s="1"/>
      <c r="F17" s="1"/>
      <c r="G17" s="1"/>
    </row>
    <row r="18" spans="1:7" ht="35.1" customHeight="1" x14ac:dyDescent="0.25">
      <c r="A18" s="8" t="s">
        <v>27</v>
      </c>
      <c r="B18" s="44" t="s">
        <v>110</v>
      </c>
      <c r="C18" s="44" t="s">
        <v>111</v>
      </c>
      <c r="D18" s="44" t="s">
        <v>112</v>
      </c>
      <c r="E18" s="44" t="s">
        <v>113</v>
      </c>
      <c r="F18" s="44" t="s">
        <v>114</v>
      </c>
      <c r="G18" s="44" t="s">
        <v>115</v>
      </c>
    </row>
    <row r="19" spans="1:7" ht="35.1" customHeight="1" x14ac:dyDescent="0.25">
      <c r="A19" s="44" t="s">
        <v>110</v>
      </c>
      <c r="B19" s="28">
        <f>(((( ((1-_sp1)*(1-_sp2))- (_se1*_se2))^2)/pbar111) + ((( ((1-_sp1)*_sp2) - (_se1*(1-_se2)))^2)/pbar112) + ((( (_sp1*(1-_sp2)) - ((1-_se1)*_se2))^2)/pbar121) + ((( (_sp1*_sp2) - ((1-_se1)*(1-_se2)))^2)/pbar122))</f>
        <v>7.9878234398782348</v>
      </c>
      <c r="C19" s="22">
        <f>B20</f>
        <v>0</v>
      </c>
      <c r="D19" s="22">
        <f>B21</f>
        <v>-0.81095890410958915</v>
      </c>
      <c r="E19" s="22">
        <f>B22</f>
        <v>-0.81095890410958915</v>
      </c>
      <c r="F19" s="22">
        <f>B23</f>
        <v>1.6876712328767121</v>
      </c>
      <c r="G19" s="23">
        <f>B24</f>
        <v>1.6876712328767121</v>
      </c>
    </row>
    <row r="20" spans="1:7" ht="35.1" customHeight="1" x14ac:dyDescent="0.25">
      <c r="A20" s="44" t="s">
        <v>111</v>
      </c>
      <c r="B20" s="24">
        <v>0</v>
      </c>
      <c r="C20" s="28">
        <f>multiplier*(((( ((1-_sp1)*(1-_sp2))- (_se1*_se2))^2)/pbar211) + ((( ((1-_sp1)*_sp2) - (_se1*(1-_se2)))^2)/pbar212) + ((( (_sp1*(1-_sp2)) - ((1-_se1)*_se2))^2)/pbar221) + ((( (_sp1*_sp2) - ((1-_se1)*(1-_se2)))^2)/pbar222))</f>
        <v>9.3658536585365866</v>
      </c>
      <c r="D20" s="1">
        <f>C21</f>
        <v>-2.9268292682926829</v>
      </c>
      <c r="E20" s="1">
        <f>C22</f>
        <v>-2.9268292682926829</v>
      </c>
      <c r="F20" s="1">
        <f>C23</f>
        <v>2.9268292682926833</v>
      </c>
      <c r="G20" s="25">
        <f>C24</f>
        <v>2.9268292682926833</v>
      </c>
    </row>
    <row r="21" spans="1:7" ht="35.1" customHeight="1" x14ac:dyDescent="0.25">
      <c r="A21" s="47" t="s">
        <v>112</v>
      </c>
      <c r="B21" s="24">
        <f>( ( ( (1-_sp1)*(1-_sp2)*_se2)/pbar111) + ( (_sp2*(1-_sp1)*(1-_se2))/pbar112) + ( - ( (1-_sp2)*(_sp1)*_se2)/pbar121) + ( - ( _sp1*(_sp2)*(1-_se2))/pbar122))</f>
        <v>-0.81095890410958915</v>
      </c>
      <c r="C21" s="2">
        <f>multiplier* ( ( ( (1-_sp1)*(1-_sp2)*_se2)/pbar211) + ( (_sp2*(1-_sp1)*(1-_se2))/pbar212) + ( - ( (1-_sp2)*(_sp1)*_se2)/pbar221) + ( - ( _sp1*(_sp2)*(1-_se2))/pbar222))</f>
        <v>-2.9268292682926829</v>
      </c>
      <c r="D21" s="28">
        <f>( ( (_pi1^2)*( ((_se2^2)/pbar111) + ( ( (1-_se2)^2)/pbar112) + ( (_se2^2)/pbar121) + (((1-_se2)^2)/pbar122))) + ( multiplier*((_pi2)^2) * ( ( (_se2^2)/pbar211) + ( ( (1-_se2)^2)/pbar212) + ( (_se2^2)/pbar221) + ( ( (1-_se2)^2)/pbar222))))</f>
        <v>8.5145814307458156</v>
      </c>
      <c r="E21" s="1">
        <f>D22</f>
        <v>7.0136986301369844E-2</v>
      </c>
      <c r="F21" s="1">
        <f>D23</f>
        <v>-2.1103641830938855</v>
      </c>
      <c r="G21" s="25">
        <f>D24</f>
        <v>7.2229691502394493</v>
      </c>
    </row>
    <row r="22" spans="1:7" ht="35.1" customHeight="1" x14ac:dyDescent="0.25">
      <c r="A22" s="47" t="s">
        <v>113</v>
      </c>
      <c r="B22" s="24">
        <f>( ( ( (1-_sp1)*(1-_sp2)*_se1)/pbar111) + ( ((1-_sp2)*(_sp1)*(1-_se1))/pbar121) + ( - ( (_sp2)*(1-_sp1)*_se1)/pbar112) + ( - ( _sp1*(_sp2)*(1-_se1))/pbar122))</f>
        <v>-0.81095890410958915</v>
      </c>
      <c r="C22" s="2">
        <f>multiplier*( ( ( (1-_sp1)*(1-_sp2)*_se1)/pbar211) + ( ((1-_sp2)*(_sp1)*(1-_se1))/pbar221) + ( - ( (_sp2)*(1-_sp1)*_se1)/pbar212) + ( - ( _sp1*(_sp2)*(1-_se1))/pbar222))</f>
        <v>-2.9268292682926829</v>
      </c>
      <c r="D22" s="2">
        <f>( ( (_pi1^2)* (((_se1*_se2)/pbar111) + ( - (_se1*(1-_se2))/pbar112) + (-((1-_se1)*_se2)/pbar121) + (((1-_se1)*(1-_se2))/pbar122))) + ( multiplier*(_pi2^2)* (((_se1*_se2)/pbar211) + ( - (_se1*(1-_se2))/pbar212) + (-((1-_se1)*_se2)/pbar221) + (((1-_se1)*(1-_se2))/pbar222))))</f>
        <v>7.0136986301369844E-2</v>
      </c>
      <c r="E22" s="28">
        <f>( ( (_pi1^2)*( ((_se1^2)/pbar111) + ( ( (1-_se1)^2)/pbar121) + ( (_se1^2)/pbar112) + (((1-_se1)^2)/pbar122))) + ( multiplier*((_pi2)^2) * ( ( (_se1^2)/pbar211) + ( ( (1-_se1)^2)/pbar221) + ( (_se1^2)/pbar212) + ( ( (1-_se1)^2)/pbar222))))</f>
        <v>8.5145814307458156</v>
      </c>
      <c r="F22" s="1">
        <f>E23</f>
        <v>7.2229691502394493</v>
      </c>
      <c r="G22" s="25">
        <f>E24</f>
        <v>-2.1103641830938855</v>
      </c>
    </row>
    <row r="23" spans="1:7" ht="35.1" customHeight="1" x14ac:dyDescent="0.25">
      <c r="A23" s="47" t="s">
        <v>114</v>
      </c>
      <c r="B23" s="24">
        <f>( ( ( (1-_sp2)*_se1*_se2)/pbar111) + ( (_sp2*_se1*(1-_se2))/pbar112) + ( - ( (1-_sp2)*(1-_se1)*_se2)/pbar121) + ( - ( _sp1*(1-_se1)*(1-_se2))/pbar122))</f>
        <v>1.6876712328767121</v>
      </c>
      <c r="C23" s="2">
        <f>multiplier*( ( ( (1-_sp2)*_se1*_se2)/pbar211) + ( (_sp2*_se1*(1-_se2))/pbar212) + ( - ( (1-_sp2)*(1-_se1)*_se2)/pbar221) + ( - ( _sp1*(1-_se1)*(1-_se2))/pbar222))</f>
        <v>2.9268292682926833</v>
      </c>
      <c r="D23" s="2">
        <f xml:space="preserve"> - ( ( (_pi1*(1-_pi1)) * ( (((1-_sp2)*_se2)/pbar111) + ((_sp2*(1-_se2))/pbar112) + (((1-_sp2)*_se2)/pbar121) + ((_sp2*(1-_se2))/pbar122))) + ( multiplier*(_pi2*(1-_pi2)) * ( (((1-_sp2)*_se2)/pbar211) + ((_sp2*(1-_se2))/pbar212) + (((1-_sp2)*_se2)/pbar221) + ((_sp2*(1-_se2))/pbar222))) )</f>
        <v>-2.1103641830938855</v>
      </c>
      <c r="E23" s="2">
        <f>( ( (_pi1*(1-_pi1)) * ( ( - ( (1-_sp2)*_se1)/pbar111) + (_sp2*_se1/pbar112) + ( (1-_sp2)*(1-_se1)/pbar121) + ( - (_sp2*(1-_se1))/pbar122))) + ( multiplier*(_pi2*(1-_pi2)) * ( ( - ( (1-_sp2)*_se1)/pbar211) + (_sp2*_se1/pbar212) + ( (1-_sp2)*(1-_se1)/pbar221) + ( - (_sp2*(1-_se1))/pbar222))) )</f>
        <v>7.2229691502394493</v>
      </c>
      <c r="F23" s="28">
        <f>((((1-_pi1)^2) * ((((1-_sp2)^2)/pbar111) + ((_sp2^2)/pbar112) + (((1-_sp2)^2)/pbar121) + ((_sp2^2)/pbar122))) + (multiplier*((1-_pi2)^2) * ((((1-_sp2)^2)/pbar211) + ((_sp2^2)/pbar212) + (((1-_sp2)^2)/pbar221) + ((_sp2^2)/pbar222))))</f>
        <v>16.702100456621004</v>
      </c>
      <c r="G23" s="25">
        <f>F24</f>
        <v>-0.63123287671232875</v>
      </c>
    </row>
    <row r="24" spans="1:7" ht="35.1" customHeight="1" x14ac:dyDescent="0.25">
      <c r="A24" s="47" t="s">
        <v>115</v>
      </c>
      <c r="B24" s="26">
        <f>( ( ( (1-_sp1)*_se1*_se2)/pbar111) + ( (_sp1*_se2*(1-_se1))/pbar121) + ( - ( (1-_sp1)*(1-_se2)*_se1)/pbar112) + ( - ( _sp2*(1-_se1)*(1-_se2))/pbar122))</f>
        <v>1.6876712328767121</v>
      </c>
      <c r="C24" s="27">
        <f>multiplier*( ( ( (1-_sp1)*_se1*_se2)/pbar211) + ( (_sp1*_se2*(1-_se1))/pbar221) + ( - ( (1-_sp1)*(1-_se2)*_se1)/pbar212) + ( - ( _sp2*(1-_se1)*(1-_se2))/pbar222))</f>
        <v>2.9268292682926833</v>
      </c>
      <c r="D24" s="27">
        <f>( ( (_pi1*(1-_pi1)) * ( ( - ( (1-_sp1)*_se2)/pbar111) + (_sp1*_se2/pbar121) + ( (1-_sp1)*(1-_se2)/pbar112) + ( - (_sp1*(1-_se2))/pbar122))) + ( multiplier*(_pi2*(1-_pi2)) * ( ( - ( (1-_sp1)*_se2)/pbar211) + (_sp1*_se2/pbar221) + ( (1-_sp1)*(1-_se2)/pbar212) + ( - (_sp1*(1-_se2))/pbar222))) )</f>
        <v>7.2229691502394493</v>
      </c>
      <c r="E24" s="27">
        <f xml:space="preserve"> - ( ( (_pi1*(1-_pi1)) * ( (((1-_sp1)*_se1)/pbar111) + ((_sp1*(1-_se1))/pbar121) + (((1-_sp1)*_se1)/pbar112) + ((_sp1*(1-_se1))/pbar122))) + ( multiplier*(_pi2*(1-_pi2)) * ( (((1-_sp1)*_se1)/pbar211) + ((_sp1*(1-_se1))/pbar221) + (((1-_sp1)*_se1)/pbar212) + ((_sp1*(1-_se1))/pbar222))) )</f>
        <v>-2.1103641830938855</v>
      </c>
      <c r="F24" s="27">
        <f>( ( ((1-_pi1)^2) * ( ( (1-_sp1)*(1-_sp2)/pbar111) + ( - ((1-_sp1)*_sp2/pbar112)) + ( - (_sp1*(1-_sp2)/pbar121)) + (_sp1*_sp2/pbar122))) + ( multiplier*((1-_pi2)^2) * ( ( (1-_sp1)*(1-_sp2)/pbar211) + ( - ((1-_sp1)*_sp2/pbar212)) + ( - (_sp1*(1-_sp2)/pbar221)) + (_sp1*_sp2/pbar222))) )</f>
        <v>-0.63123287671232875</v>
      </c>
      <c r="G24" s="28">
        <f>((((1-_pi1)^2) * ((((1-_sp1)^2)/pbar111) + ((_sp1^2)/pbar121) + (((1-_sp1)^2)/pbar112) + ((_sp1^2)/pbar122))) + (multiplier*((1-_pi2)^2) * ((((1-_sp1)^2)/pbar211) + ((_sp1^2)/pbar221) + (((1-_sp1)^2)/pbar212) + ((_sp1^2)/pbar222))))</f>
        <v>16.702100456621004</v>
      </c>
    </row>
    <row r="25" spans="1:7" x14ac:dyDescent="0.2">
      <c r="B25" s="1"/>
      <c r="C25" s="1"/>
      <c r="D25" s="1"/>
      <c r="E25" s="1"/>
      <c r="F25" s="1"/>
      <c r="G25" s="1"/>
    </row>
    <row r="26" spans="1:7" x14ac:dyDescent="0.2">
      <c r="B26" s="1"/>
      <c r="C26" s="1"/>
      <c r="D26" s="1"/>
      <c r="E26" s="1"/>
      <c r="F26" s="1"/>
      <c r="G26" s="1"/>
    </row>
    <row r="27" spans="1:7" ht="14.25" x14ac:dyDescent="0.25">
      <c r="A27" s="8" t="s">
        <v>84</v>
      </c>
      <c r="B27" s="44" t="s">
        <v>110</v>
      </c>
      <c r="C27" s="44" t="s">
        <v>111</v>
      </c>
      <c r="D27" s="44" t="s">
        <v>112</v>
      </c>
      <c r="E27" s="44" t="s">
        <v>113</v>
      </c>
      <c r="F27" s="44" t="s">
        <v>114</v>
      </c>
      <c r="G27" s="44" t="s">
        <v>115</v>
      </c>
    </row>
    <row r="28" spans="1:7" ht="14.25" x14ac:dyDescent="0.25">
      <c r="A28" s="44" t="s">
        <v>110</v>
      </c>
      <c r="B28" s="106">
        <f t="array" ref="B28:G33">MINVERSE(B19:G24)</f>
        <v>0.16653076171875</v>
      </c>
      <c r="C28" s="22">
        <v>8.7341308593750014E-2</v>
      </c>
      <c r="D28" s="22">
        <v>8.0683593750000046E-2</v>
      </c>
      <c r="E28" s="22">
        <v>8.0683593750000032E-2</v>
      </c>
      <c r="F28" s="22">
        <v>-5.9062500000000018E-2</v>
      </c>
      <c r="G28" s="29">
        <v>-5.9062500000000025E-2</v>
      </c>
    </row>
    <row r="29" spans="1:7" ht="14.25" x14ac:dyDescent="0.25">
      <c r="A29" s="44" t="s">
        <v>111</v>
      </c>
      <c r="B29" s="30">
        <v>8.7341308593750028E-2</v>
      </c>
      <c r="C29" s="106">
        <v>0.29445393880208331</v>
      </c>
      <c r="D29" s="1">
        <v>0.18017578125000006</v>
      </c>
      <c r="E29" s="1">
        <v>0.18017578125000003</v>
      </c>
      <c r="F29" s="1">
        <v>-0.12011718750000008</v>
      </c>
      <c r="G29" s="25">
        <v>-0.12011718750000008</v>
      </c>
    </row>
    <row r="30" spans="1:7" ht="14.25" x14ac:dyDescent="0.25">
      <c r="A30" s="47" t="s">
        <v>112</v>
      </c>
      <c r="B30" s="30">
        <v>8.0683593750000046E-2</v>
      </c>
      <c r="C30" s="1">
        <v>0.18017578125000003</v>
      </c>
      <c r="D30" s="106">
        <v>0.3336328125000001</v>
      </c>
      <c r="E30" s="1">
        <v>4.1132812500000025E-2</v>
      </c>
      <c r="F30" s="1">
        <v>-2.2148437500000021E-2</v>
      </c>
      <c r="G30" s="25">
        <v>-0.17964843750000009</v>
      </c>
    </row>
    <row r="31" spans="1:7" ht="14.25" x14ac:dyDescent="0.25">
      <c r="A31" s="47" t="s">
        <v>113</v>
      </c>
      <c r="B31" s="30">
        <v>8.0683593750000032E-2</v>
      </c>
      <c r="C31" s="1">
        <v>0.18017578125000003</v>
      </c>
      <c r="D31" s="1">
        <v>4.1132812500000032E-2</v>
      </c>
      <c r="E31" s="106">
        <v>0.33363281250000004</v>
      </c>
      <c r="F31" s="1">
        <v>-0.17964843750000009</v>
      </c>
      <c r="G31" s="25">
        <v>-2.2148437500000038E-2</v>
      </c>
    </row>
    <row r="32" spans="1:7" ht="14.25" x14ac:dyDescent="0.25">
      <c r="A32" s="47" t="s">
        <v>114</v>
      </c>
      <c r="B32" s="30">
        <v>-5.9062500000000032E-2</v>
      </c>
      <c r="C32" s="1">
        <v>-0.12011718750000004</v>
      </c>
      <c r="D32" s="1">
        <v>-2.2148437500000034E-2</v>
      </c>
      <c r="E32" s="1">
        <v>-0.17964843750000006</v>
      </c>
      <c r="F32" s="106">
        <v>0.16253906250000008</v>
      </c>
      <c r="G32" s="25">
        <v>2.0039062500000027E-2</v>
      </c>
    </row>
    <row r="33" spans="1:9" ht="14.25" x14ac:dyDescent="0.25">
      <c r="A33" s="47" t="s">
        <v>115</v>
      </c>
      <c r="B33" s="31">
        <v>-5.9062500000000032E-2</v>
      </c>
      <c r="C33" s="3">
        <v>-0.12011718750000004</v>
      </c>
      <c r="D33" s="3">
        <v>-0.17964843750000009</v>
      </c>
      <c r="E33" s="3">
        <v>-2.2148437500000024E-2</v>
      </c>
      <c r="F33" s="3">
        <v>2.003906250000002E-2</v>
      </c>
      <c r="G33" s="106">
        <v>0.16253906250000008</v>
      </c>
    </row>
    <row r="34" spans="1:9" ht="15.75" x14ac:dyDescent="0.3">
      <c r="A34" s="104" t="s">
        <v>87</v>
      </c>
      <c r="B34" s="1">
        <f>D30+E31-2*D31</f>
        <v>0.58500000000000019</v>
      </c>
      <c r="C34" s="1"/>
      <c r="D34" s="1"/>
      <c r="E34" s="1"/>
      <c r="F34" s="1"/>
      <c r="G34" s="1"/>
    </row>
    <row r="35" spans="1:9" ht="16.5" thickBot="1" x14ac:dyDescent="0.35">
      <c r="A35" s="104" t="s">
        <v>88</v>
      </c>
      <c r="B35" s="1">
        <f>F32+G33-2*F33</f>
        <v>0.28500000000000014</v>
      </c>
      <c r="C35" s="1"/>
      <c r="D35" s="1"/>
      <c r="E35" s="1"/>
      <c r="F35" s="1"/>
      <c r="G35" s="1"/>
    </row>
    <row r="36" spans="1:9" x14ac:dyDescent="0.2">
      <c r="A36" t="s">
        <v>35</v>
      </c>
      <c r="B36" t="s">
        <v>0</v>
      </c>
      <c r="C36">
        <f>((_pi1*_se1*_se2)+((1-_pi1)*(1-_sp1)*(1-_sp2)))</f>
        <v>9.0000000000000011E-2</v>
      </c>
      <c r="D36" s="4"/>
      <c r="E36" s="15"/>
      <c r="F36" s="16"/>
      <c r="G36" s="17" t="s">
        <v>38</v>
      </c>
      <c r="H36" s="150" t="s">
        <v>10</v>
      </c>
      <c r="I36" s="151"/>
    </row>
    <row r="37" spans="1:9" ht="14.25" x14ac:dyDescent="0.25">
      <c r="B37" t="s">
        <v>1</v>
      </c>
      <c r="C37">
        <f>((_pi2*_se1*_se2)+((1-_pi2)*(1-_sp1)*(1-_sp2)))</f>
        <v>0.41000000000000003</v>
      </c>
      <c r="D37" s="4"/>
      <c r="E37" s="48" t="s">
        <v>96</v>
      </c>
      <c r="F37" s="107">
        <f>((2*Z*SQRT($B$28))/w_p1)^2</f>
        <v>63.974457421875002</v>
      </c>
      <c r="G37" s="110">
        <f>MAX(F37:F44)</f>
        <v>128.16838125000004</v>
      </c>
      <c r="H37" s="5" t="s">
        <v>11</v>
      </c>
      <c r="I37" s="6">
        <f>$B$30/(SQRT(ABS($B$28*$D$30)))</f>
        <v>0.3422974166221896</v>
      </c>
    </row>
    <row r="38" spans="1:9" ht="14.25" x14ac:dyDescent="0.25">
      <c r="B38" t="s">
        <v>2</v>
      </c>
      <c r="C38">
        <f>((_pi1*_se1*(1-_se2))+((1-_pi1)*(1-_sp1)*_sp2))</f>
        <v>8.9999999999999983E-2</v>
      </c>
      <c r="D38" s="4"/>
      <c r="E38" s="48" t="s">
        <v>97</v>
      </c>
      <c r="F38" s="107">
        <f>((2*Z*SQRT($C$29))/w_p2)^2</f>
        <v>113.11742513020829</v>
      </c>
      <c r="G38" s="18"/>
      <c r="H38" s="5" t="s">
        <v>12</v>
      </c>
      <c r="I38" s="6">
        <f>$B$31/SQRT($B$28*$E$31)</f>
        <v>0.34229741662218954</v>
      </c>
    </row>
    <row r="39" spans="1:9" ht="14.25" x14ac:dyDescent="0.25">
      <c r="B39" t="s">
        <v>3</v>
      </c>
      <c r="C39">
        <f>((_pi1*_se2*(1-_se1))+((1-_pi1)*(1-_sp2)*_sp1))</f>
        <v>8.9999999999999983E-2</v>
      </c>
      <c r="D39" s="4"/>
      <c r="E39" s="48" t="s">
        <v>98</v>
      </c>
      <c r="F39" s="107">
        <f>((2*Z*SQRT($D$30))/w_se1)^2</f>
        <v>128.16838125000004</v>
      </c>
      <c r="G39" s="18"/>
      <c r="H39" s="5" t="s">
        <v>13</v>
      </c>
      <c r="I39" s="6">
        <f>$B$32/SQRT($B$28*$F$32)</f>
        <v>-0.35899278176282778</v>
      </c>
    </row>
    <row r="40" spans="1:9" ht="14.25" x14ac:dyDescent="0.25">
      <c r="B40" t="s">
        <v>4</v>
      </c>
      <c r="C40">
        <f>((_pi2*_se1*(1-_se2))+((1-_pi2)*(1-_sp1)*_sp2))</f>
        <v>8.9999999999999983E-2</v>
      </c>
      <c r="D40" s="4"/>
      <c r="E40" s="48" t="s">
        <v>99</v>
      </c>
      <c r="F40" s="107">
        <f>((2*Z*SQRT($E$31))/w_se2)^2</f>
        <v>128.16838124999995</v>
      </c>
      <c r="G40" s="18"/>
      <c r="H40" s="5" t="s">
        <v>14</v>
      </c>
      <c r="I40" s="6">
        <f>$B$33/SQRT($B$28*$G$33)</f>
        <v>-0.35899278176282778</v>
      </c>
    </row>
    <row r="41" spans="1:9" ht="14.25" x14ac:dyDescent="0.25">
      <c r="B41" t="s">
        <v>5</v>
      </c>
      <c r="C41">
        <f>((_pi2*_se2*(1-_se1))+((1-_pi2)*(1-_sp2)*_sp1))</f>
        <v>8.9999999999999983E-2</v>
      </c>
      <c r="D41" s="4"/>
      <c r="E41" s="48" t="s">
        <v>100</v>
      </c>
      <c r="F41" s="107">
        <f>((2*Z*SQRT($F$32))/w_sp1)^2</f>
        <v>62.441006250000029</v>
      </c>
      <c r="G41" s="18"/>
      <c r="H41" s="5" t="s">
        <v>15</v>
      </c>
      <c r="I41" s="6">
        <f>$C$30/SQRT($C$29*$D$30)</f>
        <v>0.57484843259263829</v>
      </c>
    </row>
    <row r="42" spans="1:9" ht="14.25" x14ac:dyDescent="0.25">
      <c r="B42" t="s">
        <v>6</v>
      </c>
      <c r="C42">
        <f>((_pi1*(1-_se1)*(1-_se2))+((1-_pi1)*_sp1*_sp2))</f>
        <v>0.73000000000000009</v>
      </c>
      <c r="D42" s="4"/>
      <c r="E42" s="48" t="s">
        <v>101</v>
      </c>
      <c r="F42" s="107">
        <f>((2*Z*SQRT($G$33))/w_sp2)^2</f>
        <v>62.441006250000029</v>
      </c>
      <c r="G42" s="18"/>
      <c r="H42" s="5" t="s">
        <v>16</v>
      </c>
      <c r="I42" s="6">
        <f>$C$31/SQRT($C$29*$E$31)</f>
        <v>0.5748484325926384</v>
      </c>
    </row>
    <row r="43" spans="1:9" ht="14.25" x14ac:dyDescent="0.25">
      <c r="B43" t="s">
        <v>7</v>
      </c>
      <c r="C43">
        <f>((_pi2*(1-_se1)*(1-_se2))+((1-_pi2)*_sp1*_sp2))</f>
        <v>0.41000000000000003</v>
      </c>
      <c r="D43" s="4"/>
      <c r="E43" s="48" t="s">
        <v>127</v>
      </c>
      <c r="F43" s="107">
        <f>((2*Z*SQRT($B$34))/w_Se1Se2)^2</f>
        <v>8.9893440000000027</v>
      </c>
      <c r="G43" s="18"/>
      <c r="H43" s="5" t="s">
        <v>17</v>
      </c>
      <c r="I43" s="6">
        <f>$C$32/SQRT($C$29*$F$32)</f>
        <v>-0.54905720571832217</v>
      </c>
    </row>
    <row r="44" spans="1:9" ht="14.25" x14ac:dyDescent="0.25">
      <c r="B44" s="1"/>
      <c r="C44" s="1"/>
      <c r="D44" s="1"/>
      <c r="E44" s="48" t="s">
        <v>128</v>
      </c>
      <c r="F44" s="107">
        <f>((2*Z*SQRT($B$35))/w_Sp1Sp2)^2</f>
        <v>4.3794240000000011</v>
      </c>
      <c r="G44" s="18"/>
      <c r="H44" s="5" t="s">
        <v>18</v>
      </c>
      <c r="I44" s="6">
        <f>$C$33/SQRT($C$29*$G$33)</f>
        <v>-0.54905720571832217</v>
      </c>
    </row>
    <row r="45" spans="1:9" x14ac:dyDescent="0.2">
      <c r="B45" s="1"/>
      <c r="C45" s="1"/>
      <c r="D45" s="1"/>
      <c r="E45" s="19"/>
      <c r="F45" s="1"/>
      <c r="G45" s="20" t="s">
        <v>44</v>
      </c>
      <c r="H45" s="5" t="s">
        <v>19</v>
      </c>
      <c r="I45" s="6">
        <f>$D$31/SQRT($D$30*$E$31)</f>
        <v>0.12328767123287677</v>
      </c>
    </row>
    <row r="46" spans="1:9" ht="14.25" x14ac:dyDescent="0.25">
      <c r="B46" s="1"/>
      <c r="C46" s="1"/>
      <c r="D46" s="1"/>
      <c r="E46" s="48" t="s">
        <v>95</v>
      </c>
      <c r="F46" s="107">
        <f t="shared" ref="F46:F51" si="0">F37*multiplier</f>
        <v>191.92337226562501</v>
      </c>
      <c r="G46" s="110">
        <f>MAX(F46:F53)</f>
        <v>384.50514375000012</v>
      </c>
      <c r="H46" s="5" t="s">
        <v>20</v>
      </c>
      <c r="I46" s="6">
        <f>$D$32/SQRT($D$30*$F$32)</f>
        <v>-9.5110801186337038E-2</v>
      </c>
    </row>
    <row r="47" spans="1:9" ht="14.25" x14ac:dyDescent="0.25">
      <c r="B47" s="1"/>
      <c r="C47" s="1"/>
      <c r="D47" s="1"/>
      <c r="E47" s="48" t="s">
        <v>94</v>
      </c>
      <c r="F47" s="107">
        <f t="shared" si="0"/>
        <v>339.35227539062487</v>
      </c>
      <c r="G47" s="18"/>
      <c r="H47" s="5" t="s">
        <v>21</v>
      </c>
      <c r="I47" s="6">
        <f>$D$33/SQRT($D$30*$G$33)</f>
        <v>-0.7714542762891774</v>
      </c>
    </row>
    <row r="48" spans="1:9" ht="14.25" x14ac:dyDescent="0.25">
      <c r="B48" s="1"/>
      <c r="C48" s="1"/>
      <c r="D48" s="1"/>
      <c r="E48" s="48" t="s">
        <v>93</v>
      </c>
      <c r="F48" s="107">
        <f t="shared" si="0"/>
        <v>384.50514375000012</v>
      </c>
      <c r="G48" s="18"/>
      <c r="H48" s="5" t="s">
        <v>23</v>
      </c>
      <c r="I48" s="6">
        <f>$E$32/SQRT($E$31*$F$32)</f>
        <v>-0.77145427628917729</v>
      </c>
    </row>
    <row r="49" spans="5:9" x14ac:dyDescent="0.2">
      <c r="E49" s="48" t="s">
        <v>90</v>
      </c>
      <c r="F49" s="107">
        <f t="shared" si="0"/>
        <v>384.50514374999989</v>
      </c>
      <c r="G49" s="18"/>
      <c r="H49" s="5" t="s">
        <v>24</v>
      </c>
      <c r="I49" s="6">
        <f>$E$33/SQRT($E$31*$G$33)</f>
        <v>-9.5110801186336996E-2</v>
      </c>
    </row>
    <row r="50" spans="5:9" ht="14.25" x14ac:dyDescent="0.25">
      <c r="E50" s="48" t="s">
        <v>91</v>
      </c>
      <c r="F50" s="107">
        <f t="shared" si="0"/>
        <v>187.32301875000007</v>
      </c>
      <c r="G50" s="18"/>
      <c r="H50" s="5" t="s">
        <v>22</v>
      </c>
      <c r="I50" s="6">
        <f>$F$33/SQRT($F$32*$G$33)</f>
        <v>0.12328767123287677</v>
      </c>
    </row>
    <row r="51" spans="5:9" ht="15" thickBot="1" x14ac:dyDescent="0.3">
      <c r="E51" s="48" t="s">
        <v>92</v>
      </c>
      <c r="F51" s="107">
        <f t="shared" si="0"/>
        <v>187.32301875000007</v>
      </c>
      <c r="G51" s="105"/>
      <c r="H51" s="87" t="s">
        <v>67</v>
      </c>
      <c r="I51" s="7">
        <f>B29/SQRT(B28*C29)</f>
        <v>0.39442440235597814</v>
      </c>
    </row>
    <row r="52" spans="5:9" ht="14.25" x14ac:dyDescent="0.25">
      <c r="E52" s="48" t="s">
        <v>108</v>
      </c>
      <c r="F52" s="108">
        <f>F43*multiplier</f>
        <v>26.968032000000008</v>
      </c>
      <c r="G52" s="18"/>
    </row>
    <row r="53" spans="5:9" ht="15" thickBot="1" x14ac:dyDescent="0.3">
      <c r="E53" s="49" t="s">
        <v>89</v>
      </c>
      <c r="F53" s="109">
        <f>F44*multiplier</f>
        <v>13.138272000000004</v>
      </c>
      <c r="G53" s="21"/>
    </row>
  </sheetData>
  <mergeCells count="1">
    <mergeCell ref="H36:I36"/>
  </mergeCells>
  <phoneticPr fontId="0" type="noConversion"/>
  <conditionalFormatting sqref="G13:G14">
    <cfRule type="cellIs" dxfId="7" priority="1" stopIfTrue="1" operator="equal">
      <formula>"warning !!!!!"</formula>
    </cfRule>
    <cfRule type="cellIs" dxfId="6" priority="2" stopIfTrue="1" operator="equal">
      <formula>"corr looks OK"</formula>
    </cfRule>
  </conditionalFormatting>
  <conditionalFormatting sqref="G15">
    <cfRule type="cellIs" dxfId="5" priority="3" stopIfTrue="1" operator="equal">
      <formula>"warning: negative diagonal(s)"</formula>
    </cfRule>
    <cfRule type="cellIs" dxfId="4" priority="4" stopIfTrue="1" operator="equal">
      <formula>"OK"</formula>
    </cfRule>
  </conditionalFormatting>
  <pageMargins left="0.78740157499999996" right="0.78740157499999996" top="0.984251969" bottom="0.984251969" header="0.5" footer="0.5"/>
  <pageSetup paperSize="9" orientation="portrait" horizontalDpi="240" verticalDpi="144"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
  <sheetViews>
    <sheetView zoomScale="70" workbookViewId="0">
      <selection activeCell="W8" sqref="W8"/>
    </sheetView>
  </sheetViews>
  <sheetFormatPr baseColWidth="10" defaultColWidth="8.85546875" defaultRowHeight="12.75" x14ac:dyDescent="0.2"/>
  <cols>
    <col min="1" max="1" width="30.7109375" customWidth="1"/>
    <col min="2" max="2" width="36.42578125" customWidth="1"/>
    <col min="3" max="3" width="25.5703125" customWidth="1"/>
    <col min="4" max="4" width="15.140625" customWidth="1"/>
    <col min="5" max="5" width="13.140625" bestFit="1" customWidth="1"/>
    <col min="6" max="6" width="25.28515625" customWidth="1"/>
    <col min="7" max="8" width="24.140625" bestFit="1" customWidth="1"/>
    <col min="9" max="9" width="21.28515625" customWidth="1"/>
    <col min="10" max="10" width="21.5703125" customWidth="1"/>
    <col min="11" max="11" width="6.7109375" customWidth="1"/>
    <col min="12" max="12" width="17.140625" bestFit="1" customWidth="1"/>
    <col min="13" max="14" width="8.85546875" customWidth="1"/>
    <col min="15" max="16" width="12.5703125" bestFit="1" customWidth="1"/>
  </cols>
  <sheetData>
    <row r="1" spans="1:23" ht="14.25" x14ac:dyDescent="0.25">
      <c r="A1" s="37" t="s">
        <v>33</v>
      </c>
      <c r="B1" s="99" t="s">
        <v>78</v>
      </c>
      <c r="C1" s="152" t="s">
        <v>37</v>
      </c>
      <c r="D1" s="70">
        <f>'compute sample sizes (spreads1)'!_pi1</f>
        <v>0.1</v>
      </c>
      <c r="E1" s="42" t="s">
        <v>30</v>
      </c>
      <c r="F1" s="1">
        <f>N*multiplier</f>
        <v>1665</v>
      </c>
      <c r="G1" s="1"/>
      <c r="H1" s="1"/>
      <c r="I1" s="1"/>
      <c r="J1" s="1"/>
      <c r="L1" t="s">
        <v>136</v>
      </c>
    </row>
    <row r="2" spans="1:23" ht="15.75" thickBot="1" x14ac:dyDescent="0.3">
      <c r="A2" s="38"/>
      <c r="B2" s="99" t="s">
        <v>79</v>
      </c>
      <c r="C2" s="153"/>
      <c r="D2" s="70">
        <f>'compute sample sizes (spreads1)'!_pi2</f>
        <v>0.5</v>
      </c>
      <c r="E2" s="1"/>
      <c r="F2" s="1"/>
      <c r="G2" s="1"/>
      <c r="H2" s="1"/>
      <c r="I2" s="1"/>
      <c r="J2" s="1"/>
      <c r="L2" t="s">
        <v>137</v>
      </c>
      <c r="O2" t="s">
        <v>138</v>
      </c>
      <c r="R2" t="s">
        <v>139</v>
      </c>
      <c r="U2" t="s">
        <v>140</v>
      </c>
      <c r="W2" t="s">
        <v>141</v>
      </c>
    </row>
    <row r="3" spans="1:23" ht="15" thickBot="1" x14ac:dyDescent="0.3">
      <c r="A3" s="38"/>
      <c r="B3" s="99" t="s">
        <v>80</v>
      </c>
      <c r="C3" s="153"/>
      <c r="D3" s="70">
        <f>'compute sample sizes (spreads1)'!_se1</f>
        <v>0.9</v>
      </c>
      <c r="E3" s="1"/>
      <c r="F3" s="1"/>
      <c r="G3" s="1"/>
      <c r="H3" s="1"/>
      <c r="I3" s="1"/>
      <c r="J3" s="1"/>
      <c r="L3" s="124">
        <f>1/('compute sample sizes (spreads1)'!_se1*(1-'compute sample sizes (spreads1)'!_se1))</f>
        <v>11.111111111111112</v>
      </c>
      <c r="M3" s="125">
        <f>1/('compute sample sizes (spreads1)'!_se2*(1-'compute sample sizes (spreads1)'!_se2))</f>
        <v>11.111111111111112</v>
      </c>
      <c r="O3" s="126">
        <f>D22</f>
        <v>6.0114020270270305E-4</v>
      </c>
      <c r="P3" s="127">
        <f>O4</f>
        <v>7.4113175675675694E-5</v>
      </c>
      <c r="R3" s="124">
        <f t="array" ref="R3:S3">MMULT(L3:M3,O3:P4)</f>
        <v>7.5028153153153202E-3</v>
      </c>
      <c r="S3" s="125">
        <v>7.5028153153153193E-3</v>
      </c>
      <c r="U3" s="130">
        <f>L3</f>
        <v>11.111111111111112</v>
      </c>
      <c r="W3" s="132">
        <f t="array" ref="W3">MMULT(R3:S3,U3:U4)</f>
        <v>0.16672922922922934</v>
      </c>
    </row>
    <row r="4" spans="1:23" ht="15" thickBot="1" x14ac:dyDescent="0.3">
      <c r="A4" s="38"/>
      <c r="B4" s="99" t="s">
        <v>81</v>
      </c>
      <c r="C4" s="153"/>
      <c r="D4" s="70">
        <f>'compute sample sizes (spreads1)'!_se2</f>
        <v>0.9</v>
      </c>
      <c r="E4" s="1"/>
      <c r="F4" s="1"/>
      <c r="G4" s="1"/>
      <c r="H4" s="1"/>
      <c r="I4" s="1"/>
      <c r="J4" s="1"/>
      <c r="O4" s="128">
        <f>E22</f>
        <v>7.4113175675675694E-5</v>
      </c>
      <c r="P4" s="129">
        <f>E23</f>
        <v>6.0114020270270294E-4</v>
      </c>
      <c r="U4" s="131">
        <f>M3</f>
        <v>11.111111111111112</v>
      </c>
    </row>
    <row r="5" spans="1:23" ht="14.25" x14ac:dyDescent="0.25">
      <c r="A5" s="38"/>
      <c r="B5" s="99" t="s">
        <v>82</v>
      </c>
      <c r="C5" s="153"/>
      <c r="D5" s="70">
        <f>'compute sample sizes (spreads1)'!_sp1</f>
        <v>0.9</v>
      </c>
      <c r="E5" s="1"/>
      <c r="F5" s="1"/>
      <c r="G5" s="1"/>
      <c r="H5" s="1"/>
      <c r="I5" s="1"/>
      <c r="J5" s="1"/>
    </row>
    <row r="6" spans="1:23" ht="15" thickBot="1" x14ac:dyDescent="0.3">
      <c r="A6" s="38"/>
      <c r="B6" s="99" t="s">
        <v>83</v>
      </c>
      <c r="C6" s="153"/>
      <c r="D6" s="70">
        <f>'compute sample sizes (spreads1)'!_sp2</f>
        <v>0.9</v>
      </c>
      <c r="E6" s="1"/>
      <c r="F6" s="1"/>
      <c r="G6" s="1"/>
      <c r="H6" s="1"/>
      <c r="I6" s="1"/>
      <c r="J6" s="1"/>
      <c r="L6" t="s">
        <v>144</v>
      </c>
    </row>
    <row r="7" spans="1:23" ht="15" thickBot="1" x14ac:dyDescent="0.25">
      <c r="A7" s="38"/>
      <c r="B7" s="40" t="s">
        <v>34</v>
      </c>
      <c r="C7" s="72">
        <v>555</v>
      </c>
      <c r="D7" s="70"/>
      <c r="E7" s="88" t="s">
        <v>31</v>
      </c>
      <c r="F7" s="89">
        <f>MAX(J10:J24)</f>
        <v>0.5748484325926384</v>
      </c>
      <c r="G7" s="90" t="str">
        <f>IF(F7&gt;0.98,"warning !!!!!", "corr looks OK")</f>
        <v>corr looks OK</v>
      </c>
      <c r="H7" s="1"/>
      <c r="I7" s="1"/>
      <c r="J7" s="1"/>
      <c r="L7" t="s">
        <v>137</v>
      </c>
      <c r="O7" t="s">
        <v>138</v>
      </c>
      <c r="R7" t="s">
        <v>139</v>
      </c>
      <c r="U7" t="s">
        <v>140</v>
      </c>
      <c r="W7" t="s">
        <v>141</v>
      </c>
    </row>
    <row r="8" spans="1:23" ht="15" thickBot="1" x14ac:dyDescent="0.3">
      <c r="A8" s="38"/>
      <c r="B8" s="40" t="s">
        <v>125</v>
      </c>
      <c r="C8" s="153" t="s">
        <v>37</v>
      </c>
      <c r="D8" s="73">
        <f>multiplier</f>
        <v>3</v>
      </c>
      <c r="E8" s="94" t="s">
        <v>32</v>
      </c>
      <c r="F8" s="95">
        <f>MIN(J10:J24)</f>
        <v>-0.7714542762891774</v>
      </c>
      <c r="G8" s="96" t="str">
        <f>IF(F8&lt;-0.98,"warning !!!!!", "corr looks OK")</f>
        <v>corr looks OK</v>
      </c>
      <c r="H8" s="1"/>
      <c r="I8" s="1"/>
      <c r="J8" s="1"/>
      <c r="L8" s="124">
        <f>1/('compute sample sizes (spreads1)'!_sp1*(1-'compute sample sizes (spreads1)'!_sp1))</f>
        <v>11.111111111111112</v>
      </c>
      <c r="M8" s="125">
        <f>1/('compute sample sizes (spreads1)'!_sp2*(1-'compute sample sizes (spreads1)'!_sp2))</f>
        <v>11.111111111111112</v>
      </c>
      <c r="O8" s="126">
        <f>F24</f>
        <v>2.9286317567567586E-4</v>
      </c>
      <c r="P8" s="127">
        <f>O9</f>
        <v>3.6106418918918946E-5</v>
      </c>
      <c r="R8" s="124">
        <f t="array" ref="R8:S8">MMULT(L8:M8,O8:P9)</f>
        <v>3.6552177177177204E-3</v>
      </c>
      <c r="S8" s="125">
        <v>3.6552177177177204E-3</v>
      </c>
      <c r="U8" s="130">
        <f>L8</f>
        <v>11.111111111111112</v>
      </c>
      <c r="W8" s="132">
        <f t="array" ref="W8">MMULT(R8:S8,U8:U9)</f>
        <v>8.1227060393727124E-2</v>
      </c>
    </row>
    <row r="9" spans="1:23" ht="13.5" thickBot="1" x14ac:dyDescent="0.25">
      <c r="A9" s="39"/>
      <c r="B9" s="41" t="s">
        <v>9</v>
      </c>
      <c r="C9" s="154"/>
      <c r="D9" s="71">
        <f>'compute sample sizes (spreads1)'!Z</f>
        <v>1.96</v>
      </c>
      <c r="E9" s="91" t="s">
        <v>124</v>
      </c>
      <c r="F9" s="97"/>
      <c r="G9" s="98" t="str">
        <f>IF(OR(B20&lt;0, C21&lt;0, D22&lt;0, E23&lt;0, F24&lt;0, G25&lt;0),"warning: negative diagonal(s)","OK")</f>
        <v>OK</v>
      </c>
      <c r="H9" s="1"/>
      <c r="I9" s="150" t="s">
        <v>10</v>
      </c>
      <c r="J9" s="151"/>
      <c r="O9" s="128">
        <f>G24</f>
        <v>3.6106418918918946E-5</v>
      </c>
      <c r="P9" s="129">
        <f>G25</f>
        <v>2.9286317567567586E-4</v>
      </c>
      <c r="U9" s="131">
        <f>M8</f>
        <v>11.111111111111112</v>
      </c>
    </row>
    <row r="10" spans="1:23" x14ac:dyDescent="0.2">
      <c r="A10" s="1"/>
      <c r="D10" s="1"/>
      <c r="E10" s="1"/>
      <c r="F10" s="1"/>
      <c r="G10" s="1"/>
      <c r="H10" s="1"/>
      <c r="I10" s="50" t="s">
        <v>11</v>
      </c>
      <c r="J10" s="52">
        <f>B22/(SQRT(ABS(B20*D22)))</f>
        <v>0.34229741662218943</v>
      </c>
    </row>
    <row r="11" spans="1:23" x14ac:dyDescent="0.2">
      <c r="A11" s="43" t="s">
        <v>36</v>
      </c>
      <c r="B11" s="58">
        <f>'compute sample sizes (spreads1)'!B19*N</f>
        <v>4433.2420091324202</v>
      </c>
      <c r="C11" s="59">
        <f>'compute sample sizes (spreads1)'!C19*N</f>
        <v>0</v>
      </c>
      <c r="D11" s="59">
        <f>'compute sample sizes (spreads1)'!D19*N</f>
        <v>-450.08219178082197</v>
      </c>
      <c r="E11" s="59">
        <f>'compute sample sizes (spreads1)'!E19*N</f>
        <v>-450.08219178082197</v>
      </c>
      <c r="F11" s="59">
        <f>'compute sample sizes (spreads1)'!F19*N</f>
        <v>936.65753424657521</v>
      </c>
      <c r="G11" s="60">
        <f>'compute sample sizes (spreads1)'!G19*N</f>
        <v>936.65753424657521</v>
      </c>
      <c r="H11" s="1"/>
      <c r="I11" s="50" t="s">
        <v>12</v>
      </c>
      <c r="J11" s="53">
        <f>B23/SQRT(B20*E23)</f>
        <v>0.34229741662218954</v>
      </c>
    </row>
    <row r="12" spans="1:23" x14ac:dyDescent="0.2">
      <c r="A12" s="1"/>
      <c r="B12" s="61">
        <f>'compute sample sizes (spreads1)'!B20*N</f>
        <v>0</v>
      </c>
      <c r="C12" s="32">
        <f>'compute sample sizes (spreads1)'!C20*N</f>
        <v>5198.0487804878057</v>
      </c>
      <c r="D12" s="32">
        <f>'compute sample sizes (spreads1)'!D20*N</f>
        <v>-1624.3902439024389</v>
      </c>
      <c r="E12" s="32">
        <f>'compute sample sizes (spreads1)'!E20*N</f>
        <v>-1624.3902439024389</v>
      </c>
      <c r="F12" s="32">
        <f>'compute sample sizes (spreads1)'!F20*N</f>
        <v>1624.3902439024391</v>
      </c>
      <c r="G12" s="45">
        <f>'compute sample sizes (spreads1)'!G20*N</f>
        <v>1624.3902439024391</v>
      </c>
      <c r="H12" s="1"/>
      <c r="I12" s="50" t="s">
        <v>13</v>
      </c>
      <c r="J12" s="53">
        <f>B24/SQRT(B20*F24)</f>
        <v>-0.35899278176282778</v>
      </c>
    </row>
    <row r="13" spans="1:23" x14ac:dyDescent="0.2">
      <c r="A13" s="1"/>
      <c r="B13" s="61">
        <f>'compute sample sizes (spreads1)'!B21*N</f>
        <v>-450.08219178082197</v>
      </c>
      <c r="C13" s="32">
        <f>'compute sample sizes (spreads1)'!C21*N</f>
        <v>-1624.3902439024389</v>
      </c>
      <c r="D13" s="32">
        <f>'compute sample sizes (spreads1)'!D21*N</f>
        <v>4725.5926940639274</v>
      </c>
      <c r="E13" s="32">
        <f>'compute sample sizes (spreads1)'!E21*N</f>
        <v>38.926027397260263</v>
      </c>
      <c r="F13" s="32">
        <f>'compute sample sizes (spreads1)'!F21*N</f>
        <v>-1171.2521216171065</v>
      </c>
      <c r="G13" s="45">
        <f>'compute sample sizes (spreads1)'!G21*N</f>
        <v>4008.7478783828942</v>
      </c>
      <c r="H13" s="1"/>
      <c r="I13" s="50" t="s">
        <v>14</v>
      </c>
      <c r="J13" s="53">
        <f>B25/SQRT(B20*G25)</f>
        <v>-0.35899278176282778</v>
      </c>
    </row>
    <row r="14" spans="1:23" x14ac:dyDescent="0.2">
      <c r="A14" s="1"/>
      <c r="B14" s="61">
        <f>'compute sample sizes (spreads1)'!B22*N</f>
        <v>-450.08219178082197</v>
      </c>
      <c r="C14" s="32">
        <f>'compute sample sizes (spreads1)'!C22*N</f>
        <v>-1624.3902439024389</v>
      </c>
      <c r="D14" s="32">
        <f>'compute sample sizes (spreads1)'!D22*N</f>
        <v>38.926027397260263</v>
      </c>
      <c r="E14" s="32">
        <f>'compute sample sizes (spreads1)'!E22*N</f>
        <v>4725.5926940639274</v>
      </c>
      <c r="F14" s="32">
        <f>'compute sample sizes (spreads1)'!F22*N</f>
        <v>4008.7478783828942</v>
      </c>
      <c r="G14" s="45">
        <f>'compute sample sizes (spreads1)'!G22*N</f>
        <v>-1171.2521216171065</v>
      </c>
      <c r="H14" s="1"/>
      <c r="I14" s="50" t="s">
        <v>15</v>
      </c>
      <c r="J14" s="53">
        <f>C22/SQRT(C21*D22)</f>
        <v>0.5748484325926384</v>
      </c>
    </row>
    <row r="15" spans="1:23" x14ac:dyDescent="0.2">
      <c r="A15" s="1"/>
      <c r="B15" s="61">
        <f>'compute sample sizes (spreads1)'!B23*N</f>
        <v>936.65753424657521</v>
      </c>
      <c r="C15" s="32">
        <f>'compute sample sizes (spreads1)'!C23*N</f>
        <v>1624.3902439024391</v>
      </c>
      <c r="D15" s="32">
        <f>'compute sample sizes (spreads1)'!D23*N</f>
        <v>-1171.2521216171065</v>
      </c>
      <c r="E15" s="32">
        <f>'compute sample sizes (spreads1)'!E23*N</f>
        <v>4008.7478783828942</v>
      </c>
      <c r="F15" s="32">
        <f>'compute sample sizes (spreads1)'!F23*N</f>
        <v>9269.6657534246569</v>
      </c>
      <c r="G15" s="45">
        <f>'compute sample sizes (spreads1)'!G23*N</f>
        <v>-350.33424657534243</v>
      </c>
      <c r="H15" s="1"/>
      <c r="I15" s="50" t="s">
        <v>16</v>
      </c>
      <c r="J15" s="53">
        <f>C23/SQRT(C21*E23)</f>
        <v>0.5748484325926384</v>
      </c>
    </row>
    <row r="16" spans="1:23" x14ac:dyDescent="0.2">
      <c r="A16" s="1"/>
      <c r="B16" s="62">
        <f>'compute sample sizes (spreads1)'!B24*N</f>
        <v>936.65753424657521</v>
      </c>
      <c r="C16" s="46">
        <f>'compute sample sizes (spreads1)'!C24*N</f>
        <v>1624.3902439024391</v>
      </c>
      <c r="D16" s="46">
        <f>'compute sample sizes (spreads1)'!D24*N</f>
        <v>4008.7478783828942</v>
      </c>
      <c r="E16" s="46">
        <f>'compute sample sizes (spreads1)'!E24*N</f>
        <v>-1171.2521216171065</v>
      </c>
      <c r="F16" s="46">
        <f>'compute sample sizes (spreads1)'!F24*N</f>
        <v>-350.33424657534243</v>
      </c>
      <c r="G16" s="63">
        <f>'compute sample sizes (spreads1)'!G24*N</f>
        <v>9269.6657534246569</v>
      </c>
      <c r="H16" s="1"/>
      <c r="I16" s="50" t="s">
        <v>17</v>
      </c>
      <c r="J16" s="53">
        <f>C24/SQRT(C21*F24)</f>
        <v>-0.54905720571832228</v>
      </c>
    </row>
    <row r="17" spans="1:10" x14ac:dyDescent="0.2">
      <c r="A17" s="1"/>
      <c r="B17" s="1"/>
      <c r="C17" s="1"/>
      <c r="D17" s="1"/>
      <c r="E17" s="1"/>
      <c r="F17" s="1"/>
      <c r="G17" s="1"/>
      <c r="H17" s="1"/>
      <c r="I17" s="50" t="s">
        <v>18</v>
      </c>
      <c r="J17" s="53">
        <f>C25/SQRT(C21*G25)</f>
        <v>-0.54905720571832228</v>
      </c>
    </row>
    <row r="18" spans="1:10" x14ac:dyDescent="0.2">
      <c r="A18" s="1"/>
      <c r="B18" s="1"/>
      <c r="C18" s="1"/>
      <c r="D18" s="1"/>
      <c r="E18" s="1"/>
      <c r="F18" s="1"/>
      <c r="G18" s="1"/>
      <c r="H18" s="1"/>
      <c r="I18" s="50" t="s">
        <v>19</v>
      </c>
      <c r="J18" s="53">
        <f>D23/SQRT(D22*E23)</f>
        <v>0.12328767123287669</v>
      </c>
    </row>
    <row r="19" spans="1:10" ht="14.25" x14ac:dyDescent="0.25">
      <c r="A19" s="43" t="s">
        <v>102</v>
      </c>
      <c r="B19" s="44" t="s">
        <v>110</v>
      </c>
      <c r="C19" s="44" t="s">
        <v>111</v>
      </c>
      <c r="D19" s="44" t="s">
        <v>112</v>
      </c>
      <c r="E19" s="44" t="s">
        <v>113</v>
      </c>
      <c r="F19" s="44" t="s">
        <v>114</v>
      </c>
      <c r="G19" s="44" t="s">
        <v>115</v>
      </c>
      <c r="H19" s="1"/>
      <c r="I19" s="50" t="s">
        <v>20</v>
      </c>
      <c r="J19" s="53">
        <f>D24/SQRT(D22*F24)</f>
        <v>-9.5110801186336955E-2</v>
      </c>
    </row>
    <row r="20" spans="1:10" ht="15" thickBot="1" x14ac:dyDescent="0.3">
      <c r="A20" s="44" t="s">
        <v>110</v>
      </c>
      <c r="B20" s="64">
        <f t="array" ref="B20:G25">MINVERSE(B11:G16)</f>
        <v>3.000554265202703E-4</v>
      </c>
      <c r="C20" s="59">
        <v>1.5737172719594602E-4</v>
      </c>
      <c r="D20" s="59">
        <v>1.4537584459459467E-4</v>
      </c>
      <c r="E20" s="59">
        <v>1.4537584459459464E-4</v>
      </c>
      <c r="F20" s="59">
        <v>-1.0641891891891898E-4</v>
      </c>
      <c r="G20" s="60">
        <v>-1.0641891891891898E-4</v>
      </c>
      <c r="H20" s="1"/>
      <c r="I20" s="50" t="s">
        <v>21</v>
      </c>
      <c r="J20" s="53">
        <f>D25/SQRT(D22*G25)</f>
        <v>-0.7714542762891774</v>
      </c>
    </row>
    <row r="21" spans="1:10" ht="15" thickBot="1" x14ac:dyDescent="0.3">
      <c r="A21" s="44" t="s">
        <v>111</v>
      </c>
      <c r="B21" s="61">
        <v>1.5737172719594599E-4</v>
      </c>
      <c r="C21" s="65">
        <v>5.3054763748123113E-4</v>
      </c>
      <c r="D21" s="32">
        <v>3.246410472972974E-4</v>
      </c>
      <c r="E21" s="32">
        <v>3.246410472972974E-4</v>
      </c>
      <c r="F21" s="32">
        <v>-2.1642736486486501E-4</v>
      </c>
      <c r="G21" s="45">
        <v>-2.1642736486486501E-4</v>
      </c>
      <c r="H21" s="1"/>
      <c r="I21" s="50" t="s">
        <v>23</v>
      </c>
      <c r="J21" s="53">
        <f>E24/SQRT(E23*F24)</f>
        <v>-0.7714542762891774</v>
      </c>
    </row>
    <row r="22" spans="1:10" ht="15" thickBot="1" x14ac:dyDescent="0.3">
      <c r="A22" s="47" t="s">
        <v>112</v>
      </c>
      <c r="B22" s="61">
        <v>1.4537584459459464E-4</v>
      </c>
      <c r="C22" s="32">
        <v>3.246410472972974E-4</v>
      </c>
      <c r="D22" s="65">
        <v>6.0114020270270305E-4</v>
      </c>
      <c r="E22" s="32">
        <v>7.4113175675675694E-5</v>
      </c>
      <c r="F22" s="32">
        <v>-3.9907094594594632E-5</v>
      </c>
      <c r="G22" s="45">
        <v>-3.2369087837837856E-4</v>
      </c>
      <c r="H22" s="1"/>
      <c r="I22" s="50" t="s">
        <v>24</v>
      </c>
      <c r="J22" s="53">
        <f>E25/SQRT(E23*G25)</f>
        <v>-9.5110801186336955E-2</v>
      </c>
    </row>
    <row r="23" spans="1:10" ht="15" thickBot="1" x14ac:dyDescent="0.3">
      <c r="A23" s="47" t="s">
        <v>113</v>
      </c>
      <c r="B23" s="61">
        <v>1.4537584459459467E-4</v>
      </c>
      <c r="C23" s="32">
        <v>3.2464104729729745E-4</v>
      </c>
      <c r="D23" s="32">
        <v>7.4113175675675707E-5</v>
      </c>
      <c r="E23" s="65">
        <v>6.0114020270270294E-4</v>
      </c>
      <c r="F23" s="32">
        <v>-3.2369087837837862E-4</v>
      </c>
      <c r="G23" s="45">
        <v>-3.9907094594594625E-5</v>
      </c>
      <c r="H23" s="1"/>
      <c r="I23" s="50" t="s">
        <v>22</v>
      </c>
      <c r="J23" s="53">
        <f>F25/SQRT(F24*G25)</f>
        <v>0.12328767123287675</v>
      </c>
    </row>
    <row r="24" spans="1:10" ht="15" thickBot="1" x14ac:dyDescent="0.3">
      <c r="A24" s="47" t="s">
        <v>114</v>
      </c>
      <c r="B24" s="61">
        <v>-1.0641891891891898E-4</v>
      </c>
      <c r="C24" s="32">
        <v>-2.1642736486486496E-4</v>
      </c>
      <c r="D24" s="32">
        <v>-3.9907094594594632E-5</v>
      </c>
      <c r="E24" s="32">
        <v>-3.2369087837837856E-4</v>
      </c>
      <c r="F24" s="65">
        <v>2.9286317567567586E-4</v>
      </c>
      <c r="G24" s="45">
        <v>3.6106418918918946E-5</v>
      </c>
      <c r="H24" s="1"/>
      <c r="I24" s="51" t="s">
        <v>25</v>
      </c>
      <c r="J24" s="54">
        <f>$B$21/SQRT($B$20*$C$21)</f>
        <v>0.39442440235597814</v>
      </c>
    </row>
    <row r="25" spans="1:10" ht="15" thickBot="1" x14ac:dyDescent="0.3">
      <c r="A25" s="47" t="s">
        <v>115</v>
      </c>
      <c r="B25" s="62">
        <v>-1.0641891891891898E-4</v>
      </c>
      <c r="C25" s="46">
        <v>-2.1642736486486499E-4</v>
      </c>
      <c r="D25" s="32">
        <v>-3.2369087837837862E-4</v>
      </c>
      <c r="E25" s="32">
        <v>-3.9907094594594625E-5</v>
      </c>
      <c r="F25" s="46">
        <v>3.6106418918918953E-5</v>
      </c>
      <c r="G25" s="66">
        <v>2.9286317567567586E-4</v>
      </c>
      <c r="H25" s="1"/>
      <c r="I25" s="1"/>
      <c r="J25" s="1"/>
    </row>
    <row r="26" spans="1:10" x14ac:dyDescent="0.2">
      <c r="B26" s="1"/>
      <c r="C26" s="1"/>
      <c r="D26" s="155" t="s">
        <v>146</v>
      </c>
      <c r="E26" s="156"/>
      <c r="F26" s="1"/>
      <c r="G26" s="1"/>
      <c r="H26" s="1"/>
      <c r="I26" s="1"/>
      <c r="J26" s="1"/>
    </row>
    <row r="27" spans="1:10" ht="13.5" thickBot="1" x14ac:dyDescent="0.25">
      <c r="A27" s="2" t="s">
        <v>132</v>
      </c>
      <c r="B27" s="1"/>
      <c r="C27" s="80" t="s">
        <v>8</v>
      </c>
      <c r="D27" s="140" t="s">
        <v>42</v>
      </c>
      <c r="E27" s="141" t="s">
        <v>43</v>
      </c>
      <c r="F27" s="80" t="s">
        <v>131</v>
      </c>
      <c r="G27" s="80" t="s">
        <v>130</v>
      </c>
      <c r="H27" s="80" t="s">
        <v>129</v>
      </c>
      <c r="I27" s="116"/>
    </row>
    <row r="28" spans="1:10" ht="14.25" x14ac:dyDescent="0.25">
      <c r="A28" s="55" t="s">
        <v>116</v>
      </c>
      <c r="B28" s="67">
        <f>SQRT(B20)</f>
        <v>1.7322108027612294E-2</v>
      </c>
      <c r="C28" s="83">
        <f>$E$28-$D$28</f>
        <v>6.8635141987789458E-2</v>
      </c>
      <c r="D28" s="119">
        <f>(EXP($G$28))/(1+EXP($G$28))</f>
        <v>7.0800223913682972E-2</v>
      </c>
      <c r="E28" s="120">
        <f>(EXP($H$28))/(1+EXP($H$28))</f>
        <v>0.13943536590147243</v>
      </c>
      <c r="F28" s="1">
        <f>LN('compute sample sizes (spreads1)'!_pi1/(1-'compute sample sizes (spreads1)'!_pi1))</f>
        <v>-2.1972245773362191</v>
      </c>
      <c r="G28">
        <f>$F$28-(('compute sample sizes (spreads1)'!Z*$B$28)/((('compute sample sizes (spreads1)'!_pi1*(1-'compute sample sizes (spreads1)'!_pi1)))))</f>
        <v>-2.5744615966042201</v>
      </c>
      <c r="H28">
        <f>$F$28+(('compute sample sizes (spreads1)'!Z*$B$28)/((('compute sample sizes (spreads1)'!_pi1*(1-'compute sample sizes (spreads1)'!_pi1)))))</f>
        <v>-1.8199875580682181</v>
      </c>
    </row>
    <row r="29" spans="1:10" ht="14.25" x14ac:dyDescent="0.25">
      <c r="A29" s="56" t="s">
        <v>117</v>
      </c>
      <c r="B29" s="68">
        <f>SQRT(C21)</f>
        <v>2.3033619721642345E-2</v>
      </c>
      <c r="C29" s="83">
        <f>$E$29-$D$29</f>
        <v>9.0047215678610515E-2</v>
      </c>
      <c r="D29" s="119">
        <f>(EXP($G$29))/(1+EXP($G$29))</f>
        <v>0.45497639216069474</v>
      </c>
      <c r="E29" s="120">
        <f>(EXP($H$29))/(1+EXP($H$29))</f>
        <v>0.54502360783930526</v>
      </c>
      <c r="F29" s="1">
        <f>LN('compute sample sizes (spreads1)'!_pi2/(1-'compute sample sizes (spreads1)'!_pi2))</f>
        <v>0</v>
      </c>
      <c r="G29">
        <f>$F$29-(('compute sample sizes (spreads1)'!Z*'compute se''s (spreads2)'!$B$29)/((('compute sample sizes (spreads1)'!_pi2*(1-'compute sample sizes (spreads1)'!_pi2)))))</f>
        <v>-0.18058357861767599</v>
      </c>
      <c r="H29">
        <f>$F$29+(('compute sample sizes (spreads1)'!Z*'compute se''s (spreads2)'!$B$29)/((('compute sample sizes (spreads1)'!_pi2*(1-'compute sample sizes (spreads1)'!_pi2)))))</f>
        <v>0.18058357861767599</v>
      </c>
    </row>
    <row r="30" spans="1:10" ht="14.25" x14ac:dyDescent="0.25">
      <c r="A30" s="56" t="s">
        <v>118</v>
      </c>
      <c r="B30" s="68">
        <f>SQRT(D22)</f>
        <v>2.4518160671280036E-2</v>
      </c>
      <c r="C30" s="83">
        <f>$E$30-$D$30</f>
        <v>9.8164429488208471E-2</v>
      </c>
      <c r="D30" s="119">
        <f>(EXP($G$30))/(1+EXP($G$30))</f>
        <v>0.84067694525475201</v>
      </c>
      <c r="E30" s="120">
        <f>(EXP($H$30))/(1+EXP($H$30))</f>
        <v>0.93884137474296048</v>
      </c>
      <c r="F30" s="1">
        <f>LN('compute sample sizes (spreads1)'!_se1/(1-'compute sample sizes (spreads1)'!_se1))</f>
        <v>2.1972245773362196</v>
      </c>
      <c r="G30" s="1">
        <f>$F$30-(('compute sample sizes (spreads1)'!Z*'compute se''s (spreads2)'!$B$30)/((('compute sample sizes (spreads1)'!_se1*(1-'compute sample sizes (spreads1)'!_se1)))))</f>
        <v>1.6632735227172319</v>
      </c>
      <c r="H30" s="1">
        <f>$F$30+(('compute sample sizes (spreads1)'!Z*'compute se''s (spreads2)'!$B$30)/((('compute sample sizes (spreads1)'!_se1*(1-'compute sample sizes (spreads1)'!_se1)))))</f>
        <v>2.7311756319552072</v>
      </c>
    </row>
    <row r="31" spans="1:10" ht="14.25" x14ac:dyDescent="0.25">
      <c r="A31" s="56" t="s">
        <v>119</v>
      </c>
      <c r="B31" s="68">
        <f>SQRT(E23)</f>
        <v>2.4518160671280032E-2</v>
      </c>
      <c r="C31" s="83">
        <f>$E$31-$D$31</f>
        <v>9.8164429488208471E-2</v>
      </c>
      <c r="D31" s="119">
        <f>(EXP($G$31))/(1+EXP($G$31))</f>
        <v>0.84067694525475201</v>
      </c>
      <c r="E31" s="120">
        <f>(EXP($H$31))/(1+EXP($H$31))</f>
        <v>0.93884137474296048</v>
      </c>
      <c r="F31" s="1">
        <f>LN('compute sample sizes (spreads1)'!_se2/(1-'compute sample sizes (spreads1)'!_se2))</f>
        <v>2.1972245773362196</v>
      </c>
      <c r="G31" s="4">
        <f>$F$31-(('compute sample sizes (spreads1)'!Z*'compute se''s (spreads2)'!$B$31)/('compute sample sizes (spreads1)'!_se2*(1-'compute sample sizes (spreads1)'!_se2)))</f>
        <v>1.6632735227172319</v>
      </c>
      <c r="H31" s="4">
        <f>$F$31+(('compute sample sizes (spreads1)'!Z*'compute se''s (spreads2)'!$B$31)/((('compute sample sizes (spreads1)'!_se2*(1-'compute sample sizes (spreads1)'!_se2)))))</f>
        <v>2.7311756319552072</v>
      </c>
    </row>
    <row r="32" spans="1:10" ht="14.25" x14ac:dyDescent="0.25">
      <c r="A32" s="56" t="s">
        <v>120</v>
      </c>
      <c r="B32" s="68">
        <f>SQRT(F24)</f>
        <v>1.7113245620737051E-2</v>
      </c>
      <c r="C32" s="83">
        <f>$E$32-$D$32</f>
        <v>6.7790417305879314E-2</v>
      </c>
      <c r="D32" s="119">
        <f>(EXP($G$32))/(1+EXP($G$32))</f>
        <v>0.86110953540186774</v>
      </c>
      <c r="E32" s="120">
        <f>(EXP($H$32))/(1+EXP($H$32))</f>
        <v>0.92889995270774706</v>
      </c>
      <c r="F32" s="1">
        <f>LN('compute sample sizes (spreads1)'!_sp1/(1-'compute sample sizes (spreads1)'!_sp1))</f>
        <v>2.1972245773362196</v>
      </c>
      <c r="G32" s="4">
        <f>$F$32-(('compute sample sizes (spreads1)'!Z*'compute se''s (spreads2)'!$B$32)/((('compute sample sizes (spreads1)'!_sp1*(1-'compute sample sizes (spreads1)'!_sp1)))))</f>
        <v>1.8245361171512793</v>
      </c>
      <c r="H32" s="4">
        <f>$F$32+(('compute sample sizes (spreads1)'!Z*'compute se''s (spreads2)'!$B$32)/((('compute sample sizes (spreads1)'!_sp1*(1-'compute sample sizes (spreads1)'!_sp1)))))</f>
        <v>2.5699130375211601</v>
      </c>
    </row>
    <row r="33" spans="1:9" ht="15" thickBot="1" x14ac:dyDescent="0.3">
      <c r="A33" s="57" t="s">
        <v>121</v>
      </c>
      <c r="B33" s="69">
        <f>SQRT(G25)</f>
        <v>1.7113245620737051E-2</v>
      </c>
      <c r="C33" s="83">
        <f>$E$33-$D$33</f>
        <v>6.7790417305879314E-2</v>
      </c>
      <c r="D33" s="121">
        <f>(EXP($G$33))/(1+EXP($G$33))</f>
        <v>0.86110953540186774</v>
      </c>
      <c r="E33" s="122">
        <f>(EXP($H$33))/(1+EXP($H$33))</f>
        <v>0.92889995270774706</v>
      </c>
      <c r="F33" s="1">
        <f>LN('compute sample sizes (spreads1)'!_sp2/(1-'compute sample sizes (spreads1)'!_sp2))</f>
        <v>2.1972245773362196</v>
      </c>
      <c r="G33" s="4">
        <f>$F$33-(('compute sample sizes (spreads1)'!Z*'compute se''s (spreads2)'!$B$33)/((('compute sample sizes (spreads1)'!_sp2*(1-'compute sample sizes (spreads1)'!_sp2)))))</f>
        <v>1.8245361171512793</v>
      </c>
      <c r="H33" s="4">
        <f>$F$33+(('compute sample sizes (spreads1)'!Z*'compute se''s (spreads2)'!$B$33)/((('compute sample sizes (spreads1)'!_sp2*(1-'compute sample sizes (spreads1)'!_sp2)))))</f>
        <v>2.5699130375211601</v>
      </c>
    </row>
    <row r="34" spans="1:9" ht="13.5" thickBot="1" x14ac:dyDescent="0.25">
      <c r="A34" s="1"/>
      <c r="B34" s="1"/>
      <c r="C34" s="1"/>
      <c r="D34" s="1"/>
      <c r="E34" s="1"/>
      <c r="F34" s="1"/>
      <c r="G34" s="1"/>
      <c r="H34" s="1"/>
      <c r="I34" s="1"/>
    </row>
    <row r="35" spans="1:9" x14ac:dyDescent="0.2">
      <c r="A35" s="75" t="s">
        <v>39</v>
      </c>
      <c r="B35" s="76" t="s">
        <v>105</v>
      </c>
      <c r="C35" s="76" t="s">
        <v>106</v>
      </c>
      <c r="D35" s="79" t="s">
        <v>41</v>
      </c>
      <c r="E35" s="79" t="s">
        <v>43</v>
      </c>
      <c r="F35" s="112" t="s">
        <v>40</v>
      </c>
      <c r="G35" s="115" t="s">
        <v>107</v>
      </c>
    </row>
    <row r="36" spans="1:9" ht="14.25" x14ac:dyDescent="0.25">
      <c r="A36" s="77" t="s">
        <v>122</v>
      </c>
      <c r="B36" s="74">
        <f>D22+E23-(2*D23)</f>
        <v>1.0540540540540544E-3</v>
      </c>
      <c r="C36" s="83">
        <f>'compute sample sizes (spreads1)'!_se1-'compute sample sizes (spreads1)'!_se2</f>
        <v>0</v>
      </c>
      <c r="D36" s="83">
        <f>C36-(SQRT(B36)*'compute sample sizes (spreads1)'!Z)</f>
        <v>-6.3633749332049072E-2</v>
      </c>
      <c r="E36" s="83">
        <f>C36+(SQRT(B36)*'compute sample sizes (spreads1)'!Z)</f>
        <v>6.3633749332049072E-2</v>
      </c>
      <c r="F36" s="113">
        <f>'compute sample sizes (spreads1)'!Z*2*(SQRT(B36))</f>
        <v>0.12726749866409814</v>
      </c>
      <c r="G36" s="114">
        <f>SQRT(B36)</f>
        <v>3.2466198638800549E-2</v>
      </c>
    </row>
    <row r="37" spans="1:9" ht="15" thickBot="1" x14ac:dyDescent="0.3">
      <c r="A37" s="78" t="s">
        <v>123</v>
      </c>
      <c r="B37" s="81">
        <f>F24+G25-(2*F25)</f>
        <v>5.1351351351351378E-4</v>
      </c>
      <c r="C37" s="84">
        <f>'compute sample sizes (spreads1)'!_sp1-'compute sample sizes (spreads1)'!_sp2</f>
        <v>0</v>
      </c>
      <c r="D37" s="83">
        <f>C37-(SQRT(B37)*'compute sample sizes (spreads1)'!Z)</f>
        <v>-4.4415239653901616E-2</v>
      </c>
      <c r="E37" s="83">
        <f>C37+(SQRT(B37)*'compute sample sizes (spreads1)'!Z)</f>
        <v>4.4415239653901616E-2</v>
      </c>
      <c r="F37" s="81">
        <f>2*(SQRT(B37))*'compute sample sizes (spreads1)'!Z</f>
        <v>8.8830479307803231E-2</v>
      </c>
      <c r="G37" s="82">
        <f>SQRT(B37)</f>
        <v>2.266083655811307E-2</v>
      </c>
    </row>
    <row r="38" spans="1:9" x14ac:dyDescent="0.2">
      <c r="A38" s="142" t="s">
        <v>147</v>
      </c>
      <c r="B38" s="149"/>
      <c r="C38" s="117" t="s">
        <v>8</v>
      </c>
      <c r="D38" s="147" t="s">
        <v>42</v>
      </c>
      <c r="E38" s="148" t="s">
        <v>43</v>
      </c>
    </row>
    <row r="39" spans="1:9" ht="14.25" x14ac:dyDescent="0.25">
      <c r="A39" s="118" t="s">
        <v>78</v>
      </c>
      <c r="C39" s="93">
        <f t="shared" ref="C39:C44" si="0">E39-D39</f>
        <v>6.7902663468240199E-2</v>
      </c>
      <c r="D39" s="143">
        <f>'compute sample sizes (spreads1)'!_pi1-('compute sample sizes (spreads1)'!Z*'compute se''s (spreads2)'!$B$28)</f>
        <v>6.6048668265879906E-2</v>
      </c>
      <c r="E39" s="144">
        <f>'compute sample sizes (spreads1)'!_pi1+('compute sample sizes (spreads1)'!Z*'compute se''s (spreads2)'!$B$28)</f>
        <v>0.1339513317341201</v>
      </c>
    </row>
    <row r="40" spans="1:9" ht="14.25" x14ac:dyDescent="0.25">
      <c r="A40" s="118" t="s">
        <v>79</v>
      </c>
      <c r="C40" s="93">
        <f t="shared" si="0"/>
        <v>9.0291789308837966E-2</v>
      </c>
      <c r="D40" s="143">
        <f>'compute sample sizes (spreads1)'!_pi2-('compute sample sizes (spreads1)'!Z*'compute se''s (spreads2)'!$B$29)</f>
        <v>0.45485410534558102</v>
      </c>
      <c r="E40" s="144">
        <f>'compute sample sizes (spreads1)'!_pi2+('compute sample sizes (spreads1)'!Z*'compute se''s (spreads2)'!$B$29)</f>
        <v>0.54514589465441898</v>
      </c>
    </row>
    <row r="41" spans="1:9" ht="14.25" x14ac:dyDescent="0.25">
      <c r="A41" s="118" t="s">
        <v>80</v>
      </c>
      <c r="C41" s="93">
        <f t="shared" si="0"/>
        <v>9.6111189831417754E-2</v>
      </c>
      <c r="D41" s="143">
        <f>'compute sample sizes (spreads1)'!_se1-('compute sample sizes (spreads1)'!Z*'compute se''s (spreads2)'!$B$30)</f>
        <v>0.85194440508429115</v>
      </c>
      <c r="E41" s="144">
        <f>'compute sample sizes (spreads1)'!_se1+('compute sample sizes (spreads1)'!Z*'compute se''s (spreads2)'!$B$30)</f>
        <v>0.9480555949157089</v>
      </c>
    </row>
    <row r="42" spans="1:9" ht="14.25" x14ac:dyDescent="0.25">
      <c r="A42" s="118" t="s">
        <v>81</v>
      </c>
      <c r="C42" s="93">
        <f t="shared" si="0"/>
        <v>9.6111189831417754E-2</v>
      </c>
      <c r="D42" s="143">
        <f>'compute sample sizes (spreads1)'!_se2-('compute sample sizes (spreads1)'!Z*'compute se''s (spreads2)'!$B$31)</f>
        <v>0.85194440508429115</v>
      </c>
      <c r="E42" s="144">
        <f>'compute sample sizes (spreads1)'!_se2+('compute sample sizes (spreads1)'!Z*'compute se''s (spreads2)'!$B$31)</f>
        <v>0.9480555949157089</v>
      </c>
    </row>
    <row r="43" spans="1:9" ht="14.25" x14ac:dyDescent="0.25">
      <c r="A43" s="118" t="s">
        <v>82</v>
      </c>
      <c r="C43" s="93">
        <f t="shared" si="0"/>
        <v>6.7083922833289344E-2</v>
      </c>
      <c r="D43" s="143">
        <f>'compute sample sizes (spreads1)'!_sp1-('compute sample sizes (spreads1)'!Z*'compute se''s (spreads2)'!$B$32)</f>
        <v>0.86645803858335535</v>
      </c>
      <c r="E43" s="144">
        <f>'compute sample sizes (spreads1)'!_sp1+('compute sample sizes (spreads1)'!Z*'compute se''s (spreads2)'!$B$32)</f>
        <v>0.93354196141664469</v>
      </c>
    </row>
    <row r="44" spans="1:9" ht="15" thickBot="1" x14ac:dyDescent="0.3">
      <c r="A44" s="118" t="s">
        <v>83</v>
      </c>
      <c r="C44" s="93">
        <f t="shared" si="0"/>
        <v>6.7083922833289344E-2</v>
      </c>
      <c r="D44" s="145">
        <f>'compute sample sizes (spreads1)'!_sp2-('compute sample sizes (spreads1)'!Z*'compute se''s (spreads2)'!$B$33)</f>
        <v>0.86645803858335535</v>
      </c>
      <c r="E44" s="146">
        <f>'compute sample sizes (spreads1)'!_sp2+('compute sample sizes (spreads1)'!Z*'compute se''s (spreads2)'!$B$33)</f>
        <v>0.93354196141664469</v>
      </c>
    </row>
    <row r="45" spans="1:9" ht="13.5" thickBot="1" x14ac:dyDescent="0.25"/>
    <row r="46" spans="1:9" x14ac:dyDescent="0.2">
      <c r="B46" s="133" t="s">
        <v>133</v>
      </c>
      <c r="C46" s="134" t="s">
        <v>8</v>
      </c>
      <c r="D46" s="135" t="s">
        <v>41</v>
      </c>
      <c r="E46" s="136" t="s">
        <v>43</v>
      </c>
      <c r="F46" s="134" t="s">
        <v>145</v>
      </c>
      <c r="G46" s="134" t="s">
        <v>142</v>
      </c>
      <c r="H46" s="134" t="s">
        <v>143</v>
      </c>
    </row>
    <row r="47" spans="1:9" ht="14.25" x14ac:dyDescent="0.25">
      <c r="A47" s="118" t="s">
        <v>134</v>
      </c>
      <c r="B47" s="123">
        <f>('compute sample sizes (spreads1)'!_se1/(1-'compute sample sizes (spreads1)'!_se1)) /('compute sample sizes (spreads1)'!_se2/(1-'compute sample sizes (spreads1)'!_se2))</f>
        <v>1</v>
      </c>
      <c r="C47" s="123">
        <f>E47-D47</f>
        <v>1.7770594968399958</v>
      </c>
      <c r="D47" s="119">
        <f>EXP(G47)</f>
        <v>0.4491866317695043</v>
      </c>
      <c r="E47" s="120">
        <f>EXP(H47)</f>
        <v>2.2262461286095001</v>
      </c>
      <c r="F47" s="123">
        <f>LN(B47)</f>
        <v>0</v>
      </c>
      <c r="G47" s="123">
        <f>F47-('compute sample sizes (spreads1)'!Z*(SQRT('compute se''s (spreads2)'!W3)))</f>
        <v>-0.80031681664638743</v>
      </c>
      <c r="H47" s="123">
        <f>F47+('compute sample sizes (spreads1)'!Z*(SQRT('compute se''s (spreads2)'!W3)))</f>
        <v>0.80031681664638743</v>
      </c>
    </row>
    <row r="48" spans="1:9" ht="15" thickBot="1" x14ac:dyDescent="0.3">
      <c r="A48" s="118" t="s">
        <v>135</v>
      </c>
      <c r="B48" s="123">
        <f>('compute sample sizes (spreads1)'!_sp1/(1-'compute sample sizes (spreads1)'!_sp1))  / ('compute sample sizes (spreads1)'!_sp2/(1-'compute sample sizes (spreads1)'!_sp2))</f>
        <v>1</v>
      </c>
      <c r="C48" s="123">
        <f>E48-D48</f>
        <v>1.1762303955244366</v>
      </c>
      <c r="D48" s="121">
        <f>EXP(G48)</f>
        <v>0.57200526401702867</v>
      </c>
      <c r="E48" s="122">
        <f>EXP(H48)</f>
        <v>1.7482356595414652</v>
      </c>
      <c r="F48" s="123">
        <f>LN(B48)</f>
        <v>0</v>
      </c>
      <c r="G48" s="123">
        <f>F48-('compute sample sizes (spreads1)'!Z*(SQRT('compute se''s (spreads2)'!W8)))</f>
        <v>-0.55860708481771171</v>
      </c>
      <c r="H48" s="123">
        <f>F48+('compute sample sizes (spreads1)'!Z*(SQRT('compute se''s (spreads2)'!W8)))</f>
        <v>0.55860708481771171</v>
      </c>
    </row>
    <row r="52" spans="1:1" x14ac:dyDescent="0.2">
      <c r="A52" s="118"/>
    </row>
  </sheetData>
  <mergeCells count="4">
    <mergeCell ref="C1:C6"/>
    <mergeCell ref="C8:C9"/>
    <mergeCell ref="I9:J9"/>
    <mergeCell ref="D26:E26"/>
  </mergeCells>
  <phoneticPr fontId="0" type="noConversion"/>
  <conditionalFormatting sqref="G7:G8">
    <cfRule type="cellIs" dxfId="3" priority="1" stopIfTrue="1" operator="equal">
      <formula>"warning !!!!!"</formula>
    </cfRule>
    <cfRule type="cellIs" dxfId="2" priority="2" stopIfTrue="1" operator="equal">
      <formula>"corr looks OK"</formula>
    </cfRule>
  </conditionalFormatting>
  <conditionalFormatting sqref="G9">
    <cfRule type="cellIs" dxfId="1" priority="3" stopIfTrue="1" operator="equal">
      <formula>"warning: negative diagonal(s)"</formula>
    </cfRule>
    <cfRule type="cellIs" dxfId="0" priority="4" stopIfTrue="1" operator="equal">
      <formula>"OK"</formula>
    </cfRule>
  </conditionalFormatting>
  <pageMargins left="0.78740157499999996" right="0.78740157499999996" top="0.984251969" bottom="0.984251969"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6"/>
  <sheetViews>
    <sheetView workbookViewId="0">
      <selection activeCell="D11" sqref="D11:D16"/>
    </sheetView>
  </sheetViews>
  <sheetFormatPr baseColWidth="10" defaultColWidth="8.85546875" defaultRowHeight="12.75" x14ac:dyDescent="0.2"/>
  <cols>
    <col min="1" max="1" width="12.85546875" bestFit="1" customWidth="1"/>
    <col min="2" max="2" width="8.85546875" customWidth="1"/>
    <col min="3" max="3" width="12.85546875" bestFit="1" customWidth="1"/>
    <col min="4" max="4" width="13.28515625" customWidth="1"/>
  </cols>
  <sheetData>
    <row r="2" spans="1:11" x14ac:dyDescent="0.2">
      <c r="C2" s="157" t="s">
        <v>45</v>
      </c>
      <c r="D2" s="157"/>
      <c r="I2" s="157" t="s">
        <v>50</v>
      </c>
      <c r="J2" s="157"/>
    </row>
    <row r="3" spans="1:11" x14ac:dyDescent="0.2">
      <c r="C3" s="158" t="s">
        <v>47</v>
      </c>
      <c r="D3" s="158"/>
      <c r="I3" s="158" t="s">
        <v>47</v>
      </c>
      <c r="J3" s="158"/>
    </row>
    <row r="4" spans="1:11" x14ac:dyDescent="0.2">
      <c r="C4" t="s">
        <v>48</v>
      </c>
      <c r="D4" t="s">
        <v>49</v>
      </c>
      <c r="I4" t="s">
        <v>48</v>
      </c>
      <c r="J4" t="s">
        <v>49</v>
      </c>
    </row>
    <row r="5" spans="1:11" x14ac:dyDescent="0.2">
      <c r="A5" t="s">
        <v>46</v>
      </c>
      <c r="B5" t="s">
        <v>48</v>
      </c>
      <c r="C5" s="85">
        <v>14</v>
      </c>
      <c r="D5" s="85">
        <v>4</v>
      </c>
      <c r="E5" s="4">
        <f>SUM(C5:D5)</f>
        <v>18</v>
      </c>
      <c r="G5" t="s">
        <v>46</v>
      </c>
      <c r="H5" t="s">
        <v>48</v>
      </c>
      <c r="I5" s="85">
        <v>887</v>
      </c>
      <c r="J5" s="85">
        <v>31</v>
      </c>
      <c r="K5" s="4">
        <f>SUM(I5:J5)</f>
        <v>918</v>
      </c>
    </row>
    <row r="6" spans="1:11" x14ac:dyDescent="0.2">
      <c r="B6" t="s">
        <v>49</v>
      </c>
      <c r="C6" s="85">
        <v>9</v>
      </c>
      <c r="D6" s="85">
        <v>528</v>
      </c>
      <c r="E6" s="4">
        <f>SUM(C6:D6)</f>
        <v>537</v>
      </c>
      <c r="H6" t="s">
        <v>49</v>
      </c>
      <c r="I6" s="85">
        <v>37</v>
      </c>
      <c r="J6" s="85">
        <v>367</v>
      </c>
      <c r="K6" s="4">
        <f>SUM(I6:J6)</f>
        <v>404</v>
      </c>
    </row>
    <row r="7" spans="1:11" x14ac:dyDescent="0.2">
      <c r="C7" s="4">
        <f>SUM(C5:C6)</f>
        <v>23</v>
      </c>
      <c r="D7" s="4">
        <f>SUM(D5:D6)</f>
        <v>532</v>
      </c>
      <c r="E7" s="85">
        <f>C5+D5+C6+D6</f>
        <v>555</v>
      </c>
      <c r="I7" s="4">
        <f>SUM(I5:I6)</f>
        <v>924</v>
      </c>
      <c r="J7" s="4">
        <f>SUM(J5:J6)</f>
        <v>398</v>
      </c>
      <c r="K7" s="85">
        <f>SUM(I5:J6)</f>
        <v>1322</v>
      </c>
    </row>
    <row r="10" spans="1:11" x14ac:dyDescent="0.2">
      <c r="C10" s="86" t="s">
        <v>68</v>
      </c>
      <c r="D10" s="86" t="s">
        <v>69</v>
      </c>
      <c r="F10" t="s">
        <v>109</v>
      </c>
    </row>
    <row r="11" spans="1:11" ht="18.75" x14ac:dyDescent="0.35">
      <c r="A11" s="92" t="s">
        <v>70</v>
      </c>
      <c r="C11" s="93">
        <f>'ML calculations (spreads4)'!B20</f>
        <v>0.97316040156345218</v>
      </c>
      <c r="D11" s="93">
        <f>'ML calculations (spreads4)'!E20</f>
        <v>2.6839598436547818E-2</v>
      </c>
      <c r="F11" s="100">
        <f t="shared" ref="F11:F16" si="0">C11+D11</f>
        <v>1</v>
      </c>
    </row>
    <row r="12" spans="1:11" ht="18.75" x14ac:dyDescent="0.35">
      <c r="A12" s="92" t="s">
        <v>71</v>
      </c>
      <c r="C12" s="93">
        <f>'ML calculations (spreads4)'!B21</f>
        <v>0.28320784759258599</v>
      </c>
      <c r="D12" s="93">
        <f>'ML calculations (spreads4)'!E21</f>
        <v>0.71679215240741401</v>
      </c>
      <c r="F12" s="100">
        <f t="shared" si="0"/>
        <v>1</v>
      </c>
    </row>
    <row r="13" spans="1:11" ht="18.75" x14ac:dyDescent="0.35">
      <c r="A13" s="92" t="s">
        <v>72</v>
      </c>
      <c r="C13" s="93">
        <f>1-'ML calculations (spreads4)'!B19</f>
        <v>6.6813738175526272E-3</v>
      </c>
      <c r="D13" s="93">
        <f>1-'ML calculations (spreads4)'!E19</f>
        <v>0.96612414177693673</v>
      </c>
      <c r="F13" s="100">
        <f t="shared" si="0"/>
        <v>0.97280551559448936</v>
      </c>
    </row>
    <row r="14" spans="1:11" ht="18.75" x14ac:dyDescent="0.35">
      <c r="A14" s="92" t="s">
        <v>73</v>
      </c>
      <c r="C14" s="93">
        <f>1-'ML calculations (spreads4)'!B18</f>
        <v>1.5864285473612627E-2</v>
      </c>
      <c r="D14" s="93">
        <f>1-'ML calculations (spreads4)'!E18</f>
        <v>0.96882772225141589</v>
      </c>
      <c r="F14" s="100">
        <f t="shared" si="0"/>
        <v>0.98469200772502852</v>
      </c>
    </row>
    <row r="15" spans="1:11" ht="18.75" x14ac:dyDescent="0.35">
      <c r="A15" s="92" t="s">
        <v>74</v>
      </c>
      <c r="C15" s="93">
        <f>1-'ML calculations (spreads4)'!B17</f>
        <v>3.3875858223063271E-2</v>
      </c>
      <c r="D15" s="93">
        <f>1-'ML calculations (spreads4)'!E17</f>
        <v>0.99331862618244737</v>
      </c>
      <c r="F15" s="100">
        <f t="shared" si="0"/>
        <v>1.0271944844055105</v>
      </c>
    </row>
    <row r="16" spans="1:11" ht="18.75" x14ac:dyDescent="0.35">
      <c r="A16" s="92" t="s">
        <v>75</v>
      </c>
      <c r="C16" s="93">
        <f>1-'ML calculations (spreads4)'!B16</f>
        <v>3.117227774858411E-2</v>
      </c>
      <c r="D16" s="93">
        <f>1-'ML calculations (spreads4)'!E16</f>
        <v>0.98413571452638737</v>
      </c>
      <c r="F16" s="100">
        <f t="shared" si="0"/>
        <v>1.0153079922749715</v>
      </c>
    </row>
  </sheetData>
  <mergeCells count="4">
    <mergeCell ref="C2:D2"/>
    <mergeCell ref="I2:J2"/>
    <mergeCell ref="C3:D3"/>
    <mergeCell ref="I3:J3"/>
  </mergeCells>
  <phoneticPr fontId="0" type="noConversion"/>
  <pageMargins left="0.78740157499999996" right="0.78740157499999996" top="0.984251969" bottom="0.984251969"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1"/>
  <sheetViews>
    <sheetView workbookViewId="0"/>
  </sheetViews>
  <sheetFormatPr baseColWidth="10" defaultColWidth="8.85546875" defaultRowHeight="12.75" x14ac:dyDescent="0.2"/>
  <cols>
    <col min="1" max="2" width="8.85546875" customWidth="1"/>
    <col min="3" max="3" width="10.85546875" customWidth="1"/>
    <col min="4" max="6" width="8.85546875" customWidth="1"/>
    <col min="7" max="7" width="10" customWidth="1"/>
  </cols>
  <sheetData>
    <row r="2" spans="1:11" ht="22.5" customHeight="1" x14ac:dyDescent="0.2">
      <c r="C2" s="157" t="s">
        <v>45</v>
      </c>
      <c r="D2" s="157"/>
      <c r="I2" s="157" t="s">
        <v>50</v>
      </c>
      <c r="J2" s="157"/>
    </row>
    <row r="3" spans="1:11" x14ac:dyDescent="0.2">
      <c r="C3" s="158" t="s">
        <v>47</v>
      </c>
      <c r="D3" s="158"/>
      <c r="I3" s="158" t="s">
        <v>47</v>
      </c>
      <c r="J3" s="158"/>
    </row>
    <row r="4" spans="1:11" x14ac:dyDescent="0.2">
      <c r="C4" t="s">
        <v>48</v>
      </c>
      <c r="D4" t="s">
        <v>49</v>
      </c>
      <c r="I4" t="s">
        <v>48</v>
      </c>
      <c r="J4" t="s">
        <v>49</v>
      </c>
    </row>
    <row r="5" spans="1:11" x14ac:dyDescent="0.2">
      <c r="A5" t="s">
        <v>46</v>
      </c>
      <c r="B5" t="s">
        <v>48</v>
      </c>
      <c r="C5" s="85">
        <f>'ML estimates (spreads3)'!C5/'ML estimates (spreads3)'!E7</f>
        <v>2.5225225225225224E-2</v>
      </c>
      <c r="D5" s="85">
        <f>'ML estimates (spreads3)'!D5/'ML estimates (spreads3)'!E7</f>
        <v>7.2072072072072073E-3</v>
      </c>
      <c r="E5" s="4">
        <f>SUM(C5:D5)</f>
        <v>3.2432432432432434E-2</v>
      </c>
      <c r="G5" t="s">
        <v>46</v>
      </c>
      <c r="H5" t="s">
        <v>48</v>
      </c>
      <c r="I5" s="85">
        <f>'ML estimates (spreads3)'!I5/'ML estimates (spreads3)'!K7</f>
        <v>0.67095310136157338</v>
      </c>
      <c r="J5" s="85">
        <f>'ML estimates (spreads3)'!J5/'ML estimates (spreads3)'!K7</f>
        <v>2.3449319213313162E-2</v>
      </c>
      <c r="K5" s="4">
        <f>SUM(I5:J5)</f>
        <v>0.69440242057488655</v>
      </c>
    </row>
    <row r="6" spans="1:11" x14ac:dyDescent="0.2">
      <c r="B6" t="s">
        <v>49</v>
      </c>
      <c r="C6" s="85">
        <f>'ML estimates (spreads3)'!C6/'ML estimates (spreads3)'!E7</f>
        <v>1.6216216216216217E-2</v>
      </c>
      <c r="D6" s="85">
        <f>'ML estimates (spreads3)'!D6/'ML estimates (spreads3)'!E7</f>
        <v>0.9513513513513514</v>
      </c>
      <c r="E6" s="4">
        <f>SUM(C6:D6)</f>
        <v>0.96756756756756768</v>
      </c>
      <c r="H6" t="s">
        <v>49</v>
      </c>
      <c r="I6" s="85">
        <f>'ML estimates (spreads3)'!I6/'ML estimates (spreads3)'!K7</f>
        <v>2.7987897125567322E-2</v>
      </c>
      <c r="J6" s="85">
        <f>'ML estimates (spreads3)'!J6/'ML estimates (spreads3)'!K7</f>
        <v>0.27760968229954613</v>
      </c>
      <c r="K6" s="4">
        <f>SUM(I6:J6)</f>
        <v>0.30559757942511345</v>
      </c>
    </row>
    <row r="7" spans="1:11" x14ac:dyDescent="0.2">
      <c r="C7" s="4">
        <f>SUM(C5:C6)</f>
        <v>4.1441441441441441E-2</v>
      </c>
      <c r="D7" s="4">
        <f>SUM(D5:D6)</f>
        <v>0.95855855855855865</v>
      </c>
      <c r="E7" s="85">
        <f>C5+D5+C6+D6</f>
        <v>1</v>
      </c>
      <c r="I7" s="4">
        <f>SUM(I5:I6)</f>
        <v>0.69894099848714075</v>
      </c>
      <c r="J7" s="4">
        <f>SUM(J5:J6)</f>
        <v>0.3010590015128593</v>
      </c>
      <c r="K7" s="85">
        <f>I5+J5+I6+J6</f>
        <v>1</v>
      </c>
    </row>
    <row r="10" spans="1:11" x14ac:dyDescent="0.2">
      <c r="A10" t="s">
        <v>51</v>
      </c>
      <c r="B10">
        <f>K5-E5</f>
        <v>0.66196998814245411</v>
      </c>
    </row>
    <row r="11" spans="1:11" x14ac:dyDescent="0.2">
      <c r="A11" t="s">
        <v>52</v>
      </c>
      <c r="B11">
        <f>I7-C7</f>
        <v>0.65749955704569929</v>
      </c>
    </row>
    <row r="12" spans="1:11" x14ac:dyDescent="0.2">
      <c r="A12" t="s">
        <v>53</v>
      </c>
      <c r="B12">
        <f>SQRT(((C7*K5-I7*E5+C5-I5)^2)-(4*(C7-I7)*(C5*K5-I5*E5)))</f>
        <v>0.6308331949439947</v>
      </c>
    </row>
    <row r="13" spans="1:11" x14ac:dyDescent="0.2">
      <c r="A13" t="s">
        <v>54</v>
      </c>
      <c r="B13">
        <f>-(SQRT(((C7*K5-I7*E5+C5-I5)^2)-(4*(C7-I7)*(C5*K5-I5*E5))))</f>
        <v>-0.6308331949439947</v>
      </c>
    </row>
    <row r="15" spans="1:11" x14ac:dyDescent="0.2">
      <c r="G15" t="s">
        <v>76</v>
      </c>
    </row>
    <row r="16" spans="1:11" x14ac:dyDescent="0.2">
      <c r="A16" t="s">
        <v>55</v>
      </c>
      <c r="B16">
        <f>(C7*K5-E5*I7+I5-C5+B12)/(2*B10)</f>
        <v>0.96882772225141589</v>
      </c>
      <c r="D16" t="s">
        <v>56</v>
      </c>
      <c r="E16">
        <f>(C7*K5-E5*I7+I5-C5+B13)/(2*B10)</f>
        <v>1.5864285473612658E-2</v>
      </c>
      <c r="G16">
        <f t="shared" ref="G16:G21" si="0">B16+E16</f>
        <v>0.98469200772502852</v>
      </c>
    </row>
    <row r="17" spans="1:7" x14ac:dyDescent="0.2">
      <c r="A17" t="s">
        <v>57</v>
      </c>
      <c r="B17">
        <f>(I7*E5-K5*C7+I5-C5+B12)/(2*B11)</f>
        <v>0.96612414177693673</v>
      </c>
      <c r="D17" t="s">
        <v>58</v>
      </c>
      <c r="E17">
        <f>(I7*E5-K5*C7+I5-C5+B13)/(2*B11)</f>
        <v>6.6813738175526636E-3</v>
      </c>
      <c r="G17">
        <f t="shared" si="0"/>
        <v>0.97280551559448936</v>
      </c>
    </row>
    <row r="18" spans="1:7" x14ac:dyDescent="0.2">
      <c r="A18" t="s">
        <v>59</v>
      </c>
      <c r="B18">
        <f>(E6*J7-D7*K6+D6-J6+B12)/(2*B10)</f>
        <v>0.98413571452638737</v>
      </c>
      <c r="D18" t="s">
        <v>60</v>
      </c>
      <c r="E18">
        <f>(E6*J7-D7*K6+D6-J6+B13)/(2*B10)</f>
        <v>3.1172277748584148E-2</v>
      </c>
      <c r="G18">
        <f t="shared" si="0"/>
        <v>1.0153079922749715</v>
      </c>
    </row>
    <row r="19" spans="1:7" x14ac:dyDescent="0.2">
      <c r="A19" t="s">
        <v>61</v>
      </c>
      <c r="B19">
        <f>(K6*D7-J7*E6+D6-J6+B12)/(2*B11)</f>
        <v>0.99331862618244737</v>
      </c>
      <c r="D19" t="s">
        <v>62</v>
      </c>
      <c r="E19">
        <f>(K6*D7-J7*E6+D6-J6+B13)/(2*B11)</f>
        <v>3.3875858223063222E-2</v>
      </c>
      <c r="G19">
        <f t="shared" si="0"/>
        <v>1.0271944844055105</v>
      </c>
    </row>
    <row r="20" spans="1:7" x14ac:dyDescent="0.2">
      <c r="A20" t="s">
        <v>63</v>
      </c>
      <c r="B20">
        <f>0.5+(((C7*(E5-K5))+(E5*(C7-I7))+I5-C5)/(2*B12))</f>
        <v>0.97316040156345218</v>
      </c>
      <c r="D20" t="s">
        <v>64</v>
      </c>
      <c r="E20">
        <f>0.5+(((C7*(E5-K5))+(E5*(C7-I7))+I5-C5)/(2*B13))</f>
        <v>2.6839598436547818E-2</v>
      </c>
      <c r="G20">
        <f t="shared" si="0"/>
        <v>1</v>
      </c>
    </row>
    <row r="21" spans="1:7" x14ac:dyDescent="0.2">
      <c r="A21" t="s">
        <v>65</v>
      </c>
      <c r="B21">
        <f>0.5+(((I7*(E5-K5))+(K5*(C7-I7))+I5-C5)/(2*B12))</f>
        <v>0.28320784759258599</v>
      </c>
      <c r="D21" t="s">
        <v>66</v>
      </c>
      <c r="E21">
        <f>0.5+(((I7*(E5-K5))+(K5*(C7-I7))+I5-C5)/(2*B13))</f>
        <v>0.71679215240741401</v>
      </c>
      <c r="G21">
        <f t="shared" si="0"/>
        <v>1</v>
      </c>
    </row>
  </sheetData>
  <mergeCells count="4">
    <mergeCell ref="C2:D2"/>
    <mergeCell ref="I2:J2"/>
    <mergeCell ref="C3:D3"/>
    <mergeCell ref="I3:J3"/>
  </mergeCells>
  <phoneticPr fontId="0" type="noConversion"/>
  <pageMargins left="0.78740157499999996" right="0.78740157499999996" top="0.984251969" bottom="0.984251969"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F699CB5BA7194988BE0057FBE4EB93" ma:contentTypeVersion="18" ma:contentTypeDescription="Crée un document." ma:contentTypeScope="" ma:versionID="319bc6c6376fbeea72604d22b9f9f694">
  <xsd:schema xmlns:xsd="http://www.w3.org/2001/XMLSchema" xmlns:xs="http://www.w3.org/2001/XMLSchema" xmlns:p="http://schemas.microsoft.com/office/2006/metadata/properties" xmlns:ns3="52e651b7-b90a-4e20-8373-f1ed72147340" xmlns:ns4="0521128b-fa6f-4216-a311-c6ddee8c8316" targetNamespace="http://schemas.microsoft.com/office/2006/metadata/properties" ma:root="true" ma:fieldsID="47b08265756467fa5408d52f54b31bbf" ns3:_="" ns4:_="">
    <xsd:import namespace="52e651b7-b90a-4e20-8373-f1ed72147340"/>
    <xsd:import namespace="0521128b-fa6f-4216-a311-c6ddee8c8316"/>
    <xsd:element name="properties">
      <xsd:complexType>
        <xsd:sequence>
          <xsd:element name="documentManagement">
            <xsd:complexType>
              <xsd:all>
                <xsd:element ref="ns3:SharedWithUsers" minOccurs="0"/>
                <xsd:element ref="ns4:MediaServiceMetadata" minOccurs="0"/>
                <xsd:element ref="ns4:MediaServiceFastMetadata" minOccurs="0"/>
                <xsd:element ref="ns3:SharedWithDetails" minOccurs="0"/>
                <xsd:element ref="ns3:SharingHintHash"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element ref="ns4:MediaLengthInSeconds"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e651b7-b90a-4e20-8373-f1ed72147340"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description="" ma:internalName="SharedWithDetails" ma:readOnly="true">
      <xsd:simpleType>
        <xsd:restriction base="dms:Note">
          <xsd:maxLength value="255"/>
        </xsd:restriction>
      </xsd:simpleType>
    </xsd:element>
    <xsd:element name="SharingHintHash" ma:index="12"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21128b-fa6f-4216-a311-c6ddee8c8316" elementFormDefault="qualified">
    <xsd:import namespace="http://schemas.microsoft.com/office/2006/documentManagement/types"/>
    <xsd:import namespace="http://schemas.microsoft.com/office/infopath/2007/PartnerControls"/>
    <xsd:element name="MediaServiceMetadata" ma:index="9" nillable="true" ma:displayName="MediaServiceMetadata" ma:description="" ma:hidden="true" ma:internalName="MediaServiceMetadata" ma:readOnly="true">
      <xsd:simpleType>
        <xsd:restriction base="dms:Note"/>
      </xsd:simpleType>
    </xsd:element>
    <xsd:element name="MediaServiceFastMetadata" ma:index="10"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521128b-fa6f-4216-a311-c6ddee8c8316" xsi:nil="true"/>
  </documentManagement>
</p:properties>
</file>

<file path=customXml/itemProps1.xml><?xml version="1.0" encoding="utf-8"?>
<ds:datastoreItem xmlns:ds="http://schemas.openxmlformats.org/officeDocument/2006/customXml" ds:itemID="{0E508CDE-55A7-4617-8C8D-F57657958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e651b7-b90a-4e20-8373-f1ed72147340"/>
    <ds:schemaRef ds:uri="0521128b-fa6f-4216-a311-c6ddee8c83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7687F7-91E8-47BE-AE38-13DEA15F3DE3}">
  <ds:schemaRefs>
    <ds:schemaRef ds:uri="http://schemas.microsoft.com/sharepoint/v3/contenttype/forms"/>
  </ds:schemaRefs>
</ds:datastoreItem>
</file>

<file path=customXml/itemProps3.xml><?xml version="1.0" encoding="utf-8"?>
<ds:datastoreItem xmlns:ds="http://schemas.openxmlformats.org/officeDocument/2006/customXml" ds:itemID="{BBF498C8-701F-4B46-B039-C143A57D3117}">
  <ds:schemaRefs>
    <ds:schemaRef ds:uri="52e651b7-b90a-4e20-8373-f1ed72147340"/>
    <ds:schemaRef ds:uri="http://schemas.microsoft.com/office/2006/documentManagement/types"/>
    <ds:schemaRef ds:uri="http://www.w3.org/XML/1998/namespace"/>
    <ds:schemaRef ds:uri="http://schemas.microsoft.com/office/2006/metadata/propertie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0521128b-fa6f-4216-a311-c6ddee8c83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43</vt:i4>
      </vt:variant>
    </vt:vector>
  </HeadingPairs>
  <TitlesOfParts>
    <vt:vector size="48" baseType="lpstr">
      <vt:lpstr>instructions</vt:lpstr>
      <vt:lpstr>compute sample sizes (spreads1)</vt:lpstr>
      <vt:lpstr>compute se's (spreads2)</vt:lpstr>
      <vt:lpstr>ML estimates (spreads3)</vt:lpstr>
      <vt:lpstr>ML calculations (spreads4)</vt:lpstr>
      <vt:lpstr>multiplier</vt:lpstr>
      <vt:lpstr>'compute se''s (spreads2)'!N</vt:lpstr>
      <vt:lpstr>p_1.1</vt:lpstr>
      <vt:lpstr>p_1.2</vt:lpstr>
      <vt:lpstr>p_11.</vt:lpstr>
      <vt:lpstr>p_111</vt:lpstr>
      <vt:lpstr>p_112</vt:lpstr>
      <vt:lpstr>p_12.</vt:lpstr>
      <vt:lpstr>p_121</vt:lpstr>
      <vt:lpstr>p_122</vt:lpstr>
      <vt:lpstr>p_2.1</vt:lpstr>
      <vt:lpstr>p_2.2</vt:lpstr>
      <vt:lpstr>p_21.</vt:lpstr>
      <vt:lpstr>p_211</vt:lpstr>
      <vt:lpstr>p_212</vt:lpstr>
      <vt:lpstr>p_22.</vt:lpstr>
      <vt:lpstr>p_221</vt:lpstr>
      <vt:lpstr>p_222</vt:lpstr>
      <vt:lpstr>'compute sample sizes (spreads1)'!pbar111</vt:lpstr>
      <vt:lpstr>'compute sample sizes (spreads1)'!pbar112</vt:lpstr>
      <vt:lpstr>'compute sample sizes (spreads1)'!pbar121</vt:lpstr>
      <vt:lpstr>'compute sample sizes (spreads1)'!pbar122</vt:lpstr>
      <vt:lpstr>'compute sample sizes (spreads1)'!pbar211</vt:lpstr>
      <vt:lpstr>'compute sample sizes (spreads1)'!pbar212</vt:lpstr>
      <vt:lpstr>'compute sample sizes (spreads1)'!pbar221</vt:lpstr>
      <vt:lpstr>'compute sample sizes (spreads1)'!pbar222</vt:lpstr>
      <vt:lpstr>'compute sample sizes (spreads1)'!pi1</vt:lpstr>
      <vt:lpstr>'compute sample sizes (spreads1)'!pi2</vt:lpstr>
      <vt:lpstr>'compute sample sizes (spreads1)'!se1</vt:lpstr>
      <vt:lpstr>'compute sample sizes (spreads1)'!se2</vt:lpstr>
      <vt:lpstr>'compute sample sizes (spreads1)'!sp1</vt:lpstr>
      <vt:lpstr>'compute sample sizes (spreads1)'!sp2</vt:lpstr>
      <vt:lpstr>total1</vt:lpstr>
      <vt:lpstr>total2</vt:lpstr>
      <vt:lpstr>'compute sample sizes (spreads1)'!w_p1</vt:lpstr>
      <vt:lpstr>'compute sample sizes (spreads1)'!w_p2</vt:lpstr>
      <vt:lpstr>'compute sample sizes (spreads1)'!w_se1</vt:lpstr>
      <vt:lpstr>w_Se1Se2</vt:lpstr>
      <vt:lpstr>'compute sample sizes (spreads1)'!w_se2</vt:lpstr>
      <vt:lpstr>'compute sample sizes (spreads1)'!w_sp1</vt:lpstr>
      <vt:lpstr>w_Sp1Sp2</vt:lpstr>
      <vt:lpstr>'compute sample sizes (spreads1)'!w_sp2</vt:lpstr>
      <vt:lpstr>'compute sample sizes (spreads1)'!Z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Calculation of sample sizes to estimate sensitivity and specificity with desired precision in the absence of a gold standard.</dc:title>
  <dc:creator>Georgiadis MP, Johnson WO, Gardner IA</dc:creator>
  <dc:description>Georgiadis MP, Johnson WO, Gardner IA. Sample size determination for estimation of the accuracy of two conditionally independent tests in the absence of a gold standard. Prev Vet Med. 2005 Sep 30;71(1-2):1-10.</dc:description>
  <cp:lastModifiedBy>Simon Dufour</cp:lastModifiedBy>
  <cp:lastPrinted>2003-12-18T16:48:16Z</cp:lastPrinted>
  <dcterms:created xsi:type="dcterms:W3CDTF">2000-08-31T18:46:20Z</dcterms:created>
  <dcterms:modified xsi:type="dcterms:W3CDTF">2024-10-24T20:04:16Z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0x010100ACF699CB5BA7194988BE0057FBE4EB93</vt:lpwstr>
  </property>
</Properties>
</file>