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Desktop\"/>
    </mc:Choice>
  </mc:AlternateContent>
  <xr:revisionPtr revIDLastSave="0" documentId="13_ncr:1_{992F20BA-1F12-4BE2-9855-F6AFBC42A2E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4" roundtripDataSignature="AMtx7mgc2fzg/sCRcJr3cXutICzQuGldIg=="/>
    </ext>
  </extLst>
</workbook>
</file>

<file path=xl/calcChain.xml><?xml version="1.0" encoding="utf-8"?>
<calcChain xmlns="http://schemas.openxmlformats.org/spreadsheetml/2006/main">
  <c r="H2" i="1" l="1"/>
  <c r="F2" i="1"/>
  <c r="E2" i="1"/>
  <c r="D2" i="1"/>
  <c r="G3" i="1"/>
  <c r="H3" i="1"/>
  <c r="E3" i="1"/>
  <c r="F4" i="1"/>
  <c r="E4" i="1"/>
  <c r="D4" i="1"/>
  <c r="H5" i="1"/>
  <c r="E5" i="1"/>
  <c r="F14" i="1"/>
  <c r="F7" i="1"/>
  <c r="F6" i="1"/>
  <c r="F5" i="1"/>
  <c r="G5" i="1"/>
  <c r="E6" i="1"/>
  <c r="G7" i="1"/>
  <c r="D7" i="1"/>
  <c r="H8" i="1"/>
  <c r="H9" i="1"/>
  <c r="E11" i="1"/>
  <c r="H11" i="1"/>
  <c r="G14" i="1"/>
  <c r="H15" i="1"/>
  <c r="H16" i="1"/>
  <c r="B131" i="1"/>
  <c r="E200" i="1"/>
  <c r="B200" i="1"/>
  <c r="B199" i="1"/>
  <c r="B198" i="1"/>
  <c r="E197" i="1"/>
  <c r="B197" i="1"/>
  <c r="B196" i="1"/>
  <c r="B195" i="1"/>
  <c r="H194" i="1"/>
  <c r="E194" i="1"/>
  <c r="B194" i="1"/>
  <c r="H193" i="1"/>
  <c r="E193" i="1"/>
  <c r="B193" i="1"/>
  <c r="H192" i="1"/>
  <c r="E192" i="1"/>
  <c r="B192" i="1"/>
  <c r="H191" i="1"/>
  <c r="E191" i="1"/>
  <c r="B191" i="1"/>
  <c r="H190" i="1"/>
  <c r="E190" i="1"/>
  <c r="B190" i="1"/>
  <c r="H189" i="1"/>
  <c r="E189" i="1"/>
  <c r="B189" i="1"/>
  <c r="H188" i="1"/>
  <c r="E188" i="1"/>
  <c r="B188" i="1"/>
  <c r="H187" i="1"/>
  <c r="E187" i="1"/>
  <c r="B187" i="1"/>
  <c r="H186" i="1"/>
  <c r="E186" i="1"/>
  <c r="B186" i="1"/>
  <c r="H185" i="1"/>
  <c r="E185" i="1"/>
  <c r="B185" i="1"/>
  <c r="H184" i="1"/>
  <c r="E184" i="1"/>
  <c r="B184" i="1"/>
  <c r="H183" i="1"/>
  <c r="E183" i="1"/>
  <c r="B183" i="1"/>
  <c r="H182" i="1"/>
  <c r="E182" i="1"/>
  <c r="B182" i="1"/>
  <c r="H181" i="1"/>
  <c r="E181" i="1"/>
  <c r="B181" i="1"/>
  <c r="H180" i="1"/>
  <c r="E180" i="1"/>
  <c r="B180" i="1"/>
  <c r="H179" i="1"/>
  <c r="E179" i="1"/>
  <c r="B178" i="1"/>
  <c r="H177" i="1"/>
  <c r="E177" i="1"/>
  <c r="B177" i="1"/>
  <c r="H176" i="1"/>
  <c r="E176" i="1"/>
  <c r="B176" i="1"/>
  <c r="B175" i="1"/>
  <c r="H174" i="1"/>
  <c r="E174" i="1"/>
  <c r="B174" i="1"/>
  <c r="H173" i="1"/>
  <c r="E173" i="1"/>
  <c r="B173" i="1"/>
  <c r="H172" i="1"/>
  <c r="E172" i="1"/>
  <c r="B172" i="1"/>
  <c r="H171" i="1"/>
  <c r="E171" i="1"/>
  <c r="B171" i="1"/>
  <c r="H170" i="1"/>
  <c r="E170" i="1"/>
  <c r="B170" i="1"/>
  <c r="H169" i="1"/>
  <c r="B169" i="1"/>
  <c r="H168" i="1"/>
  <c r="E168" i="1"/>
  <c r="B168" i="1"/>
  <c r="H167" i="1"/>
  <c r="E167" i="1"/>
  <c r="B167" i="1"/>
  <c r="H166" i="1"/>
  <c r="E166" i="1"/>
  <c r="B166" i="1"/>
  <c r="H165" i="1"/>
  <c r="E165" i="1"/>
  <c r="B165" i="1"/>
  <c r="H164" i="1"/>
  <c r="B164" i="1"/>
  <c r="B163" i="1"/>
  <c r="H162" i="1"/>
  <c r="E162" i="1"/>
  <c r="B162" i="1"/>
  <c r="H161" i="1"/>
  <c r="E161" i="1"/>
  <c r="B161" i="1"/>
  <c r="H160" i="1"/>
  <c r="E160" i="1"/>
  <c r="H159" i="1"/>
  <c r="E159" i="1"/>
  <c r="B159" i="1"/>
  <c r="H158" i="1"/>
  <c r="E158" i="1"/>
  <c r="B158" i="1"/>
  <c r="H157" i="1"/>
  <c r="E157" i="1"/>
  <c r="B157" i="1"/>
  <c r="H156" i="1"/>
  <c r="E156" i="1"/>
  <c r="B156" i="1"/>
  <c r="B155" i="1"/>
  <c r="H154" i="1"/>
  <c r="E154" i="1"/>
  <c r="H153" i="1"/>
  <c r="E153" i="1"/>
  <c r="B153" i="1"/>
  <c r="H152" i="1"/>
  <c r="E152" i="1"/>
  <c r="B152" i="1"/>
  <c r="H151" i="1"/>
  <c r="E151" i="1"/>
  <c r="B151" i="1"/>
  <c r="H150" i="1"/>
  <c r="E150" i="1"/>
  <c r="B150" i="1"/>
  <c r="H149" i="1"/>
  <c r="E149" i="1"/>
  <c r="B149" i="1"/>
  <c r="H148" i="1"/>
  <c r="E148" i="1"/>
  <c r="B148" i="1"/>
  <c r="B147" i="1"/>
  <c r="B146" i="1"/>
  <c r="H145" i="1"/>
  <c r="E145" i="1"/>
  <c r="B145" i="1"/>
  <c r="H144" i="1"/>
  <c r="E144" i="1"/>
  <c r="B144" i="1"/>
  <c r="H143" i="1"/>
  <c r="E143" i="1"/>
  <c r="B143" i="1"/>
  <c r="B142" i="1"/>
  <c r="H141" i="1"/>
  <c r="E141" i="1"/>
  <c r="B141" i="1"/>
  <c r="H140" i="1"/>
  <c r="E140" i="1"/>
  <c r="B140" i="1"/>
  <c r="H139" i="1"/>
  <c r="E139" i="1"/>
  <c r="B139" i="1"/>
  <c r="B138" i="1"/>
  <c r="H137" i="1"/>
  <c r="E137" i="1"/>
  <c r="B137" i="1"/>
  <c r="B136" i="1"/>
  <c r="B135" i="1"/>
  <c r="B134" i="1"/>
  <c r="H133" i="1"/>
  <c r="E133" i="1"/>
  <c r="B133" i="1"/>
  <c r="B132" i="1"/>
  <c r="H131" i="1"/>
  <c r="E131" i="1"/>
  <c r="H130" i="1"/>
  <c r="B130" i="1"/>
  <c r="B129" i="1"/>
  <c r="H128" i="1"/>
  <c r="E128" i="1"/>
  <c r="B128" i="1"/>
  <c r="H127" i="1"/>
  <c r="E127" i="1"/>
  <c r="B127" i="1"/>
  <c r="H126" i="1"/>
  <c r="E126" i="1"/>
  <c r="B126" i="1"/>
  <c r="H125" i="1"/>
  <c r="E125" i="1"/>
  <c r="B125" i="1"/>
  <c r="H124" i="1"/>
  <c r="E124" i="1"/>
  <c r="B124" i="1"/>
  <c r="B123" i="1"/>
  <c r="B122" i="1"/>
  <c r="H121" i="1"/>
  <c r="E121" i="1"/>
  <c r="B121" i="1"/>
  <c r="B120" i="1"/>
  <c r="B119" i="1"/>
  <c r="H118" i="1"/>
  <c r="E118" i="1"/>
  <c r="H117" i="1"/>
  <c r="E117" i="1"/>
  <c r="B117" i="1"/>
  <c r="H116" i="1"/>
  <c r="E116" i="1"/>
  <c r="B116" i="1"/>
  <c r="B115" i="1"/>
  <c r="H114" i="1"/>
  <c r="E114" i="1"/>
  <c r="B114" i="1"/>
  <c r="B113" i="1"/>
  <c r="H112" i="1"/>
  <c r="E112" i="1"/>
  <c r="B112" i="1"/>
  <c r="H111" i="1"/>
  <c r="E111" i="1"/>
  <c r="B111" i="1"/>
  <c r="H110" i="1"/>
  <c r="E110" i="1"/>
  <c r="B110" i="1"/>
  <c r="H109" i="1"/>
  <c r="E109" i="1"/>
  <c r="B109" i="1"/>
  <c r="H108" i="1"/>
  <c r="E108" i="1"/>
  <c r="B108" i="1"/>
  <c r="H107" i="1"/>
  <c r="E107" i="1"/>
  <c r="B107" i="1"/>
  <c r="H106" i="1"/>
  <c r="E106" i="1"/>
  <c r="B106" i="1"/>
  <c r="H105" i="1"/>
  <c r="E105" i="1"/>
  <c r="B105" i="1"/>
  <c r="H104" i="1"/>
  <c r="E104" i="1"/>
  <c r="B104" i="1"/>
  <c r="H103" i="1"/>
  <c r="E103" i="1"/>
  <c r="B102" i="1"/>
  <c r="H101" i="1"/>
  <c r="E101" i="1"/>
  <c r="B101" i="1"/>
  <c r="B100" i="1"/>
  <c r="B99" i="1"/>
  <c r="H98" i="1"/>
  <c r="E98" i="1"/>
  <c r="B98" i="1"/>
  <c r="H97" i="1"/>
  <c r="E97" i="1"/>
  <c r="B97" i="1"/>
  <c r="H96" i="1"/>
  <c r="E96" i="1"/>
  <c r="B96" i="1"/>
  <c r="H95" i="1"/>
  <c r="E95" i="1"/>
  <c r="B95" i="1"/>
  <c r="B94" i="1"/>
  <c r="H93" i="1"/>
  <c r="E93" i="1"/>
  <c r="B93" i="1"/>
  <c r="H92" i="1"/>
  <c r="E92" i="1"/>
  <c r="B92" i="1"/>
  <c r="H91" i="1"/>
  <c r="E91" i="1"/>
  <c r="B91" i="1"/>
  <c r="H90" i="1"/>
  <c r="E90" i="1"/>
  <c r="B90" i="1"/>
  <c r="H89" i="1"/>
  <c r="E89" i="1"/>
  <c r="B89" i="1"/>
  <c r="B88" i="1"/>
  <c r="H87" i="1"/>
  <c r="E87" i="1"/>
  <c r="B87" i="1"/>
  <c r="H86" i="1"/>
  <c r="E86" i="1"/>
  <c r="B86" i="1"/>
  <c r="H85" i="1"/>
  <c r="E85" i="1"/>
  <c r="H84" i="1"/>
  <c r="E84" i="1"/>
  <c r="B84" i="1"/>
  <c r="H83" i="1"/>
  <c r="E83" i="1"/>
  <c r="B83" i="1"/>
  <c r="B82" i="1"/>
  <c r="H81" i="1"/>
  <c r="E81" i="1"/>
  <c r="B81" i="1"/>
  <c r="H80" i="1"/>
  <c r="E80" i="1"/>
  <c r="B80" i="1"/>
  <c r="H79" i="1"/>
  <c r="E79" i="1"/>
  <c r="B79" i="1"/>
  <c r="H78" i="1"/>
  <c r="E78" i="1"/>
  <c r="B78" i="1"/>
  <c r="H77" i="1"/>
  <c r="E77" i="1"/>
  <c r="H76" i="1"/>
  <c r="E76" i="1"/>
  <c r="B76" i="1"/>
  <c r="H75" i="1"/>
  <c r="B75" i="1"/>
  <c r="H74" i="1"/>
  <c r="B73" i="1"/>
  <c r="B72" i="1"/>
  <c r="B71" i="1"/>
  <c r="H70" i="1"/>
  <c r="E70" i="1"/>
  <c r="B70" i="1"/>
  <c r="H69" i="1"/>
  <c r="E69" i="1"/>
  <c r="B69" i="1"/>
  <c r="B68" i="1"/>
  <c r="H67" i="1"/>
  <c r="E67" i="1"/>
  <c r="B67" i="1"/>
  <c r="B66" i="1"/>
  <c r="B65" i="1"/>
  <c r="H64" i="1"/>
  <c r="E64" i="1"/>
  <c r="B64" i="1"/>
  <c r="H63" i="1"/>
  <c r="E63" i="1"/>
  <c r="B63" i="1"/>
  <c r="H62" i="1"/>
  <c r="E62" i="1"/>
  <c r="B62" i="1"/>
  <c r="B61" i="1"/>
  <c r="B60" i="1"/>
  <c r="H59" i="1"/>
  <c r="E59" i="1"/>
  <c r="B59" i="1"/>
  <c r="H58" i="1"/>
  <c r="E58" i="1"/>
  <c r="B58" i="1"/>
  <c r="H57" i="1"/>
  <c r="E57" i="1"/>
  <c r="H56" i="1"/>
  <c r="E56" i="1"/>
  <c r="B56" i="1"/>
  <c r="H55" i="1"/>
  <c r="E55" i="1"/>
  <c r="B55" i="1"/>
  <c r="H54" i="1"/>
  <c r="E54" i="1"/>
  <c r="B54" i="1"/>
  <c r="H53" i="1"/>
  <c r="E53" i="1"/>
  <c r="B53" i="1"/>
  <c r="H52" i="1"/>
  <c r="E52" i="1"/>
  <c r="B52" i="1"/>
  <c r="H51" i="1"/>
  <c r="E51" i="1"/>
  <c r="B51" i="1"/>
  <c r="H50" i="1"/>
  <c r="E50" i="1"/>
  <c r="B50" i="1"/>
  <c r="H49" i="1"/>
  <c r="E49" i="1"/>
  <c r="B49" i="1"/>
  <c r="H48" i="1"/>
  <c r="E48" i="1"/>
  <c r="B48" i="1"/>
  <c r="B47" i="1"/>
  <c r="H46" i="1"/>
  <c r="E46" i="1"/>
  <c r="B46" i="1"/>
  <c r="H45" i="1"/>
  <c r="E45" i="1"/>
  <c r="B45" i="1"/>
  <c r="H44" i="1"/>
  <c r="E44" i="1"/>
  <c r="B43" i="1"/>
  <c r="H42" i="1"/>
  <c r="E42" i="1"/>
  <c r="B42" i="1"/>
  <c r="H41" i="1"/>
  <c r="E41" i="1"/>
  <c r="B41" i="1"/>
  <c r="H40" i="1"/>
  <c r="E40" i="1"/>
  <c r="H39" i="1"/>
  <c r="E39" i="1"/>
  <c r="B39" i="1"/>
  <c r="H38" i="1"/>
  <c r="E38" i="1"/>
  <c r="B38" i="1"/>
  <c r="B37" i="1"/>
  <c r="H36" i="1"/>
  <c r="E36" i="1"/>
  <c r="B36" i="1"/>
  <c r="H35" i="1"/>
  <c r="E35" i="1"/>
  <c r="H34" i="1"/>
  <c r="E34" i="1"/>
  <c r="B34" i="1"/>
  <c r="B33" i="1"/>
  <c r="B32" i="1"/>
  <c r="H31" i="1"/>
  <c r="E31" i="1"/>
  <c r="B31" i="1"/>
  <c r="H30" i="1"/>
  <c r="E30" i="1"/>
  <c r="B30" i="1"/>
  <c r="H29" i="1"/>
  <c r="E29" i="1"/>
  <c r="B29" i="1"/>
  <c r="H28" i="1"/>
  <c r="E28" i="1"/>
  <c r="B28" i="1"/>
  <c r="H27" i="1"/>
  <c r="E27" i="1"/>
  <c r="B27" i="1"/>
  <c r="H26" i="1"/>
  <c r="B26" i="1"/>
  <c r="B25" i="1"/>
  <c r="H24" i="1"/>
  <c r="E24" i="1"/>
  <c r="B24" i="1"/>
  <c r="H23" i="1"/>
  <c r="E23" i="1"/>
  <c r="B23" i="1"/>
  <c r="B22" i="1"/>
  <c r="H21" i="1"/>
  <c r="E21" i="1"/>
  <c r="B21" i="1"/>
  <c r="H20" i="1"/>
  <c r="E20" i="1"/>
  <c r="B20" i="1"/>
  <c r="H19" i="1"/>
  <c r="E19" i="1"/>
  <c r="B19" i="1"/>
  <c r="H18" i="1"/>
  <c r="E18" i="1"/>
  <c r="B18" i="1"/>
  <c r="H17" i="1"/>
  <c r="E17" i="1"/>
  <c r="B17" i="1"/>
  <c r="B16" i="1"/>
  <c r="B15" i="1"/>
  <c r="E14" i="1"/>
  <c r="D14" i="1"/>
  <c r="B14" i="1"/>
  <c r="F13" i="1"/>
  <c r="E13" i="1"/>
  <c r="D13" i="1"/>
  <c r="B13" i="1"/>
  <c r="F12" i="1"/>
  <c r="E12" i="1"/>
  <c r="D12" i="1"/>
  <c r="B12" i="1"/>
  <c r="D11" i="1"/>
  <c r="B11" i="1"/>
  <c r="E10" i="1"/>
  <c r="D10" i="1"/>
  <c r="B10" i="1"/>
  <c r="E9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<sst xmlns="http://schemas.openxmlformats.org/spreadsheetml/2006/main" count="206" uniqueCount="205">
  <si>
    <t>Alex Tanney</t>
  </si>
  <si>
    <t>Todd Bouman</t>
  </si>
  <si>
    <t>Quinn Gray</t>
  </si>
  <si>
    <t>Steve McNair</t>
  </si>
  <si>
    <t>Jamie Martin</t>
  </si>
  <si>
    <t>Keith Null</t>
  </si>
  <si>
    <t>Tony Romo</t>
  </si>
  <si>
    <t>Jimmy Garoppolo</t>
  </si>
  <si>
    <t>Jon Kitna</t>
  </si>
  <si>
    <t>Kurt Warner</t>
  </si>
  <si>
    <t>Kelly Holcomb</t>
  </si>
  <si>
    <t>Richard Bartel</t>
  </si>
  <si>
    <t>J.T. O'Sullivan</t>
  </si>
  <si>
    <t>Josh Johnson</t>
  </si>
  <si>
    <t>Tyler Thigpen</t>
  </si>
  <si>
    <t>Average NFL QBR</t>
  </si>
  <si>
    <t>College Games Played (&gt;= 26: 1, &lt;26: 0)</t>
  </si>
  <si>
    <t>College Yds/Att</t>
  </si>
  <si>
    <t>College TD:Int</t>
  </si>
  <si>
    <t>College Comp %</t>
  </si>
  <si>
    <t>College Rush Avg.</t>
  </si>
  <si>
    <t>College Rush TD/game</t>
  </si>
  <si>
    <t>Lamar Jackson</t>
  </si>
  <si>
    <t>Cam Newton</t>
  </si>
  <si>
    <t>Colin Kaepernick</t>
  </si>
  <si>
    <t>Johnny Manziel</t>
  </si>
  <si>
    <t>Tim Tebow</t>
  </si>
  <si>
    <t>Vince Young</t>
  </si>
  <si>
    <t>Dak Prescott</t>
  </si>
  <si>
    <t>Robert Griffin</t>
  </si>
  <si>
    <t>Michael Vick</t>
  </si>
  <si>
    <t>Brett Hundley</t>
  </si>
  <si>
    <t>Jake Locker</t>
  </si>
  <si>
    <t>DeShone Kizer</t>
  </si>
  <si>
    <t>Marcus Mariota</t>
  </si>
  <si>
    <t>Patrick Mahomes</t>
  </si>
  <si>
    <t>Deshaun Watson</t>
  </si>
  <si>
    <t>Joe Webb</t>
  </si>
  <si>
    <t>Alex Smith</t>
  </si>
  <si>
    <t>Seneca Wallace</t>
  </si>
  <si>
    <t>Mark Brunell</t>
  </si>
  <si>
    <t>Daunte Culpepper</t>
  </si>
  <si>
    <t>Josh Freeman</t>
  </si>
  <si>
    <t>Bryce Petty</t>
  </si>
  <si>
    <t>Brooks Bollinger</t>
  </si>
  <si>
    <t>Trevone Boykin</t>
  </si>
  <si>
    <t>Joey Harrington</t>
  </si>
  <si>
    <t>Austin Davis</t>
  </si>
  <si>
    <t>Ryan Fitzpatrick</t>
  </si>
  <si>
    <t>Logan Thomas</t>
  </si>
  <si>
    <t>Jeff Garcia</t>
  </si>
  <si>
    <t>David Garrard</t>
  </si>
  <si>
    <t>Shaun Hill</t>
  </si>
  <si>
    <t>Sage Rosenfels</t>
  </si>
  <si>
    <t>Tyrod Taylor</t>
  </si>
  <si>
    <t>Russell Wilson</t>
  </si>
  <si>
    <t>Paxton Lynch</t>
  </si>
  <si>
    <t>Josh Allen</t>
  </si>
  <si>
    <t>Trent Green</t>
  </si>
  <si>
    <t>Andy Dalton</t>
  </si>
  <si>
    <t>Baker Mayfield</t>
  </si>
  <si>
    <t>Terrelle Pryor</t>
  </si>
  <si>
    <t>Garrett Gilbert</t>
  </si>
  <si>
    <t>Aaron Brooks</t>
  </si>
  <si>
    <t>Donovan McNabb</t>
  </si>
  <si>
    <t>Kevin Kolb</t>
  </si>
  <si>
    <t>Charlie Frye</t>
  </si>
  <si>
    <t>Blake Bortles</t>
  </si>
  <si>
    <t>Case Keenum</t>
  </si>
  <si>
    <t>Connor Shaw</t>
  </si>
  <si>
    <t>Jay Cutler</t>
  </si>
  <si>
    <t>Colt McCoy</t>
  </si>
  <si>
    <t>Philip Rivers</t>
  </si>
  <si>
    <t>Drew Stanton</t>
  </si>
  <si>
    <t>Jeff Driskel</t>
  </si>
  <si>
    <t>Drew Bledsoe</t>
  </si>
  <si>
    <t>John Skelton</t>
  </si>
  <si>
    <t>Troy Smith</t>
  </si>
  <si>
    <t>Aaron Rodgers</t>
  </si>
  <si>
    <t>Jake Rudock</t>
  </si>
  <si>
    <t>Drew Brees</t>
  </si>
  <si>
    <t>Carson Wentz</t>
  </si>
  <si>
    <t>Tanner McEvoy</t>
  </si>
  <si>
    <t>Jacoby Brissett</t>
  </si>
  <si>
    <t>Dennis Dixon</t>
  </si>
  <si>
    <t>Kevin Hogan</t>
  </si>
  <si>
    <t>Tyler Palko</t>
  </si>
  <si>
    <t>Bruce Gradkowski</t>
  </si>
  <si>
    <t>Christian Ponder</t>
  </si>
  <si>
    <t>Curtis Painter</t>
  </si>
  <si>
    <t>Jared Lorenzen</t>
  </si>
  <si>
    <t>Stephen McGee</t>
  </si>
  <si>
    <t>Peyton Manning</t>
  </si>
  <si>
    <t>J.P. Losman</t>
  </si>
  <si>
    <t>Jameis Winston</t>
  </si>
  <si>
    <t>Mitchell Trubisky</t>
  </si>
  <si>
    <t>Blaine Gabbert</t>
  </si>
  <si>
    <t>Billy Volek</t>
  </si>
  <si>
    <t>EJ Manuel</t>
  </si>
  <si>
    <t>Matt Ryan</t>
  </si>
  <si>
    <t>C.J. Beathard</t>
  </si>
  <si>
    <t>David Carr</t>
  </si>
  <si>
    <t>Chris Simms</t>
  </si>
  <si>
    <t>Luke McCown</t>
  </si>
  <si>
    <t>Matt Leinart</t>
  </si>
  <si>
    <t>Charlie Whitehurst</t>
  </si>
  <si>
    <t>Caleb Hanie</t>
  </si>
  <si>
    <t>Matt Moore</t>
  </si>
  <si>
    <t>Sean Renfree</t>
  </si>
  <si>
    <t>Matt McGloin</t>
  </si>
  <si>
    <t>Nate Sudfeld</t>
  </si>
  <si>
    <t>John Beck</t>
  </si>
  <si>
    <t>Brian Brohm</t>
  </si>
  <si>
    <t>Nick Mullens</t>
  </si>
  <si>
    <t>Josh Rosen</t>
  </si>
  <si>
    <t>Chase Daniel</t>
  </si>
  <si>
    <t>Thaddeus Lewis</t>
  </si>
  <si>
    <t>Ryan Mallett</t>
  </si>
  <si>
    <t>Jason Campbell</t>
  </si>
  <si>
    <t>Andrew Luck</t>
  </si>
  <si>
    <t>Ben Roethlisberger</t>
  </si>
  <si>
    <t>Max Hall</t>
  </si>
  <si>
    <t>Vinny Testaverde</t>
  </si>
  <si>
    <t>Cardale Jones</t>
  </si>
  <si>
    <t>Rex Grossman</t>
  </si>
  <si>
    <t>Carson Palmer</t>
  </si>
  <si>
    <t>Taylor Heinicke</t>
  </si>
  <si>
    <t>Derek Anderson</t>
  </si>
  <si>
    <t>Kellen Clemens</t>
  </si>
  <si>
    <t>Damon Huard</t>
  </si>
  <si>
    <t>Sam Bradford</t>
  </si>
  <si>
    <t>Brock Osweiler</t>
  </si>
  <si>
    <t>Charlie Batch</t>
  </si>
  <si>
    <t>T.J. Yates</t>
  </si>
  <si>
    <t>Matthew Stafford</t>
  </si>
  <si>
    <t>Teddy Bridgewater</t>
  </si>
  <si>
    <t>Jordan Palmer</t>
  </si>
  <si>
    <t>Mark Sanchez</t>
  </si>
  <si>
    <t>Nathan Peterman</t>
  </si>
  <si>
    <t>Jimmy Clausen</t>
  </si>
  <si>
    <t>Kyle Boller</t>
  </si>
  <si>
    <t>Cody Kessler</t>
  </si>
  <si>
    <t>Kyle Orton</t>
  </si>
  <si>
    <t>Trevor Siemian</t>
  </si>
  <si>
    <t>Jake Delhomme</t>
  </si>
  <si>
    <t>Josh McCown</t>
  </si>
  <si>
    <t>Dan Orlovsky</t>
  </si>
  <si>
    <t>Tom Savage</t>
  </si>
  <si>
    <t>Matt Barkley</t>
  </si>
  <si>
    <t>Kyle Allen</t>
  </si>
  <si>
    <t>Matt Schaub</t>
  </si>
  <si>
    <t>Brady Quinn</t>
  </si>
  <si>
    <t>Matt Flynn</t>
  </si>
  <si>
    <t>Brian Griese</t>
  </si>
  <si>
    <t>Jake Plummer</t>
  </si>
  <si>
    <t>Eli Manning</t>
  </si>
  <si>
    <t>Patrick Ramsey</t>
  </si>
  <si>
    <t>Derek Carr</t>
  </si>
  <si>
    <t>Tony Pike</t>
  </si>
  <si>
    <t>Jamarcus Russell</t>
  </si>
  <si>
    <t>Tom Brady</t>
  </si>
  <si>
    <t>Nick Foles</t>
  </si>
  <si>
    <t>Rusty Smith</t>
  </si>
  <si>
    <t>Matt Hasselbeck</t>
  </si>
  <si>
    <t>Ryan Nassib</t>
  </si>
  <si>
    <t>Scott Tolzien</t>
  </si>
  <si>
    <t>Jim Sorgi</t>
  </si>
  <si>
    <t>Brodie Croyle</t>
  </si>
  <si>
    <t>Ryan Tannehill</t>
  </si>
  <si>
    <t>Matt Simms</t>
  </si>
  <si>
    <t>Byron Leftwich</t>
  </si>
  <si>
    <t>Geno Smith</t>
  </si>
  <si>
    <t>Mike Glennon</t>
  </si>
  <si>
    <t>David Fales</t>
  </si>
  <si>
    <t>Greg McElroy</t>
  </si>
  <si>
    <t>Cleo Lemon</t>
  </si>
  <si>
    <t>Gus Frerotte</t>
  </si>
  <si>
    <t>Connor Cook</t>
  </si>
  <si>
    <t>Chris Redman</t>
  </si>
  <si>
    <t>Chad Henne</t>
  </si>
  <si>
    <t>Jeff Tuel</t>
  </si>
  <si>
    <t>Tim Rattay</t>
  </si>
  <si>
    <t>Trent Edwards</t>
  </si>
  <si>
    <t>A.J. McCarron</t>
  </si>
  <si>
    <t>Kellen Moore</t>
  </si>
  <si>
    <t>Landry Jones</t>
  </si>
  <si>
    <t>Chris Weinke</t>
  </si>
  <si>
    <t>Marc Bulger</t>
  </si>
  <si>
    <t>Brian Hoyer</t>
  </si>
  <si>
    <t>Ken Dorsey</t>
  </si>
  <si>
    <t>Brian St. Pierre</t>
  </si>
  <si>
    <t>A.J. Feeley</t>
  </si>
  <si>
    <t>Brad Johnson</t>
  </si>
  <si>
    <t>Sean Mannion</t>
  </si>
  <si>
    <t>Ryan Lindley</t>
  </si>
  <si>
    <t>Brandon Weeden</t>
  </si>
  <si>
    <t>Jared Goff</t>
  </si>
  <si>
    <t>Brett Favre</t>
  </si>
  <si>
    <t>Kirk Cousins</t>
  </si>
  <si>
    <t>Matt Cassel</t>
  </si>
  <si>
    <t>Joe Flacco</t>
  </si>
  <si>
    <t>Kerry Collins</t>
  </si>
  <si>
    <t>Tarvaris Jackson</t>
  </si>
  <si>
    <t>Andrew Walter</t>
  </si>
  <si>
    <t>Zach Mettenberger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</si>
</sst>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0" formatCode="0.0000"/>
  </numFmts>
  <fonts count="4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3C404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2" fontId="0" fillId="0" borderId="0" xfId="0" applyNumberFormat="1" applyFont="1" applyAlignment="1"/>
    <xf numFmtId="0" fontId="1" fillId="0" borderId="0" xfId="0" applyFont="1" applyAlignment="1"/>
    <xf numFmtId="164" fontId="0" fillId="0" borderId="0" xfId="0" applyNumberFormat="1" applyFont="1" applyAlignment="1"/>
    <xf numFmtId="2" fontId="0" fillId="0" borderId="0" xfId="0" applyNumberFormat="1" applyFont="1"/>
    <xf numFmtId="164" fontId="0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 applyAlignment="1"/>
    <xf numFmtId="170" fontId="0" fillId="0" borderId="0" xfId="0" applyNumberFormat="1" applyFont="1" applyAlignment="1"/>
    <xf numFmtId="2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workbookViewId="0">
      <selection activeCell="H3" sqref="H3"/>
    </sheetView>
  </sheetViews>
  <sheetFormatPr defaultColWidth="14.42578125" defaultRowHeight="15" customHeight="1" x14ac:dyDescent="0.25"/>
  <cols>
    <col min="1" max="1" width="17.7109375" customWidth="1"/>
    <col min="2" max="2" width="22" customWidth="1"/>
    <col min="3" max="3" width="19.7109375" customWidth="1"/>
    <col min="4" max="4" width="18.5703125" customWidth="1"/>
    <col min="5" max="5" width="20.140625" customWidth="1"/>
    <col min="6" max="6" width="18.28515625" customWidth="1"/>
    <col min="7" max="7" width="17.140625" customWidth="1"/>
    <col min="8" max="8" width="19.28515625" customWidth="1"/>
    <col min="9" max="25" width="8.7109375" customWidth="1"/>
  </cols>
  <sheetData>
    <row r="1" spans="1:8" ht="14.25" customHeight="1" x14ac:dyDescent="0.25">
      <c r="B1" t="s">
        <v>15</v>
      </c>
      <c r="C1" s="6" t="s">
        <v>16</v>
      </c>
      <c r="D1" t="s">
        <v>17</v>
      </c>
      <c r="E1" s="4" t="s">
        <v>18</v>
      </c>
      <c r="F1" t="s">
        <v>19</v>
      </c>
      <c r="G1" t="s">
        <v>20</v>
      </c>
      <c r="H1" t="s">
        <v>21</v>
      </c>
    </row>
    <row r="2" spans="1:8" ht="14.25" customHeight="1" x14ac:dyDescent="0.25">
      <c r="A2" t="s">
        <v>0</v>
      </c>
      <c r="B2" s="1">
        <v>62.445999999999998</v>
      </c>
      <c r="C2" s="2">
        <v>1</v>
      </c>
      <c r="D2" s="2">
        <f>10.844</f>
        <v>10.843999999999999</v>
      </c>
      <c r="E2" s="3">
        <f>157/(5+8+7+8)</f>
        <v>5.6071428571428568</v>
      </c>
      <c r="F2" s="2">
        <f>68.79271137</f>
        <v>68.792711370000006</v>
      </c>
      <c r="G2" s="2">
        <v>-3.0042735039999999</v>
      </c>
      <c r="H2" s="3">
        <f>1/45</f>
        <v>2.2222222222222223E-2</v>
      </c>
    </row>
    <row r="3" spans="1:8" ht="14.25" customHeight="1" x14ac:dyDescent="0.25">
      <c r="A3" t="s">
        <v>1</v>
      </c>
      <c r="B3" s="1">
        <v>52.847999999999999</v>
      </c>
      <c r="C3" s="2">
        <v>1</v>
      </c>
      <c r="D3" s="2">
        <v>6.2</v>
      </c>
      <c r="E3" s="3">
        <f>31/24</f>
        <v>1.2916666666666667</v>
      </c>
      <c r="F3" s="2">
        <v>46.2</v>
      </c>
      <c r="G3" s="2">
        <f>696/400</f>
        <v>1.74</v>
      </c>
      <c r="H3" s="3">
        <f>7/34</f>
        <v>0.20588235294117646</v>
      </c>
    </row>
    <row r="4" spans="1:8" ht="32.25" customHeight="1" x14ac:dyDescent="0.25">
      <c r="A4" t="s">
        <v>2</v>
      </c>
      <c r="B4" s="9">
        <f>77.5/1</f>
        <v>77.5</v>
      </c>
      <c r="C4" s="2">
        <v>1</v>
      </c>
      <c r="D4" s="2">
        <f>7378/1113</f>
        <v>6.6289308176100628</v>
      </c>
      <c r="E4" s="3">
        <f>57/20</f>
        <v>2.85</v>
      </c>
      <c r="F4" s="2">
        <f>108/188</f>
        <v>0.57446808510638303</v>
      </c>
      <c r="G4" s="2">
        <v>4.4000000000000004</v>
      </c>
      <c r="H4" s="3">
        <v>0.13043478260869565</v>
      </c>
    </row>
    <row r="5" spans="1:8" ht="14.25" customHeight="1" x14ac:dyDescent="0.25">
      <c r="A5" t="s">
        <v>3</v>
      </c>
      <c r="B5" s="4">
        <f>105/2</f>
        <v>52.5</v>
      </c>
      <c r="C5" s="2">
        <v>1</v>
      </c>
      <c r="D5" s="2">
        <v>8.7111000000000001</v>
      </c>
      <c r="E5" s="3">
        <f>112/43</f>
        <v>2.6046511627906979</v>
      </c>
      <c r="F5" s="2">
        <f>0.563*100</f>
        <v>56.3</v>
      </c>
      <c r="G5" s="2">
        <f>2295/155</f>
        <v>14.806451612903226</v>
      </c>
      <c r="H5" s="3">
        <f>10/43</f>
        <v>0.23255813953488372</v>
      </c>
    </row>
    <row r="6" spans="1:8" ht="14.25" customHeight="1" x14ac:dyDescent="0.25">
      <c r="A6" t="s">
        <v>4</v>
      </c>
      <c r="B6" s="4">
        <f>1.8/1</f>
        <v>1.8</v>
      </c>
      <c r="C6" s="2">
        <v>1</v>
      </c>
      <c r="D6" s="2">
        <v>7.9060879999999996</v>
      </c>
      <c r="E6" s="3">
        <f>87/21</f>
        <v>4.1428571428571432</v>
      </c>
      <c r="F6" s="2">
        <f>0.61*100</f>
        <v>61</v>
      </c>
      <c r="G6" s="2">
        <v>0</v>
      </c>
      <c r="H6" s="3">
        <v>0</v>
      </c>
    </row>
    <row r="7" spans="1:8" ht="14.25" customHeight="1" x14ac:dyDescent="0.25">
      <c r="A7" t="s">
        <v>5</v>
      </c>
      <c r="B7" s="4">
        <f>15.2/1</f>
        <v>15.2</v>
      </c>
      <c r="C7">
        <v>0</v>
      </c>
      <c r="D7">
        <f>566/119</f>
        <v>4.7563025210084033</v>
      </c>
      <c r="E7" s="5">
        <v>4.6842105263157894</v>
      </c>
      <c r="F7">
        <f>100*73/113</f>
        <v>64.601769911504419</v>
      </c>
      <c r="G7">
        <f>-211/400</f>
        <v>-0.52749999999999997</v>
      </c>
      <c r="H7" s="5">
        <v>0</v>
      </c>
    </row>
    <row r="8" spans="1:8" ht="14.25" customHeight="1" x14ac:dyDescent="0.25">
      <c r="A8" t="s">
        <v>6</v>
      </c>
      <c r="B8" s="4">
        <f>666.9/10</f>
        <v>66.69</v>
      </c>
      <c r="C8">
        <v>1</v>
      </c>
      <c r="D8">
        <v>8.8000000000000007</v>
      </c>
      <c r="E8" s="5">
        <v>2.4117647058823528</v>
      </c>
      <c r="F8">
        <v>62.8</v>
      </c>
      <c r="G8">
        <v>2.6</v>
      </c>
      <c r="H8" s="5">
        <f>85/33</f>
        <v>2.5757575757575757</v>
      </c>
    </row>
    <row r="9" spans="1:8" ht="14.25" customHeight="1" x14ac:dyDescent="0.25">
      <c r="A9" t="s">
        <v>7</v>
      </c>
      <c r="B9" s="4">
        <f>208.7/4</f>
        <v>52.174999999999997</v>
      </c>
      <c r="C9" s="2">
        <v>1</v>
      </c>
      <c r="D9" s="2">
        <v>7.9</v>
      </c>
      <c r="E9" s="5">
        <f>118/51</f>
        <v>2.3137254901960786</v>
      </c>
      <c r="F9" s="2">
        <v>62.8</v>
      </c>
      <c r="G9" s="2">
        <v>-0.5</v>
      </c>
      <c r="H9" s="3">
        <f>8/45</f>
        <v>0.17777777777777778</v>
      </c>
    </row>
    <row r="10" spans="1:8" ht="14.25" customHeight="1" x14ac:dyDescent="0.25">
      <c r="A10" t="s">
        <v>8</v>
      </c>
      <c r="B10" s="4">
        <f>166.5/4</f>
        <v>41.625</v>
      </c>
      <c r="C10" s="2">
        <v>1</v>
      </c>
      <c r="D10">
        <f>12353/1550</f>
        <v>7.9696774193548388</v>
      </c>
      <c r="E10" s="5">
        <f>99/59</f>
        <v>1.6779661016949152</v>
      </c>
      <c r="F10" s="2">
        <v>58.8</v>
      </c>
      <c r="G10" s="2">
        <v>0</v>
      </c>
      <c r="H10" s="3">
        <v>0</v>
      </c>
    </row>
    <row r="11" spans="1:8" ht="14.25" customHeight="1" x14ac:dyDescent="0.25">
      <c r="A11" t="s">
        <v>9</v>
      </c>
      <c r="B11" s="4">
        <f>256.5/4</f>
        <v>64.125</v>
      </c>
      <c r="C11" s="2">
        <v>0</v>
      </c>
      <c r="D11">
        <f>2747/296</f>
        <v>9.2804054054054053</v>
      </c>
      <c r="E11" s="3">
        <f>17/14</f>
        <v>1.2142857142857142</v>
      </c>
      <c r="F11" s="2">
        <v>58.4</v>
      </c>
      <c r="G11" s="2">
        <v>-2.5</v>
      </c>
      <c r="H11" s="3">
        <f>4/11</f>
        <v>0.36363636363636365</v>
      </c>
    </row>
    <row r="12" spans="1:8" ht="14.25" customHeight="1" x14ac:dyDescent="0.25">
      <c r="A12" t="s">
        <v>10</v>
      </c>
      <c r="B12" s="4">
        <f>26.7/1</f>
        <v>26.7</v>
      </c>
      <c r="C12" s="2">
        <v>1</v>
      </c>
      <c r="D12">
        <f>(1763+1409+1738+2154)/(209+168+240+244)</f>
        <v>8.2044134727061557</v>
      </c>
      <c r="E12" s="5">
        <f>36/25</f>
        <v>1.44</v>
      </c>
      <c r="F12">
        <f>(130+92+133+146)/(209+168+240+244)*100</f>
        <v>58.188153310104532</v>
      </c>
      <c r="G12" s="2">
        <v>0</v>
      </c>
      <c r="H12" s="3">
        <v>0</v>
      </c>
    </row>
    <row r="13" spans="1:8" ht="14.25" customHeight="1" x14ac:dyDescent="0.25">
      <c r="A13" t="s">
        <v>11</v>
      </c>
      <c r="B13" s="4">
        <f>42.4/2</f>
        <v>21.2</v>
      </c>
      <c r="C13" s="2">
        <v>1</v>
      </c>
      <c r="D13">
        <f>(1078+797+1883+2033)/(148+151+253+276)</f>
        <v>6.9939613526570046</v>
      </c>
      <c r="E13" s="5">
        <f>40/33</f>
        <v>1.2121212121212122</v>
      </c>
      <c r="F13">
        <f>(89+68+153+161)/(148+151+253+276)*100</f>
        <v>56.884057971014492</v>
      </c>
      <c r="G13" s="2">
        <v>-1.5</v>
      </c>
      <c r="H13" s="3">
        <v>0</v>
      </c>
    </row>
    <row r="14" spans="1:8" ht="14.25" customHeight="1" x14ac:dyDescent="0.25">
      <c r="A14" t="s">
        <v>12</v>
      </c>
      <c r="B14" s="4">
        <f>34.4/2</f>
        <v>17.2</v>
      </c>
      <c r="C14" s="2">
        <v>1</v>
      </c>
      <c r="D14">
        <f>10745/1070</f>
        <v>10.042056074766355</v>
      </c>
      <c r="E14" s="5">
        <f>96/41</f>
        <v>2.3414634146341462</v>
      </c>
      <c r="F14">
        <f>100*669/1070</f>
        <v>62.523364485981311</v>
      </c>
      <c r="G14" s="2">
        <f>3.57391304348</f>
        <v>3.5739130434800002</v>
      </c>
      <c r="H14" s="3">
        <v>0</v>
      </c>
    </row>
    <row r="15" spans="1:8" ht="14.25" customHeight="1" x14ac:dyDescent="0.25">
      <c r="A15" t="s">
        <v>13</v>
      </c>
      <c r="B15" s="4">
        <f>127.3/3</f>
        <v>42.43333333333333</v>
      </c>
      <c r="C15">
        <v>1</v>
      </c>
      <c r="D15">
        <v>9.1</v>
      </c>
      <c r="E15" s="5">
        <v>7.5333333333333332</v>
      </c>
      <c r="F15">
        <v>68</v>
      </c>
      <c r="G15">
        <v>6.1</v>
      </c>
      <c r="H15" s="5">
        <f>19/35</f>
        <v>0.54285714285714282</v>
      </c>
    </row>
    <row r="16" spans="1:8" ht="14.25" customHeight="1" x14ac:dyDescent="0.25">
      <c r="A16" t="s">
        <v>14</v>
      </c>
      <c r="B16" s="4">
        <f>79.8/2</f>
        <v>39.9</v>
      </c>
      <c r="C16">
        <v>1</v>
      </c>
      <c r="D16">
        <v>7.5</v>
      </c>
      <c r="E16" s="5">
        <v>2.12</v>
      </c>
      <c r="F16">
        <v>55.3</v>
      </c>
      <c r="G16">
        <v>4.7</v>
      </c>
      <c r="H16" s="5">
        <f>13/31</f>
        <v>0.41935483870967744</v>
      </c>
    </row>
    <row r="17" spans="1:8" ht="14.25" customHeight="1" x14ac:dyDescent="0.25">
      <c r="A17" t="s">
        <v>22</v>
      </c>
      <c r="B17" s="4">
        <f>48.7/1</f>
        <v>48.7</v>
      </c>
      <c r="C17" s="2">
        <v>1</v>
      </c>
      <c r="D17" s="2">
        <v>8.3000000000000007</v>
      </c>
      <c r="E17" s="5">
        <f>69/27</f>
        <v>2.5555555555555554</v>
      </c>
      <c r="F17" s="2">
        <v>57</v>
      </c>
      <c r="G17" s="2">
        <v>6.3</v>
      </c>
      <c r="H17" s="5">
        <f>50/38</f>
        <v>1.3157894736842106</v>
      </c>
    </row>
    <row r="18" spans="1:8" ht="14.25" customHeight="1" x14ac:dyDescent="0.25">
      <c r="A18" t="s">
        <v>23</v>
      </c>
      <c r="B18" s="4">
        <f>463.7/8</f>
        <v>57.962499999999999</v>
      </c>
      <c r="C18" s="2">
        <v>0</v>
      </c>
      <c r="D18" s="2">
        <v>10</v>
      </c>
      <c r="E18" s="5">
        <f>30/7</f>
        <v>4.2857142857142856</v>
      </c>
      <c r="F18" s="2">
        <v>65.400000000000006</v>
      </c>
      <c r="G18" s="2">
        <v>5.6</v>
      </c>
      <c r="H18" s="5">
        <f>24/20</f>
        <v>1.2</v>
      </c>
    </row>
    <row r="19" spans="1:8" ht="14.25" customHeight="1" x14ac:dyDescent="0.25">
      <c r="A19" t="s">
        <v>24</v>
      </c>
      <c r="B19" s="4">
        <f>291.3/5</f>
        <v>58.260000000000005</v>
      </c>
      <c r="C19" s="2">
        <v>1</v>
      </c>
      <c r="D19" s="2">
        <v>7.9</v>
      </c>
      <c r="E19" s="5">
        <f>82/24</f>
        <v>3.4166666666666665</v>
      </c>
      <c r="F19" s="2">
        <v>58.2</v>
      </c>
      <c r="G19" s="2">
        <v>6.9</v>
      </c>
      <c r="H19" s="5">
        <f>59/51</f>
        <v>1.1568627450980393</v>
      </c>
    </row>
    <row r="20" spans="1:8" ht="14.25" customHeight="1" x14ac:dyDescent="0.25">
      <c r="A20" t="s">
        <v>25</v>
      </c>
      <c r="B20" s="4">
        <f>61.4/2</f>
        <v>30.7</v>
      </c>
      <c r="C20" s="2">
        <v>1</v>
      </c>
      <c r="D20" s="2">
        <v>9.1</v>
      </c>
      <c r="E20" s="5">
        <f>63/22</f>
        <v>2.8636363636363638</v>
      </c>
      <c r="F20" s="2">
        <v>68.900000000000006</v>
      </c>
      <c r="G20" s="2">
        <v>6.3</v>
      </c>
      <c r="H20" s="5">
        <f>30/26</f>
        <v>1.1538461538461537</v>
      </c>
    </row>
    <row r="21" spans="1:8" ht="14.25" customHeight="1" x14ac:dyDescent="0.25">
      <c r="A21" t="s">
        <v>26</v>
      </c>
      <c r="B21" s="4">
        <f>102.8/2</f>
        <v>51.4</v>
      </c>
      <c r="C21" s="2">
        <v>1</v>
      </c>
      <c r="D21" s="2">
        <v>9.3000000000000007</v>
      </c>
      <c r="E21" s="3">
        <f>88/16</f>
        <v>5.5</v>
      </c>
      <c r="F21" s="2">
        <v>66.400000000000006</v>
      </c>
      <c r="G21" s="2">
        <v>4.3</v>
      </c>
      <c r="H21" s="5">
        <f>57/55</f>
        <v>1.0363636363636364</v>
      </c>
    </row>
    <row r="22" spans="1:8" ht="14.25" customHeight="1" x14ac:dyDescent="0.25">
      <c r="A22" t="s">
        <v>27</v>
      </c>
      <c r="B22" s="4">
        <f>289.4/6</f>
        <v>48.233333333333327</v>
      </c>
      <c r="C22">
        <v>1</v>
      </c>
      <c r="D22">
        <v>8.4</v>
      </c>
      <c r="E22" s="5">
        <v>1.5714285714285714</v>
      </c>
      <c r="F22">
        <v>61.8</v>
      </c>
      <c r="G22">
        <v>6.8</v>
      </c>
      <c r="H22" s="5">
        <v>1</v>
      </c>
    </row>
    <row r="23" spans="1:8" ht="14.25" customHeight="1" x14ac:dyDescent="0.25">
      <c r="A23" s="2" t="s">
        <v>28</v>
      </c>
      <c r="B23" s="4">
        <f>206.9/3</f>
        <v>68.966666666666669</v>
      </c>
      <c r="C23" s="2">
        <v>1</v>
      </c>
      <c r="D23" s="2">
        <v>8</v>
      </c>
      <c r="E23" s="5">
        <f>70/23</f>
        <v>3.0434782608695654</v>
      </c>
      <c r="F23" s="2">
        <v>62.8</v>
      </c>
      <c r="G23" s="2">
        <v>4.7</v>
      </c>
      <c r="H23" s="5">
        <f>41/49</f>
        <v>0.83673469387755106</v>
      </c>
    </row>
    <row r="24" spans="1:8" ht="14.25" customHeight="1" x14ac:dyDescent="0.25">
      <c r="A24" t="s">
        <v>29</v>
      </c>
      <c r="B24" s="4">
        <f>185.9/4</f>
        <v>46.475000000000001</v>
      </c>
      <c r="C24" s="2">
        <v>1</v>
      </c>
      <c r="D24" s="2">
        <v>8.6999999999999993</v>
      </c>
      <c r="E24" s="5">
        <f>78/17</f>
        <v>4.5882352941176467</v>
      </c>
      <c r="F24" s="2">
        <v>67.099999999999994</v>
      </c>
      <c r="G24" s="2">
        <v>4.3</v>
      </c>
      <c r="H24" s="5">
        <f>33/41</f>
        <v>0.80487804878048785</v>
      </c>
    </row>
    <row r="25" spans="1:8" ht="14.25" customHeight="1" x14ac:dyDescent="0.25">
      <c r="A25" t="s">
        <v>30</v>
      </c>
      <c r="B25" s="4">
        <f>381.8/8</f>
        <v>47.725000000000001</v>
      </c>
      <c r="C25">
        <v>0</v>
      </c>
      <c r="D25">
        <v>9.6</v>
      </c>
      <c r="E25" s="5">
        <v>1.9090909090909092</v>
      </c>
      <c r="F25">
        <v>56</v>
      </c>
      <c r="G25">
        <v>5.5</v>
      </c>
      <c r="H25" s="5">
        <v>0.77272727272727271</v>
      </c>
    </row>
    <row r="26" spans="1:8" ht="14.25" customHeight="1" x14ac:dyDescent="0.25">
      <c r="A26" t="s">
        <v>31</v>
      </c>
      <c r="B26" s="4">
        <f>44.2/1</f>
        <v>44.2</v>
      </c>
      <c r="C26" s="2">
        <v>1</v>
      </c>
      <c r="D26" s="2">
        <v>8</v>
      </c>
      <c r="E26" s="3">
        <v>3</v>
      </c>
      <c r="F26" s="2">
        <v>67.400000000000006</v>
      </c>
      <c r="G26" s="2">
        <v>3.6</v>
      </c>
      <c r="H26" s="5">
        <f>30/40</f>
        <v>0.75</v>
      </c>
    </row>
    <row r="27" spans="1:8" ht="14.25" customHeight="1" x14ac:dyDescent="0.25">
      <c r="A27" t="s">
        <v>32</v>
      </c>
      <c r="B27" s="4">
        <f>210.8/4</f>
        <v>52.7</v>
      </c>
      <c r="C27" s="2">
        <v>1</v>
      </c>
      <c r="D27" s="2">
        <v>6.7</v>
      </c>
      <c r="E27" s="5">
        <f>53/35</f>
        <v>1.5142857142857142</v>
      </c>
      <c r="F27" s="2">
        <v>54</v>
      </c>
      <c r="G27" s="2">
        <v>4.3</v>
      </c>
      <c r="H27" s="5">
        <f>29/40</f>
        <v>0.72499999999999998</v>
      </c>
    </row>
    <row r="28" spans="1:8" ht="14.25" customHeight="1" x14ac:dyDescent="0.25">
      <c r="A28" t="s">
        <v>33</v>
      </c>
      <c r="B28" s="4">
        <f>56.8/2</f>
        <v>28.4</v>
      </c>
      <c r="C28" s="2">
        <v>0</v>
      </c>
      <c r="D28" s="2">
        <v>8.4</v>
      </c>
      <c r="E28" s="5">
        <f>47/19</f>
        <v>2.4736842105263159</v>
      </c>
      <c r="F28" s="2">
        <v>60.7</v>
      </c>
      <c r="G28" s="2">
        <v>3.8</v>
      </c>
      <c r="H28" s="5">
        <f>18/25</f>
        <v>0.72</v>
      </c>
    </row>
    <row r="29" spans="1:8" ht="14.25" customHeight="1" x14ac:dyDescent="0.25">
      <c r="A29" t="s">
        <v>34</v>
      </c>
      <c r="B29" s="4">
        <f>224.6/4</f>
        <v>56.15</v>
      </c>
      <c r="C29" s="2">
        <v>1</v>
      </c>
      <c r="D29" s="2">
        <v>9.3000000000000007</v>
      </c>
      <c r="E29" s="5">
        <f>105/14</f>
        <v>7.5</v>
      </c>
      <c r="F29" s="2">
        <v>66.8</v>
      </c>
      <c r="G29" s="2">
        <v>6.6</v>
      </c>
      <c r="H29" s="5">
        <f>29/41</f>
        <v>0.70731707317073167</v>
      </c>
    </row>
    <row r="30" spans="1:8" ht="14.25" customHeight="1" x14ac:dyDescent="0.25">
      <c r="A30" t="s">
        <v>35</v>
      </c>
      <c r="B30" s="4">
        <f>143.8/2</f>
        <v>71.900000000000006</v>
      </c>
      <c r="C30" s="2">
        <v>1</v>
      </c>
      <c r="D30" s="2">
        <v>8.3000000000000007</v>
      </c>
      <c r="E30" s="5">
        <f>93/29</f>
        <v>3.2068965517241379</v>
      </c>
      <c r="F30" s="2">
        <v>63.5</v>
      </c>
      <c r="G30" s="2">
        <v>2.7</v>
      </c>
      <c r="H30" s="5">
        <f>22/32</f>
        <v>0.6875</v>
      </c>
    </row>
    <row r="31" spans="1:8" ht="14.25" customHeight="1" x14ac:dyDescent="0.25">
      <c r="A31" t="s">
        <v>36</v>
      </c>
      <c r="B31" s="4">
        <f>146.6/2</f>
        <v>73.3</v>
      </c>
      <c r="C31" s="2">
        <v>1</v>
      </c>
      <c r="D31" s="2">
        <v>8.4</v>
      </c>
      <c r="E31" s="5">
        <f>90/32</f>
        <v>2.8125</v>
      </c>
      <c r="F31" s="2">
        <v>67.400000000000006</v>
      </c>
      <c r="G31" s="2">
        <v>4.4000000000000004</v>
      </c>
      <c r="H31" s="5">
        <f>26/38</f>
        <v>0.68421052631578949</v>
      </c>
    </row>
    <row r="32" spans="1:8" ht="14.25" customHeight="1" x14ac:dyDescent="0.25">
      <c r="A32" t="s">
        <v>37</v>
      </c>
      <c r="B32" s="4">
        <f>104.9/2</f>
        <v>52.45</v>
      </c>
      <c r="C32">
        <v>1</v>
      </c>
      <c r="D32">
        <v>7.3</v>
      </c>
      <c r="E32" s="5">
        <v>1.48</v>
      </c>
      <c r="F32">
        <v>59.1</v>
      </c>
      <c r="G32">
        <v>5.4</v>
      </c>
      <c r="H32" s="5">
        <v>0.64864864864864868</v>
      </c>
    </row>
    <row r="33" spans="1:8" ht="14.25" customHeight="1" x14ac:dyDescent="0.25">
      <c r="A33" t="s">
        <v>38</v>
      </c>
      <c r="B33" s="4">
        <f>604.7/12</f>
        <v>50.391666666666673</v>
      </c>
      <c r="C33">
        <v>0</v>
      </c>
      <c r="D33">
        <v>8.9</v>
      </c>
      <c r="E33" s="5">
        <v>5.875</v>
      </c>
      <c r="F33">
        <v>66.3</v>
      </c>
      <c r="G33">
        <v>3.7</v>
      </c>
      <c r="H33" s="5">
        <v>0.6</v>
      </c>
    </row>
    <row r="34" spans="1:8" ht="14.25" customHeight="1" x14ac:dyDescent="0.25">
      <c r="A34" t="s">
        <v>39</v>
      </c>
      <c r="B34" s="4">
        <f>292.9/7</f>
        <v>41.842857142857142</v>
      </c>
      <c r="C34" s="2">
        <v>0</v>
      </c>
      <c r="D34" s="2">
        <v>7.4</v>
      </c>
      <c r="E34" s="5">
        <f>26/27</f>
        <v>0.96296296296296291</v>
      </c>
      <c r="F34" s="2">
        <v>57.7</v>
      </c>
      <c r="G34" s="2">
        <v>3.8</v>
      </c>
      <c r="H34" s="5">
        <f>15/26</f>
        <v>0.57692307692307687</v>
      </c>
    </row>
    <row r="35" spans="1:8" ht="14.25" customHeight="1" x14ac:dyDescent="0.25">
      <c r="A35" t="s">
        <v>40</v>
      </c>
      <c r="B35" s="1">
        <v>43.7</v>
      </c>
      <c r="C35" s="2">
        <v>1</v>
      </c>
      <c r="D35" s="2">
        <v>6.9</v>
      </c>
      <c r="E35" s="5">
        <f>23/16</f>
        <v>1.4375</v>
      </c>
      <c r="F35" s="2">
        <v>52</v>
      </c>
      <c r="G35" s="2">
        <v>3.6</v>
      </c>
      <c r="H35" s="5">
        <f t="shared" ref="H35:H36" si="0">19/33</f>
        <v>0.5757575757575758</v>
      </c>
    </row>
    <row r="36" spans="1:8" ht="14.25" customHeight="1" x14ac:dyDescent="0.25">
      <c r="A36" t="s">
        <v>41</v>
      </c>
      <c r="B36" s="4">
        <f>129.5/4</f>
        <v>32.375</v>
      </c>
      <c r="C36" s="2">
        <v>1</v>
      </c>
      <c r="D36" s="2">
        <v>8.5</v>
      </c>
      <c r="E36" s="5">
        <f>72/32</f>
        <v>2.25</v>
      </c>
      <c r="F36" s="2">
        <v>65.7</v>
      </c>
      <c r="G36" s="2">
        <v>2.7</v>
      </c>
      <c r="H36" s="5">
        <f t="shared" si="0"/>
        <v>0.5757575757575758</v>
      </c>
    </row>
    <row r="37" spans="1:8" ht="14.25" customHeight="1" x14ac:dyDescent="0.25">
      <c r="A37" t="s">
        <v>42</v>
      </c>
      <c r="B37" s="4">
        <f>265.1/5</f>
        <v>53.02</v>
      </c>
      <c r="C37">
        <v>1</v>
      </c>
      <c r="D37">
        <v>7</v>
      </c>
      <c r="E37" s="5">
        <v>1.2941176470588236</v>
      </c>
      <c r="F37">
        <v>59.1</v>
      </c>
      <c r="G37">
        <v>1.6</v>
      </c>
      <c r="H37" s="5">
        <v>0.5714285714285714</v>
      </c>
    </row>
    <row r="38" spans="1:8" ht="14.25" customHeight="1" x14ac:dyDescent="0.25">
      <c r="A38" t="s">
        <v>43</v>
      </c>
      <c r="B38" s="4">
        <f>43.6/2</f>
        <v>21.8</v>
      </c>
      <c r="C38" s="2">
        <v>1</v>
      </c>
      <c r="D38" s="2">
        <v>9.6999999999999993</v>
      </c>
      <c r="E38" s="5">
        <f>62/10</f>
        <v>6.2</v>
      </c>
      <c r="F38" s="2">
        <v>62.7</v>
      </c>
      <c r="G38" s="2">
        <v>1.8</v>
      </c>
      <c r="H38" s="5">
        <f>21/37</f>
        <v>0.56756756756756754</v>
      </c>
    </row>
    <row r="39" spans="1:8" ht="14.25" customHeight="1" x14ac:dyDescent="0.25">
      <c r="A39" t="s">
        <v>44</v>
      </c>
      <c r="B39" s="4">
        <f>42/1</f>
        <v>42</v>
      </c>
      <c r="C39" s="2">
        <v>1</v>
      </c>
      <c r="D39" s="2">
        <v>7.3</v>
      </c>
      <c r="E39" s="5">
        <f>38/17</f>
        <v>2.2352941176470589</v>
      </c>
      <c r="F39" s="2">
        <v>53.7</v>
      </c>
      <c r="G39" s="2">
        <v>3.4</v>
      </c>
      <c r="H39" s="5">
        <f>26/46</f>
        <v>0.56521739130434778</v>
      </c>
    </row>
    <row r="40" spans="1:8" ht="14.25" customHeight="1" x14ac:dyDescent="0.25">
      <c r="A40" s="2" t="s">
        <v>45</v>
      </c>
      <c r="B40" s="1">
        <v>66.400000000000006</v>
      </c>
      <c r="C40" s="2">
        <v>1</v>
      </c>
      <c r="D40" s="2">
        <v>7.9</v>
      </c>
      <c r="E40" s="5">
        <f>86/37</f>
        <v>2.3243243243243241</v>
      </c>
      <c r="F40" s="2">
        <v>61.2</v>
      </c>
      <c r="G40" s="2">
        <v>4</v>
      </c>
      <c r="H40" s="5">
        <f>27/48</f>
        <v>0.5625</v>
      </c>
    </row>
    <row r="41" spans="1:8" ht="14.25" customHeight="1" x14ac:dyDescent="0.25">
      <c r="A41" t="s">
        <v>46</v>
      </c>
      <c r="B41" s="4">
        <f>93.5/2</f>
        <v>46.75</v>
      </c>
      <c r="C41" s="2">
        <v>1</v>
      </c>
      <c r="D41" s="2">
        <v>7.4</v>
      </c>
      <c r="E41" s="5">
        <f>59/23</f>
        <v>2.5652173913043477</v>
      </c>
      <c r="F41" s="2">
        <v>55.2</v>
      </c>
      <c r="G41" s="2">
        <v>1.4</v>
      </c>
      <c r="H41" s="5">
        <f>18/32</f>
        <v>0.5625</v>
      </c>
    </row>
    <row r="42" spans="1:8" ht="14.25" customHeight="1" x14ac:dyDescent="0.25">
      <c r="A42" t="s">
        <v>47</v>
      </c>
      <c r="B42" s="4">
        <f>76.3/2</f>
        <v>38.15</v>
      </c>
      <c r="C42" s="2">
        <v>1</v>
      </c>
      <c r="D42" s="2">
        <v>7.1</v>
      </c>
      <c r="E42" s="5">
        <f>83/27</f>
        <v>3.074074074074074</v>
      </c>
      <c r="F42" s="2">
        <v>61.1</v>
      </c>
      <c r="G42" s="2">
        <v>3</v>
      </c>
      <c r="H42" s="5">
        <f>25/46</f>
        <v>0.54347826086956519</v>
      </c>
    </row>
    <row r="43" spans="1:8" ht="14.25" customHeight="1" x14ac:dyDescent="0.25">
      <c r="A43" t="s">
        <v>48</v>
      </c>
      <c r="B43" s="4">
        <f>574.5/11</f>
        <v>52.227272727272727</v>
      </c>
      <c r="C43">
        <v>1</v>
      </c>
      <c r="D43">
        <v>8.1999999999999993</v>
      </c>
      <c r="E43" s="5">
        <v>1.8571428571428572</v>
      </c>
      <c r="F43">
        <v>59.9</v>
      </c>
      <c r="G43">
        <v>4.0999999999999996</v>
      </c>
      <c r="H43" s="5">
        <v>0.53333333333333333</v>
      </c>
    </row>
    <row r="44" spans="1:8" ht="14.25" customHeight="1" x14ac:dyDescent="0.25">
      <c r="A44" t="s">
        <v>49</v>
      </c>
      <c r="B44" s="1">
        <v>6.8</v>
      </c>
      <c r="C44" s="2">
        <v>1</v>
      </c>
      <c r="D44" s="2">
        <v>7.2</v>
      </c>
      <c r="E44" s="5">
        <f>52/39</f>
        <v>1.3333333333333333</v>
      </c>
      <c r="F44" s="2">
        <v>55.5</v>
      </c>
      <c r="G44" s="2">
        <v>2.7</v>
      </c>
      <c r="H44" s="5">
        <f>24/47</f>
        <v>0.51063829787234039</v>
      </c>
    </row>
    <row r="45" spans="1:8" ht="14.25" customHeight="1" x14ac:dyDescent="0.25">
      <c r="A45" t="s">
        <v>50</v>
      </c>
      <c r="B45" s="4">
        <f>202.9/3</f>
        <v>67.63333333333334</v>
      </c>
      <c r="C45" s="2">
        <v>1</v>
      </c>
      <c r="D45" s="2">
        <v>7.4</v>
      </c>
      <c r="E45" s="5">
        <f>48/32</f>
        <v>1.5</v>
      </c>
      <c r="F45" s="2">
        <v>56.8</v>
      </c>
      <c r="G45" s="2">
        <v>2.8</v>
      </c>
      <c r="H45" s="5">
        <f>15/31</f>
        <v>0.4838709677419355</v>
      </c>
    </row>
    <row r="46" spans="1:8" ht="14.25" customHeight="1" x14ac:dyDescent="0.25">
      <c r="A46" t="s">
        <v>51</v>
      </c>
      <c r="B46" s="4">
        <f>327.5/5</f>
        <v>65.5</v>
      </c>
      <c r="C46" s="2">
        <v>1</v>
      </c>
      <c r="D46" s="2">
        <v>7.7</v>
      </c>
      <c r="E46" s="5">
        <f>60/39</f>
        <v>1.5384615384615385</v>
      </c>
      <c r="F46" s="2">
        <v>57</v>
      </c>
      <c r="G46" s="2">
        <v>2.2999999999999998</v>
      </c>
      <c r="H46" s="5">
        <f>21/44</f>
        <v>0.47727272727272729</v>
      </c>
    </row>
    <row r="47" spans="1:8" ht="14.25" customHeight="1" x14ac:dyDescent="0.25">
      <c r="A47" t="s">
        <v>52</v>
      </c>
      <c r="B47" s="4">
        <f>317.3/6</f>
        <v>52.883333333333333</v>
      </c>
      <c r="C47">
        <v>0</v>
      </c>
      <c r="D47">
        <v>6.9</v>
      </c>
      <c r="E47" s="5">
        <v>1.4615384615384615</v>
      </c>
      <c r="F47">
        <v>59.3</v>
      </c>
      <c r="G47">
        <v>2.5</v>
      </c>
      <c r="H47" s="5">
        <v>0.47058823529411764</v>
      </c>
    </row>
    <row r="48" spans="1:8" ht="14.25" customHeight="1" x14ac:dyDescent="0.25">
      <c r="A48" t="s">
        <v>53</v>
      </c>
      <c r="B48" s="4">
        <f>188.8/3</f>
        <v>62.933333333333337</v>
      </c>
      <c r="C48" s="2">
        <v>1</v>
      </c>
      <c r="D48" s="2">
        <v>7.1</v>
      </c>
      <c r="E48" s="5">
        <f>18/26</f>
        <v>0.69230769230769229</v>
      </c>
      <c r="F48" s="2">
        <v>52.1</v>
      </c>
      <c r="G48" s="2">
        <v>4</v>
      </c>
      <c r="H48" s="5">
        <f>14/30</f>
        <v>0.46666666666666667</v>
      </c>
    </row>
    <row r="49" spans="1:8" ht="14.25" customHeight="1" x14ac:dyDescent="0.25">
      <c r="A49" t="s">
        <v>54</v>
      </c>
      <c r="B49" s="4">
        <f>272.1/5</f>
        <v>54.42</v>
      </c>
      <c r="C49" s="2">
        <v>1</v>
      </c>
      <c r="D49" s="2">
        <v>8.1</v>
      </c>
      <c r="E49" s="5">
        <f>44/20</f>
        <v>2.2000000000000002</v>
      </c>
      <c r="F49" s="2">
        <v>57.2</v>
      </c>
      <c r="G49" s="2">
        <v>4.4000000000000004</v>
      </c>
      <c r="H49" s="5">
        <f t="shared" ref="H49:H50" si="1">23/50</f>
        <v>0.46</v>
      </c>
    </row>
    <row r="50" spans="1:8" ht="14.25" customHeight="1" x14ac:dyDescent="0.25">
      <c r="A50" t="s">
        <v>55</v>
      </c>
      <c r="B50" s="4">
        <f>461.9/7</f>
        <v>65.98571428571428</v>
      </c>
      <c r="C50" s="2">
        <v>1</v>
      </c>
      <c r="D50" s="2">
        <v>7.9</v>
      </c>
      <c r="E50" s="5">
        <f>109/30</f>
        <v>3.6333333333333333</v>
      </c>
      <c r="F50" s="2">
        <v>60.9</v>
      </c>
      <c r="G50" s="2">
        <v>3.2</v>
      </c>
      <c r="H50" s="5">
        <f t="shared" si="1"/>
        <v>0.46</v>
      </c>
    </row>
    <row r="51" spans="1:8" ht="14.25" customHeight="1" x14ac:dyDescent="0.25">
      <c r="A51" t="s">
        <v>56</v>
      </c>
      <c r="B51" s="4">
        <f>56.4/2</f>
        <v>28.2</v>
      </c>
      <c r="C51" s="2">
        <v>1</v>
      </c>
      <c r="D51" s="2">
        <v>7.4</v>
      </c>
      <c r="E51" s="5">
        <f>59/23</f>
        <v>2.5652173913043477</v>
      </c>
      <c r="F51" s="2">
        <v>62.9</v>
      </c>
      <c r="G51" s="2">
        <v>2.4</v>
      </c>
      <c r="H51" s="5">
        <f>17/38</f>
        <v>0.44736842105263158</v>
      </c>
    </row>
    <row r="52" spans="1:8" ht="14.25" customHeight="1" x14ac:dyDescent="0.25">
      <c r="A52" t="s">
        <v>57</v>
      </c>
      <c r="B52" s="4">
        <f>52.3/1</f>
        <v>52.3</v>
      </c>
      <c r="C52" s="2">
        <v>1</v>
      </c>
      <c r="D52" s="2">
        <v>7.8</v>
      </c>
      <c r="E52" s="5">
        <f>44/21</f>
        <v>2.0952380952380953</v>
      </c>
      <c r="F52" s="2">
        <v>56.2</v>
      </c>
      <c r="G52" s="2">
        <v>3.2</v>
      </c>
      <c r="H52" s="5">
        <f>12/27</f>
        <v>0.44444444444444442</v>
      </c>
    </row>
    <row r="53" spans="1:8" ht="14.25" customHeight="1" x14ac:dyDescent="0.25">
      <c r="A53" t="s">
        <v>58</v>
      </c>
      <c r="B53" s="4">
        <f>108.5/3</f>
        <v>36.166666666666664</v>
      </c>
      <c r="C53" s="2">
        <v>1</v>
      </c>
      <c r="D53" s="2">
        <v>7.2</v>
      </c>
      <c r="E53" s="5">
        <f>23/31</f>
        <v>0.74193548387096775</v>
      </c>
      <c r="F53" s="2">
        <v>55.8</v>
      </c>
      <c r="G53" s="2">
        <v>1.7</v>
      </c>
      <c r="H53" s="5">
        <f>20/45</f>
        <v>0.44444444444444442</v>
      </c>
    </row>
    <row r="54" spans="1:8" ht="14.25" customHeight="1" x14ac:dyDescent="0.25">
      <c r="A54" t="s">
        <v>59</v>
      </c>
      <c r="B54" s="4">
        <f>429.3/8</f>
        <v>53.662500000000001</v>
      </c>
      <c r="C54" s="2">
        <v>1</v>
      </c>
      <c r="D54" s="2">
        <v>7.8</v>
      </c>
      <c r="E54" s="5">
        <f>71/30</f>
        <v>2.3666666666666667</v>
      </c>
      <c r="F54" s="2">
        <v>61.7</v>
      </c>
      <c r="G54" s="2">
        <v>3.9</v>
      </c>
      <c r="H54" s="5">
        <f>22/50</f>
        <v>0.44</v>
      </c>
    </row>
    <row r="55" spans="1:8" ht="14.25" customHeight="1" x14ac:dyDescent="0.25">
      <c r="A55" t="s">
        <v>60</v>
      </c>
      <c r="B55" s="4">
        <f>55.7/1</f>
        <v>55.7</v>
      </c>
      <c r="C55" s="2">
        <v>1</v>
      </c>
      <c r="D55" s="2">
        <v>9.8000000000000007</v>
      </c>
      <c r="E55" s="5">
        <f>131/30</f>
        <v>4.3666666666666663</v>
      </c>
      <c r="F55" s="2">
        <v>68.5</v>
      </c>
      <c r="G55" s="2">
        <v>2.7</v>
      </c>
      <c r="H55" s="5">
        <f>21/48</f>
        <v>0.4375</v>
      </c>
    </row>
    <row r="56" spans="1:8" ht="14.25" customHeight="1" x14ac:dyDescent="0.25">
      <c r="A56" t="s">
        <v>61</v>
      </c>
      <c r="B56" s="4">
        <f>110.9/2</f>
        <v>55.45</v>
      </c>
      <c r="C56" s="2">
        <v>1</v>
      </c>
      <c r="D56" s="2">
        <v>7.9</v>
      </c>
      <c r="E56" s="5">
        <f>57/26</f>
        <v>2.1923076923076925</v>
      </c>
      <c r="F56" s="2">
        <v>60.9</v>
      </c>
      <c r="G56" s="2">
        <v>5</v>
      </c>
      <c r="H56" s="5">
        <f>17/39</f>
        <v>0.4358974358974359</v>
      </c>
    </row>
    <row r="57" spans="1:8" ht="14.25" customHeight="1" x14ac:dyDescent="0.25">
      <c r="A57" t="s">
        <v>62</v>
      </c>
      <c r="B57" s="1">
        <v>50</v>
      </c>
      <c r="C57" s="2">
        <v>1</v>
      </c>
      <c r="D57" s="2">
        <v>6.3</v>
      </c>
      <c r="E57" s="5">
        <f>49/45</f>
        <v>1.0888888888888888</v>
      </c>
      <c r="F57" s="2">
        <v>58.7</v>
      </c>
      <c r="G57" s="2">
        <v>3.4</v>
      </c>
      <c r="H57" s="5">
        <f>20/47</f>
        <v>0.42553191489361702</v>
      </c>
    </row>
    <row r="58" spans="1:8" ht="14.25" customHeight="1" x14ac:dyDescent="0.25">
      <c r="A58" t="s">
        <v>63</v>
      </c>
      <c r="B58" s="4">
        <f>39.1/1</f>
        <v>39.1</v>
      </c>
      <c r="C58" s="2">
        <v>1</v>
      </c>
      <c r="D58" s="2">
        <v>7.9</v>
      </c>
      <c r="E58" s="5">
        <f>33/24</f>
        <v>1.375</v>
      </c>
      <c r="F58" s="2">
        <v>54.8</v>
      </c>
      <c r="G58" s="2">
        <v>2.7</v>
      </c>
      <c r="H58" s="5">
        <f>14/33</f>
        <v>0.42424242424242425</v>
      </c>
    </row>
    <row r="59" spans="1:8" ht="14.25" customHeight="1" x14ac:dyDescent="0.25">
      <c r="A59" t="s">
        <v>64</v>
      </c>
      <c r="B59" s="4">
        <f>335.2/6</f>
        <v>55.866666666666667</v>
      </c>
      <c r="C59" s="2">
        <v>1</v>
      </c>
      <c r="D59" s="2">
        <v>8.9</v>
      </c>
      <c r="E59" s="5">
        <f>77/26</f>
        <v>2.9615384615384617</v>
      </c>
      <c r="F59" s="2">
        <v>58.4</v>
      </c>
      <c r="G59" s="2">
        <v>3.4</v>
      </c>
      <c r="H59" s="5">
        <f>19/45</f>
        <v>0.42222222222222222</v>
      </c>
    </row>
    <row r="60" spans="1:8" ht="14.25" customHeight="1" x14ac:dyDescent="0.25">
      <c r="A60" t="s">
        <v>65</v>
      </c>
      <c r="B60" s="4">
        <f>187.1/5</f>
        <v>37.42</v>
      </c>
      <c r="C60">
        <v>1</v>
      </c>
      <c r="D60">
        <v>8.3000000000000007</v>
      </c>
      <c r="E60" s="5">
        <v>2.7419354838709675</v>
      </c>
      <c r="F60">
        <v>61.6</v>
      </c>
      <c r="G60">
        <v>1.6</v>
      </c>
      <c r="H60" s="5">
        <v>0.42</v>
      </c>
    </row>
    <row r="61" spans="1:8" ht="14.25" customHeight="1" x14ac:dyDescent="0.25">
      <c r="A61" t="s">
        <v>66</v>
      </c>
      <c r="B61" s="4">
        <f>94.6/4</f>
        <v>23.65</v>
      </c>
      <c r="C61">
        <v>1</v>
      </c>
      <c r="D61">
        <v>7.7</v>
      </c>
      <c r="E61" s="5">
        <v>2</v>
      </c>
      <c r="F61">
        <v>63.6</v>
      </c>
      <c r="G61">
        <v>1.1000000000000001</v>
      </c>
      <c r="H61" s="5">
        <v>0.41304347826086957</v>
      </c>
    </row>
    <row r="62" spans="1:8" ht="14.25" customHeight="1" x14ac:dyDescent="0.25">
      <c r="A62" t="s">
        <v>67</v>
      </c>
      <c r="B62" s="4">
        <f>224.6/5</f>
        <v>44.92</v>
      </c>
      <c r="C62" s="2">
        <v>1</v>
      </c>
      <c r="D62" s="2">
        <v>8.5</v>
      </c>
      <c r="E62" s="5">
        <f>56/19</f>
        <v>2.9473684210526314</v>
      </c>
      <c r="F62" s="2">
        <v>65.7</v>
      </c>
      <c r="G62" s="2">
        <v>2.9</v>
      </c>
      <c r="H62" s="5">
        <f>15/37</f>
        <v>0.40540540540540543</v>
      </c>
    </row>
    <row r="63" spans="1:8" ht="14.25" customHeight="1" x14ac:dyDescent="0.25">
      <c r="A63" t="s">
        <v>68</v>
      </c>
      <c r="B63" s="4">
        <f>247/5</f>
        <v>49.4</v>
      </c>
      <c r="C63" s="2">
        <v>1</v>
      </c>
      <c r="D63" s="2">
        <v>8.6</v>
      </c>
      <c r="E63" s="5">
        <f>155/46</f>
        <v>3.3695652173913042</v>
      </c>
      <c r="F63" s="2">
        <v>69.400000000000006</v>
      </c>
      <c r="G63" s="2">
        <v>3</v>
      </c>
      <c r="H63" s="5">
        <f>23/57</f>
        <v>0.40350877192982454</v>
      </c>
    </row>
    <row r="64" spans="1:8" ht="14.25" customHeight="1" x14ac:dyDescent="0.25">
      <c r="A64" t="s">
        <v>69</v>
      </c>
      <c r="B64" s="4">
        <f>20/1</f>
        <v>20</v>
      </c>
      <c r="C64" s="2">
        <v>1</v>
      </c>
      <c r="D64" s="2">
        <v>8.3000000000000007</v>
      </c>
      <c r="E64" s="5">
        <f>56/16</f>
        <v>3.5</v>
      </c>
      <c r="F64" s="2">
        <v>65.5</v>
      </c>
      <c r="G64" s="2">
        <v>3.7</v>
      </c>
      <c r="H64" s="5">
        <f>17/43</f>
        <v>0.39534883720930231</v>
      </c>
    </row>
    <row r="65" spans="1:8" ht="14.25" customHeight="1" x14ac:dyDescent="0.25">
      <c r="A65" t="s">
        <v>70</v>
      </c>
      <c r="B65" s="4">
        <f>636.5/12</f>
        <v>53.041666666666664</v>
      </c>
      <c r="C65">
        <v>1</v>
      </c>
      <c r="D65">
        <v>7</v>
      </c>
      <c r="E65" s="5">
        <v>1.6388888888888888</v>
      </c>
      <c r="F65">
        <v>57.2</v>
      </c>
      <c r="G65">
        <v>2.8</v>
      </c>
      <c r="H65" s="5">
        <v>0.37777777777777777</v>
      </c>
    </row>
    <row r="66" spans="1:8" ht="14.25" customHeight="1" x14ac:dyDescent="0.25">
      <c r="A66" t="s">
        <v>71</v>
      </c>
      <c r="B66" s="4">
        <f>172/4</f>
        <v>43</v>
      </c>
      <c r="C66">
        <v>1</v>
      </c>
      <c r="D66">
        <v>8.1</v>
      </c>
      <c r="E66" s="5">
        <v>2.4888888888888889</v>
      </c>
      <c r="F66">
        <v>70.3</v>
      </c>
      <c r="G66">
        <v>3.5</v>
      </c>
      <c r="H66" s="5">
        <v>0.37735849056603776</v>
      </c>
    </row>
    <row r="67" spans="1:8" ht="14.25" customHeight="1" x14ac:dyDescent="0.25">
      <c r="A67" t="s">
        <v>72</v>
      </c>
      <c r="B67" s="4">
        <f>823.1/13</f>
        <v>63.315384615384616</v>
      </c>
      <c r="C67">
        <v>1</v>
      </c>
      <c r="D67">
        <v>7.9</v>
      </c>
      <c r="E67" s="5">
        <f>95/34</f>
        <v>2.7941176470588234</v>
      </c>
      <c r="F67">
        <v>63.6</v>
      </c>
      <c r="G67">
        <v>0.4</v>
      </c>
      <c r="H67" s="5">
        <f>17/49</f>
        <v>0.34693877551020408</v>
      </c>
    </row>
    <row r="68" spans="1:8" ht="14.25" customHeight="1" x14ac:dyDescent="0.25">
      <c r="A68" t="s">
        <v>73</v>
      </c>
      <c r="B68" s="4">
        <f>181.3/6</f>
        <v>30.216666666666669</v>
      </c>
      <c r="C68">
        <v>1</v>
      </c>
      <c r="D68">
        <v>7.7</v>
      </c>
      <c r="E68" s="5">
        <v>1.5</v>
      </c>
      <c r="F68">
        <v>64.2</v>
      </c>
      <c r="G68">
        <v>4.5999999999999996</v>
      </c>
      <c r="H68" s="5">
        <v>0.33333333333333331</v>
      </c>
    </row>
    <row r="69" spans="1:8" ht="14.25" customHeight="1" x14ac:dyDescent="0.25">
      <c r="A69" t="s">
        <v>74</v>
      </c>
      <c r="B69" s="4">
        <f>33.3/1</f>
        <v>33.299999999999997</v>
      </c>
      <c r="C69" s="2">
        <v>1</v>
      </c>
      <c r="D69" s="2">
        <v>7.4</v>
      </c>
      <c r="E69" s="5">
        <f>50/28</f>
        <v>1.7857142857142858</v>
      </c>
      <c r="F69" s="2">
        <v>60.7</v>
      </c>
      <c r="G69" s="2">
        <v>3.1</v>
      </c>
      <c r="H69" s="5">
        <f>14/42</f>
        <v>0.33333333333333331</v>
      </c>
    </row>
    <row r="70" spans="1:8" ht="14.25" customHeight="1" x14ac:dyDescent="0.25">
      <c r="A70" t="s">
        <v>75</v>
      </c>
      <c r="B70" s="4">
        <f>51.6/1</f>
        <v>51.6</v>
      </c>
      <c r="C70" s="2">
        <v>1</v>
      </c>
      <c r="D70" s="2">
        <v>7.5</v>
      </c>
      <c r="E70" s="5">
        <f>46/34</f>
        <v>1.3529411764705883</v>
      </c>
      <c r="F70" s="2">
        <v>54.3</v>
      </c>
      <c r="G70" s="2">
        <v>-1.1000000000000001</v>
      </c>
      <c r="H70" s="5">
        <f>10/30</f>
        <v>0.33333333333333331</v>
      </c>
    </row>
    <row r="71" spans="1:8" ht="14.25" customHeight="1" x14ac:dyDescent="0.25">
      <c r="A71" t="s">
        <v>76</v>
      </c>
      <c r="B71" s="4">
        <f>79.3/3</f>
        <v>26.433333333333334</v>
      </c>
      <c r="C71">
        <v>1</v>
      </c>
      <c r="D71">
        <v>7.3</v>
      </c>
      <c r="E71" s="5">
        <v>1.9166666666666667</v>
      </c>
      <c r="F71">
        <v>58.8</v>
      </c>
      <c r="G71">
        <v>4.0999999999999996</v>
      </c>
      <c r="H71" s="5">
        <v>0.32558139534883723</v>
      </c>
    </row>
    <row r="72" spans="1:8" ht="14.25" customHeight="1" x14ac:dyDescent="0.25">
      <c r="A72" t="s">
        <v>77</v>
      </c>
      <c r="B72" s="4">
        <f>96.9/2</f>
        <v>48.45</v>
      </c>
      <c r="C72">
        <v>1</v>
      </c>
      <c r="D72">
        <v>8.5</v>
      </c>
      <c r="E72" s="5">
        <v>4.1538461538461542</v>
      </c>
      <c r="F72">
        <v>62.7</v>
      </c>
      <c r="G72">
        <v>4</v>
      </c>
      <c r="H72" s="5">
        <v>0.32558139534883723</v>
      </c>
    </row>
    <row r="73" spans="1:8" ht="14.25" customHeight="1" x14ac:dyDescent="0.25">
      <c r="A73" t="s">
        <v>78</v>
      </c>
      <c r="B73" s="4">
        <f>758.4/12</f>
        <v>63.199999999999996</v>
      </c>
      <c r="C73">
        <v>0</v>
      </c>
      <c r="D73">
        <v>8.1999999999999993</v>
      </c>
      <c r="E73" s="5">
        <v>3.3076923076923075</v>
      </c>
      <c r="F73">
        <v>63.8</v>
      </c>
      <c r="G73">
        <v>2.1</v>
      </c>
      <c r="H73" s="5">
        <v>0.32</v>
      </c>
    </row>
    <row r="74" spans="1:8" ht="14.25" customHeight="1" x14ac:dyDescent="0.25">
      <c r="A74" t="s">
        <v>79</v>
      </c>
      <c r="B74" s="1">
        <v>3</v>
      </c>
      <c r="C74" s="2">
        <v>1</v>
      </c>
      <c r="D74" s="2">
        <v>7.3</v>
      </c>
      <c r="E74" s="3">
        <v>2</v>
      </c>
      <c r="F74" s="2">
        <v>61.7</v>
      </c>
      <c r="G74" s="2">
        <v>2.9</v>
      </c>
      <c r="H74" s="5">
        <f>12/38</f>
        <v>0.31578947368421051</v>
      </c>
    </row>
    <row r="75" spans="1:8" ht="14.25" customHeight="1" x14ac:dyDescent="0.25">
      <c r="A75" t="s">
        <v>80</v>
      </c>
      <c r="B75" s="4">
        <f>935.7/13</f>
        <v>71.976923076923086</v>
      </c>
      <c r="C75" s="2">
        <v>1</v>
      </c>
      <c r="D75" s="2">
        <v>7</v>
      </c>
      <c r="E75" s="3">
        <v>2</v>
      </c>
      <c r="F75" s="2">
        <v>61.1</v>
      </c>
      <c r="G75" s="2">
        <v>3.6</v>
      </c>
      <c r="H75" s="5">
        <f>14/45</f>
        <v>0.31111111111111112</v>
      </c>
    </row>
    <row r="76" spans="1:8" ht="14.25" customHeight="1" x14ac:dyDescent="0.25">
      <c r="A76" t="s">
        <v>81</v>
      </c>
      <c r="B76" s="4">
        <f>191.5/3</f>
        <v>63.833333333333336</v>
      </c>
      <c r="C76" s="2">
        <v>1</v>
      </c>
      <c r="D76" s="2">
        <v>8.4</v>
      </c>
      <c r="E76" s="5">
        <f>45/14</f>
        <v>3.2142857142857144</v>
      </c>
      <c r="F76" s="2">
        <v>64.099999999999994</v>
      </c>
      <c r="G76" s="2">
        <v>4.8</v>
      </c>
      <c r="H76" s="5">
        <f>13/42</f>
        <v>0.30952380952380953</v>
      </c>
    </row>
    <row r="77" spans="1:8" ht="14.25" customHeight="1" x14ac:dyDescent="0.25">
      <c r="A77" t="s">
        <v>82</v>
      </c>
      <c r="B77" s="1">
        <v>56.2</v>
      </c>
      <c r="C77" s="2">
        <v>0</v>
      </c>
      <c r="D77" s="2">
        <v>6.3</v>
      </c>
      <c r="E77" s="5">
        <f>5/6</f>
        <v>0.83333333333333337</v>
      </c>
      <c r="F77" s="2">
        <v>58</v>
      </c>
      <c r="G77" s="2">
        <v>8.6</v>
      </c>
      <c r="H77" s="5">
        <f>8/26</f>
        <v>0.30769230769230771</v>
      </c>
    </row>
    <row r="78" spans="1:8" ht="14.25" customHeight="1" x14ac:dyDescent="0.25">
      <c r="A78" t="s">
        <v>83</v>
      </c>
      <c r="B78" s="4">
        <f>83.2/2</f>
        <v>41.6</v>
      </c>
      <c r="C78" s="2">
        <v>1</v>
      </c>
      <c r="D78" s="2">
        <v>6.8</v>
      </c>
      <c r="E78" s="5">
        <f>46/15</f>
        <v>3.0666666666666669</v>
      </c>
      <c r="F78" s="2">
        <v>59.5</v>
      </c>
      <c r="G78" s="2">
        <v>3.2</v>
      </c>
      <c r="H78" s="5">
        <f>12/39</f>
        <v>0.30769230769230771</v>
      </c>
    </row>
    <row r="79" spans="1:8" ht="14.25" customHeight="1" x14ac:dyDescent="0.25">
      <c r="A79" t="s">
        <v>84</v>
      </c>
      <c r="B79" s="4">
        <f>65/2</f>
        <v>32.5</v>
      </c>
      <c r="C79" s="2">
        <v>1</v>
      </c>
      <c r="D79" s="2">
        <v>7.4</v>
      </c>
      <c r="E79" s="5">
        <f>38/21</f>
        <v>1.8095238095238095</v>
      </c>
      <c r="F79" s="2">
        <v>63.9</v>
      </c>
      <c r="G79" s="2">
        <v>4.7</v>
      </c>
      <c r="H79" s="5">
        <f>12/40</f>
        <v>0.3</v>
      </c>
    </row>
    <row r="80" spans="1:8" ht="14.25" customHeight="1" x14ac:dyDescent="0.25">
      <c r="A80" t="s">
        <v>85</v>
      </c>
      <c r="B80" s="4">
        <f>106.4/2</f>
        <v>53.2</v>
      </c>
      <c r="C80" s="2">
        <v>1</v>
      </c>
      <c r="D80" s="2">
        <v>8.5</v>
      </c>
      <c r="E80" s="5">
        <f>75/29</f>
        <v>2.5862068965517242</v>
      </c>
      <c r="F80" s="2">
        <v>65.900000000000006</v>
      </c>
      <c r="G80" s="2">
        <v>4</v>
      </c>
      <c r="H80" s="5">
        <f>15/51</f>
        <v>0.29411764705882354</v>
      </c>
    </row>
    <row r="81" spans="1:8" ht="14.25" customHeight="1" x14ac:dyDescent="0.25">
      <c r="A81" t="s">
        <v>86</v>
      </c>
      <c r="B81" s="4">
        <f>29.6/1</f>
        <v>29.6</v>
      </c>
      <c r="C81" s="2">
        <v>1</v>
      </c>
      <c r="D81" s="2">
        <v>7.8</v>
      </c>
      <c r="E81" s="5">
        <f>66/25</f>
        <v>2.64</v>
      </c>
      <c r="F81" s="2">
        <v>60</v>
      </c>
      <c r="G81" s="2">
        <v>0.3</v>
      </c>
      <c r="H81" s="5">
        <f>12/41</f>
        <v>0.29268292682926828</v>
      </c>
    </row>
    <row r="82" spans="1:8" ht="14.25" customHeight="1" x14ac:dyDescent="0.25">
      <c r="A82" t="s">
        <v>87</v>
      </c>
      <c r="B82" s="4">
        <f>217.4/7</f>
        <v>31.057142857142857</v>
      </c>
      <c r="C82">
        <v>1</v>
      </c>
      <c r="D82">
        <v>8.1999999999999993</v>
      </c>
      <c r="E82" s="5">
        <v>3.1481481481481484</v>
      </c>
      <c r="F82">
        <v>68.2</v>
      </c>
      <c r="G82">
        <v>4.0999999999999996</v>
      </c>
      <c r="H82" s="5">
        <v>0.2857142857142857</v>
      </c>
    </row>
    <row r="83" spans="1:8" ht="14.25" customHeight="1" x14ac:dyDescent="0.25">
      <c r="A83" t="s">
        <v>88</v>
      </c>
      <c r="B83" s="4">
        <f>135.3/4</f>
        <v>33.825000000000003</v>
      </c>
      <c r="C83" s="2">
        <v>1</v>
      </c>
      <c r="D83" s="2">
        <v>7.1</v>
      </c>
      <c r="E83" s="5">
        <f>49/30</f>
        <v>1.6333333333333333</v>
      </c>
      <c r="F83" s="2">
        <v>61.8</v>
      </c>
      <c r="G83" s="2">
        <v>2.8</v>
      </c>
      <c r="H83" s="5">
        <f>10/35</f>
        <v>0.2857142857142857</v>
      </c>
    </row>
    <row r="84" spans="1:8" ht="14.25" customHeight="1" x14ac:dyDescent="0.25">
      <c r="A84" t="s">
        <v>89</v>
      </c>
      <c r="B84" s="4">
        <f>30.8/2</f>
        <v>15.4</v>
      </c>
      <c r="C84" s="2">
        <v>1</v>
      </c>
      <c r="D84" s="2">
        <v>6.8</v>
      </c>
      <c r="E84" s="5">
        <f>67/46</f>
        <v>1.4565217391304348</v>
      </c>
      <c r="F84" s="2">
        <v>59.9</v>
      </c>
      <c r="G84" s="2">
        <v>1.5</v>
      </c>
      <c r="H84" s="5">
        <f>13/46</f>
        <v>0.28260869565217389</v>
      </c>
    </row>
    <row r="85" spans="1:8" ht="14.25" customHeight="1" x14ac:dyDescent="0.25">
      <c r="A85" t="s">
        <v>90</v>
      </c>
      <c r="B85" s="1">
        <v>9</v>
      </c>
      <c r="C85" s="2">
        <v>1</v>
      </c>
      <c r="D85" s="2">
        <v>6.8</v>
      </c>
      <c r="E85" s="5">
        <f>78/41</f>
        <v>1.9024390243902438</v>
      </c>
      <c r="F85" s="2">
        <v>56.9</v>
      </c>
      <c r="G85" s="2">
        <v>1</v>
      </c>
      <c r="H85" s="5">
        <f>12/43</f>
        <v>0.27906976744186046</v>
      </c>
    </row>
    <row r="86" spans="1:8" ht="14.25" customHeight="1" x14ac:dyDescent="0.25">
      <c r="A86" t="s">
        <v>91</v>
      </c>
      <c r="B86" s="4">
        <f>110.4/2</f>
        <v>55.2</v>
      </c>
      <c r="C86" s="2">
        <v>1</v>
      </c>
      <c r="D86" s="2">
        <v>6.7</v>
      </c>
      <c r="E86" s="3">
        <f>28/13</f>
        <v>2.1538461538461537</v>
      </c>
      <c r="F86" s="2">
        <v>59.5</v>
      </c>
      <c r="G86" s="2">
        <v>4.5</v>
      </c>
      <c r="H86" s="5">
        <f>11/40</f>
        <v>0.27500000000000002</v>
      </c>
    </row>
    <row r="87" spans="1:8" ht="14.25" customHeight="1" x14ac:dyDescent="0.25">
      <c r="A87" t="s">
        <v>92</v>
      </c>
      <c r="B87" s="1">
        <f>675.6/9</f>
        <v>75.066666666666663</v>
      </c>
      <c r="C87" s="2">
        <v>1</v>
      </c>
      <c r="D87" s="2">
        <v>8.1</v>
      </c>
      <c r="E87" s="5">
        <f>89/33</f>
        <v>2.6969696969696968</v>
      </c>
      <c r="F87" s="2">
        <v>62.5</v>
      </c>
      <c r="G87" s="2">
        <v>-1.2</v>
      </c>
      <c r="H87" s="5">
        <f>12/45</f>
        <v>0.26666666666666666</v>
      </c>
    </row>
    <row r="88" spans="1:8" ht="14.25" customHeight="1" x14ac:dyDescent="0.25">
      <c r="A88" t="s">
        <v>93</v>
      </c>
      <c r="B88" s="4">
        <f>119.8/4</f>
        <v>29.95</v>
      </c>
      <c r="C88">
        <v>1</v>
      </c>
      <c r="D88">
        <v>6.8</v>
      </c>
      <c r="E88" s="5">
        <v>2.2222222222222223</v>
      </c>
      <c r="F88">
        <v>57.8</v>
      </c>
      <c r="G88">
        <v>1</v>
      </c>
      <c r="H88" s="5">
        <v>0.26315789473684209</v>
      </c>
    </row>
    <row r="89" spans="1:8" ht="14.25" customHeight="1" x14ac:dyDescent="0.25">
      <c r="A89" t="s">
        <v>94</v>
      </c>
      <c r="B89" s="4">
        <f>246.6/4</f>
        <v>61.65</v>
      </c>
      <c r="C89" s="2">
        <v>1</v>
      </c>
      <c r="D89" s="2">
        <v>9.4</v>
      </c>
      <c r="E89" s="5">
        <f>65/28</f>
        <v>2.3214285714285716</v>
      </c>
      <c r="F89" s="2">
        <v>66</v>
      </c>
      <c r="G89" s="2">
        <v>2</v>
      </c>
      <c r="H89" s="5">
        <f>7/27</f>
        <v>0.25925925925925924</v>
      </c>
    </row>
    <row r="90" spans="1:8" ht="14.25" customHeight="1" x14ac:dyDescent="0.25">
      <c r="A90" t="s">
        <v>95</v>
      </c>
      <c r="B90" s="4">
        <f>104.4/2</f>
        <v>52.2</v>
      </c>
      <c r="C90" s="2">
        <v>1</v>
      </c>
      <c r="D90" s="2">
        <v>8.3000000000000007</v>
      </c>
      <c r="E90" s="5">
        <f>41/10</f>
        <v>4.0999999999999996</v>
      </c>
      <c r="F90" s="2">
        <v>67.5</v>
      </c>
      <c r="G90" s="2">
        <v>3.7</v>
      </c>
      <c r="H90" s="5">
        <f t="shared" ref="H90:H91" si="2">8/31</f>
        <v>0.25806451612903225</v>
      </c>
    </row>
    <row r="91" spans="1:8" ht="14.25" customHeight="1" x14ac:dyDescent="0.25">
      <c r="A91" t="s">
        <v>96</v>
      </c>
      <c r="B91" s="4">
        <f>215.5/7</f>
        <v>30.785714285714285</v>
      </c>
      <c r="C91" s="2">
        <v>1</v>
      </c>
      <c r="D91" s="2">
        <v>7.3</v>
      </c>
      <c r="E91" s="5">
        <f>40/18</f>
        <v>2.2222222222222223</v>
      </c>
      <c r="F91" s="2">
        <v>60.9</v>
      </c>
      <c r="G91" s="2">
        <v>2.1</v>
      </c>
      <c r="H91" s="5">
        <f t="shared" si="2"/>
        <v>0.25806451612903225</v>
      </c>
    </row>
    <row r="92" spans="1:8" ht="14.25" customHeight="1" x14ac:dyDescent="0.25">
      <c r="A92" t="s">
        <v>97</v>
      </c>
      <c r="B92" s="9">
        <f>79.9/1</f>
        <v>79.900000000000006</v>
      </c>
      <c r="C92" s="2">
        <v>1</v>
      </c>
      <c r="D92" s="2">
        <v>6.8</v>
      </c>
      <c r="E92" s="5">
        <f>57/12</f>
        <v>4.75</v>
      </c>
      <c r="F92" s="2">
        <v>60.4</v>
      </c>
      <c r="G92" s="2">
        <v>-1</v>
      </c>
      <c r="H92" s="5">
        <f>9/35</f>
        <v>0.25714285714285712</v>
      </c>
    </row>
    <row r="93" spans="1:8" ht="14.25" customHeight="1" x14ac:dyDescent="0.25">
      <c r="A93" t="s">
        <v>98</v>
      </c>
      <c r="B93" s="4">
        <f>174/5</f>
        <v>34.799999999999997</v>
      </c>
      <c r="C93" s="2">
        <v>1</v>
      </c>
      <c r="D93" s="2">
        <v>8.6</v>
      </c>
      <c r="E93" s="5">
        <f>47/28</f>
        <v>1.6785714285714286</v>
      </c>
      <c r="F93" s="2">
        <v>66.900000000000006</v>
      </c>
      <c r="G93" s="2">
        <v>2.8</v>
      </c>
      <c r="H93" s="5">
        <f>11/43</f>
        <v>0.2558139534883721</v>
      </c>
    </row>
    <row r="94" spans="1:8" ht="14.25" customHeight="1" x14ac:dyDescent="0.25">
      <c r="A94" t="s">
        <v>99</v>
      </c>
      <c r="B94" s="4">
        <f>765.2/11</f>
        <v>69.563636363636363</v>
      </c>
      <c r="C94">
        <v>1</v>
      </c>
      <c r="D94">
        <v>6.9</v>
      </c>
      <c r="E94" s="5">
        <v>1.5135135135135136</v>
      </c>
      <c r="F94">
        <v>59.9</v>
      </c>
      <c r="G94">
        <v>0.3</v>
      </c>
      <c r="H94" s="5">
        <v>0.2558139534883721</v>
      </c>
    </row>
    <row r="95" spans="1:8" ht="14.25" customHeight="1" x14ac:dyDescent="0.25">
      <c r="A95" t="s">
        <v>100</v>
      </c>
      <c r="B95" s="4">
        <f>72.3/2</f>
        <v>36.15</v>
      </c>
      <c r="C95" s="2">
        <v>1</v>
      </c>
      <c r="D95" s="2">
        <v>7.1</v>
      </c>
      <c r="E95" s="5">
        <f>40/19</f>
        <v>2.1052631578947367</v>
      </c>
      <c r="F95" s="2">
        <v>58.1</v>
      </c>
      <c r="G95" s="2">
        <v>1.9</v>
      </c>
      <c r="H95" s="5">
        <f>10/40</f>
        <v>0.25</v>
      </c>
    </row>
    <row r="96" spans="1:8" ht="14.25" customHeight="1" x14ac:dyDescent="0.25">
      <c r="A96" t="s">
        <v>101</v>
      </c>
      <c r="B96" s="4">
        <f>156/3</f>
        <v>52</v>
      </c>
      <c r="C96" s="2">
        <v>1</v>
      </c>
      <c r="D96" s="2">
        <v>8.3000000000000007</v>
      </c>
      <c r="E96" s="5">
        <f>65/22</f>
        <v>2.9545454545454546</v>
      </c>
      <c r="F96" s="2">
        <v>62.7</v>
      </c>
      <c r="G96" s="2">
        <v>0.5</v>
      </c>
      <c r="H96" s="5">
        <f>9/36</f>
        <v>0.25</v>
      </c>
    </row>
    <row r="97" spans="1:8" ht="14.25" customHeight="1" x14ac:dyDescent="0.25">
      <c r="A97" t="s">
        <v>102</v>
      </c>
      <c r="B97" s="4">
        <f>31.9/1</f>
        <v>31.9</v>
      </c>
      <c r="C97" s="2">
        <v>1</v>
      </c>
      <c r="D97" s="2">
        <v>7.8</v>
      </c>
      <c r="E97" s="5">
        <f>58/31</f>
        <v>1.8709677419354838</v>
      </c>
      <c r="F97" s="2">
        <v>58.7</v>
      </c>
      <c r="G97" s="2">
        <v>-0.9</v>
      </c>
      <c r="H97" s="5">
        <f>10/41</f>
        <v>0.24390243902439024</v>
      </c>
    </row>
    <row r="98" spans="1:8" ht="14.25" customHeight="1" x14ac:dyDescent="0.25">
      <c r="A98" t="s">
        <v>103</v>
      </c>
      <c r="B98" s="4">
        <f>167.8/3</f>
        <v>55.933333333333337</v>
      </c>
      <c r="C98" s="2">
        <v>1</v>
      </c>
      <c r="D98" s="2">
        <v>7.1</v>
      </c>
      <c r="E98" s="5">
        <f>87/62</f>
        <v>1.403225806451613</v>
      </c>
      <c r="F98" s="2">
        <v>59.9</v>
      </c>
      <c r="G98" s="2">
        <v>0.2</v>
      </c>
      <c r="H98" s="5">
        <f>10/43</f>
        <v>0.23255813953488372</v>
      </c>
    </row>
    <row r="99" spans="1:8" ht="14.25" customHeight="1" x14ac:dyDescent="0.25">
      <c r="A99" t="s">
        <v>104</v>
      </c>
      <c r="B99" s="4">
        <f>226.7/6</f>
        <v>37.783333333333331</v>
      </c>
      <c r="C99">
        <v>1</v>
      </c>
      <c r="D99">
        <v>8.6</v>
      </c>
      <c r="E99" s="5">
        <v>4.3043478260869561</v>
      </c>
      <c r="F99">
        <v>64.8</v>
      </c>
      <c r="G99">
        <v>-0.5</v>
      </c>
      <c r="H99" s="5">
        <v>0.23076923076923078</v>
      </c>
    </row>
    <row r="100" spans="1:8" ht="14.25" customHeight="1" x14ac:dyDescent="0.25">
      <c r="A100" t="s">
        <v>105</v>
      </c>
      <c r="B100" s="4">
        <f>107.1/4</f>
        <v>26.774999999999999</v>
      </c>
      <c r="C100">
        <v>1</v>
      </c>
      <c r="D100">
        <v>7.1</v>
      </c>
      <c r="E100" s="5">
        <v>1.0652173913043479</v>
      </c>
      <c r="F100">
        <v>59.7</v>
      </c>
      <c r="G100">
        <v>0.4</v>
      </c>
      <c r="H100" s="5">
        <v>0.22727272727272727</v>
      </c>
    </row>
    <row r="101" spans="1:8" ht="14.25" customHeight="1" x14ac:dyDescent="0.25">
      <c r="A101" t="s">
        <v>106</v>
      </c>
      <c r="B101" s="4">
        <f>17.3/1</f>
        <v>17.3</v>
      </c>
      <c r="C101" s="2">
        <v>1</v>
      </c>
      <c r="D101" s="2">
        <v>7.8</v>
      </c>
      <c r="E101" s="5">
        <f>39/34</f>
        <v>1.1470588235294117</v>
      </c>
      <c r="F101" s="2">
        <v>61</v>
      </c>
      <c r="G101" s="2">
        <v>0.8</v>
      </c>
      <c r="H101" s="5">
        <f>8/37</f>
        <v>0.21621621621621623</v>
      </c>
    </row>
    <row r="102" spans="1:8" ht="14.25" customHeight="1" x14ac:dyDescent="0.25">
      <c r="A102" t="s">
        <v>107</v>
      </c>
      <c r="B102" s="4">
        <f>330.5/6</f>
        <v>55.083333333333336</v>
      </c>
      <c r="C102">
        <v>1</v>
      </c>
      <c r="D102">
        <v>7.5</v>
      </c>
      <c r="E102" s="5">
        <v>1.03125</v>
      </c>
      <c r="F102">
        <v>58.5</v>
      </c>
      <c r="G102">
        <v>-1.4</v>
      </c>
      <c r="H102" s="5">
        <v>0.21621621621621623</v>
      </c>
    </row>
    <row r="103" spans="1:8" ht="14.25" customHeight="1" x14ac:dyDescent="0.25">
      <c r="A103" t="s">
        <v>108</v>
      </c>
      <c r="B103" s="1">
        <v>0.9</v>
      </c>
      <c r="C103" s="2">
        <v>1</v>
      </c>
      <c r="D103" s="2">
        <v>6.8</v>
      </c>
      <c r="E103" s="5">
        <f>51/40</f>
        <v>1.2749999999999999</v>
      </c>
      <c r="F103" s="2">
        <v>64.7</v>
      </c>
      <c r="G103" s="2">
        <v>-1.1000000000000001</v>
      </c>
      <c r="H103" s="5">
        <f>9/42</f>
        <v>0.21428571428571427</v>
      </c>
    </row>
    <row r="104" spans="1:8" ht="14.25" customHeight="1" x14ac:dyDescent="0.25">
      <c r="A104" t="s">
        <v>109</v>
      </c>
      <c r="B104" s="4">
        <f>84.7/2</f>
        <v>42.35</v>
      </c>
      <c r="C104" s="2">
        <v>1</v>
      </c>
      <c r="D104" s="2">
        <v>7.1</v>
      </c>
      <c r="E104" s="5">
        <f>46/19</f>
        <v>2.4210526315789473</v>
      </c>
      <c r="F104" s="2">
        <v>57.4</v>
      </c>
      <c r="G104" s="2">
        <v>-0.6</v>
      </c>
      <c r="H104" s="5">
        <f>7/33</f>
        <v>0.21212121212121213</v>
      </c>
    </row>
    <row r="105" spans="1:8" ht="14.25" customHeight="1" x14ac:dyDescent="0.25">
      <c r="A105" t="s">
        <v>110</v>
      </c>
      <c r="B105" s="4">
        <f>39.4/1</f>
        <v>39.4</v>
      </c>
      <c r="C105" s="2">
        <v>1</v>
      </c>
      <c r="D105" s="2">
        <v>8</v>
      </c>
      <c r="E105" s="5">
        <f>61/20</f>
        <v>3.05</v>
      </c>
      <c r="F105" s="2">
        <v>60.3</v>
      </c>
      <c r="G105" s="2">
        <v>1</v>
      </c>
      <c r="H105" s="5">
        <f>8/38</f>
        <v>0.21052631578947367</v>
      </c>
    </row>
    <row r="106" spans="1:8" ht="14.25" customHeight="1" x14ac:dyDescent="0.25">
      <c r="A106" t="s">
        <v>111</v>
      </c>
      <c r="B106" s="4">
        <f>53.7/2</f>
        <v>26.85</v>
      </c>
      <c r="C106" s="2">
        <v>1</v>
      </c>
      <c r="D106" s="2">
        <v>7.8</v>
      </c>
      <c r="E106" s="5">
        <f>79/34</f>
        <v>2.3235294117647061</v>
      </c>
      <c r="F106" s="2">
        <v>62.4</v>
      </c>
      <c r="G106" s="2">
        <v>0.1</v>
      </c>
      <c r="H106" s="5">
        <f>9/43</f>
        <v>0.20930232558139536</v>
      </c>
    </row>
    <row r="107" spans="1:8" ht="14.25" customHeight="1" x14ac:dyDescent="0.25">
      <c r="A107" t="s">
        <v>112</v>
      </c>
      <c r="B107" s="4">
        <f>37.2/2</f>
        <v>18.600000000000001</v>
      </c>
      <c r="C107" s="2">
        <v>1</v>
      </c>
      <c r="D107" s="2">
        <v>9.1</v>
      </c>
      <c r="E107" s="5">
        <f>71/24</f>
        <v>2.9583333333333335</v>
      </c>
      <c r="F107" s="2">
        <v>65.8</v>
      </c>
      <c r="G107" s="2">
        <v>0.3</v>
      </c>
      <c r="H107" s="5">
        <f t="shared" ref="H107:H108" si="3">9/44</f>
        <v>0.20454545454545456</v>
      </c>
    </row>
    <row r="108" spans="1:8" ht="14.25" customHeight="1" x14ac:dyDescent="0.25">
      <c r="A108" t="s">
        <v>113</v>
      </c>
      <c r="B108" s="4">
        <f>56.2/1</f>
        <v>56.2</v>
      </c>
      <c r="C108" s="2">
        <v>1</v>
      </c>
      <c r="D108" s="2">
        <v>7.8</v>
      </c>
      <c r="E108" s="5">
        <f>87/46</f>
        <v>1.8913043478260869</v>
      </c>
      <c r="F108" s="2">
        <v>60</v>
      </c>
      <c r="G108" s="2">
        <v>-1.1000000000000001</v>
      </c>
      <c r="H108" s="5">
        <f t="shared" si="3"/>
        <v>0.20454545454545456</v>
      </c>
    </row>
    <row r="109" spans="1:8" ht="14.25" customHeight="1" x14ac:dyDescent="0.25">
      <c r="A109" t="s">
        <v>114</v>
      </c>
      <c r="B109" s="4">
        <f>26.6/1</f>
        <v>26.6</v>
      </c>
      <c r="C109" s="2">
        <v>1</v>
      </c>
      <c r="D109" s="2">
        <v>8</v>
      </c>
      <c r="E109" s="5">
        <f>59/26</f>
        <v>2.2692307692307692</v>
      </c>
      <c r="F109" s="2">
        <v>60.9</v>
      </c>
      <c r="G109" s="2">
        <v>-1.4</v>
      </c>
      <c r="H109" s="5">
        <f>6/30</f>
        <v>0.2</v>
      </c>
    </row>
    <row r="110" spans="1:8" ht="14.25" customHeight="1" x14ac:dyDescent="0.25">
      <c r="A110" t="s">
        <v>115</v>
      </c>
      <c r="B110" s="4">
        <f>131.9/3</f>
        <v>43.966666666666669</v>
      </c>
      <c r="C110" s="2">
        <v>1</v>
      </c>
      <c r="D110" s="2">
        <v>7.8</v>
      </c>
      <c r="E110" s="5">
        <f>101/41</f>
        <v>2.4634146341463414</v>
      </c>
      <c r="F110" s="2">
        <v>68</v>
      </c>
      <c r="G110" s="2">
        <v>2.7</v>
      </c>
      <c r="H110" s="5">
        <f>10/51</f>
        <v>0.19607843137254902</v>
      </c>
    </row>
    <row r="111" spans="1:8" ht="14.25" customHeight="1" x14ac:dyDescent="0.25">
      <c r="A111" t="s">
        <v>116</v>
      </c>
      <c r="B111" s="4">
        <f>73.2/2</f>
        <v>36.6</v>
      </c>
      <c r="C111" s="2">
        <v>1</v>
      </c>
      <c r="D111" s="2">
        <v>6.7</v>
      </c>
      <c r="E111" s="5">
        <f>67/40</f>
        <v>1.675</v>
      </c>
      <c r="F111" s="2">
        <v>58.1</v>
      </c>
      <c r="G111" s="2">
        <v>-0.2</v>
      </c>
      <c r="H111" s="5">
        <f>9/47</f>
        <v>0.19148936170212766</v>
      </c>
    </row>
    <row r="112" spans="1:8" ht="14.25" customHeight="1" x14ac:dyDescent="0.25">
      <c r="A112" t="s">
        <v>117</v>
      </c>
      <c r="B112" s="4">
        <f>47.3/1</f>
        <v>47.3</v>
      </c>
      <c r="C112" s="2">
        <v>1</v>
      </c>
      <c r="D112" s="2">
        <v>8.8000000000000007</v>
      </c>
      <c r="E112" s="5">
        <f>69/24</f>
        <v>2.875</v>
      </c>
      <c r="F112" s="2">
        <v>57.8</v>
      </c>
      <c r="G112" s="2">
        <v>-1</v>
      </c>
      <c r="H112" s="5">
        <f>7/37</f>
        <v>0.1891891891891892</v>
      </c>
    </row>
    <row r="113" spans="1:8" ht="14.25" customHeight="1" x14ac:dyDescent="0.25">
      <c r="A113" t="s">
        <v>118</v>
      </c>
      <c r="B113" s="4">
        <f>392.1/9</f>
        <v>43.56666666666667</v>
      </c>
      <c r="C113">
        <v>1</v>
      </c>
      <c r="D113">
        <v>8.5</v>
      </c>
      <c r="E113" s="5">
        <v>1.875</v>
      </c>
      <c r="F113">
        <v>64.599999999999994</v>
      </c>
      <c r="G113">
        <v>1.2</v>
      </c>
      <c r="H113" s="5">
        <v>0.1875</v>
      </c>
    </row>
    <row r="114" spans="1:8" ht="14.25" customHeight="1" x14ac:dyDescent="0.25">
      <c r="A114" t="s">
        <v>119</v>
      </c>
      <c r="B114" s="4">
        <f>378.7/6</f>
        <v>63.116666666666667</v>
      </c>
      <c r="C114" s="2">
        <v>1</v>
      </c>
      <c r="D114" s="2">
        <v>8.9</v>
      </c>
      <c r="E114" s="5">
        <f>82/22</f>
        <v>3.7272727272727271</v>
      </c>
      <c r="F114" s="2">
        <v>67</v>
      </c>
      <c r="G114" s="2">
        <v>5.9</v>
      </c>
      <c r="H114" s="5">
        <f>7/38</f>
        <v>0.18421052631578946</v>
      </c>
    </row>
    <row r="115" spans="1:8" ht="14.25" customHeight="1" x14ac:dyDescent="0.25">
      <c r="A115" t="s">
        <v>120</v>
      </c>
      <c r="B115" s="4">
        <f>848/13</f>
        <v>65.230769230769226</v>
      </c>
      <c r="C115">
        <v>1</v>
      </c>
      <c r="D115">
        <v>8.6</v>
      </c>
      <c r="E115" s="5">
        <v>2.4705882352941178</v>
      </c>
      <c r="F115">
        <v>65.5</v>
      </c>
      <c r="G115">
        <v>0.9</v>
      </c>
      <c r="H115" s="5">
        <v>0.18421052631578946</v>
      </c>
    </row>
    <row r="116" spans="1:8" ht="14.25" customHeight="1" x14ac:dyDescent="0.25">
      <c r="A116" t="s">
        <v>121</v>
      </c>
      <c r="B116" s="4">
        <f>8.8/1</f>
        <v>8.8000000000000007</v>
      </c>
      <c r="C116" s="2">
        <v>1</v>
      </c>
      <c r="D116" s="2">
        <v>8.1999999999999993</v>
      </c>
      <c r="E116" s="5">
        <f>94/40</f>
        <v>2.35</v>
      </c>
      <c r="F116" s="2">
        <v>65.3</v>
      </c>
      <c r="G116" s="2">
        <v>1.1000000000000001</v>
      </c>
      <c r="H116" s="3">
        <f>7/39</f>
        <v>0.17948717948717949</v>
      </c>
    </row>
    <row r="117" spans="1:8" ht="14.25" customHeight="1" x14ac:dyDescent="0.25">
      <c r="A117" t="s">
        <v>122</v>
      </c>
      <c r="B117" s="4">
        <f>33.8/1</f>
        <v>33.799999999999997</v>
      </c>
      <c r="C117" s="2">
        <v>1</v>
      </c>
      <c r="D117" s="2">
        <v>9</v>
      </c>
      <c r="E117" s="5">
        <f>48/25</f>
        <v>1.92</v>
      </c>
      <c r="F117" s="2">
        <v>61.3</v>
      </c>
      <c r="G117" s="2">
        <v>-2.6</v>
      </c>
      <c r="H117" s="5">
        <f>8/45</f>
        <v>0.17777777777777778</v>
      </c>
    </row>
    <row r="118" spans="1:8" ht="14.25" customHeight="1" x14ac:dyDescent="0.25">
      <c r="A118" t="s">
        <v>123</v>
      </c>
      <c r="B118" s="1">
        <v>13.9</v>
      </c>
      <c r="C118" s="2">
        <v>0</v>
      </c>
      <c r="D118" s="2">
        <v>8.6</v>
      </c>
      <c r="E118" s="5">
        <f>15/7</f>
        <v>2.1428571428571428</v>
      </c>
      <c r="F118" s="2">
        <v>61.7</v>
      </c>
      <c r="G118" s="2">
        <v>4</v>
      </c>
      <c r="H118" s="5">
        <f>4/23</f>
        <v>0.17391304347826086</v>
      </c>
    </row>
    <row r="119" spans="1:8" ht="14.25" customHeight="1" x14ac:dyDescent="0.25">
      <c r="A119" t="s">
        <v>124</v>
      </c>
      <c r="B119" s="4">
        <f>186.8/6</f>
        <v>31.133333333333336</v>
      </c>
      <c r="C119">
        <v>1</v>
      </c>
      <c r="D119">
        <v>8.3000000000000007</v>
      </c>
      <c r="E119" s="5">
        <v>2.1388888888888888</v>
      </c>
      <c r="F119">
        <v>61</v>
      </c>
      <c r="G119">
        <v>-1.1000000000000001</v>
      </c>
      <c r="H119" s="5">
        <v>0.17142857142857143</v>
      </c>
    </row>
    <row r="120" spans="1:8" ht="14.25" customHeight="1" x14ac:dyDescent="0.25">
      <c r="A120" t="s">
        <v>125</v>
      </c>
      <c r="B120" s="4">
        <f>700/12</f>
        <v>58.333333333333336</v>
      </c>
      <c r="C120">
        <v>1</v>
      </c>
      <c r="D120">
        <v>7.5</v>
      </c>
      <c r="E120" s="5">
        <v>1.4693877551020409</v>
      </c>
      <c r="F120">
        <v>59.1</v>
      </c>
      <c r="G120">
        <v>-0.8</v>
      </c>
      <c r="H120" s="5">
        <v>0.16981132075471697</v>
      </c>
    </row>
    <row r="121" spans="1:8" ht="14.25" customHeight="1" x14ac:dyDescent="0.25">
      <c r="A121" t="s">
        <v>126</v>
      </c>
      <c r="B121" s="4">
        <f>26.4/1</f>
        <v>26.4</v>
      </c>
      <c r="C121" s="2">
        <v>0</v>
      </c>
      <c r="D121" s="2">
        <v>7.6</v>
      </c>
      <c r="E121" s="5">
        <f>30/16</f>
        <v>1.875</v>
      </c>
      <c r="F121" s="2">
        <v>63.2</v>
      </c>
      <c r="G121" s="2">
        <v>1.7</v>
      </c>
      <c r="H121" s="5">
        <f>2/12</f>
        <v>0.16666666666666666</v>
      </c>
    </row>
    <row r="122" spans="1:8" ht="14.25" customHeight="1" x14ac:dyDescent="0.25">
      <c r="A122" t="s">
        <v>127</v>
      </c>
      <c r="B122" s="4">
        <f>331.3/10</f>
        <v>33.130000000000003</v>
      </c>
      <c r="C122">
        <v>1</v>
      </c>
      <c r="D122">
        <v>7.4</v>
      </c>
      <c r="E122" s="5">
        <v>1.3859649122807018</v>
      </c>
      <c r="F122">
        <v>50.7</v>
      </c>
      <c r="G122">
        <v>-2.9</v>
      </c>
      <c r="H122" s="5">
        <v>0.16326530612244897</v>
      </c>
    </row>
    <row r="123" spans="1:8" ht="14.25" customHeight="1" x14ac:dyDescent="0.25">
      <c r="A123" t="s">
        <v>128</v>
      </c>
      <c r="B123" s="1">
        <f>115.7/4</f>
        <v>28.925000000000001</v>
      </c>
      <c r="C123">
        <v>1</v>
      </c>
      <c r="D123">
        <v>7.5</v>
      </c>
      <c r="E123" s="5">
        <v>2.5416666666666665</v>
      </c>
      <c r="F123">
        <v>61</v>
      </c>
      <c r="G123">
        <v>2</v>
      </c>
      <c r="H123" s="5">
        <v>0.16216216216216217</v>
      </c>
    </row>
    <row r="124" spans="1:8" ht="14.25" customHeight="1" x14ac:dyDescent="0.25">
      <c r="A124" t="s">
        <v>129</v>
      </c>
      <c r="B124" s="4">
        <f>120.3/3</f>
        <v>40.1</v>
      </c>
      <c r="C124" s="2">
        <v>1</v>
      </c>
      <c r="D124" s="2">
        <v>7.5</v>
      </c>
      <c r="E124" s="5">
        <f>34/28</f>
        <v>1.2142857142857142</v>
      </c>
      <c r="F124" s="2">
        <v>59.9</v>
      </c>
      <c r="G124" s="2">
        <v>0.7</v>
      </c>
      <c r="H124" s="5">
        <f>6/37</f>
        <v>0.16216216216216217</v>
      </c>
    </row>
    <row r="125" spans="1:8" ht="14.25" customHeight="1" x14ac:dyDescent="0.25">
      <c r="A125" t="s">
        <v>130</v>
      </c>
      <c r="B125" s="4">
        <f>388.4/8</f>
        <v>48.55</v>
      </c>
      <c r="C125" s="2">
        <v>1</v>
      </c>
      <c r="D125" s="2">
        <v>9.4</v>
      </c>
      <c r="E125" s="5">
        <f>88/16</f>
        <v>5.5</v>
      </c>
      <c r="F125" s="2">
        <v>67.599999999999994</v>
      </c>
      <c r="G125" s="2">
        <v>0.5</v>
      </c>
      <c r="H125" s="5">
        <f>5/31</f>
        <v>0.16129032258064516</v>
      </c>
    </row>
    <row r="126" spans="1:8" ht="14.25" customHeight="1" x14ac:dyDescent="0.25">
      <c r="A126" t="s">
        <v>131</v>
      </c>
      <c r="B126" s="4">
        <f>187.3/4</f>
        <v>46.825000000000003</v>
      </c>
      <c r="C126" s="2">
        <v>0</v>
      </c>
      <c r="D126" s="2">
        <v>7.5</v>
      </c>
      <c r="E126" s="5">
        <f>33/15</f>
        <v>2.2000000000000002</v>
      </c>
      <c r="F126" s="2">
        <v>60.6</v>
      </c>
      <c r="G126" s="2">
        <v>1.6</v>
      </c>
      <c r="H126" s="5">
        <f>4/25</f>
        <v>0.16</v>
      </c>
    </row>
    <row r="127" spans="1:8" ht="14.25" customHeight="1" x14ac:dyDescent="0.25">
      <c r="A127" t="s">
        <v>132</v>
      </c>
      <c r="B127" s="4">
        <f>235/5</f>
        <v>47</v>
      </c>
      <c r="C127" s="2">
        <v>1</v>
      </c>
      <c r="D127" s="2">
        <v>7.6</v>
      </c>
      <c r="E127" s="5">
        <f>53/31</f>
        <v>1.7096774193548387</v>
      </c>
      <c r="F127" s="2">
        <v>58</v>
      </c>
      <c r="G127" s="2">
        <v>0.7</v>
      </c>
      <c r="H127" s="5">
        <f>5/32</f>
        <v>0.15625</v>
      </c>
    </row>
    <row r="128" spans="1:8" ht="14.25" customHeight="1" x14ac:dyDescent="0.25">
      <c r="A128" t="s">
        <v>133</v>
      </c>
      <c r="B128" s="4">
        <f>148.7/4</f>
        <v>37.174999999999997</v>
      </c>
      <c r="C128" s="2">
        <v>1</v>
      </c>
      <c r="D128" s="2">
        <v>7.3</v>
      </c>
      <c r="E128" s="5">
        <f>58/46</f>
        <v>1.2608695652173914</v>
      </c>
      <c r="F128" s="2">
        <v>62.3</v>
      </c>
      <c r="G128" s="2">
        <v>-1.5</v>
      </c>
      <c r="H128" s="5">
        <f>7/45</f>
        <v>0.15555555555555556</v>
      </c>
    </row>
    <row r="129" spans="1:8" ht="14.25" customHeight="1" x14ac:dyDescent="0.25">
      <c r="A129" t="s">
        <v>134</v>
      </c>
      <c r="B129" s="4">
        <f>549.9/10</f>
        <v>54.989999999999995</v>
      </c>
      <c r="C129">
        <v>1</v>
      </c>
      <c r="D129">
        <v>7.8</v>
      </c>
      <c r="E129" s="5">
        <v>1.5454545454545454</v>
      </c>
      <c r="F129">
        <v>57.1</v>
      </c>
      <c r="G129">
        <v>1.5</v>
      </c>
      <c r="H129" s="5">
        <v>0.15384615384615385</v>
      </c>
    </row>
    <row r="130" spans="1:8" ht="14.25" customHeight="1" x14ac:dyDescent="0.25">
      <c r="A130" t="s">
        <v>135</v>
      </c>
      <c r="B130" s="4">
        <f>154.1/3</f>
        <v>51.366666666666667</v>
      </c>
      <c r="C130" s="2">
        <v>1</v>
      </c>
      <c r="D130" s="2">
        <v>8.6</v>
      </c>
      <c r="E130" s="3">
        <v>3</v>
      </c>
      <c r="F130" s="2">
        <v>68.400000000000006</v>
      </c>
      <c r="G130" s="2">
        <v>0.8</v>
      </c>
      <c r="H130" s="5">
        <f>6/39</f>
        <v>0.15384615384615385</v>
      </c>
    </row>
    <row r="131" spans="1:8" ht="14.25" customHeight="1" x14ac:dyDescent="0.25">
      <c r="A131" t="s">
        <v>136</v>
      </c>
      <c r="B131" s="8">
        <f>1/30+8.4</f>
        <v>8.4333333333333336</v>
      </c>
      <c r="C131" s="2">
        <v>1</v>
      </c>
      <c r="D131" s="2">
        <v>7.8</v>
      </c>
      <c r="E131" s="5">
        <f>88/64</f>
        <v>1.375</v>
      </c>
      <c r="F131" s="2">
        <v>59.6</v>
      </c>
      <c r="G131" s="2">
        <v>-0.2</v>
      </c>
      <c r="H131" s="5">
        <f>7/46</f>
        <v>0.15217391304347827</v>
      </c>
    </row>
    <row r="132" spans="1:8" ht="14.25" customHeight="1" x14ac:dyDescent="0.25">
      <c r="A132" t="s">
        <v>137</v>
      </c>
      <c r="B132" s="4">
        <f>254.4/7</f>
        <v>36.342857142857142</v>
      </c>
      <c r="C132">
        <v>1</v>
      </c>
      <c r="D132">
        <v>8.1</v>
      </c>
      <c r="E132" s="5">
        <v>2.5625</v>
      </c>
      <c r="F132">
        <v>64.3</v>
      </c>
      <c r="G132">
        <v>0.5</v>
      </c>
      <c r="H132" s="5">
        <v>0.14814814814814814</v>
      </c>
    </row>
    <row r="133" spans="1:8" ht="14.25" customHeight="1" x14ac:dyDescent="0.25">
      <c r="A133" t="s">
        <v>138</v>
      </c>
      <c r="B133" s="4">
        <f>20.3/2</f>
        <v>10.15</v>
      </c>
      <c r="C133" s="2">
        <v>1</v>
      </c>
      <c r="D133" s="2">
        <v>7.9</v>
      </c>
      <c r="E133" s="5">
        <f>47/17</f>
        <v>2.7647058823529411</v>
      </c>
      <c r="F133" s="2">
        <v>60.1</v>
      </c>
      <c r="G133" s="2">
        <v>3.1</v>
      </c>
      <c r="H133" s="5">
        <f>5/35</f>
        <v>0.14285714285714285</v>
      </c>
    </row>
    <row r="134" spans="1:8" ht="14.25" customHeight="1" x14ac:dyDescent="0.25">
      <c r="A134" t="s">
        <v>139</v>
      </c>
      <c r="B134" s="4">
        <f>57.3/2</f>
        <v>28.65</v>
      </c>
      <c r="C134">
        <v>1</v>
      </c>
      <c r="D134">
        <v>7.3</v>
      </c>
      <c r="E134" s="5">
        <v>2.2222222222222223</v>
      </c>
      <c r="F134">
        <v>62.6</v>
      </c>
      <c r="G134">
        <v>-2</v>
      </c>
      <c r="H134" s="5">
        <v>0.14285714285714285</v>
      </c>
    </row>
    <row r="135" spans="1:8" ht="14.25" customHeight="1" x14ac:dyDescent="0.25">
      <c r="A135" t="s">
        <v>140</v>
      </c>
      <c r="B135" s="4">
        <f>155.9/4</f>
        <v>38.975000000000001</v>
      </c>
      <c r="C135">
        <v>1</v>
      </c>
      <c r="D135">
        <v>6.1</v>
      </c>
      <c r="E135" s="5">
        <v>1.3333333333333333</v>
      </c>
      <c r="F135">
        <v>47.8</v>
      </c>
      <c r="G135">
        <v>-0.6</v>
      </c>
      <c r="H135" s="5">
        <v>0.13953488372093023</v>
      </c>
    </row>
    <row r="136" spans="1:8" ht="14.25" customHeight="1" x14ac:dyDescent="0.25">
      <c r="A136" t="s">
        <v>140</v>
      </c>
      <c r="B136" s="4">
        <f>155.9/4</f>
        <v>38.975000000000001</v>
      </c>
      <c r="C136">
        <v>1</v>
      </c>
      <c r="D136">
        <v>6.1</v>
      </c>
      <c r="E136" s="5">
        <v>1.3333333333333333</v>
      </c>
      <c r="F136">
        <v>47.8</v>
      </c>
      <c r="G136">
        <v>-0.6</v>
      </c>
      <c r="H136" s="5">
        <v>0.13953488372093023</v>
      </c>
    </row>
    <row r="137" spans="1:8" ht="14.25" customHeight="1" x14ac:dyDescent="0.25">
      <c r="A137" t="s">
        <v>141</v>
      </c>
      <c r="B137" s="4">
        <f>75.7/3</f>
        <v>25.233333333333334</v>
      </c>
      <c r="C137" s="2">
        <v>1</v>
      </c>
      <c r="D137" s="2">
        <v>8.1999999999999993</v>
      </c>
      <c r="E137" s="5">
        <f>88/19</f>
        <v>4.6315789473684212</v>
      </c>
      <c r="F137" s="2">
        <v>67.5</v>
      </c>
      <c r="G137" s="2">
        <v>-2.7</v>
      </c>
      <c r="H137" s="5">
        <f>7/51</f>
        <v>0.13725490196078433</v>
      </c>
    </row>
    <row r="138" spans="1:8" ht="14.25" customHeight="1" x14ac:dyDescent="0.25">
      <c r="A138" t="s">
        <v>142</v>
      </c>
      <c r="B138" s="4">
        <f>285.1/6</f>
        <v>47.516666666666673</v>
      </c>
      <c r="C138">
        <v>1</v>
      </c>
      <c r="D138">
        <v>7</v>
      </c>
      <c r="E138" s="5">
        <v>2.25</v>
      </c>
      <c r="F138">
        <v>58.8</v>
      </c>
      <c r="G138">
        <v>1.2</v>
      </c>
      <c r="H138" s="5">
        <v>0.13636363636363635</v>
      </c>
    </row>
    <row r="139" spans="1:8" ht="14.25" customHeight="1" x14ac:dyDescent="0.25">
      <c r="A139" t="s">
        <v>143</v>
      </c>
      <c r="B139" s="4">
        <f>81.5/2</f>
        <v>40.75</v>
      </c>
      <c r="C139" s="2">
        <v>1</v>
      </c>
      <c r="D139" s="2">
        <v>6.4</v>
      </c>
      <c r="E139" s="5">
        <f>27/24</f>
        <v>1.125</v>
      </c>
      <c r="F139" s="2">
        <v>58.9</v>
      </c>
      <c r="G139" s="2">
        <v>-0.2</v>
      </c>
      <c r="H139" s="5">
        <f t="shared" ref="H139:H140" si="4">6/44</f>
        <v>0.13636363636363635</v>
      </c>
    </row>
    <row r="140" spans="1:8" ht="14.25" customHeight="1" x14ac:dyDescent="0.25">
      <c r="A140" t="s">
        <v>144</v>
      </c>
      <c r="B140" s="4">
        <f>292.4/6</f>
        <v>48.733333333333327</v>
      </c>
      <c r="C140" s="2">
        <v>1</v>
      </c>
      <c r="D140" s="2">
        <v>7.4</v>
      </c>
      <c r="E140" s="5">
        <f>64/57</f>
        <v>1.1228070175438596</v>
      </c>
      <c r="F140" s="2">
        <v>52.6</v>
      </c>
      <c r="G140" s="2">
        <v>-1.5</v>
      </c>
      <c r="H140" s="5">
        <f t="shared" si="4"/>
        <v>0.13636363636363635</v>
      </c>
    </row>
    <row r="141" spans="1:8" ht="14.25" customHeight="1" x14ac:dyDescent="0.25">
      <c r="A141" t="s">
        <v>145</v>
      </c>
      <c r="B141" s="4">
        <f>363.7/8</f>
        <v>45.462499999999999</v>
      </c>
      <c r="C141" s="2">
        <v>1</v>
      </c>
      <c r="D141" s="2">
        <v>6.1</v>
      </c>
      <c r="E141" s="5">
        <f>27/34</f>
        <v>0.79411764705882348</v>
      </c>
      <c r="F141" s="2">
        <v>51.2</v>
      </c>
      <c r="G141" s="2">
        <v>1</v>
      </c>
      <c r="H141" s="5">
        <f>4/30</f>
        <v>0.13333333333333333</v>
      </c>
    </row>
    <row r="142" spans="1:8" ht="14.25" customHeight="1" x14ac:dyDescent="0.25">
      <c r="A142" t="s">
        <v>146</v>
      </c>
      <c r="B142" s="4">
        <f>85.3/2</f>
        <v>42.65</v>
      </c>
      <c r="C142">
        <v>1</v>
      </c>
      <c r="D142">
        <v>6.8</v>
      </c>
      <c r="E142" s="5">
        <v>1.6470588235294117</v>
      </c>
      <c r="F142">
        <v>58.5</v>
      </c>
      <c r="G142">
        <v>-2</v>
      </c>
      <c r="H142" s="5">
        <v>0.13043478260869565</v>
      </c>
    </row>
    <row r="143" spans="1:8" ht="14.25" customHeight="1" x14ac:dyDescent="0.25">
      <c r="A143" t="s">
        <v>147</v>
      </c>
      <c r="B143" s="4">
        <f>97.8/2</f>
        <v>48.9</v>
      </c>
      <c r="C143" s="2">
        <v>1</v>
      </c>
      <c r="D143" s="2">
        <v>7.5</v>
      </c>
      <c r="E143" s="5">
        <f>37/19</f>
        <v>1.9473684210526316</v>
      </c>
      <c r="F143" s="2">
        <v>56.8</v>
      </c>
      <c r="G143" s="2">
        <v>-1.9</v>
      </c>
      <c r="H143" s="5">
        <f>4/31</f>
        <v>0.12903225806451613</v>
      </c>
    </row>
    <row r="144" spans="1:8" ht="14.25" customHeight="1" x14ac:dyDescent="0.25">
      <c r="A144" t="s">
        <v>148</v>
      </c>
      <c r="B144" s="4">
        <f>145/3</f>
        <v>48.333333333333336</v>
      </c>
      <c r="C144" s="2">
        <v>1</v>
      </c>
      <c r="D144" s="2">
        <v>7.9</v>
      </c>
      <c r="E144" s="5">
        <f>116/48</f>
        <v>2.4166666666666665</v>
      </c>
      <c r="F144" s="2">
        <v>64.099999999999994</v>
      </c>
      <c r="G144" s="2">
        <v>-0.9</v>
      </c>
      <c r="H144" s="5">
        <f>6/47</f>
        <v>0.1276595744680851</v>
      </c>
    </row>
    <row r="145" spans="1:8" ht="14.25" customHeight="1" x14ac:dyDescent="0.25">
      <c r="A145" t="s">
        <v>149</v>
      </c>
      <c r="B145" s="9">
        <f>96.7</f>
        <v>96.7</v>
      </c>
      <c r="C145" s="2">
        <v>0</v>
      </c>
      <c r="D145" s="2">
        <v>7.4</v>
      </c>
      <c r="E145" s="5">
        <f>37/18</f>
        <v>2.0555555555555554</v>
      </c>
      <c r="F145" s="2">
        <v>61.7</v>
      </c>
      <c r="G145" s="2">
        <v>1.3</v>
      </c>
      <c r="H145" s="5">
        <f>3/24</f>
        <v>0.125</v>
      </c>
    </row>
    <row r="146" spans="1:8" ht="14.25" customHeight="1" x14ac:dyDescent="0.25">
      <c r="A146" t="s">
        <v>150</v>
      </c>
      <c r="B146" s="4">
        <f>552.3/9</f>
        <v>61.36666666666666</v>
      </c>
      <c r="C146">
        <v>1</v>
      </c>
      <c r="D146">
        <v>7</v>
      </c>
      <c r="E146" s="5">
        <v>2.1538461538461537</v>
      </c>
      <c r="F146">
        <v>67</v>
      </c>
      <c r="G146">
        <v>0.4</v>
      </c>
      <c r="H146" s="5">
        <v>0.125</v>
      </c>
    </row>
    <row r="147" spans="1:8" ht="14.25" customHeight="1" x14ac:dyDescent="0.25">
      <c r="A147" t="s">
        <v>151</v>
      </c>
      <c r="B147" s="4">
        <f>115.2/3</f>
        <v>38.4</v>
      </c>
      <c r="C147">
        <v>1</v>
      </c>
      <c r="D147">
        <v>7.3</v>
      </c>
      <c r="E147" s="5">
        <v>2.4358974358974357</v>
      </c>
      <c r="F147">
        <v>58</v>
      </c>
      <c r="G147">
        <v>0.7</v>
      </c>
      <c r="H147" s="5">
        <v>0.12244897959183673</v>
      </c>
    </row>
    <row r="148" spans="1:8" ht="14.25" customHeight="1" x14ac:dyDescent="0.25">
      <c r="A148" t="s">
        <v>152</v>
      </c>
      <c r="B148" s="4">
        <f>130.8/3</f>
        <v>43.6</v>
      </c>
      <c r="C148" s="2">
        <v>1</v>
      </c>
      <c r="D148" s="2">
        <v>7.1</v>
      </c>
      <c r="E148">
        <f>31/13</f>
        <v>2.3846153846153846</v>
      </c>
      <c r="F148" s="2">
        <v>56.1</v>
      </c>
      <c r="G148" s="2">
        <v>2.7</v>
      </c>
      <c r="H148">
        <f>5/41</f>
        <v>0.12195121951219512</v>
      </c>
    </row>
    <row r="149" spans="1:8" ht="14.25" customHeight="1" x14ac:dyDescent="0.25">
      <c r="A149" t="s">
        <v>153</v>
      </c>
      <c r="B149" s="4">
        <f>106.4/3</f>
        <v>35.466666666666669</v>
      </c>
      <c r="C149" s="2">
        <v>1</v>
      </c>
      <c r="D149" s="2">
        <v>7.1</v>
      </c>
      <c r="E149" s="5">
        <f>27/15</f>
        <v>1.8</v>
      </c>
      <c r="F149" s="2">
        <v>59.5</v>
      </c>
      <c r="G149" s="2">
        <v>-1</v>
      </c>
      <c r="H149" s="5">
        <f>4/33</f>
        <v>0.12121212121212122</v>
      </c>
    </row>
    <row r="150" spans="1:8" ht="14.25" customHeight="1" x14ac:dyDescent="0.25">
      <c r="A150" t="s">
        <v>154</v>
      </c>
      <c r="B150" s="4">
        <f>47/1</f>
        <v>47</v>
      </c>
      <c r="C150" s="2">
        <v>1</v>
      </c>
      <c r="D150" s="2">
        <v>7.8</v>
      </c>
      <c r="E150" s="5">
        <f>64/34</f>
        <v>1.8823529411764706</v>
      </c>
      <c r="F150" s="2">
        <v>55.4</v>
      </c>
      <c r="G150" s="2">
        <v>-0.4</v>
      </c>
      <c r="H150" s="5">
        <f>5/42</f>
        <v>0.11904761904761904</v>
      </c>
    </row>
    <row r="151" spans="1:8" ht="14.25" customHeight="1" x14ac:dyDescent="0.25">
      <c r="A151" t="s">
        <v>155</v>
      </c>
      <c r="B151" s="4">
        <f>740.2/13</f>
        <v>56.938461538461539</v>
      </c>
      <c r="C151">
        <v>1</v>
      </c>
      <c r="D151">
        <v>7.4</v>
      </c>
      <c r="E151" s="5">
        <f>81/35</f>
        <v>2.3142857142857145</v>
      </c>
      <c r="F151">
        <v>60.8</v>
      </c>
      <c r="G151">
        <v>-1.1000000000000001</v>
      </c>
      <c r="H151" s="5">
        <f>5/43</f>
        <v>0.11627906976744186</v>
      </c>
    </row>
    <row r="152" spans="1:8" ht="14.25" customHeight="1" x14ac:dyDescent="0.25">
      <c r="A152" t="s">
        <v>156</v>
      </c>
      <c r="B152" s="4">
        <f>57.3/1</f>
        <v>57.3</v>
      </c>
      <c r="C152" s="2">
        <v>1</v>
      </c>
      <c r="D152" s="2">
        <v>6.8</v>
      </c>
      <c r="E152" s="5">
        <f>72/51</f>
        <v>1.411764705882353</v>
      </c>
      <c r="F152" s="2">
        <v>58.9</v>
      </c>
      <c r="G152" s="2">
        <v>-0.8</v>
      </c>
      <c r="H152" s="5">
        <f>4/35</f>
        <v>0.11428571428571428</v>
      </c>
    </row>
    <row r="153" spans="1:8" ht="14.25" customHeight="1" x14ac:dyDescent="0.25">
      <c r="A153" t="s">
        <v>157</v>
      </c>
      <c r="B153" s="4">
        <f>236.2/5</f>
        <v>47.239999999999995</v>
      </c>
      <c r="C153" s="2">
        <v>1</v>
      </c>
      <c r="D153" s="2">
        <v>7.9</v>
      </c>
      <c r="E153" s="5">
        <f>113/24</f>
        <v>4.708333333333333</v>
      </c>
      <c r="F153" s="2">
        <v>66.7</v>
      </c>
      <c r="G153" s="2">
        <v>1.2</v>
      </c>
      <c r="H153" s="5">
        <f>5/44</f>
        <v>0.11363636363636363</v>
      </c>
    </row>
    <row r="154" spans="1:8" ht="14.25" customHeight="1" x14ac:dyDescent="0.25">
      <c r="A154" t="s">
        <v>158</v>
      </c>
      <c r="B154" s="1">
        <v>2.5</v>
      </c>
      <c r="C154" s="2">
        <v>1</v>
      </c>
      <c r="D154" s="2">
        <v>7.4</v>
      </c>
      <c r="E154" s="5">
        <f>49/20</f>
        <v>2.4500000000000002</v>
      </c>
      <c r="F154" s="2">
        <v>61.7</v>
      </c>
      <c r="G154" s="2">
        <v>1.4</v>
      </c>
      <c r="H154" s="5">
        <f>3/27</f>
        <v>0.1111111111111111</v>
      </c>
    </row>
    <row r="155" spans="1:8" ht="14.25" customHeight="1" x14ac:dyDescent="0.25">
      <c r="A155" t="s">
        <v>159</v>
      </c>
      <c r="B155" s="4">
        <f>76.9/3</f>
        <v>25.633333333333336</v>
      </c>
      <c r="C155">
        <v>1</v>
      </c>
      <c r="D155">
        <v>8.3000000000000007</v>
      </c>
      <c r="E155" s="5">
        <v>2.4761904761904763</v>
      </c>
      <c r="F155">
        <v>61.9</v>
      </c>
      <c r="G155">
        <v>0.6</v>
      </c>
      <c r="H155" s="5">
        <v>0.1111111111111111</v>
      </c>
    </row>
    <row r="156" spans="1:8" ht="14.25" customHeight="1" x14ac:dyDescent="0.25">
      <c r="A156" t="s">
        <v>160</v>
      </c>
      <c r="B156" s="4">
        <f>885.9/12</f>
        <v>73.825000000000003</v>
      </c>
      <c r="C156" s="2">
        <v>1</v>
      </c>
      <c r="D156" s="2">
        <v>7.5</v>
      </c>
      <c r="E156" s="5">
        <f>30/17</f>
        <v>1.7647058823529411</v>
      </c>
      <c r="F156" s="2">
        <v>61.9</v>
      </c>
      <c r="G156" s="2">
        <v>-1.7</v>
      </c>
      <c r="H156" s="5">
        <f>3/27</f>
        <v>0.1111111111111111</v>
      </c>
    </row>
    <row r="157" spans="1:8" ht="14.25" customHeight="1" x14ac:dyDescent="0.25">
      <c r="A157" t="s">
        <v>161</v>
      </c>
      <c r="B157" s="4">
        <f>350.9/7</f>
        <v>50.128571428571426</v>
      </c>
      <c r="C157" s="2">
        <v>1</v>
      </c>
      <c r="D157" s="2">
        <v>7.2</v>
      </c>
      <c r="E157" s="5">
        <f>67/33</f>
        <v>2.0303030303030303</v>
      </c>
      <c r="F157" s="2">
        <v>66.8</v>
      </c>
      <c r="G157" s="2">
        <v>-2.7</v>
      </c>
      <c r="H157" s="5">
        <f>4/36</f>
        <v>0.1111111111111111</v>
      </c>
    </row>
    <row r="158" spans="1:8" ht="14.25" customHeight="1" x14ac:dyDescent="0.25">
      <c r="A158" t="s">
        <v>162</v>
      </c>
      <c r="B158" s="4">
        <f>5.7/1</f>
        <v>5.7</v>
      </c>
      <c r="C158" s="2">
        <v>1</v>
      </c>
      <c r="D158" s="2">
        <v>7.4</v>
      </c>
      <c r="E158" s="5">
        <f>76/36</f>
        <v>2.1111111111111112</v>
      </c>
      <c r="F158" s="2">
        <v>56.4</v>
      </c>
      <c r="G158" s="2">
        <v>-2.9</v>
      </c>
      <c r="H158" s="5">
        <f>5/45</f>
        <v>0.1111111111111111</v>
      </c>
    </row>
    <row r="159" spans="1:8" ht="14.25" customHeight="1" x14ac:dyDescent="0.25">
      <c r="A159" t="s">
        <v>163</v>
      </c>
      <c r="B159" s="4">
        <f>438.7/9</f>
        <v>48.74444444444444</v>
      </c>
      <c r="C159" s="2">
        <v>1</v>
      </c>
      <c r="D159" s="2">
        <v>6.5</v>
      </c>
      <c r="E159" s="5">
        <f>22/26</f>
        <v>0.84615384615384615</v>
      </c>
      <c r="F159" s="2">
        <v>55.6</v>
      </c>
      <c r="G159" s="2">
        <v>-1.1000000000000001</v>
      </c>
      <c r="H159" s="5">
        <f>4/37</f>
        <v>0.10810810810810811</v>
      </c>
    </row>
    <row r="160" spans="1:8" ht="14.25" customHeight="1" x14ac:dyDescent="0.25">
      <c r="A160" t="s">
        <v>164</v>
      </c>
      <c r="B160" s="1">
        <v>56.4</v>
      </c>
      <c r="C160" s="2">
        <v>1</v>
      </c>
      <c r="D160" s="2">
        <v>7</v>
      </c>
      <c r="E160" s="5">
        <f>70/28</f>
        <v>2.5</v>
      </c>
      <c r="F160" s="2">
        <v>60.3</v>
      </c>
      <c r="G160" s="2">
        <v>0.7</v>
      </c>
      <c r="H160" s="5">
        <f>5/47</f>
        <v>0.10638297872340426</v>
      </c>
    </row>
    <row r="161" spans="1:8" ht="14.25" customHeight="1" x14ac:dyDescent="0.25">
      <c r="A161" t="s">
        <v>165</v>
      </c>
      <c r="B161" s="4">
        <f>51.4/2</f>
        <v>25.7</v>
      </c>
      <c r="C161" s="2">
        <v>1</v>
      </c>
      <c r="D161" s="2">
        <v>8.8000000000000007</v>
      </c>
      <c r="E161" s="5">
        <f>32/18</f>
        <v>1.7777777777777777</v>
      </c>
      <c r="F161" s="2">
        <v>68.099999999999994</v>
      </c>
      <c r="G161" s="2">
        <v>-0.1</v>
      </c>
      <c r="H161" s="5">
        <f>3/29</f>
        <v>0.10344827586206896</v>
      </c>
    </row>
    <row r="162" spans="1:8" ht="14.25" customHeight="1" x14ac:dyDescent="0.25">
      <c r="A162" t="s">
        <v>166</v>
      </c>
      <c r="B162" s="4">
        <f>99.4/2</f>
        <v>49.7</v>
      </c>
      <c r="C162" s="2">
        <v>1</v>
      </c>
      <c r="D162" s="2">
        <v>8.6999999999999993</v>
      </c>
      <c r="E162" s="5">
        <f>33/21</f>
        <v>1.5714285714285714</v>
      </c>
      <c r="F162" s="2">
        <v>55.5</v>
      </c>
      <c r="G162" s="2">
        <v>-0.2</v>
      </c>
      <c r="H162" s="5">
        <f>4/39</f>
        <v>0.10256410256410256</v>
      </c>
    </row>
    <row r="163" spans="1:8" ht="14.25" customHeight="1" x14ac:dyDescent="0.25">
      <c r="A163" t="s">
        <v>167</v>
      </c>
      <c r="B163" s="4">
        <f>175.6/3</f>
        <v>58.533333333333331</v>
      </c>
      <c r="C163">
        <v>1</v>
      </c>
      <c r="D163">
        <v>7.3</v>
      </c>
      <c r="E163" s="5">
        <v>1.8636363636363635</v>
      </c>
      <c r="F163">
        <v>56.2</v>
      </c>
      <c r="G163">
        <v>-1</v>
      </c>
      <c r="H163" s="5">
        <v>0.10256410256410256</v>
      </c>
    </row>
    <row r="164" spans="1:8" ht="14.25" customHeight="1" x14ac:dyDescent="0.25">
      <c r="A164" t="s">
        <v>168</v>
      </c>
      <c r="B164" s="4">
        <f>285.8/6</f>
        <v>47.633333333333333</v>
      </c>
      <c r="C164" s="2">
        <v>1</v>
      </c>
      <c r="D164" s="2">
        <v>7</v>
      </c>
      <c r="E164" s="3">
        <v>2</v>
      </c>
      <c r="F164" s="2">
        <v>62.5</v>
      </c>
      <c r="G164" s="2">
        <v>3.2</v>
      </c>
      <c r="H164" s="5">
        <f>5/50</f>
        <v>0.1</v>
      </c>
    </row>
    <row r="165" spans="1:8" ht="14.25" customHeight="1" x14ac:dyDescent="0.25">
      <c r="A165" t="s">
        <v>169</v>
      </c>
      <c r="B165" s="4">
        <f>6/1</f>
        <v>6</v>
      </c>
      <c r="C165" s="2">
        <v>0</v>
      </c>
      <c r="D165" s="2">
        <v>6.8</v>
      </c>
      <c r="E165" s="5">
        <f>8/9</f>
        <v>0.88888888888888884</v>
      </c>
      <c r="F165" s="2">
        <v>53.9</v>
      </c>
      <c r="G165" s="2">
        <v>-2.5</v>
      </c>
      <c r="H165" s="5">
        <f>2/20</f>
        <v>0.1</v>
      </c>
    </row>
    <row r="166" spans="1:8" ht="14.25" customHeight="1" x14ac:dyDescent="0.25">
      <c r="A166" t="s">
        <v>170</v>
      </c>
      <c r="B166" s="4">
        <f>243.3/5</f>
        <v>48.660000000000004</v>
      </c>
      <c r="C166" s="2">
        <v>1</v>
      </c>
      <c r="D166" s="2">
        <v>8.3000000000000007</v>
      </c>
      <c r="E166" s="5">
        <f>89/28</f>
        <v>3.1785714285714284</v>
      </c>
      <c r="F166" s="2">
        <v>65.099999999999994</v>
      </c>
      <c r="G166" s="2">
        <v>1</v>
      </c>
      <c r="H166" s="5">
        <f>6/61</f>
        <v>9.8360655737704916E-2</v>
      </c>
    </row>
    <row r="167" spans="1:8" ht="14.25" customHeight="1" x14ac:dyDescent="0.25">
      <c r="A167" t="s">
        <v>171</v>
      </c>
      <c r="B167" s="4">
        <f>183/4</f>
        <v>45.75</v>
      </c>
      <c r="C167" s="2">
        <v>1</v>
      </c>
      <c r="D167" s="2">
        <v>8</v>
      </c>
      <c r="E167" s="5">
        <f>98/21</f>
        <v>4.666666666666667</v>
      </c>
      <c r="F167" s="2">
        <v>67.400000000000006</v>
      </c>
      <c r="G167" s="2">
        <v>1.4</v>
      </c>
      <c r="H167" s="5">
        <f>4/44</f>
        <v>9.0909090909090912E-2</v>
      </c>
    </row>
    <row r="168" spans="1:8" ht="14.25" customHeight="1" x14ac:dyDescent="0.25">
      <c r="A168" t="s">
        <v>172</v>
      </c>
      <c r="B168" s="4">
        <f>132.9/3</f>
        <v>44.300000000000004</v>
      </c>
      <c r="C168" s="2">
        <v>1</v>
      </c>
      <c r="D168" s="2">
        <v>6.9</v>
      </c>
      <c r="E168" s="5">
        <f>63/31</f>
        <v>2.032258064516129</v>
      </c>
      <c r="F168" s="2">
        <v>60.4</v>
      </c>
      <c r="G168" s="2">
        <v>-2.5</v>
      </c>
      <c r="H168" s="5">
        <f>3/36</f>
        <v>8.3333333333333329E-2</v>
      </c>
    </row>
    <row r="169" spans="1:8" ht="14.25" customHeight="1" x14ac:dyDescent="0.25">
      <c r="A169" t="s">
        <v>173</v>
      </c>
      <c r="B169" s="4">
        <f>18.4/1</f>
        <v>18.399999999999999</v>
      </c>
      <c r="C169" s="2">
        <v>0</v>
      </c>
      <c r="D169" s="2">
        <v>8.9</v>
      </c>
      <c r="E169" s="3">
        <v>3</v>
      </c>
      <c r="F169" s="2">
        <v>68.099999999999994</v>
      </c>
      <c r="G169" s="2">
        <v>-1.5</v>
      </c>
      <c r="H169" s="5">
        <f>2/25</f>
        <v>0.08</v>
      </c>
    </row>
    <row r="170" spans="1:8" ht="14.25" customHeight="1" x14ac:dyDescent="0.25">
      <c r="A170" t="s">
        <v>174</v>
      </c>
      <c r="B170" s="4">
        <f>16.6/1</f>
        <v>16.600000000000001</v>
      </c>
      <c r="C170" s="2">
        <v>1</v>
      </c>
      <c r="D170" s="2">
        <v>8.6</v>
      </c>
      <c r="E170" s="5">
        <f>39/10</f>
        <v>3.9</v>
      </c>
      <c r="F170" s="2">
        <v>66.3</v>
      </c>
      <c r="G170" s="2">
        <v>0.6</v>
      </c>
      <c r="H170" s="5">
        <f>2/27</f>
        <v>7.407407407407407E-2</v>
      </c>
    </row>
    <row r="171" spans="1:8" ht="14.25" customHeight="1" x14ac:dyDescent="0.25">
      <c r="A171" t="s">
        <v>175</v>
      </c>
      <c r="B171" s="4">
        <f>101.9/2</f>
        <v>50.95</v>
      </c>
      <c r="C171" s="2">
        <v>1</v>
      </c>
      <c r="D171" s="2">
        <v>6.8</v>
      </c>
      <c r="E171" s="5">
        <f>48/33</f>
        <v>1.4545454545454546</v>
      </c>
      <c r="F171" s="2">
        <v>48.8</v>
      </c>
      <c r="G171" s="2">
        <v>-2.2000000000000002</v>
      </c>
      <c r="H171" s="5">
        <f>3/41</f>
        <v>7.3170731707317069E-2</v>
      </c>
    </row>
    <row r="172" spans="1:8" ht="14.25" customHeight="1" x14ac:dyDescent="0.25">
      <c r="A172" t="s">
        <v>176</v>
      </c>
      <c r="B172" s="4">
        <f>73.6/2</f>
        <v>36.799999999999997</v>
      </c>
      <c r="C172" s="2">
        <v>1</v>
      </c>
      <c r="D172" s="2">
        <v>6.4</v>
      </c>
      <c r="E172" s="5">
        <f>32/38</f>
        <v>0.84210526315789469</v>
      </c>
      <c r="F172" s="2">
        <v>50.2</v>
      </c>
      <c r="G172" s="2">
        <v>0.4</v>
      </c>
      <c r="H172" s="5">
        <f>3/42</f>
        <v>7.1428571428571425E-2</v>
      </c>
    </row>
    <row r="173" spans="1:8" ht="14.25" customHeight="1" x14ac:dyDescent="0.25">
      <c r="A173" t="s">
        <v>177</v>
      </c>
      <c r="B173" s="4">
        <f>9.5/1</f>
        <v>9.5</v>
      </c>
      <c r="C173" s="2">
        <v>1</v>
      </c>
      <c r="D173" s="2">
        <v>7.9</v>
      </c>
      <c r="E173" s="5">
        <f>71/22</f>
        <v>3.2272727272727271</v>
      </c>
      <c r="F173" s="2">
        <v>57.5</v>
      </c>
      <c r="G173" s="2">
        <v>1.2</v>
      </c>
      <c r="H173" s="5">
        <f t="shared" ref="H173:H174" si="5">3/43</f>
        <v>6.9767441860465115E-2</v>
      </c>
    </row>
    <row r="174" spans="1:8" ht="14.25" customHeight="1" x14ac:dyDescent="0.25">
      <c r="A174" t="s">
        <v>178</v>
      </c>
      <c r="B174" s="4">
        <f>136.8/3</f>
        <v>45.6</v>
      </c>
      <c r="C174" s="2">
        <v>1</v>
      </c>
      <c r="D174" s="2">
        <v>7.5</v>
      </c>
      <c r="E174" s="5">
        <f>84/51</f>
        <v>1.6470588235294117</v>
      </c>
      <c r="F174" s="2">
        <v>61.4</v>
      </c>
      <c r="G174" s="2">
        <v>-2.5</v>
      </c>
      <c r="H174" s="5">
        <f t="shared" si="5"/>
        <v>6.9767441860465115E-2</v>
      </c>
    </row>
    <row r="175" spans="1:8" ht="14.25" customHeight="1" x14ac:dyDescent="0.25">
      <c r="A175" t="s">
        <v>179</v>
      </c>
      <c r="B175" s="4">
        <f>251.4/6</f>
        <v>41.9</v>
      </c>
      <c r="C175">
        <v>1</v>
      </c>
      <c r="D175">
        <v>7</v>
      </c>
      <c r="E175" s="5">
        <v>2.3513513513513513</v>
      </c>
      <c r="F175">
        <v>59.7</v>
      </c>
      <c r="G175">
        <v>-1.8</v>
      </c>
      <c r="H175" s="5">
        <v>6.6666666666666666E-2</v>
      </c>
    </row>
    <row r="176" spans="1:8" ht="14.25" customHeight="1" x14ac:dyDescent="0.25">
      <c r="A176" t="s">
        <v>180</v>
      </c>
      <c r="B176" s="4">
        <f>12.6/1</f>
        <v>12.6</v>
      </c>
      <c r="C176" s="2">
        <v>1</v>
      </c>
      <c r="D176" s="2">
        <v>6.9</v>
      </c>
      <c r="E176" s="5">
        <f>33/25</f>
        <v>1.32</v>
      </c>
      <c r="F176" s="2">
        <v>61.3</v>
      </c>
      <c r="G176" s="2">
        <v>0.2</v>
      </c>
      <c r="H176" s="5">
        <f>2/31</f>
        <v>6.4516129032258063E-2</v>
      </c>
    </row>
    <row r="177" spans="1:8" ht="14.25" customHeight="1" x14ac:dyDescent="0.25">
      <c r="A177" t="s">
        <v>181</v>
      </c>
      <c r="B177" s="4">
        <f>60.9/1</f>
        <v>60.9</v>
      </c>
      <c r="C177" s="2">
        <v>1</v>
      </c>
      <c r="D177" s="2">
        <v>8.1999999999999993</v>
      </c>
      <c r="E177" s="5">
        <f>115/35</f>
        <v>3.2857142857142856</v>
      </c>
      <c r="F177" s="2">
        <v>65.400000000000006</v>
      </c>
      <c r="G177" s="2">
        <v>-0.7</v>
      </c>
      <c r="H177" s="5">
        <f>2/33</f>
        <v>6.0606060606060608E-2</v>
      </c>
    </row>
    <row r="178" spans="1:8" ht="14.25" customHeight="1" x14ac:dyDescent="0.25">
      <c r="A178" t="s">
        <v>182</v>
      </c>
      <c r="B178" s="4">
        <f>117.1/3</f>
        <v>39.033333333333331</v>
      </c>
      <c r="C178">
        <v>1</v>
      </c>
      <c r="D178">
        <v>6.3</v>
      </c>
      <c r="E178" s="5">
        <v>1.0909090909090908</v>
      </c>
      <c r="F178">
        <v>56.3</v>
      </c>
      <c r="G178">
        <v>0.9</v>
      </c>
      <c r="H178" s="5">
        <v>5.7142857142857141E-2</v>
      </c>
    </row>
    <row r="179" spans="1:8" ht="14.25" customHeight="1" x14ac:dyDescent="0.25">
      <c r="A179" t="s">
        <v>183</v>
      </c>
      <c r="B179" s="7">
        <v>51.735722284399998</v>
      </c>
      <c r="C179" s="2">
        <v>1</v>
      </c>
      <c r="D179" s="2">
        <v>8.8000000000000007</v>
      </c>
      <c r="E179" s="5">
        <f>77/15</f>
        <v>5.1333333333333337</v>
      </c>
      <c r="F179" s="2">
        <v>66.900000000000006</v>
      </c>
      <c r="G179" s="2">
        <v>-0.4</v>
      </c>
      <c r="H179" s="5">
        <f t="shared" ref="H179:H181" si="6">3/53</f>
        <v>5.6603773584905662E-2</v>
      </c>
    </row>
    <row r="180" spans="1:8" ht="14.25" customHeight="1" x14ac:dyDescent="0.25">
      <c r="A180" t="s">
        <v>184</v>
      </c>
      <c r="B180" s="4">
        <f>21.7/1</f>
        <v>21.7</v>
      </c>
      <c r="C180" s="2">
        <v>1</v>
      </c>
      <c r="D180" s="2">
        <v>8.8000000000000007</v>
      </c>
      <c r="E180" s="5">
        <f>142/24</f>
        <v>5.916666666666667</v>
      </c>
      <c r="F180" s="2">
        <v>69.8</v>
      </c>
      <c r="G180" s="2">
        <v>-1.3</v>
      </c>
      <c r="H180" s="5">
        <f t="shared" si="6"/>
        <v>5.6603773584905662E-2</v>
      </c>
    </row>
    <row r="181" spans="1:8" ht="14.25" customHeight="1" x14ac:dyDescent="0.25">
      <c r="A181" t="s">
        <v>185</v>
      </c>
      <c r="B181" s="4">
        <f>157.9/3</f>
        <v>52.633333333333333</v>
      </c>
      <c r="C181" s="2">
        <v>1</v>
      </c>
      <c r="D181" s="2">
        <v>7.6</v>
      </c>
      <c r="E181" s="5">
        <f>123/52</f>
        <v>2.3653846153846154</v>
      </c>
      <c r="F181" s="2">
        <v>63.6</v>
      </c>
      <c r="G181" s="2">
        <v>-2.8</v>
      </c>
      <c r="H181" s="5">
        <f t="shared" si="6"/>
        <v>5.6603773584905662E-2</v>
      </c>
    </row>
    <row r="182" spans="1:8" ht="14.25" customHeight="1" x14ac:dyDescent="0.25">
      <c r="A182" t="s">
        <v>186</v>
      </c>
      <c r="B182" s="4">
        <f>30.1/2</f>
        <v>15.05</v>
      </c>
      <c r="C182" s="2">
        <v>1</v>
      </c>
      <c r="D182" s="2">
        <v>8.9</v>
      </c>
      <c r="E182" s="5">
        <f>79/32</f>
        <v>2.46875</v>
      </c>
      <c r="F182" s="2">
        <v>58.7</v>
      </c>
      <c r="G182" s="2">
        <v>-3.3</v>
      </c>
      <c r="H182" s="5">
        <f>2/36</f>
        <v>5.5555555555555552E-2</v>
      </c>
    </row>
    <row r="183" spans="1:8" ht="14.25" customHeight="1" x14ac:dyDescent="0.25">
      <c r="A183" t="s">
        <v>187</v>
      </c>
      <c r="B183" s="4">
        <f>172.5/4</f>
        <v>43.125</v>
      </c>
      <c r="C183" s="2">
        <v>1</v>
      </c>
      <c r="D183" s="2">
        <v>8</v>
      </c>
      <c r="E183" s="5">
        <f>59/34</f>
        <v>1.7352941176470589</v>
      </c>
      <c r="F183" s="2">
        <v>61.6</v>
      </c>
      <c r="G183" s="2">
        <v>-3</v>
      </c>
      <c r="H183" s="5">
        <f>2/38</f>
        <v>5.2631578947368418E-2</v>
      </c>
    </row>
    <row r="184" spans="1:8" ht="14.25" customHeight="1" x14ac:dyDescent="0.25">
      <c r="A184" t="s">
        <v>188</v>
      </c>
      <c r="B184" s="4">
        <f>284.1/6</f>
        <v>47.35</v>
      </c>
      <c r="C184" s="2">
        <v>1</v>
      </c>
      <c r="D184" s="2">
        <v>6.9</v>
      </c>
      <c r="E184" s="5">
        <f>35/23</f>
        <v>1.5217391304347827</v>
      </c>
      <c r="F184" s="2">
        <v>55.8</v>
      </c>
      <c r="G184" s="2">
        <v>-2.2000000000000002</v>
      </c>
      <c r="H184" s="5">
        <f>2/39</f>
        <v>5.128205128205128E-2</v>
      </c>
    </row>
    <row r="185" spans="1:8" ht="14.25" customHeight="1" x14ac:dyDescent="0.25">
      <c r="A185" t="s">
        <v>189</v>
      </c>
      <c r="B185" s="4">
        <f>13.2/1</f>
        <v>13.2</v>
      </c>
      <c r="C185" s="2">
        <v>1</v>
      </c>
      <c r="D185" s="2">
        <v>8.3000000000000007</v>
      </c>
      <c r="E185" s="5">
        <f>86/28</f>
        <v>3.0714285714285716</v>
      </c>
      <c r="F185" s="2">
        <v>57.9</v>
      </c>
      <c r="G185" s="2">
        <v>-1.3</v>
      </c>
      <c r="H185" s="5">
        <f>2/41</f>
        <v>4.878048780487805E-2</v>
      </c>
    </row>
    <row r="186" spans="1:8" ht="14.25" customHeight="1" x14ac:dyDescent="0.25">
      <c r="A186" t="s">
        <v>190</v>
      </c>
      <c r="B186" s="4">
        <f>11/1</f>
        <v>11</v>
      </c>
      <c r="C186" s="2">
        <v>1</v>
      </c>
      <c r="D186" s="2">
        <v>7.3</v>
      </c>
      <c r="E186" s="5">
        <f>48/32</f>
        <v>1.5</v>
      </c>
      <c r="F186" s="2">
        <v>56.9</v>
      </c>
      <c r="G186" s="2">
        <v>2.4</v>
      </c>
      <c r="H186" s="5">
        <f>2/44</f>
        <v>4.5454545454545456E-2</v>
      </c>
    </row>
    <row r="187" spans="1:8" ht="14.25" customHeight="1" x14ac:dyDescent="0.25">
      <c r="A187" t="s">
        <v>191</v>
      </c>
      <c r="B187" s="4">
        <f>168.8/3</f>
        <v>56.266666666666673</v>
      </c>
      <c r="C187" s="2">
        <v>0</v>
      </c>
      <c r="D187" s="2">
        <v>7.7</v>
      </c>
      <c r="E187" s="5">
        <f>15/6</f>
        <v>2.5</v>
      </c>
      <c r="F187" s="2">
        <v>52.8</v>
      </c>
      <c r="G187" s="2">
        <v>0</v>
      </c>
      <c r="H187" s="5">
        <f>1/22</f>
        <v>4.5454545454545456E-2</v>
      </c>
    </row>
    <row r="188" spans="1:8" ht="14.25" customHeight="1" x14ac:dyDescent="0.25">
      <c r="A188" t="s">
        <v>192</v>
      </c>
      <c r="B188" s="4">
        <f>95/3</f>
        <v>31.666666666666668</v>
      </c>
      <c r="C188" s="2">
        <v>1</v>
      </c>
      <c r="D188" s="2">
        <v>7</v>
      </c>
      <c r="E188" s="3">
        <f>14/9</f>
        <v>1.5555555555555556</v>
      </c>
      <c r="F188" s="2">
        <v>64.7</v>
      </c>
      <c r="G188" s="2">
        <v>1.5</v>
      </c>
      <c r="H188" s="5">
        <f>2/45</f>
        <v>4.4444444444444446E-2</v>
      </c>
    </row>
    <row r="189" spans="1:8" ht="14.25" customHeight="1" x14ac:dyDescent="0.25">
      <c r="A189" t="s">
        <v>193</v>
      </c>
      <c r="B189" s="4">
        <f>21.2/1</f>
        <v>21.2</v>
      </c>
      <c r="C189" s="2">
        <v>1</v>
      </c>
      <c r="D189" s="2">
        <v>7.4</v>
      </c>
      <c r="E189" s="5">
        <f>83/54</f>
        <v>1.537037037037037</v>
      </c>
      <c r="F189" s="2">
        <v>64.599999999999994</v>
      </c>
      <c r="G189" s="2">
        <v>-6.1</v>
      </c>
      <c r="H189" s="5">
        <f>2/47</f>
        <v>4.2553191489361701E-2</v>
      </c>
    </row>
    <row r="190" spans="1:8" ht="14.25" customHeight="1" x14ac:dyDescent="0.25">
      <c r="A190" t="s">
        <v>194</v>
      </c>
      <c r="B190" s="4">
        <f>9.2/1</f>
        <v>9.1999999999999993</v>
      </c>
      <c r="C190" s="2">
        <v>1</v>
      </c>
      <c r="D190" s="2">
        <v>7.3</v>
      </c>
      <c r="E190" s="5">
        <f>90/47</f>
        <v>1.9148936170212767</v>
      </c>
      <c r="F190" s="2">
        <v>55.5</v>
      </c>
      <c r="G190" s="2">
        <v>-3.1</v>
      </c>
      <c r="H190" s="5">
        <f>2/49</f>
        <v>4.0816326530612242E-2</v>
      </c>
    </row>
    <row r="191" spans="1:8" ht="14.25" customHeight="1" x14ac:dyDescent="0.25">
      <c r="A191" t="s">
        <v>195</v>
      </c>
      <c r="B191" s="4">
        <f>75.4/3</f>
        <v>25.133333333333336</v>
      </c>
      <c r="C191" s="2">
        <v>1</v>
      </c>
      <c r="D191" s="2">
        <v>8.4</v>
      </c>
      <c r="E191" s="5">
        <f>75/27</f>
        <v>2.7777777777777777</v>
      </c>
      <c r="F191" s="2">
        <v>69.5</v>
      </c>
      <c r="G191" s="2">
        <v>-3.8</v>
      </c>
      <c r="H191" s="5">
        <f>1/30</f>
        <v>3.3333333333333333E-2</v>
      </c>
    </row>
    <row r="192" spans="1:8" ht="14.25" customHeight="1" x14ac:dyDescent="0.25">
      <c r="A192" t="s">
        <v>196</v>
      </c>
      <c r="B192" s="4">
        <f>136.4/3</f>
        <v>45.466666666666669</v>
      </c>
      <c r="C192" s="2">
        <v>1</v>
      </c>
      <c r="D192" s="2">
        <v>7.8</v>
      </c>
      <c r="E192" s="5">
        <f>96/30</f>
        <v>3.2</v>
      </c>
      <c r="F192" s="2">
        <v>62.3</v>
      </c>
      <c r="G192" s="2">
        <v>-0.7</v>
      </c>
      <c r="H192" s="5">
        <f>1/37</f>
        <v>2.7027027027027029E-2</v>
      </c>
    </row>
    <row r="193" spans="1:8" ht="14.25" customHeight="1" x14ac:dyDescent="0.25">
      <c r="A193" t="s">
        <v>197</v>
      </c>
      <c r="B193" s="4">
        <f>271.2/5</f>
        <v>54.239999999999995</v>
      </c>
      <c r="C193" s="2">
        <v>1</v>
      </c>
      <c r="D193" s="2">
        <v>6.6</v>
      </c>
      <c r="E193" s="5">
        <f>52/34</f>
        <v>1.5294117647058822</v>
      </c>
      <c r="F193" s="2">
        <v>52.4</v>
      </c>
      <c r="G193" s="2">
        <v>-0.5</v>
      </c>
      <c r="H193" s="5">
        <f>1/44</f>
        <v>2.2727272727272728E-2</v>
      </c>
    </row>
    <row r="194" spans="1:8" ht="14.25" customHeight="1" x14ac:dyDescent="0.25">
      <c r="A194" t="s">
        <v>198</v>
      </c>
      <c r="B194" s="4">
        <f>424/7</f>
        <v>60.571428571428569</v>
      </c>
      <c r="C194" s="2">
        <v>1</v>
      </c>
      <c r="D194" s="2">
        <v>8.1</v>
      </c>
      <c r="E194" s="5">
        <f>66/30</f>
        <v>2.2000000000000002</v>
      </c>
      <c r="F194" s="2">
        <v>64.099999999999994</v>
      </c>
      <c r="G194" s="2">
        <v>-1.1000000000000001</v>
      </c>
      <c r="H194" s="5">
        <f>1/45</f>
        <v>2.2222222222222223E-2</v>
      </c>
    </row>
    <row r="195" spans="1:8" ht="14.25" customHeight="1" x14ac:dyDescent="0.25">
      <c r="A195" t="s">
        <v>199</v>
      </c>
      <c r="B195" s="4">
        <f>412.3/9</f>
        <v>45.81111111111111</v>
      </c>
      <c r="C195">
        <v>1</v>
      </c>
      <c r="D195">
        <v>5.8</v>
      </c>
      <c r="E195" s="5">
        <v>0</v>
      </c>
      <c r="F195">
        <v>60.6</v>
      </c>
      <c r="G195">
        <v>2.9</v>
      </c>
      <c r="H195" s="5">
        <v>0</v>
      </c>
    </row>
    <row r="196" spans="1:8" ht="14.25" customHeight="1" x14ac:dyDescent="0.25">
      <c r="A196" t="s">
        <v>200</v>
      </c>
      <c r="B196" s="4">
        <f>603.1/11</f>
        <v>54.827272727272728</v>
      </c>
      <c r="C196">
        <v>1</v>
      </c>
      <c r="D196">
        <v>2.8</v>
      </c>
      <c r="E196" s="5">
        <v>0</v>
      </c>
      <c r="F196">
        <v>25</v>
      </c>
      <c r="G196">
        <v>0</v>
      </c>
      <c r="H196" s="5">
        <v>0</v>
      </c>
    </row>
    <row r="197" spans="1:8" ht="14.25" customHeight="1" x14ac:dyDescent="0.25">
      <c r="A197" t="s">
        <v>201</v>
      </c>
      <c r="B197" s="4">
        <f>260.1/6</f>
        <v>43.35</v>
      </c>
      <c r="C197" s="2">
        <v>1</v>
      </c>
      <c r="D197" s="2">
        <v>8.1</v>
      </c>
      <c r="E197" s="5">
        <f>39/21</f>
        <v>1.8571428571428572</v>
      </c>
      <c r="F197" s="2">
        <v>56.3</v>
      </c>
      <c r="G197" s="2">
        <v>-0.1</v>
      </c>
      <c r="H197" s="3">
        <v>0</v>
      </c>
    </row>
    <row r="198" spans="1:8" ht="14.25" customHeight="1" x14ac:dyDescent="0.25">
      <c r="A198" t="s">
        <v>202</v>
      </c>
      <c r="B198" s="4">
        <f>268.9/6</f>
        <v>44.816666666666663</v>
      </c>
      <c r="C198">
        <v>0</v>
      </c>
      <c r="D198">
        <v>4.0999999999999996</v>
      </c>
      <c r="E198" s="5">
        <v>0.33333333333333331</v>
      </c>
      <c r="F198">
        <v>35.4</v>
      </c>
      <c r="G198">
        <v>-0.1</v>
      </c>
      <c r="H198" s="5">
        <v>0</v>
      </c>
    </row>
    <row r="199" spans="1:8" ht="14.25" customHeight="1" x14ac:dyDescent="0.25">
      <c r="A199" t="s">
        <v>203</v>
      </c>
      <c r="B199" s="4">
        <f>101.7/3</f>
        <v>33.9</v>
      </c>
      <c r="C199">
        <v>1</v>
      </c>
      <c r="D199">
        <v>7.5</v>
      </c>
      <c r="E199" s="5">
        <v>2.3611111111111112</v>
      </c>
      <c r="F199">
        <v>54.9</v>
      </c>
      <c r="G199">
        <v>-2.7</v>
      </c>
      <c r="H199" s="5">
        <v>0</v>
      </c>
    </row>
    <row r="200" spans="1:8" ht="14.25" customHeight="1" x14ac:dyDescent="0.25">
      <c r="A200" t="s">
        <v>204</v>
      </c>
      <c r="B200" s="4">
        <f>49.2/2</f>
        <v>24.6</v>
      </c>
      <c r="C200" s="2">
        <v>1</v>
      </c>
      <c r="D200" s="2">
        <v>8.8000000000000007</v>
      </c>
      <c r="E200" s="5">
        <f>35/15</f>
        <v>2.3333333333333335</v>
      </c>
      <c r="F200" s="2">
        <v>61.8</v>
      </c>
      <c r="G200" s="2">
        <v>-3.8</v>
      </c>
      <c r="H200" s="3">
        <v>0</v>
      </c>
    </row>
    <row r="201" spans="1:8" ht="14.25" customHeight="1" x14ac:dyDescent="0.25">
      <c r="E201" s="4"/>
    </row>
    <row r="202" spans="1:8" ht="14.25" customHeight="1" x14ac:dyDescent="0.25">
      <c r="E202" s="4"/>
    </row>
    <row r="203" spans="1:8" ht="14.25" customHeight="1" x14ac:dyDescent="0.25">
      <c r="E203" s="4"/>
    </row>
    <row r="204" spans="1:8" ht="14.25" customHeight="1" x14ac:dyDescent="0.25">
      <c r="E204" s="4"/>
    </row>
    <row r="205" spans="1:8" ht="14.25" customHeight="1" x14ac:dyDescent="0.25">
      <c r="E205" s="4"/>
    </row>
    <row r="206" spans="1:8" ht="14.25" customHeight="1" x14ac:dyDescent="0.25">
      <c r="E206" s="4"/>
    </row>
    <row r="207" spans="1:8" ht="14.25" customHeight="1" x14ac:dyDescent="0.25">
      <c r="E207" s="4"/>
    </row>
    <row r="208" spans="1:8" ht="14.25" customHeight="1" x14ac:dyDescent="0.25">
      <c r="E208" s="4"/>
    </row>
    <row r="209" spans="5:5" ht="14.25" customHeight="1" x14ac:dyDescent="0.25">
      <c r="E209" s="4"/>
    </row>
    <row r="210" spans="5:5" ht="14.25" customHeight="1" x14ac:dyDescent="0.25">
      <c r="E210" s="4"/>
    </row>
    <row r="211" spans="5:5" ht="14.25" customHeight="1" x14ac:dyDescent="0.25">
      <c r="E211" s="4"/>
    </row>
    <row r="212" spans="5:5" ht="14.25" customHeight="1" x14ac:dyDescent="0.25">
      <c r="E212" s="4"/>
    </row>
    <row r="213" spans="5:5" ht="14.25" customHeight="1" x14ac:dyDescent="0.25">
      <c r="E213" s="4"/>
    </row>
    <row r="214" spans="5:5" ht="14.25" customHeight="1" x14ac:dyDescent="0.25">
      <c r="E214" s="4"/>
    </row>
    <row r="215" spans="5:5" ht="14.25" customHeight="1" x14ac:dyDescent="0.25">
      <c r="E215" s="4"/>
    </row>
    <row r="216" spans="5:5" ht="14.25" customHeight="1" x14ac:dyDescent="0.25">
      <c r="E216" s="4"/>
    </row>
    <row r="217" spans="5:5" ht="14.25" customHeight="1" x14ac:dyDescent="0.25">
      <c r="E217" s="4"/>
    </row>
    <row r="218" spans="5:5" ht="14.25" customHeight="1" x14ac:dyDescent="0.25">
      <c r="E218" s="4"/>
    </row>
    <row r="219" spans="5:5" ht="14.25" customHeight="1" x14ac:dyDescent="0.25">
      <c r="E219" s="4"/>
    </row>
    <row r="220" spans="5:5" ht="14.25" customHeight="1" x14ac:dyDescent="0.25">
      <c r="E220" s="4"/>
    </row>
    <row r="221" spans="5:5" ht="14.25" customHeight="1" x14ac:dyDescent="0.25">
      <c r="E221" s="4"/>
    </row>
    <row r="222" spans="5:5" ht="14.25" customHeight="1" x14ac:dyDescent="0.25">
      <c r="E222" s="4"/>
    </row>
    <row r="223" spans="5:5" ht="14.25" customHeight="1" x14ac:dyDescent="0.25">
      <c r="E223" s="4"/>
    </row>
    <row r="224" spans="5:5" ht="14.25" customHeight="1" x14ac:dyDescent="0.25">
      <c r="E224" s="4"/>
    </row>
    <row r="225" spans="5:5" ht="14.25" customHeight="1" x14ac:dyDescent="0.25">
      <c r="E225" s="4"/>
    </row>
    <row r="226" spans="5:5" ht="14.25" customHeight="1" x14ac:dyDescent="0.25">
      <c r="E226" s="4"/>
    </row>
    <row r="227" spans="5:5" ht="14.25" customHeight="1" x14ac:dyDescent="0.25">
      <c r="E227" s="4"/>
    </row>
    <row r="228" spans="5:5" ht="14.25" customHeight="1" x14ac:dyDescent="0.25">
      <c r="E228" s="4"/>
    </row>
    <row r="229" spans="5:5" ht="14.25" customHeight="1" x14ac:dyDescent="0.25">
      <c r="E229" s="4"/>
    </row>
    <row r="230" spans="5:5" ht="14.25" customHeight="1" x14ac:dyDescent="0.25">
      <c r="E230" s="4"/>
    </row>
    <row r="231" spans="5:5" ht="14.25" customHeight="1" x14ac:dyDescent="0.25">
      <c r="E231" s="4"/>
    </row>
    <row r="232" spans="5:5" ht="14.25" customHeight="1" x14ac:dyDescent="0.25">
      <c r="E232" s="4"/>
    </row>
    <row r="233" spans="5:5" ht="14.25" customHeight="1" x14ac:dyDescent="0.25">
      <c r="E233" s="4"/>
    </row>
    <row r="234" spans="5:5" ht="14.25" customHeight="1" x14ac:dyDescent="0.25">
      <c r="E234" s="4"/>
    </row>
    <row r="235" spans="5:5" ht="14.25" customHeight="1" x14ac:dyDescent="0.25">
      <c r="E235" s="4"/>
    </row>
    <row r="236" spans="5:5" ht="14.25" customHeight="1" x14ac:dyDescent="0.25">
      <c r="E236" s="4"/>
    </row>
    <row r="237" spans="5:5" ht="14.25" customHeight="1" x14ac:dyDescent="0.25">
      <c r="E237" s="4"/>
    </row>
    <row r="238" spans="5:5" ht="14.25" customHeight="1" x14ac:dyDescent="0.25">
      <c r="E238" s="4"/>
    </row>
    <row r="239" spans="5:5" ht="14.25" customHeight="1" x14ac:dyDescent="0.25">
      <c r="E239" s="4"/>
    </row>
    <row r="240" spans="5:5" ht="14.25" customHeight="1" x14ac:dyDescent="0.25">
      <c r="E240" s="4"/>
    </row>
    <row r="241" spans="5:5" ht="14.25" customHeight="1" x14ac:dyDescent="0.25">
      <c r="E241" s="4"/>
    </row>
    <row r="242" spans="5:5" ht="14.25" customHeight="1" x14ac:dyDescent="0.25">
      <c r="E242" s="4"/>
    </row>
    <row r="243" spans="5:5" ht="14.25" customHeight="1" x14ac:dyDescent="0.25">
      <c r="E243" s="4"/>
    </row>
    <row r="244" spans="5:5" ht="14.25" customHeight="1" x14ac:dyDescent="0.25">
      <c r="E244" s="4"/>
    </row>
    <row r="245" spans="5:5" ht="14.25" customHeight="1" x14ac:dyDescent="0.25">
      <c r="E245" s="4"/>
    </row>
    <row r="246" spans="5:5" ht="14.25" customHeight="1" x14ac:dyDescent="0.25">
      <c r="E246" s="4"/>
    </row>
    <row r="247" spans="5:5" ht="14.25" customHeight="1" x14ac:dyDescent="0.25">
      <c r="E247" s="4"/>
    </row>
    <row r="248" spans="5:5" ht="14.25" customHeight="1" x14ac:dyDescent="0.25">
      <c r="E248" s="4"/>
    </row>
    <row r="249" spans="5:5" ht="14.25" customHeight="1" x14ac:dyDescent="0.25">
      <c r="E249" s="4"/>
    </row>
    <row r="250" spans="5:5" ht="14.25" customHeight="1" x14ac:dyDescent="0.25">
      <c r="E250" s="4"/>
    </row>
    <row r="251" spans="5:5" ht="14.25" customHeight="1" x14ac:dyDescent="0.25">
      <c r="E251" s="4"/>
    </row>
    <row r="252" spans="5:5" ht="14.25" customHeight="1" x14ac:dyDescent="0.25">
      <c r="E252" s="4"/>
    </row>
    <row r="253" spans="5:5" ht="14.25" customHeight="1" x14ac:dyDescent="0.25">
      <c r="E253" s="4"/>
    </row>
    <row r="254" spans="5:5" ht="14.25" customHeight="1" x14ac:dyDescent="0.25">
      <c r="E254" s="4"/>
    </row>
    <row r="255" spans="5:5" ht="14.25" customHeight="1" x14ac:dyDescent="0.25">
      <c r="E255" s="4"/>
    </row>
    <row r="256" spans="5:5" ht="14.25" customHeight="1" x14ac:dyDescent="0.25">
      <c r="E256" s="4"/>
    </row>
    <row r="257" spans="5:5" ht="14.25" customHeight="1" x14ac:dyDescent="0.25">
      <c r="E257" s="4"/>
    </row>
    <row r="258" spans="5:5" ht="14.25" customHeight="1" x14ac:dyDescent="0.25">
      <c r="E258" s="4"/>
    </row>
    <row r="259" spans="5:5" ht="14.25" customHeight="1" x14ac:dyDescent="0.25">
      <c r="E259" s="4"/>
    </row>
    <row r="260" spans="5:5" ht="14.25" customHeight="1" x14ac:dyDescent="0.25">
      <c r="E260" s="4"/>
    </row>
    <row r="261" spans="5:5" ht="14.25" customHeight="1" x14ac:dyDescent="0.25">
      <c r="E261" s="4"/>
    </row>
    <row r="262" spans="5:5" ht="14.25" customHeight="1" x14ac:dyDescent="0.25">
      <c r="E262" s="4"/>
    </row>
    <row r="263" spans="5:5" ht="14.25" customHeight="1" x14ac:dyDescent="0.25">
      <c r="E263" s="4"/>
    </row>
    <row r="264" spans="5:5" ht="14.25" customHeight="1" x14ac:dyDescent="0.25">
      <c r="E264" s="4"/>
    </row>
    <row r="265" spans="5:5" ht="14.25" customHeight="1" x14ac:dyDescent="0.25">
      <c r="E265" s="4"/>
    </row>
    <row r="266" spans="5:5" ht="14.25" customHeight="1" x14ac:dyDescent="0.25">
      <c r="E266" s="4"/>
    </row>
    <row r="267" spans="5:5" ht="14.25" customHeight="1" x14ac:dyDescent="0.25">
      <c r="E267" s="4"/>
    </row>
    <row r="268" spans="5:5" ht="14.25" customHeight="1" x14ac:dyDescent="0.25">
      <c r="E268" s="4"/>
    </row>
    <row r="269" spans="5:5" ht="14.25" customHeight="1" x14ac:dyDescent="0.25">
      <c r="E269" s="4"/>
    </row>
    <row r="270" spans="5:5" ht="14.25" customHeight="1" x14ac:dyDescent="0.25">
      <c r="E270" s="4"/>
    </row>
    <row r="271" spans="5:5" ht="14.25" customHeight="1" x14ac:dyDescent="0.25">
      <c r="E271" s="4"/>
    </row>
    <row r="272" spans="5:5" ht="14.25" customHeight="1" x14ac:dyDescent="0.25">
      <c r="E272" s="4"/>
    </row>
    <row r="273" spans="5:5" ht="14.25" customHeight="1" x14ac:dyDescent="0.25">
      <c r="E273" s="4"/>
    </row>
    <row r="274" spans="5:5" ht="14.25" customHeight="1" x14ac:dyDescent="0.25">
      <c r="E274" s="4"/>
    </row>
    <row r="275" spans="5:5" ht="14.25" customHeight="1" x14ac:dyDescent="0.25">
      <c r="E275" s="4"/>
    </row>
    <row r="276" spans="5:5" ht="14.25" customHeight="1" x14ac:dyDescent="0.25">
      <c r="E276" s="4"/>
    </row>
    <row r="277" spans="5:5" ht="14.25" customHeight="1" x14ac:dyDescent="0.25">
      <c r="E277" s="4"/>
    </row>
    <row r="278" spans="5:5" ht="14.25" customHeight="1" x14ac:dyDescent="0.25">
      <c r="E278" s="4"/>
    </row>
    <row r="279" spans="5:5" ht="14.25" customHeight="1" x14ac:dyDescent="0.25">
      <c r="E279" s="4"/>
    </row>
    <row r="280" spans="5:5" ht="14.25" customHeight="1" x14ac:dyDescent="0.25">
      <c r="E280" s="4"/>
    </row>
    <row r="281" spans="5:5" ht="14.25" customHeight="1" x14ac:dyDescent="0.25">
      <c r="E281" s="4"/>
    </row>
    <row r="282" spans="5:5" ht="14.25" customHeight="1" x14ac:dyDescent="0.25">
      <c r="E282" s="4"/>
    </row>
    <row r="283" spans="5:5" ht="14.25" customHeight="1" x14ac:dyDescent="0.25">
      <c r="E283" s="4"/>
    </row>
    <row r="284" spans="5:5" ht="14.25" customHeight="1" x14ac:dyDescent="0.25">
      <c r="E284" s="4"/>
    </row>
    <row r="285" spans="5:5" ht="14.25" customHeight="1" x14ac:dyDescent="0.25">
      <c r="E285" s="4"/>
    </row>
    <row r="286" spans="5:5" ht="14.25" customHeight="1" x14ac:dyDescent="0.25">
      <c r="E286" s="4"/>
    </row>
    <row r="287" spans="5:5" ht="14.25" customHeight="1" x14ac:dyDescent="0.25">
      <c r="E287" s="4"/>
    </row>
    <row r="288" spans="5:5" ht="14.25" customHeight="1" x14ac:dyDescent="0.25">
      <c r="E288" s="4"/>
    </row>
    <row r="289" spans="5:5" ht="14.25" customHeight="1" x14ac:dyDescent="0.25">
      <c r="E289" s="4"/>
    </row>
    <row r="290" spans="5:5" ht="14.25" customHeight="1" x14ac:dyDescent="0.25">
      <c r="E290" s="4"/>
    </row>
    <row r="291" spans="5:5" ht="14.25" customHeight="1" x14ac:dyDescent="0.25">
      <c r="E291" s="4"/>
    </row>
    <row r="292" spans="5:5" ht="14.25" customHeight="1" x14ac:dyDescent="0.25">
      <c r="E292" s="4"/>
    </row>
    <row r="293" spans="5:5" ht="14.25" customHeight="1" x14ac:dyDescent="0.25">
      <c r="E293" s="4"/>
    </row>
    <row r="294" spans="5:5" ht="14.25" customHeight="1" x14ac:dyDescent="0.25">
      <c r="E294" s="4"/>
    </row>
    <row r="295" spans="5:5" ht="14.25" customHeight="1" x14ac:dyDescent="0.25">
      <c r="E295" s="4"/>
    </row>
    <row r="296" spans="5:5" ht="14.25" customHeight="1" x14ac:dyDescent="0.25">
      <c r="E296" s="4"/>
    </row>
    <row r="297" spans="5:5" ht="14.25" customHeight="1" x14ac:dyDescent="0.25">
      <c r="E297" s="4"/>
    </row>
    <row r="298" spans="5:5" ht="14.25" customHeight="1" x14ac:dyDescent="0.25">
      <c r="E298" s="4"/>
    </row>
    <row r="299" spans="5:5" ht="14.25" customHeight="1" x14ac:dyDescent="0.25">
      <c r="E299" s="4"/>
    </row>
    <row r="300" spans="5:5" ht="14.25" customHeight="1" x14ac:dyDescent="0.25">
      <c r="E300" s="4"/>
    </row>
    <row r="301" spans="5:5" ht="14.25" customHeight="1" x14ac:dyDescent="0.25">
      <c r="E301" s="4"/>
    </row>
    <row r="302" spans="5:5" ht="14.25" customHeight="1" x14ac:dyDescent="0.25">
      <c r="E302" s="4"/>
    </row>
    <row r="303" spans="5:5" ht="14.25" customHeight="1" x14ac:dyDescent="0.25">
      <c r="E303" s="4"/>
    </row>
    <row r="304" spans="5:5" ht="14.25" customHeight="1" x14ac:dyDescent="0.25">
      <c r="E304" s="4"/>
    </row>
    <row r="305" spans="5:5" ht="14.25" customHeight="1" x14ac:dyDescent="0.25">
      <c r="E305" s="4"/>
    </row>
    <row r="306" spans="5:5" ht="14.25" customHeight="1" x14ac:dyDescent="0.25">
      <c r="E306" s="4"/>
    </row>
    <row r="307" spans="5:5" ht="14.25" customHeight="1" x14ac:dyDescent="0.25">
      <c r="E307" s="4"/>
    </row>
    <row r="308" spans="5:5" ht="14.25" customHeight="1" x14ac:dyDescent="0.25">
      <c r="E308" s="4"/>
    </row>
    <row r="309" spans="5:5" ht="14.25" customHeight="1" x14ac:dyDescent="0.25">
      <c r="E309" s="4"/>
    </row>
    <row r="310" spans="5:5" ht="14.25" customHeight="1" x14ac:dyDescent="0.25">
      <c r="E310" s="4"/>
    </row>
    <row r="311" spans="5:5" ht="14.25" customHeight="1" x14ac:dyDescent="0.25">
      <c r="E311" s="4"/>
    </row>
    <row r="312" spans="5:5" ht="14.25" customHeight="1" x14ac:dyDescent="0.25">
      <c r="E312" s="4"/>
    </row>
    <row r="313" spans="5:5" ht="14.25" customHeight="1" x14ac:dyDescent="0.25">
      <c r="E313" s="4"/>
    </row>
    <row r="314" spans="5:5" ht="14.25" customHeight="1" x14ac:dyDescent="0.25">
      <c r="E314" s="4"/>
    </row>
    <row r="315" spans="5:5" ht="14.25" customHeight="1" x14ac:dyDescent="0.25">
      <c r="E315" s="4"/>
    </row>
    <row r="316" spans="5:5" ht="14.25" customHeight="1" x14ac:dyDescent="0.25">
      <c r="E316" s="4"/>
    </row>
    <row r="317" spans="5:5" ht="14.25" customHeight="1" x14ac:dyDescent="0.25">
      <c r="E317" s="4"/>
    </row>
    <row r="318" spans="5:5" ht="14.25" customHeight="1" x14ac:dyDescent="0.25">
      <c r="E318" s="4"/>
    </row>
    <row r="319" spans="5:5" ht="14.25" customHeight="1" x14ac:dyDescent="0.25">
      <c r="E319" s="4"/>
    </row>
    <row r="320" spans="5:5" ht="14.25" customHeight="1" x14ac:dyDescent="0.25">
      <c r="E320" s="4"/>
    </row>
    <row r="321" spans="5:5" ht="14.25" customHeight="1" x14ac:dyDescent="0.25">
      <c r="E321" s="4"/>
    </row>
    <row r="322" spans="5:5" ht="14.25" customHeight="1" x14ac:dyDescent="0.25">
      <c r="E322" s="4"/>
    </row>
    <row r="323" spans="5:5" ht="14.25" customHeight="1" x14ac:dyDescent="0.25">
      <c r="E323" s="4"/>
    </row>
    <row r="324" spans="5:5" ht="14.25" customHeight="1" x14ac:dyDescent="0.25">
      <c r="E324" s="4"/>
    </row>
    <row r="325" spans="5:5" ht="14.25" customHeight="1" x14ac:dyDescent="0.25">
      <c r="E325" s="4"/>
    </row>
    <row r="326" spans="5:5" ht="14.25" customHeight="1" x14ac:dyDescent="0.25">
      <c r="E326" s="4"/>
    </row>
    <row r="327" spans="5:5" ht="14.25" customHeight="1" x14ac:dyDescent="0.25">
      <c r="E327" s="4"/>
    </row>
    <row r="328" spans="5:5" ht="14.25" customHeight="1" x14ac:dyDescent="0.25">
      <c r="E328" s="4"/>
    </row>
    <row r="329" spans="5:5" ht="14.25" customHeight="1" x14ac:dyDescent="0.25">
      <c r="E329" s="4"/>
    </row>
    <row r="330" spans="5:5" ht="14.25" customHeight="1" x14ac:dyDescent="0.25">
      <c r="E330" s="4"/>
    </row>
    <row r="331" spans="5:5" ht="14.25" customHeight="1" x14ac:dyDescent="0.25">
      <c r="E331" s="4"/>
    </row>
    <row r="332" spans="5:5" ht="14.25" customHeight="1" x14ac:dyDescent="0.25">
      <c r="E332" s="4"/>
    </row>
    <row r="333" spans="5:5" ht="14.25" customHeight="1" x14ac:dyDescent="0.25">
      <c r="E333" s="4"/>
    </row>
    <row r="334" spans="5:5" ht="14.25" customHeight="1" x14ac:dyDescent="0.25">
      <c r="E334" s="4"/>
    </row>
    <row r="335" spans="5:5" ht="14.25" customHeight="1" x14ac:dyDescent="0.25">
      <c r="E335" s="4"/>
    </row>
    <row r="336" spans="5:5" ht="14.25" customHeight="1" x14ac:dyDescent="0.25">
      <c r="E336" s="4"/>
    </row>
    <row r="337" spans="5:5" ht="14.25" customHeight="1" x14ac:dyDescent="0.25">
      <c r="E337" s="4"/>
    </row>
    <row r="338" spans="5:5" ht="14.25" customHeight="1" x14ac:dyDescent="0.25">
      <c r="E338" s="4"/>
    </row>
    <row r="339" spans="5:5" ht="14.25" customHeight="1" x14ac:dyDescent="0.25">
      <c r="E339" s="4"/>
    </row>
    <row r="340" spans="5:5" ht="14.25" customHeight="1" x14ac:dyDescent="0.25">
      <c r="E340" s="4"/>
    </row>
    <row r="341" spans="5:5" ht="14.25" customHeight="1" x14ac:dyDescent="0.25">
      <c r="E341" s="4"/>
    </row>
    <row r="342" spans="5:5" ht="14.25" customHeight="1" x14ac:dyDescent="0.25">
      <c r="E342" s="4"/>
    </row>
    <row r="343" spans="5:5" ht="14.25" customHeight="1" x14ac:dyDescent="0.25">
      <c r="E343" s="4"/>
    </row>
    <row r="344" spans="5:5" ht="14.25" customHeight="1" x14ac:dyDescent="0.25">
      <c r="E344" s="4"/>
    </row>
    <row r="345" spans="5:5" ht="14.25" customHeight="1" x14ac:dyDescent="0.25">
      <c r="E345" s="4"/>
    </row>
    <row r="346" spans="5:5" ht="14.25" customHeight="1" x14ac:dyDescent="0.25">
      <c r="E346" s="4"/>
    </row>
    <row r="347" spans="5:5" ht="14.25" customHeight="1" x14ac:dyDescent="0.25">
      <c r="E347" s="4"/>
    </row>
    <row r="348" spans="5:5" ht="14.25" customHeight="1" x14ac:dyDescent="0.25">
      <c r="E348" s="4"/>
    </row>
    <row r="349" spans="5:5" ht="14.25" customHeight="1" x14ac:dyDescent="0.25">
      <c r="E349" s="4"/>
    </row>
    <row r="350" spans="5:5" ht="14.25" customHeight="1" x14ac:dyDescent="0.25">
      <c r="E350" s="4"/>
    </row>
    <row r="351" spans="5:5" ht="14.25" customHeight="1" x14ac:dyDescent="0.25">
      <c r="E351" s="4"/>
    </row>
    <row r="352" spans="5:5" ht="14.25" customHeight="1" x14ac:dyDescent="0.25">
      <c r="E352" s="4"/>
    </row>
    <row r="353" spans="5:5" ht="14.25" customHeight="1" x14ac:dyDescent="0.25">
      <c r="E353" s="4"/>
    </row>
    <row r="354" spans="5:5" ht="14.25" customHeight="1" x14ac:dyDescent="0.25">
      <c r="E354" s="4"/>
    </row>
    <row r="355" spans="5:5" ht="14.25" customHeight="1" x14ac:dyDescent="0.25">
      <c r="E355" s="4"/>
    </row>
    <row r="356" spans="5:5" ht="14.25" customHeight="1" x14ac:dyDescent="0.25">
      <c r="E356" s="4"/>
    </row>
    <row r="357" spans="5:5" ht="14.25" customHeight="1" x14ac:dyDescent="0.25">
      <c r="E357" s="4"/>
    </row>
    <row r="358" spans="5:5" ht="14.25" customHeight="1" x14ac:dyDescent="0.25">
      <c r="E358" s="4"/>
    </row>
    <row r="359" spans="5:5" ht="14.25" customHeight="1" x14ac:dyDescent="0.25">
      <c r="E359" s="4"/>
    </row>
    <row r="360" spans="5:5" ht="14.25" customHeight="1" x14ac:dyDescent="0.25">
      <c r="E360" s="4"/>
    </row>
    <row r="361" spans="5:5" ht="14.25" customHeight="1" x14ac:dyDescent="0.25">
      <c r="E361" s="4"/>
    </row>
    <row r="362" spans="5:5" ht="14.25" customHeight="1" x14ac:dyDescent="0.25">
      <c r="E362" s="4"/>
    </row>
    <row r="363" spans="5:5" ht="14.25" customHeight="1" x14ac:dyDescent="0.25">
      <c r="E363" s="4"/>
    </row>
    <row r="364" spans="5:5" ht="14.25" customHeight="1" x14ac:dyDescent="0.25">
      <c r="E364" s="4"/>
    </row>
    <row r="365" spans="5:5" ht="14.25" customHeight="1" x14ac:dyDescent="0.25">
      <c r="E365" s="4"/>
    </row>
    <row r="366" spans="5:5" ht="14.25" customHeight="1" x14ac:dyDescent="0.25">
      <c r="E366" s="4"/>
    </row>
    <row r="367" spans="5:5" ht="14.25" customHeight="1" x14ac:dyDescent="0.25">
      <c r="E367" s="4"/>
    </row>
    <row r="368" spans="5:5" ht="14.25" customHeight="1" x14ac:dyDescent="0.25">
      <c r="E368" s="4"/>
    </row>
    <row r="369" spans="5:5" ht="14.25" customHeight="1" x14ac:dyDescent="0.25">
      <c r="E369" s="4"/>
    </row>
    <row r="370" spans="5:5" ht="14.25" customHeight="1" x14ac:dyDescent="0.25">
      <c r="E370" s="4"/>
    </row>
    <row r="371" spans="5:5" ht="14.25" customHeight="1" x14ac:dyDescent="0.25">
      <c r="E371" s="4"/>
    </row>
    <row r="372" spans="5:5" ht="14.25" customHeight="1" x14ac:dyDescent="0.25">
      <c r="E372" s="4"/>
    </row>
    <row r="373" spans="5:5" ht="14.25" customHeight="1" x14ac:dyDescent="0.25">
      <c r="E373" s="4"/>
    </row>
    <row r="374" spans="5:5" ht="14.25" customHeight="1" x14ac:dyDescent="0.25">
      <c r="E374" s="4"/>
    </row>
    <row r="375" spans="5:5" ht="14.25" customHeight="1" x14ac:dyDescent="0.25">
      <c r="E375" s="4"/>
    </row>
    <row r="376" spans="5:5" ht="14.25" customHeight="1" x14ac:dyDescent="0.25">
      <c r="E376" s="4"/>
    </row>
    <row r="377" spans="5:5" ht="14.25" customHeight="1" x14ac:dyDescent="0.25">
      <c r="E377" s="4"/>
    </row>
    <row r="378" spans="5:5" ht="14.25" customHeight="1" x14ac:dyDescent="0.25">
      <c r="E378" s="4"/>
    </row>
    <row r="379" spans="5:5" ht="14.25" customHeight="1" x14ac:dyDescent="0.25">
      <c r="E379" s="4"/>
    </row>
    <row r="380" spans="5:5" ht="14.25" customHeight="1" x14ac:dyDescent="0.25">
      <c r="E380" s="4"/>
    </row>
    <row r="381" spans="5:5" ht="14.25" customHeight="1" x14ac:dyDescent="0.25">
      <c r="E381" s="4"/>
    </row>
    <row r="382" spans="5:5" ht="14.25" customHeight="1" x14ac:dyDescent="0.25">
      <c r="E382" s="4"/>
    </row>
    <row r="383" spans="5:5" ht="14.25" customHeight="1" x14ac:dyDescent="0.25">
      <c r="E383" s="4"/>
    </row>
    <row r="384" spans="5:5" ht="14.25" customHeight="1" x14ac:dyDescent="0.25">
      <c r="E384" s="4"/>
    </row>
    <row r="385" spans="5:5" ht="14.25" customHeight="1" x14ac:dyDescent="0.25">
      <c r="E385" s="4"/>
    </row>
    <row r="386" spans="5:5" ht="14.25" customHeight="1" x14ac:dyDescent="0.25">
      <c r="E386" s="4"/>
    </row>
    <row r="387" spans="5:5" ht="14.25" customHeight="1" x14ac:dyDescent="0.25">
      <c r="E387" s="4"/>
    </row>
    <row r="388" spans="5:5" ht="14.25" customHeight="1" x14ac:dyDescent="0.25">
      <c r="E388" s="4"/>
    </row>
    <row r="389" spans="5:5" ht="14.25" customHeight="1" x14ac:dyDescent="0.25">
      <c r="E389" s="4"/>
    </row>
    <row r="390" spans="5:5" ht="14.25" customHeight="1" x14ac:dyDescent="0.25">
      <c r="E390" s="4"/>
    </row>
    <row r="391" spans="5:5" ht="14.25" customHeight="1" x14ac:dyDescent="0.25">
      <c r="E391" s="4"/>
    </row>
    <row r="392" spans="5:5" ht="14.25" customHeight="1" x14ac:dyDescent="0.25">
      <c r="E392" s="4"/>
    </row>
    <row r="393" spans="5:5" ht="14.25" customHeight="1" x14ac:dyDescent="0.25">
      <c r="E393" s="4"/>
    </row>
    <row r="394" spans="5:5" ht="14.25" customHeight="1" x14ac:dyDescent="0.25">
      <c r="E394" s="4"/>
    </row>
    <row r="395" spans="5:5" ht="14.25" customHeight="1" x14ac:dyDescent="0.25">
      <c r="E395" s="4"/>
    </row>
    <row r="396" spans="5:5" ht="14.25" customHeight="1" x14ac:dyDescent="0.25">
      <c r="E396" s="4"/>
    </row>
    <row r="397" spans="5:5" ht="14.25" customHeight="1" x14ac:dyDescent="0.25">
      <c r="E397" s="4"/>
    </row>
    <row r="398" spans="5:5" ht="14.25" customHeight="1" x14ac:dyDescent="0.25">
      <c r="E398" s="4"/>
    </row>
    <row r="399" spans="5:5" ht="14.25" customHeight="1" x14ac:dyDescent="0.25">
      <c r="E399" s="4"/>
    </row>
    <row r="400" spans="5:5" ht="14.25" customHeight="1" x14ac:dyDescent="0.25">
      <c r="E400" s="4"/>
    </row>
    <row r="401" spans="5:5" ht="14.25" customHeight="1" x14ac:dyDescent="0.25">
      <c r="E401" s="4"/>
    </row>
    <row r="402" spans="5:5" ht="14.25" customHeight="1" x14ac:dyDescent="0.25">
      <c r="E402" s="4"/>
    </row>
    <row r="403" spans="5:5" ht="14.25" customHeight="1" x14ac:dyDescent="0.25">
      <c r="E403" s="4"/>
    </row>
    <row r="404" spans="5:5" ht="14.25" customHeight="1" x14ac:dyDescent="0.25">
      <c r="E404" s="4"/>
    </row>
    <row r="405" spans="5:5" ht="14.25" customHeight="1" x14ac:dyDescent="0.25">
      <c r="E405" s="4"/>
    </row>
    <row r="406" spans="5:5" ht="14.25" customHeight="1" x14ac:dyDescent="0.25">
      <c r="E406" s="4"/>
    </row>
    <row r="407" spans="5:5" ht="14.25" customHeight="1" x14ac:dyDescent="0.25">
      <c r="E407" s="4"/>
    </row>
    <row r="408" spans="5:5" ht="14.25" customHeight="1" x14ac:dyDescent="0.25">
      <c r="E408" s="4"/>
    </row>
    <row r="409" spans="5:5" ht="14.25" customHeight="1" x14ac:dyDescent="0.25">
      <c r="E409" s="4"/>
    </row>
    <row r="410" spans="5:5" ht="14.25" customHeight="1" x14ac:dyDescent="0.25">
      <c r="E410" s="4"/>
    </row>
    <row r="411" spans="5:5" ht="14.25" customHeight="1" x14ac:dyDescent="0.25">
      <c r="E411" s="4"/>
    </row>
    <row r="412" spans="5:5" ht="14.25" customHeight="1" x14ac:dyDescent="0.25">
      <c r="E412" s="4"/>
    </row>
    <row r="413" spans="5:5" ht="14.25" customHeight="1" x14ac:dyDescent="0.25">
      <c r="E413" s="4"/>
    </row>
    <row r="414" spans="5:5" ht="14.25" customHeight="1" x14ac:dyDescent="0.25">
      <c r="E414" s="4"/>
    </row>
    <row r="415" spans="5:5" ht="14.25" customHeight="1" x14ac:dyDescent="0.25">
      <c r="E415" s="4"/>
    </row>
    <row r="416" spans="5:5" ht="14.25" customHeight="1" x14ac:dyDescent="0.25">
      <c r="E416" s="4"/>
    </row>
    <row r="417" spans="5:5" ht="14.25" customHeight="1" x14ac:dyDescent="0.25">
      <c r="E417" s="4"/>
    </row>
    <row r="418" spans="5:5" ht="14.25" customHeight="1" x14ac:dyDescent="0.25">
      <c r="E418" s="4"/>
    </row>
    <row r="419" spans="5:5" ht="14.25" customHeight="1" x14ac:dyDescent="0.25">
      <c r="E419" s="4"/>
    </row>
    <row r="420" spans="5:5" ht="14.25" customHeight="1" x14ac:dyDescent="0.25">
      <c r="E420" s="4"/>
    </row>
    <row r="421" spans="5:5" ht="14.25" customHeight="1" x14ac:dyDescent="0.25">
      <c r="E421" s="4"/>
    </row>
    <row r="422" spans="5:5" ht="14.25" customHeight="1" x14ac:dyDescent="0.25">
      <c r="E422" s="4"/>
    </row>
    <row r="423" spans="5:5" ht="14.25" customHeight="1" x14ac:dyDescent="0.25">
      <c r="E423" s="4"/>
    </row>
    <row r="424" spans="5:5" ht="14.25" customHeight="1" x14ac:dyDescent="0.25">
      <c r="E424" s="4"/>
    </row>
    <row r="425" spans="5:5" ht="14.25" customHeight="1" x14ac:dyDescent="0.25">
      <c r="E425" s="4"/>
    </row>
    <row r="426" spans="5:5" ht="14.25" customHeight="1" x14ac:dyDescent="0.25">
      <c r="E426" s="4"/>
    </row>
    <row r="427" spans="5:5" ht="14.25" customHeight="1" x14ac:dyDescent="0.25">
      <c r="E427" s="4"/>
    </row>
    <row r="428" spans="5:5" ht="14.25" customHeight="1" x14ac:dyDescent="0.25">
      <c r="E428" s="4"/>
    </row>
    <row r="429" spans="5:5" ht="14.25" customHeight="1" x14ac:dyDescent="0.25">
      <c r="E429" s="4"/>
    </row>
    <row r="430" spans="5:5" ht="14.25" customHeight="1" x14ac:dyDescent="0.25">
      <c r="E430" s="4"/>
    </row>
    <row r="431" spans="5:5" ht="14.25" customHeight="1" x14ac:dyDescent="0.25">
      <c r="E431" s="4"/>
    </row>
    <row r="432" spans="5:5" ht="14.25" customHeight="1" x14ac:dyDescent="0.25">
      <c r="E432" s="4"/>
    </row>
    <row r="433" spans="5:5" ht="14.25" customHeight="1" x14ac:dyDescent="0.25">
      <c r="E433" s="4"/>
    </row>
    <row r="434" spans="5:5" ht="14.25" customHeight="1" x14ac:dyDescent="0.25">
      <c r="E434" s="4"/>
    </row>
    <row r="435" spans="5:5" ht="14.25" customHeight="1" x14ac:dyDescent="0.25">
      <c r="E435" s="4"/>
    </row>
    <row r="436" spans="5:5" ht="14.25" customHeight="1" x14ac:dyDescent="0.25">
      <c r="E436" s="4"/>
    </row>
    <row r="437" spans="5:5" ht="14.25" customHeight="1" x14ac:dyDescent="0.25">
      <c r="E437" s="4"/>
    </row>
    <row r="438" spans="5:5" ht="14.25" customHeight="1" x14ac:dyDescent="0.25">
      <c r="E438" s="4"/>
    </row>
    <row r="439" spans="5:5" ht="14.25" customHeight="1" x14ac:dyDescent="0.25">
      <c r="E439" s="4"/>
    </row>
    <row r="440" spans="5:5" ht="14.25" customHeight="1" x14ac:dyDescent="0.25">
      <c r="E440" s="4"/>
    </row>
    <row r="441" spans="5:5" ht="14.25" customHeight="1" x14ac:dyDescent="0.25">
      <c r="E441" s="4"/>
    </row>
    <row r="442" spans="5:5" ht="14.25" customHeight="1" x14ac:dyDescent="0.25">
      <c r="E442" s="4"/>
    </row>
    <row r="443" spans="5:5" ht="14.25" customHeight="1" x14ac:dyDescent="0.25">
      <c r="E443" s="4"/>
    </row>
    <row r="444" spans="5:5" ht="14.25" customHeight="1" x14ac:dyDescent="0.25">
      <c r="E444" s="4"/>
    </row>
    <row r="445" spans="5:5" ht="14.25" customHeight="1" x14ac:dyDescent="0.25">
      <c r="E445" s="4"/>
    </row>
    <row r="446" spans="5:5" ht="14.25" customHeight="1" x14ac:dyDescent="0.25">
      <c r="E446" s="4"/>
    </row>
    <row r="447" spans="5:5" ht="14.25" customHeight="1" x14ac:dyDescent="0.25">
      <c r="E447" s="4"/>
    </row>
    <row r="448" spans="5:5" ht="14.25" customHeight="1" x14ac:dyDescent="0.25">
      <c r="E448" s="4"/>
    </row>
    <row r="449" spans="5:5" ht="14.25" customHeight="1" x14ac:dyDescent="0.25">
      <c r="E449" s="4"/>
    </row>
    <row r="450" spans="5:5" ht="14.25" customHeight="1" x14ac:dyDescent="0.25">
      <c r="E450" s="4"/>
    </row>
    <row r="451" spans="5:5" ht="14.25" customHeight="1" x14ac:dyDescent="0.25">
      <c r="E451" s="4"/>
    </row>
    <row r="452" spans="5:5" ht="14.25" customHeight="1" x14ac:dyDescent="0.25">
      <c r="E452" s="4"/>
    </row>
    <row r="453" spans="5:5" ht="14.25" customHeight="1" x14ac:dyDescent="0.25">
      <c r="E453" s="4"/>
    </row>
    <row r="454" spans="5:5" ht="14.25" customHeight="1" x14ac:dyDescent="0.25">
      <c r="E454" s="4"/>
    </row>
    <row r="455" spans="5:5" ht="14.25" customHeight="1" x14ac:dyDescent="0.25">
      <c r="E455" s="4"/>
    </row>
    <row r="456" spans="5:5" ht="14.25" customHeight="1" x14ac:dyDescent="0.25">
      <c r="E456" s="4"/>
    </row>
    <row r="457" spans="5:5" ht="14.25" customHeight="1" x14ac:dyDescent="0.25">
      <c r="E457" s="4"/>
    </row>
    <row r="458" spans="5:5" ht="14.25" customHeight="1" x14ac:dyDescent="0.25">
      <c r="E458" s="4"/>
    </row>
    <row r="459" spans="5:5" ht="14.25" customHeight="1" x14ac:dyDescent="0.25">
      <c r="E459" s="4"/>
    </row>
    <row r="460" spans="5:5" ht="14.25" customHeight="1" x14ac:dyDescent="0.25">
      <c r="E460" s="4"/>
    </row>
    <row r="461" spans="5:5" ht="14.25" customHeight="1" x14ac:dyDescent="0.25">
      <c r="E461" s="4"/>
    </row>
    <row r="462" spans="5:5" ht="14.25" customHeight="1" x14ac:dyDescent="0.25">
      <c r="E462" s="4"/>
    </row>
    <row r="463" spans="5:5" ht="14.25" customHeight="1" x14ac:dyDescent="0.25">
      <c r="E463" s="4"/>
    </row>
    <row r="464" spans="5:5" ht="14.25" customHeight="1" x14ac:dyDescent="0.25">
      <c r="E464" s="4"/>
    </row>
    <row r="465" spans="5:5" ht="14.25" customHeight="1" x14ac:dyDescent="0.25">
      <c r="E465" s="4"/>
    </row>
    <row r="466" spans="5:5" ht="14.25" customHeight="1" x14ac:dyDescent="0.25">
      <c r="E466" s="4"/>
    </row>
    <row r="467" spans="5:5" ht="14.25" customHeight="1" x14ac:dyDescent="0.25">
      <c r="E467" s="4"/>
    </row>
    <row r="468" spans="5:5" ht="14.25" customHeight="1" x14ac:dyDescent="0.25">
      <c r="E468" s="4"/>
    </row>
    <row r="469" spans="5:5" ht="14.25" customHeight="1" x14ac:dyDescent="0.25">
      <c r="E469" s="4"/>
    </row>
    <row r="470" spans="5:5" ht="14.25" customHeight="1" x14ac:dyDescent="0.25">
      <c r="E470" s="4"/>
    </row>
    <row r="471" spans="5:5" ht="14.25" customHeight="1" x14ac:dyDescent="0.25">
      <c r="E471" s="4"/>
    </row>
    <row r="472" spans="5:5" ht="14.25" customHeight="1" x14ac:dyDescent="0.25">
      <c r="E472" s="4"/>
    </row>
    <row r="473" spans="5:5" ht="14.25" customHeight="1" x14ac:dyDescent="0.25">
      <c r="E473" s="4"/>
    </row>
    <row r="474" spans="5:5" ht="14.25" customHeight="1" x14ac:dyDescent="0.25">
      <c r="E474" s="4"/>
    </row>
    <row r="475" spans="5:5" ht="14.25" customHeight="1" x14ac:dyDescent="0.25">
      <c r="E475" s="4"/>
    </row>
    <row r="476" spans="5:5" ht="14.25" customHeight="1" x14ac:dyDescent="0.25">
      <c r="E476" s="4"/>
    </row>
    <row r="477" spans="5:5" ht="14.25" customHeight="1" x14ac:dyDescent="0.25">
      <c r="E477" s="4"/>
    </row>
    <row r="478" spans="5:5" ht="14.25" customHeight="1" x14ac:dyDescent="0.25">
      <c r="E478" s="4"/>
    </row>
    <row r="479" spans="5:5" ht="14.25" customHeight="1" x14ac:dyDescent="0.25">
      <c r="E479" s="4"/>
    </row>
    <row r="480" spans="5:5" ht="14.25" customHeight="1" x14ac:dyDescent="0.25">
      <c r="E480" s="4"/>
    </row>
    <row r="481" spans="5:5" ht="14.25" customHeight="1" x14ac:dyDescent="0.25">
      <c r="E481" s="4"/>
    </row>
    <row r="482" spans="5:5" ht="14.25" customHeight="1" x14ac:dyDescent="0.25">
      <c r="E482" s="4"/>
    </row>
    <row r="483" spans="5:5" ht="14.25" customHeight="1" x14ac:dyDescent="0.25">
      <c r="E483" s="4"/>
    </row>
    <row r="484" spans="5:5" ht="14.25" customHeight="1" x14ac:dyDescent="0.25">
      <c r="E484" s="4"/>
    </row>
    <row r="485" spans="5:5" ht="14.25" customHeight="1" x14ac:dyDescent="0.25">
      <c r="E485" s="4"/>
    </row>
    <row r="486" spans="5:5" ht="14.25" customHeight="1" x14ac:dyDescent="0.25">
      <c r="E486" s="4"/>
    </row>
    <row r="487" spans="5:5" ht="14.25" customHeight="1" x14ac:dyDescent="0.25">
      <c r="E487" s="4"/>
    </row>
    <row r="488" spans="5:5" ht="14.25" customHeight="1" x14ac:dyDescent="0.25">
      <c r="E488" s="4"/>
    </row>
    <row r="489" spans="5:5" ht="14.25" customHeight="1" x14ac:dyDescent="0.25">
      <c r="E489" s="4"/>
    </row>
    <row r="490" spans="5:5" ht="14.25" customHeight="1" x14ac:dyDescent="0.25">
      <c r="E490" s="4"/>
    </row>
    <row r="491" spans="5:5" ht="14.25" customHeight="1" x14ac:dyDescent="0.25">
      <c r="E491" s="4"/>
    </row>
    <row r="492" spans="5:5" ht="14.25" customHeight="1" x14ac:dyDescent="0.25">
      <c r="E492" s="4"/>
    </row>
    <row r="493" spans="5:5" ht="14.25" customHeight="1" x14ac:dyDescent="0.25">
      <c r="E493" s="4"/>
    </row>
    <row r="494" spans="5:5" ht="14.25" customHeight="1" x14ac:dyDescent="0.25">
      <c r="E494" s="4"/>
    </row>
    <row r="495" spans="5:5" ht="14.25" customHeight="1" x14ac:dyDescent="0.25">
      <c r="E495" s="4"/>
    </row>
    <row r="496" spans="5:5" ht="14.25" customHeight="1" x14ac:dyDescent="0.25">
      <c r="E496" s="4"/>
    </row>
    <row r="497" spans="5:5" ht="14.25" customHeight="1" x14ac:dyDescent="0.25">
      <c r="E497" s="4"/>
    </row>
    <row r="498" spans="5:5" ht="14.25" customHeight="1" x14ac:dyDescent="0.25">
      <c r="E498" s="4"/>
    </row>
    <row r="499" spans="5:5" ht="14.25" customHeight="1" x14ac:dyDescent="0.25">
      <c r="E499" s="4"/>
    </row>
    <row r="500" spans="5:5" ht="14.25" customHeight="1" x14ac:dyDescent="0.25">
      <c r="E500" s="4"/>
    </row>
    <row r="501" spans="5:5" ht="14.25" customHeight="1" x14ac:dyDescent="0.25">
      <c r="E501" s="4"/>
    </row>
    <row r="502" spans="5:5" ht="14.25" customHeight="1" x14ac:dyDescent="0.25">
      <c r="E502" s="4"/>
    </row>
    <row r="503" spans="5:5" ht="14.25" customHeight="1" x14ac:dyDescent="0.25">
      <c r="E503" s="4"/>
    </row>
    <row r="504" spans="5:5" ht="14.25" customHeight="1" x14ac:dyDescent="0.25">
      <c r="E504" s="4"/>
    </row>
    <row r="505" spans="5:5" ht="14.25" customHeight="1" x14ac:dyDescent="0.25">
      <c r="E505" s="4"/>
    </row>
    <row r="506" spans="5:5" ht="14.25" customHeight="1" x14ac:dyDescent="0.25">
      <c r="E506" s="4"/>
    </row>
    <row r="507" spans="5:5" ht="14.25" customHeight="1" x14ac:dyDescent="0.25">
      <c r="E507" s="4"/>
    </row>
    <row r="508" spans="5:5" ht="14.25" customHeight="1" x14ac:dyDescent="0.25">
      <c r="E508" s="4"/>
    </row>
    <row r="509" spans="5:5" ht="14.25" customHeight="1" x14ac:dyDescent="0.25">
      <c r="E509" s="4"/>
    </row>
    <row r="510" spans="5:5" ht="14.25" customHeight="1" x14ac:dyDescent="0.25">
      <c r="E510" s="4"/>
    </row>
    <row r="511" spans="5:5" ht="14.25" customHeight="1" x14ac:dyDescent="0.25">
      <c r="E511" s="4"/>
    </row>
    <row r="512" spans="5:5" ht="14.25" customHeight="1" x14ac:dyDescent="0.25">
      <c r="E512" s="4"/>
    </row>
    <row r="513" spans="5:5" ht="14.25" customHeight="1" x14ac:dyDescent="0.25">
      <c r="E513" s="4"/>
    </row>
    <row r="514" spans="5:5" ht="14.25" customHeight="1" x14ac:dyDescent="0.25">
      <c r="E514" s="4"/>
    </row>
    <row r="515" spans="5:5" ht="14.25" customHeight="1" x14ac:dyDescent="0.25">
      <c r="E515" s="4"/>
    </row>
    <row r="516" spans="5:5" ht="14.25" customHeight="1" x14ac:dyDescent="0.25">
      <c r="E516" s="4"/>
    </row>
    <row r="517" spans="5:5" ht="14.25" customHeight="1" x14ac:dyDescent="0.25">
      <c r="E517" s="4"/>
    </row>
    <row r="518" spans="5:5" ht="14.25" customHeight="1" x14ac:dyDescent="0.25">
      <c r="E518" s="4"/>
    </row>
    <row r="519" spans="5:5" ht="14.25" customHeight="1" x14ac:dyDescent="0.25">
      <c r="E519" s="4"/>
    </row>
    <row r="520" spans="5:5" ht="14.25" customHeight="1" x14ac:dyDescent="0.25">
      <c r="E520" s="4"/>
    </row>
    <row r="521" spans="5:5" ht="14.25" customHeight="1" x14ac:dyDescent="0.25">
      <c r="E521" s="4"/>
    </row>
    <row r="522" spans="5:5" ht="14.25" customHeight="1" x14ac:dyDescent="0.25">
      <c r="E522" s="4"/>
    </row>
    <row r="523" spans="5:5" ht="14.25" customHeight="1" x14ac:dyDescent="0.25">
      <c r="E523" s="4"/>
    </row>
    <row r="524" spans="5:5" ht="14.25" customHeight="1" x14ac:dyDescent="0.25">
      <c r="E524" s="4"/>
    </row>
    <row r="525" spans="5:5" ht="14.25" customHeight="1" x14ac:dyDescent="0.25">
      <c r="E525" s="4"/>
    </row>
    <row r="526" spans="5:5" ht="14.25" customHeight="1" x14ac:dyDescent="0.25">
      <c r="E526" s="4"/>
    </row>
    <row r="527" spans="5:5" ht="14.25" customHeight="1" x14ac:dyDescent="0.25">
      <c r="E527" s="4"/>
    </row>
    <row r="528" spans="5:5" ht="14.25" customHeight="1" x14ac:dyDescent="0.25">
      <c r="E528" s="4"/>
    </row>
    <row r="529" spans="5:5" ht="14.25" customHeight="1" x14ac:dyDescent="0.25">
      <c r="E529" s="4"/>
    </row>
    <row r="530" spans="5:5" ht="14.25" customHeight="1" x14ac:dyDescent="0.25">
      <c r="E530" s="4"/>
    </row>
    <row r="531" spans="5:5" ht="14.25" customHeight="1" x14ac:dyDescent="0.25">
      <c r="E531" s="4"/>
    </row>
    <row r="532" spans="5:5" ht="14.25" customHeight="1" x14ac:dyDescent="0.25">
      <c r="E532" s="4"/>
    </row>
    <row r="533" spans="5:5" ht="14.25" customHeight="1" x14ac:dyDescent="0.25">
      <c r="E533" s="4"/>
    </row>
    <row r="534" spans="5:5" ht="14.25" customHeight="1" x14ac:dyDescent="0.25">
      <c r="E534" s="4"/>
    </row>
    <row r="535" spans="5:5" ht="14.25" customHeight="1" x14ac:dyDescent="0.25">
      <c r="E535" s="4"/>
    </row>
    <row r="536" spans="5:5" ht="14.25" customHeight="1" x14ac:dyDescent="0.25">
      <c r="E536" s="4"/>
    </row>
    <row r="537" spans="5:5" ht="14.25" customHeight="1" x14ac:dyDescent="0.25">
      <c r="E537" s="4"/>
    </row>
    <row r="538" spans="5:5" ht="14.25" customHeight="1" x14ac:dyDescent="0.25">
      <c r="E538" s="4"/>
    </row>
    <row r="539" spans="5:5" ht="14.25" customHeight="1" x14ac:dyDescent="0.25">
      <c r="E539" s="4"/>
    </row>
    <row r="540" spans="5:5" ht="14.25" customHeight="1" x14ac:dyDescent="0.25">
      <c r="E540" s="4"/>
    </row>
    <row r="541" spans="5:5" ht="14.25" customHeight="1" x14ac:dyDescent="0.25">
      <c r="E541" s="4"/>
    </row>
    <row r="542" spans="5:5" ht="14.25" customHeight="1" x14ac:dyDescent="0.25">
      <c r="E542" s="4"/>
    </row>
    <row r="543" spans="5:5" ht="14.25" customHeight="1" x14ac:dyDescent="0.25">
      <c r="E543" s="4"/>
    </row>
    <row r="544" spans="5:5" ht="14.25" customHeight="1" x14ac:dyDescent="0.25">
      <c r="E544" s="4"/>
    </row>
    <row r="545" spans="5:5" ht="14.25" customHeight="1" x14ac:dyDescent="0.25">
      <c r="E545" s="4"/>
    </row>
    <row r="546" spans="5:5" ht="14.25" customHeight="1" x14ac:dyDescent="0.25">
      <c r="E546" s="4"/>
    </row>
    <row r="547" spans="5:5" ht="14.25" customHeight="1" x14ac:dyDescent="0.25">
      <c r="E547" s="4"/>
    </row>
    <row r="548" spans="5:5" ht="14.25" customHeight="1" x14ac:dyDescent="0.25">
      <c r="E548" s="4"/>
    </row>
    <row r="549" spans="5:5" ht="14.25" customHeight="1" x14ac:dyDescent="0.25">
      <c r="E549" s="4"/>
    </row>
    <row r="550" spans="5:5" ht="14.25" customHeight="1" x14ac:dyDescent="0.25">
      <c r="E550" s="4"/>
    </row>
    <row r="551" spans="5:5" ht="14.25" customHeight="1" x14ac:dyDescent="0.25">
      <c r="E551" s="4"/>
    </row>
    <row r="552" spans="5:5" ht="14.25" customHeight="1" x14ac:dyDescent="0.25">
      <c r="E552" s="4"/>
    </row>
    <row r="553" spans="5:5" ht="14.25" customHeight="1" x14ac:dyDescent="0.25">
      <c r="E553" s="4"/>
    </row>
    <row r="554" spans="5:5" ht="14.25" customHeight="1" x14ac:dyDescent="0.25">
      <c r="E554" s="4"/>
    </row>
    <row r="555" spans="5:5" ht="14.25" customHeight="1" x14ac:dyDescent="0.25">
      <c r="E555" s="4"/>
    </row>
    <row r="556" spans="5:5" ht="14.25" customHeight="1" x14ac:dyDescent="0.25">
      <c r="E556" s="4"/>
    </row>
    <row r="557" spans="5:5" ht="14.25" customHeight="1" x14ac:dyDescent="0.25">
      <c r="E557" s="4"/>
    </row>
    <row r="558" spans="5:5" ht="14.25" customHeight="1" x14ac:dyDescent="0.25">
      <c r="E558" s="4"/>
    </row>
    <row r="559" spans="5:5" ht="14.25" customHeight="1" x14ac:dyDescent="0.25">
      <c r="E559" s="4"/>
    </row>
    <row r="560" spans="5:5" ht="14.25" customHeight="1" x14ac:dyDescent="0.25">
      <c r="E560" s="4"/>
    </row>
    <row r="561" spans="5:5" ht="14.25" customHeight="1" x14ac:dyDescent="0.25">
      <c r="E561" s="4"/>
    </row>
    <row r="562" spans="5:5" ht="14.25" customHeight="1" x14ac:dyDescent="0.25">
      <c r="E562" s="4"/>
    </row>
    <row r="563" spans="5:5" ht="14.25" customHeight="1" x14ac:dyDescent="0.25">
      <c r="E563" s="4"/>
    </row>
    <row r="564" spans="5:5" ht="14.25" customHeight="1" x14ac:dyDescent="0.25">
      <c r="E564" s="4"/>
    </row>
    <row r="565" spans="5:5" ht="14.25" customHeight="1" x14ac:dyDescent="0.25">
      <c r="E565" s="4"/>
    </row>
    <row r="566" spans="5:5" ht="14.25" customHeight="1" x14ac:dyDescent="0.25">
      <c r="E566" s="4"/>
    </row>
    <row r="567" spans="5:5" ht="14.25" customHeight="1" x14ac:dyDescent="0.25">
      <c r="E567" s="4"/>
    </row>
    <row r="568" spans="5:5" ht="14.25" customHeight="1" x14ac:dyDescent="0.25">
      <c r="E568" s="4"/>
    </row>
    <row r="569" spans="5:5" ht="14.25" customHeight="1" x14ac:dyDescent="0.25">
      <c r="E569" s="4"/>
    </row>
    <row r="570" spans="5:5" ht="14.25" customHeight="1" x14ac:dyDescent="0.25">
      <c r="E570" s="4"/>
    </row>
    <row r="571" spans="5:5" ht="14.25" customHeight="1" x14ac:dyDescent="0.25">
      <c r="E571" s="4"/>
    </row>
    <row r="572" spans="5:5" ht="14.25" customHeight="1" x14ac:dyDescent="0.25">
      <c r="E572" s="4"/>
    </row>
    <row r="573" spans="5:5" ht="14.25" customHeight="1" x14ac:dyDescent="0.25">
      <c r="E573" s="4"/>
    </row>
    <row r="574" spans="5:5" ht="14.25" customHeight="1" x14ac:dyDescent="0.25">
      <c r="E574" s="4"/>
    </row>
    <row r="575" spans="5:5" ht="14.25" customHeight="1" x14ac:dyDescent="0.25">
      <c r="E575" s="4"/>
    </row>
    <row r="576" spans="5:5" ht="14.25" customHeight="1" x14ac:dyDescent="0.25">
      <c r="E576" s="4"/>
    </row>
    <row r="577" spans="5:5" ht="14.25" customHeight="1" x14ac:dyDescent="0.25">
      <c r="E577" s="4"/>
    </row>
    <row r="578" spans="5:5" ht="14.25" customHeight="1" x14ac:dyDescent="0.25">
      <c r="E578" s="4"/>
    </row>
    <row r="579" spans="5:5" ht="14.25" customHeight="1" x14ac:dyDescent="0.25">
      <c r="E579" s="4"/>
    </row>
    <row r="580" spans="5:5" ht="14.25" customHeight="1" x14ac:dyDescent="0.25">
      <c r="E580" s="4"/>
    </row>
    <row r="581" spans="5:5" ht="14.25" customHeight="1" x14ac:dyDescent="0.25">
      <c r="E581" s="4"/>
    </row>
    <row r="582" spans="5:5" ht="14.25" customHeight="1" x14ac:dyDescent="0.25">
      <c r="E582" s="4"/>
    </row>
    <row r="583" spans="5:5" ht="14.25" customHeight="1" x14ac:dyDescent="0.25">
      <c r="E583" s="4"/>
    </row>
    <row r="584" spans="5:5" ht="14.25" customHeight="1" x14ac:dyDescent="0.25">
      <c r="E584" s="4"/>
    </row>
    <row r="585" spans="5:5" ht="14.25" customHeight="1" x14ac:dyDescent="0.25">
      <c r="E585" s="4"/>
    </row>
    <row r="586" spans="5:5" ht="14.25" customHeight="1" x14ac:dyDescent="0.25">
      <c r="E586" s="4"/>
    </row>
    <row r="587" spans="5:5" ht="14.25" customHeight="1" x14ac:dyDescent="0.25">
      <c r="E587" s="4"/>
    </row>
    <row r="588" spans="5:5" ht="14.25" customHeight="1" x14ac:dyDescent="0.25">
      <c r="E588" s="4"/>
    </row>
    <row r="589" spans="5:5" ht="14.25" customHeight="1" x14ac:dyDescent="0.25">
      <c r="E589" s="4"/>
    </row>
    <row r="590" spans="5:5" ht="14.25" customHeight="1" x14ac:dyDescent="0.25">
      <c r="E590" s="4"/>
    </row>
    <row r="591" spans="5:5" ht="14.25" customHeight="1" x14ac:dyDescent="0.25">
      <c r="E591" s="4"/>
    </row>
    <row r="592" spans="5:5" ht="14.25" customHeight="1" x14ac:dyDescent="0.25">
      <c r="E592" s="4"/>
    </row>
    <row r="593" spans="5:5" ht="14.25" customHeight="1" x14ac:dyDescent="0.25">
      <c r="E593" s="4"/>
    </row>
    <row r="594" spans="5:5" ht="14.25" customHeight="1" x14ac:dyDescent="0.25">
      <c r="E594" s="4"/>
    </row>
    <row r="595" spans="5:5" ht="14.25" customHeight="1" x14ac:dyDescent="0.25">
      <c r="E595" s="4"/>
    </row>
    <row r="596" spans="5:5" ht="14.25" customHeight="1" x14ac:dyDescent="0.25">
      <c r="E596" s="4"/>
    </row>
    <row r="597" spans="5:5" ht="14.25" customHeight="1" x14ac:dyDescent="0.25">
      <c r="E597" s="4"/>
    </row>
    <row r="598" spans="5:5" ht="14.25" customHeight="1" x14ac:dyDescent="0.25">
      <c r="E598" s="4"/>
    </row>
    <row r="599" spans="5:5" ht="14.25" customHeight="1" x14ac:dyDescent="0.25">
      <c r="E599" s="4"/>
    </row>
    <row r="600" spans="5:5" ht="14.25" customHeight="1" x14ac:dyDescent="0.25">
      <c r="E600" s="4"/>
    </row>
    <row r="601" spans="5:5" ht="14.25" customHeight="1" x14ac:dyDescent="0.25">
      <c r="E601" s="4"/>
    </row>
    <row r="602" spans="5:5" ht="14.25" customHeight="1" x14ac:dyDescent="0.25">
      <c r="E602" s="4"/>
    </row>
    <row r="603" spans="5:5" ht="14.25" customHeight="1" x14ac:dyDescent="0.25">
      <c r="E603" s="4"/>
    </row>
    <row r="604" spans="5:5" ht="14.25" customHeight="1" x14ac:dyDescent="0.25">
      <c r="E604" s="4"/>
    </row>
    <row r="605" spans="5:5" ht="14.25" customHeight="1" x14ac:dyDescent="0.25">
      <c r="E605" s="4"/>
    </row>
    <row r="606" spans="5:5" ht="14.25" customHeight="1" x14ac:dyDescent="0.25">
      <c r="E606" s="4"/>
    </row>
    <row r="607" spans="5:5" ht="14.25" customHeight="1" x14ac:dyDescent="0.25">
      <c r="E607" s="4"/>
    </row>
    <row r="608" spans="5:5" ht="14.25" customHeight="1" x14ac:dyDescent="0.25">
      <c r="E608" s="4"/>
    </row>
    <row r="609" spans="5:5" ht="14.25" customHeight="1" x14ac:dyDescent="0.25">
      <c r="E609" s="4"/>
    </row>
    <row r="610" spans="5:5" ht="14.25" customHeight="1" x14ac:dyDescent="0.25">
      <c r="E610" s="4"/>
    </row>
    <row r="611" spans="5:5" ht="14.25" customHeight="1" x14ac:dyDescent="0.25">
      <c r="E611" s="4"/>
    </row>
    <row r="612" spans="5:5" ht="14.25" customHeight="1" x14ac:dyDescent="0.25">
      <c r="E612" s="4"/>
    </row>
    <row r="613" spans="5:5" ht="14.25" customHeight="1" x14ac:dyDescent="0.25">
      <c r="E613" s="4"/>
    </row>
    <row r="614" spans="5:5" ht="14.25" customHeight="1" x14ac:dyDescent="0.25">
      <c r="E614" s="4"/>
    </row>
    <row r="615" spans="5:5" ht="14.25" customHeight="1" x14ac:dyDescent="0.25">
      <c r="E615" s="4"/>
    </row>
    <row r="616" spans="5:5" ht="14.25" customHeight="1" x14ac:dyDescent="0.25">
      <c r="E616" s="4"/>
    </row>
    <row r="617" spans="5:5" ht="14.25" customHeight="1" x14ac:dyDescent="0.25">
      <c r="E617" s="4"/>
    </row>
    <row r="618" spans="5:5" ht="14.25" customHeight="1" x14ac:dyDescent="0.25">
      <c r="E618" s="4"/>
    </row>
    <row r="619" spans="5:5" ht="14.25" customHeight="1" x14ac:dyDescent="0.25">
      <c r="E619" s="4"/>
    </row>
    <row r="620" spans="5:5" ht="14.25" customHeight="1" x14ac:dyDescent="0.25">
      <c r="E620" s="4"/>
    </row>
    <row r="621" spans="5:5" ht="14.25" customHeight="1" x14ac:dyDescent="0.25">
      <c r="E621" s="4"/>
    </row>
    <row r="622" spans="5:5" ht="14.25" customHeight="1" x14ac:dyDescent="0.25">
      <c r="E622" s="4"/>
    </row>
    <row r="623" spans="5:5" ht="14.25" customHeight="1" x14ac:dyDescent="0.25">
      <c r="E623" s="4"/>
    </row>
    <row r="624" spans="5:5" ht="14.25" customHeight="1" x14ac:dyDescent="0.25">
      <c r="E624" s="4"/>
    </row>
    <row r="625" spans="5:5" ht="14.25" customHeight="1" x14ac:dyDescent="0.25">
      <c r="E625" s="4"/>
    </row>
    <row r="626" spans="5:5" ht="14.25" customHeight="1" x14ac:dyDescent="0.25">
      <c r="E626" s="4"/>
    </row>
    <row r="627" spans="5:5" ht="14.25" customHeight="1" x14ac:dyDescent="0.25">
      <c r="E627" s="4"/>
    </row>
    <row r="628" spans="5:5" ht="14.25" customHeight="1" x14ac:dyDescent="0.25">
      <c r="E628" s="4"/>
    </row>
    <row r="629" spans="5:5" ht="14.25" customHeight="1" x14ac:dyDescent="0.25">
      <c r="E629" s="4"/>
    </row>
    <row r="630" spans="5:5" ht="14.25" customHeight="1" x14ac:dyDescent="0.25">
      <c r="E630" s="4"/>
    </row>
    <row r="631" spans="5:5" ht="14.25" customHeight="1" x14ac:dyDescent="0.25">
      <c r="E631" s="4"/>
    </row>
    <row r="632" spans="5:5" ht="14.25" customHeight="1" x14ac:dyDescent="0.25">
      <c r="E632" s="4"/>
    </row>
    <row r="633" spans="5:5" ht="14.25" customHeight="1" x14ac:dyDescent="0.25">
      <c r="E633" s="4"/>
    </row>
    <row r="634" spans="5:5" ht="14.25" customHeight="1" x14ac:dyDescent="0.25">
      <c r="E634" s="4"/>
    </row>
    <row r="635" spans="5:5" ht="14.25" customHeight="1" x14ac:dyDescent="0.25">
      <c r="E635" s="4"/>
    </row>
    <row r="636" spans="5:5" ht="14.25" customHeight="1" x14ac:dyDescent="0.25">
      <c r="E636" s="4"/>
    </row>
    <row r="637" spans="5:5" ht="14.25" customHeight="1" x14ac:dyDescent="0.25">
      <c r="E637" s="4"/>
    </row>
    <row r="638" spans="5:5" ht="14.25" customHeight="1" x14ac:dyDescent="0.25">
      <c r="E638" s="4"/>
    </row>
    <row r="639" spans="5:5" ht="14.25" customHeight="1" x14ac:dyDescent="0.25">
      <c r="E639" s="4"/>
    </row>
    <row r="640" spans="5:5" ht="14.25" customHeight="1" x14ac:dyDescent="0.25">
      <c r="E640" s="4"/>
    </row>
    <row r="641" spans="5:5" ht="14.25" customHeight="1" x14ac:dyDescent="0.25">
      <c r="E641" s="4"/>
    </row>
    <row r="642" spans="5:5" ht="14.25" customHeight="1" x14ac:dyDescent="0.25">
      <c r="E642" s="4"/>
    </row>
    <row r="643" spans="5:5" ht="14.25" customHeight="1" x14ac:dyDescent="0.25">
      <c r="E643" s="4"/>
    </row>
    <row r="644" spans="5:5" ht="14.25" customHeight="1" x14ac:dyDescent="0.25">
      <c r="E644" s="4"/>
    </row>
    <row r="645" spans="5:5" ht="14.25" customHeight="1" x14ac:dyDescent="0.25">
      <c r="E645" s="4"/>
    </row>
    <row r="646" spans="5:5" ht="14.25" customHeight="1" x14ac:dyDescent="0.25">
      <c r="E646" s="4"/>
    </row>
    <row r="647" spans="5:5" ht="14.25" customHeight="1" x14ac:dyDescent="0.25">
      <c r="E647" s="4"/>
    </row>
    <row r="648" spans="5:5" ht="14.25" customHeight="1" x14ac:dyDescent="0.25">
      <c r="E648" s="4"/>
    </row>
    <row r="649" spans="5:5" ht="14.25" customHeight="1" x14ac:dyDescent="0.25">
      <c r="E649" s="4"/>
    </row>
    <row r="650" spans="5:5" ht="14.25" customHeight="1" x14ac:dyDescent="0.25">
      <c r="E650" s="4"/>
    </row>
    <row r="651" spans="5:5" ht="14.25" customHeight="1" x14ac:dyDescent="0.25">
      <c r="E651" s="4"/>
    </row>
    <row r="652" spans="5:5" ht="14.25" customHeight="1" x14ac:dyDescent="0.25">
      <c r="E652" s="4"/>
    </row>
    <row r="653" spans="5:5" ht="14.25" customHeight="1" x14ac:dyDescent="0.25">
      <c r="E653" s="4"/>
    </row>
    <row r="654" spans="5:5" ht="14.25" customHeight="1" x14ac:dyDescent="0.25">
      <c r="E654" s="4"/>
    </row>
    <row r="655" spans="5:5" ht="14.25" customHeight="1" x14ac:dyDescent="0.25">
      <c r="E655" s="4"/>
    </row>
    <row r="656" spans="5:5" ht="14.25" customHeight="1" x14ac:dyDescent="0.25">
      <c r="E656" s="4"/>
    </row>
    <row r="657" spans="5:5" ht="14.25" customHeight="1" x14ac:dyDescent="0.25">
      <c r="E657" s="4"/>
    </row>
    <row r="658" spans="5:5" ht="14.25" customHeight="1" x14ac:dyDescent="0.25">
      <c r="E658" s="4"/>
    </row>
    <row r="659" spans="5:5" ht="14.25" customHeight="1" x14ac:dyDescent="0.25">
      <c r="E659" s="4"/>
    </row>
    <row r="660" spans="5:5" ht="14.25" customHeight="1" x14ac:dyDescent="0.25">
      <c r="E660" s="4"/>
    </row>
    <row r="661" spans="5:5" ht="14.25" customHeight="1" x14ac:dyDescent="0.25">
      <c r="E661" s="4"/>
    </row>
    <row r="662" spans="5:5" ht="14.25" customHeight="1" x14ac:dyDescent="0.25">
      <c r="E662" s="4"/>
    </row>
    <row r="663" spans="5:5" ht="14.25" customHeight="1" x14ac:dyDescent="0.25">
      <c r="E663" s="4"/>
    </row>
    <row r="664" spans="5:5" ht="14.25" customHeight="1" x14ac:dyDescent="0.25">
      <c r="E664" s="4"/>
    </row>
    <row r="665" spans="5:5" ht="14.25" customHeight="1" x14ac:dyDescent="0.25">
      <c r="E665" s="4"/>
    </row>
    <row r="666" spans="5:5" ht="14.25" customHeight="1" x14ac:dyDescent="0.25">
      <c r="E666" s="4"/>
    </row>
    <row r="667" spans="5:5" ht="14.25" customHeight="1" x14ac:dyDescent="0.25">
      <c r="E667" s="4"/>
    </row>
    <row r="668" spans="5:5" ht="14.25" customHeight="1" x14ac:dyDescent="0.25">
      <c r="E668" s="4"/>
    </row>
    <row r="669" spans="5:5" ht="14.25" customHeight="1" x14ac:dyDescent="0.25">
      <c r="E669" s="4"/>
    </row>
    <row r="670" spans="5:5" ht="14.25" customHeight="1" x14ac:dyDescent="0.25">
      <c r="E670" s="4"/>
    </row>
    <row r="671" spans="5:5" ht="14.25" customHeight="1" x14ac:dyDescent="0.25">
      <c r="E671" s="4"/>
    </row>
    <row r="672" spans="5:5" ht="14.25" customHeight="1" x14ac:dyDescent="0.25">
      <c r="E672" s="4"/>
    </row>
    <row r="673" spans="5:5" ht="14.25" customHeight="1" x14ac:dyDescent="0.25">
      <c r="E673" s="4"/>
    </row>
    <row r="674" spans="5:5" ht="14.25" customHeight="1" x14ac:dyDescent="0.25">
      <c r="E674" s="4"/>
    </row>
    <row r="675" spans="5:5" ht="14.25" customHeight="1" x14ac:dyDescent="0.25">
      <c r="E675" s="4"/>
    </row>
    <row r="676" spans="5:5" ht="14.25" customHeight="1" x14ac:dyDescent="0.25">
      <c r="E676" s="4"/>
    </row>
    <row r="677" spans="5:5" ht="14.25" customHeight="1" x14ac:dyDescent="0.25">
      <c r="E677" s="4"/>
    </row>
    <row r="678" spans="5:5" ht="14.25" customHeight="1" x14ac:dyDescent="0.25">
      <c r="E678" s="4"/>
    </row>
    <row r="679" spans="5:5" ht="14.25" customHeight="1" x14ac:dyDescent="0.25">
      <c r="E679" s="4"/>
    </row>
    <row r="680" spans="5:5" ht="14.25" customHeight="1" x14ac:dyDescent="0.25">
      <c r="E680" s="4"/>
    </row>
    <row r="681" spans="5:5" ht="14.25" customHeight="1" x14ac:dyDescent="0.25">
      <c r="E681" s="4"/>
    </row>
    <row r="682" spans="5:5" ht="14.25" customHeight="1" x14ac:dyDescent="0.25">
      <c r="E682" s="4"/>
    </row>
    <row r="683" spans="5:5" ht="14.25" customHeight="1" x14ac:dyDescent="0.25">
      <c r="E683" s="4"/>
    </row>
    <row r="684" spans="5:5" ht="14.25" customHeight="1" x14ac:dyDescent="0.25">
      <c r="E684" s="4"/>
    </row>
    <row r="685" spans="5:5" ht="14.25" customHeight="1" x14ac:dyDescent="0.25">
      <c r="E685" s="4"/>
    </row>
    <row r="686" spans="5:5" ht="14.25" customHeight="1" x14ac:dyDescent="0.25">
      <c r="E686" s="4"/>
    </row>
    <row r="687" spans="5:5" ht="14.25" customHeight="1" x14ac:dyDescent="0.25">
      <c r="E687" s="4"/>
    </row>
    <row r="688" spans="5:5" ht="14.25" customHeight="1" x14ac:dyDescent="0.25">
      <c r="E688" s="4"/>
    </row>
    <row r="689" spans="5:5" ht="14.25" customHeight="1" x14ac:dyDescent="0.25">
      <c r="E689" s="4"/>
    </row>
    <row r="690" spans="5:5" ht="14.25" customHeight="1" x14ac:dyDescent="0.25">
      <c r="E690" s="4"/>
    </row>
    <row r="691" spans="5:5" ht="14.25" customHeight="1" x14ac:dyDescent="0.25">
      <c r="E691" s="4"/>
    </row>
    <row r="692" spans="5:5" ht="14.25" customHeight="1" x14ac:dyDescent="0.25">
      <c r="E692" s="4"/>
    </row>
    <row r="693" spans="5:5" ht="14.25" customHeight="1" x14ac:dyDescent="0.25">
      <c r="E693" s="4"/>
    </row>
    <row r="694" spans="5:5" ht="14.25" customHeight="1" x14ac:dyDescent="0.25">
      <c r="E694" s="4"/>
    </row>
    <row r="695" spans="5:5" ht="14.25" customHeight="1" x14ac:dyDescent="0.25">
      <c r="E695" s="4"/>
    </row>
    <row r="696" spans="5:5" ht="14.25" customHeight="1" x14ac:dyDescent="0.25">
      <c r="E696" s="4"/>
    </row>
    <row r="697" spans="5:5" ht="14.25" customHeight="1" x14ac:dyDescent="0.25">
      <c r="E697" s="4"/>
    </row>
    <row r="698" spans="5:5" ht="14.25" customHeight="1" x14ac:dyDescent="0.25">
      <c r="E698" s="4"/>
    </row>
    <row r="699" spans="5:5" ht="14.25" customHeight="1" x14ac:dyDescent="0.25">
      <c r="E699" s="4"/>
    </row>
    <row r="700" spans="5:5" ht="14.25" customHeight="1" x14ac:dyDescent="0.25">
      <c r="E700" s="4"/>
    </row>
    <row r="701" spans="5:5" ht="14.25" customHeight="1" x14ac:dyDescent="0.25">
      <c r="E701" s="4"/>
    </row>
    <row r="702" spans="5:5" ht="14.25" customHeight="1" x14ac:dyDescent="0.25">
      <c r="E702" s="4"/>
    </row>
    <row r="703" spans="5:5" ht="14.25" customHeight="1" x14ac:dyDescent="0.25">
      <c r="E703" s="4"/>
    </row>
    <row r="704" spans="5:5" ht="14.25" customHeight="1" x14ac:dyDescent="0.25">
      <c r="E704" s="4"/>
    </row>
    <row r="705" spans="5:5" ht="14.25" customHeight="1" x14ac:dyDescent="0.25">
      <c r="E705" s="4"/>
    </row>
    <row r="706" spans="5:5" ht="14.25" customHeight="1" x14ac:dyDescent="0.25">
      <c r="E706" s="4"/>
    </row>
    <row r="707" spans="5:5" ht="14.25" customHeight="1" x14ac:dyDescent="0.25">
      <c r="E707" s="4"/>
    </row>
    <row r="708" spans="5:5" ht="14.25" customHeight="1" x14ac:dyDescent="0.25">
      <c r="E708" s="4"/>
    </row>
    <row r="709" spans="5:5" ht="14.25" customHeight="1" x14ac:dyDescent="0.25">
      <c r="E709" s="4"/>
    </row>
    <row r="710" spans="5:5" ht="14.25" customHeight="1" x14ac:dyDescent="0.25">
      <c r="E710" s="4"/>
    </row>
    <row r="711" spans="5:5" ht="14.25" customHeight="1" x14ac:dyDescent="0.25">
      <c r="E711" s="4"/>
    </row>
    <row r="712" spans="5:5" ht="14.25" customHeight="1" x14ac:dyDescent="0.25">
      <c r="E712" s="4"/>
    </row>
    <row r="713" spans="5:5" ht="14.25" customHeight="1" x14ac:dyDescent="0.25">
      <c r="E713" s="4"/>
    </row>
    <row r="714" spans="5:5" ht="14.25" customHeight="1" x14ac:dyDescent="0.25">
      <c r="E714" s="4"/>
    </row>
    <row r="715" spans="5:5" ht="14.25" customHeight="1" x14ac:dyDescent="0.25">
      <c r="E715" s="4"/>
    </row>
    <row r="716" spans="5:5" ht="14.25" customHeight="1" x14ac:dyDescent="0.25">
      <c r="E716" s="4"/>
    </row>
    <row r="717" spans="5:5" ht="14.25" customHeight="1" x14ac:dyDescent="0.25">
      <c r="E717" s="4"/>
    </row>
    <row r="718" spans="5:5" ht="14.25" customHeight="1" x14ac:dyDescent="0.25">
      <c r="E718" s="4"/>
    </row>
    <row r="719" spans="5:5" ht="14.25" customHeight="1" x14ac:dyDescent="0.25">
      <c r="E719" s="4"/>
    </row>
    <row r="720" spans="5:5" ht="14.25" customHeight="1" x14ac:dyDescent="0.25">
      <c r="E720" s="4"/>
    </row>
    <row r="721" spans="5:5" ht="14.25" customHeight="1" x14ac:dyDescent="0.25">
      <c r="E721" s="4"/>
    </row>
    <row r="722" spans="5:5" ht="14.25" customHeight="1" x14ac:dyDescent="0.25">
      <c r="E722" s="4"/>
    </row>
    <row r="723" spans="5:5" ht="14.25" customHeight="1" x14ac:dyDescent="0.25">
      <c r="E723" s="4"/>
    </row>
    <row r="724" spans="5:5" ht="14.25" customHeight="1" x14ac:dyDescent="0.25">
      <c r="E724" s="4"/>
    </row>
    <row r="725" spans="5:5" ht="14.25" customHeight="1" x14ac:dyDescent="0.25">
      <c r="E725" s="4"/>
    </row>
    <row r="726" spans="5:5" ht="14.25" customHeight="1" x14ac:dyDescent="0.25">
      <c r="E726" s="4"/>
    </row>
    <row r="727" spans="5:5" ht="14.25" customHeight="1" x14ac:dyDescent="0.25">
      <c r="E727" s="4"/>
    </row>
    <row r="728" spans="5:5" ht="14.25" customHeight="1" x14ac:dyDescent="0.25">
      <c r="E728" s="4"/>
    </row>
    <row r="729" spans="5:5" ht="14.25" customHeight="1" x14ac:dyDescent="0.25">
      <c r="E729" s="4"/>
    </row>
    <row r="730" spans="5:5" ht="14.25" customHeight="1" x14ac:dyDescent="0.25">
      <c r="E730" s="4"/>
    </row>
    <row r="731" spans="5:5" ht="14.25" customHeight="1" x14ac:dyDescent="0.25">
      <c r="E731" s="4"/>
    </row>
    <row r="732" spans="5:5" ht="14.25" customHeight="1" x14ac:dyDescent="0.25">
      <c r="E732" s="4"/>
    </row>
    <row r="733" spans="5:5" ht="14.25" customHeight="1" x14ac:dyDescent="0.25">
      <c r="E733" s="4"/>
    </row>
    <row r="734" spans="5:5" ht="14.25" customHeight="1" x14ac:dyDescent="0.25">
      <c r="E734" s="4"/>
    </row>
    <row r="735" spans="5:5" ht="14.25" customHeight="1" x14ac:dyDescent="0.25">
      <c r="E735" s="4"/>
    </row>
    <row r="736" spans="5:5" ht="14.25" customHeight="1" x14ac:dyDescent="0.25">
      <c r="E736" s="4"/>
    </row>
    <row r="737" spans="5:5" ht="14.25" customHeight="1" x14ac:dyDescent="0.25">
      <c r="E737" s="4"/>
    </row>
    <row r="738" spans="5:5" ht="14.25" customHeight="1" x14ac:dyDescent="0.25">
      <c r="E738" s="4"/>
    </row>
    <row r="739" spans="5:5" ht="14.25" customHeight="1" x14ac:dyDescent="0.25">
      <c r="E739" s="4"/>
    </row>
    <row r="740" spans="5:5" ht="14.25" customHeight="1" x14ac:dyDescent="0.25">
      <c r="E740" s="4"/>
    </row>
    <row r="741" spans="5:5" ht="14.25" customHeight="1" x14ac:dyDescent="0.25">
      <c r="E741" s="4"/>
    </row>
    <row r="742" spans="5:5" ht="14.25" customHeight="1" x14ac:dyDescent="0.25">
      <c r="E742" s="4"/>
    </row>
    <row r="743" spans="5:5" ht="14.25" customHeight="1" x14ac:dyDescent="0.25">
      <c r="E743" s="4"/>
    </row>
    <row r="744" spans="5:5" ht="14.25" customHeight="1" x14ac:dyDescent="0.25">
      <c r="E744" s="4"/>
    </row>
    <row r="745" spans="5:5" ht="14.25" customHeight="1" x14ac:dyDescent="0.25">
      <c r="E745" s="4"/>
    </row>
    <row r="746" spans="5:5" ht="14.25" customHeight="1" x14ac:dyDescent="0.25">
      <c r="E746" s="4"/>
    </row>
    <row r="747" spans="5:5" ht="14.25" customHeight="1" x14ac:dyDescent="0.25">
      <c r="E747" s="4"/>
    </row>
    <row r="748" spans="5:5" ht="14.25" customHeight="1" x14ac:dyDescent="0.25">
      <c r="E748" s="4"/>
    </row>
    <row r="749" spans="5:5" ht="14.25" customHeight="1" x14ac:dyDescent="0.25">
      <c r="E749" s="4"/>
    </row>
    <row r="750" spans="5:5" ht="14.25" customHeight="1" x14ac:dyDescent="0.25">
      <c r="E750" s="4"/>
    </row>
    <row r="751" spans="5:5" ht="14.25" customHeight="1" x14ac:dyDescent="0.25">
      <c r="E751" s="4"/>
    </row>
    <row r="752" spans="5:5" ht="14.25" customHeight="1" x14ac:dyDescent="0.25">
      <c r="E752" s="4"/>
    </row>
    <row r="753" spans="5:5" ht="14.25" customHeight="1" x14ac:dyDescent="0.25">
      <c r="E753" s="4"/>
    </row>
    <row r="754" spans="5:5" ht="14.25" customHeight="1" x14ac:dyDescent="0.25">
      <c r="E754" s="4"/>
    </row>
    <row r="755" spans="5:5" ht="14.25" customHeight="1" x14ac:dyDescent="0.25">
      <c r="E755" s="4"/>
    </row>
    <row r="756" spans="5:5" ht="14.25" customHeight="1" x14ac:dyDescent="0.25">
      <c r="E756" s="4"/>
    </row>
    <row r="757" spans="5:5" ht="14.25" customHeight="1" x14ac:dyDescent="0.25">
      <c r="E757" s="4"/>
    </row>
    <row r="758" spans="5:5" ht="14.25" customHeight="1" x14ac:dyDescent="0.25">
      <c r="E758" s="4"/>
    </row>
    <row r="759" spans="5:5" ht="14.25" customHeight="1" x14ac:dyDescent="0.25">
      <c r="E759" s="4"/>
    </row>
    <row r="760" spans="5:5" ht="14.25" customHeight="1" x14ac:dyDescent="0.25">
      <c r="E760" s="4"/>
    </row>
    <row r="761" spans="5:5" ht="14.25" customHeight="1" x14ac:dyDescent="0.25">
      <c r="E761" s="4"/>
    </row>
    <row r="762" spans="5:5" ht="14.25" customHeight="1" x14ac:dyDescent="0.25">
      <c r="E762" s="4"/>
    </row>
    <row r="763" spans="5:5" ht="14.25" customHeight="1" x14ac:dyDescent="0.25">
      <c r="E763" s="4"/>
    </row>
    <row r="764" spans="5:5" ht="14.25" customHeight="1" x14ac:dyDescent="0.25">
      <c r="E764" s="4"/>
    </row>
    <row r="765" spans="5:5" ht="14.25" customHeight="1" x14ac:dyDescent="0.25">
      <c r="E765" s="4"/>
    </row>
    <row r="766" spans="5:5" ht="14.25" customHeight="1" x14ac:dyDescent="0.25">
      <c r="E766" s="4"/>
    </row>
    <row r="767" spans="5:5" ht="14.25" customHeight="1" x14ac:dyDescent="0.25">
      <c r="E767" s="4"/>
    </row>
    <row r="768" spans="5:5" ht="14.25" customHeight="1" x14ac:dyDescent="0.25">
      <c r="E768" s="4"/>
    </row>
    <row r="769" spans="5:5" ht="14.25" customHeight="1" x14ac:dyDescent="0.25">
      <c r="E769" s="4"/>
    </row>
    <row r="770" spans="5:5" ht="14.25" customHeight="1" x14ac:dyDescent="0.25">
      <c r="E770" s="4"/>
    </row>
    <row r="771" spans="5:5" ht="14.25" customHeight="1" x14ac:dyDescent="0.25">
      <c r="E771" s="4"/>
    </row>
    <row r="772" spans="5:5" ht="14.25" customHeight="1" x14ac:dyDescent="0.25">
      <c r="E772" s="4"/>
    </row>
    <row r="773" spans="5:5" ht="14.25" customHeight="1" x14ac:dyDescent="0.25">
      <c r="E773" s="4"/>
    </row>
    <row r="774" spans="5:5" ht="14.25" customHeight="1" x14ac:dyDescent="0.25">
      <c r="E774" s="4"/>
    </row>
    <row r="775" spans="5:5" ht="14.25" customHeight="1" x14ac:dyDescent="0.25">
      <c r="E775" s="4"/>
    </row>
    <row r="776" spans="5:5" ht="14.25" customHeight="1" x14ac:dyDescent="0.25">
      <c r="E776" s="4"/>
    </row>
    <row r="777" spans="5:5" ht="14.25" customHeight="1" x14ac:dyDescent="0.25">
      <c r="E777" s="4"/>
    </row>
    <row r="778" spans="5:5" ht="14.25" customHeight="1" x14ac:dyDescent="0.25">
      <c r="E778" s="4"/>
    </row>
    <row r="779" spans="5:5" ht="14.25" customHeight="1" x14ac:dyDescent="0.25">
      <c r="E779" s="4"/>
    </row>
    <row r="780" spans="5:5" ht="14.25" customHeight="1" x14ac:dyDescent="0.25">
      <c r="E780" s="4"/>
    </row>
    <row r="781" spans="5:5" ht="14.25" customHeight="1" x14ac:dyDescent="0.25">
      <c r="E781" s="4"/>
    </row>
    <row r="782" spans="5:5" ht="14.25" customHeight="1" x14ac:dyDescent="0.25">
      <c r="E782" s="4"/>
    </row>
    <row r="783" spans="5:5" ht="14.25" customHeight="1" x14ac:dyDescent="0.25">
      <c r="E783" s="4"/>
    </row>
    <row r="784" spans="5:5" ht="14.25" customHeight="1" x14ac:dyDescent="0.25">
      <c r="E784" s="4"/>
    </row>
    <row r="785" spans="5:5" ht="14.25" customHeight="1" x14ac:dyDescent="0.25">
      <c r="E785" s="4"/>
    </row>
    <row r="786" spans="5:5" ht="14.25" customHeight="1" x14ac:dyDescent="0.25">
      <c r="E786" s="4"/>
    </row>
    <row r="787" spans="5:5" ht="14.25" customHeight="1" x14ac:dyDescent="0.25">
      <c r="E787" s="4"/>
    </row>
    <row r="788" spans="5:5" ht="14.25" customHeight="1" x14ac:dyDescent="0.25">
      <c r="E788" s="4"/>
    </row>
    <row r="789" spans="5:5" ht="14.25" customHeight="1" x14ac:dyDescent="0.25">
      <c r="E789" s="4"/>
    </row>
    <row r="790" spans="5:5" ht="14.25" customHeight="1" x14ac:dyDescent="0.25">
      <c r="E790" s="4"/>
    </row>
    <row r="791" spans="5:5" ht="14.25" customHeight="1" x14ac:dyDescent="0.25">
      <c r="E791" s="4"/>
    </row>
    <row r="792" spans="5:5" ht="14.25" customHeight="1" x14ac:dyDescent="0.25">
      <c r="E792" s="4"/>
    </row>
    <row r="793" spans="5:5" ht="14.25" customHeight="1" x14ac:dyDescent="0.25">
      <c r="E793" s="4"/>
    </row>
    <row r="794" spans="5:5" ht="14.25" customHeight="1" x14ac:dyDescent="0.25">
      <c r="E794" s="4"/>
    </row>
    <row r="795" spans="5:5" ht="14.25" customHeight="1" x14ac:dyDescent="0.25">
      <c r="E795" s="4"/>
    </row>
    <row r="796" spans="5:5" ht="14.25" customHeight="1" x14ac:dyDescent="0.25">
      <c r="E796" s="4"/>
    </row>
    <row r="797" spans="5:5" ht="14.25" customHeight="1" x14ac:dyDescent="0.25">
      <c r="E797" s="4"/>
    </row>
    <row r="798" spans="5:5" ht="14.25" customHeight="1" x14ac:dyDescent="0.25">
      <c r="E798" s="4"/>
    </row>
    <row r="799" spans="5:5" ht="14.25" customHeight="1" x14ac:dyDescent="0.25">
      <c r="E799" s="4"/>
    </row>
    <row r="800" spans="5:5" ht="14.25" customHeight="1" x14ac:dyDescent="0.25">
      <c r="E800" s="4"/>
    </row>
    <row r="801" spans="5:5" ht="14.25" customHeight="1" x14ac:dyDescent="0.25">
      <c r="E801" s="4"/>
    </row>
    <row r="802" spans="5:5" ht="14.25" customHeight="1" x14ac:dyDescent="0.25">
      <c r="E802" s="4"/>
    </row>
    <row r="803" spans="5:5" ht="14.25" customHeight="1" x14ac:dyDescent="0.25">
      <c r="E803" s="4"/>
    </row>
    <row r="804" spans="5:5" ht="14.25" customHeight="1" x14ac:dyDescent="0.25">
      <c r="E804" s="4"/>
    </row>
    <row r="805" spans="5:5" ht="14.25" customHeight="1" x14ac:dyDescent="0.25">
      <c r="E805" s="4"/>
    </row>
    <row r="806" spans="5:5" ht="14.25" customHeight="1" x14ac:dyDescent="0.25">
      <c r="E806" s="4"/>
    </row>
    <row r="807" spans="5:5" ht="14.25" customHeight="1" x14ac:dyDescent="0.25">
      <c r="E807" s="4"/>
    </row>
    <row r="808" spans="5:5" ht="14.25" customHeight="1" x14ac:dyDescent="0.25">
      <c r="E808" s="4"/>
    </row>
    <row r="809" spans="5:5" ht="14.25" customHeight="1" x14ac:dyDescent="0.25">
      <c r="E809" s="4"/>
    </row>
    <row r="810" spans="5:5" ht="14.25" customHeight="1" x14ac:dyDescent="0.25">
      <c r="E810" s="4"/>
    </row>
    <row r="811" spans="5:5" ht="14.25" customHeight="1" x14ac:dyDescent="0.25">
      <c r="E811" s="4"/>
    </row>
    <row r="812" spans="5:5" ht="14.25" customHeight="1" x14ac:dyDescent="0.25">
      <c r="E812" s="4"/>
    </row>
    <row r="813" spans="5:5" ht="14.25" customHeight="1" x14ac:dyDescent="0.25">
      <c r="E813" s="4"/>
    </row>
    <row r="814" spans="5:5" ht="14.25" customHeight="1" x14ac:dyDescent="0.25">
      <c r="E814" s="4"/>
    </row>
    <row r="815" spans="5:5" ht="14.25" customHeight="1" x14ac:dyDescent="0.25">
      <c r="E815" s="4"/>
    </row>
    <row r="816" spans="5:5" ht="14.25" customHeight="1" x14ac:dyDescent="0.25">
      <c r="E816" s="4"/>
    </row>
    <row r="817" spans="5:5" ht="14.25" customHeight="1" x14ac:dyDescent="0.25">
      <c r="E817" s="4"/>
    </row>
    <row r="818" spans="5:5" ht="14.25" customHeight="1" x14ac:dyDescent="0.25">
      <c r="E818" s="4"/>
    </row>
    <row r="819" spans="5:5" ht="14.25" customHeight="1" x14ac:dyDescent="0.25">
      <c r="E819" s="4"/>
    </row>
    <row r="820" spans="5:5" ht="14.25" customHeight="1" x14ac:dyDescent="0.25">
      <c r="E820" s="4"/>
    </row>
    <row r="821" spans="5:5" ht="14.25" customHeight="1" x14ac:dyDescent="0.25">
      <c r="E821" s="4"/>
    </row>
    <row r="822" spans="5:5" ht="14.25" customHeight="1" x14ac:dyDescent="0.25">
      <c r="E822" s="4"/>
    </row>
    <row r="823" spans="5:5" ht="14.25" customHeight="1" x14ac:dyDescent="0.25">
      <c r="E823" s="4"/>
    </row>
    <row r="824" spans="5:5" ht="14.25" customHeight="1" x14ac:dyDescent="0.25">
      <c r="E824" s="4"/>
    </row>
    <row r="825" spans="5:5" ht="14.25" customHeight="1" x14ac:dyDescent="0.25">
      <c r="E825" s="4"/>
    </row>
    <row r="826" spans="5:5" ht="14.25" customHeight="1" x14ac:dyDescent="0.25">
      <c r="E826" s="4"/>
    </row>
    <row r="827" spans="5:5" ht="14.25" customHeight="1" x14ac:dyDescent="0.25">
      <c r="E827" s="4"/>
    </row>
    <row r="828" spans="5:5" ht="14.25" customHeight="1" x14ac:dyDescent="0.25">
      <c r="E828" s="4"/>
    </row>
    <row r="829" spans="5:5" ht="14.25" customHeight="1" x14ac:dyDescent="0.25">
      <c r="E829" s="4"/>
    </row>
    <row r="830" spans="5:5" ht="14.25" customHeight="1" x14ac:dyDescent="0.25">
      <c r="E830" s="4"/>
    </row>
    <row r="831" spans="5:5" ht="14.25" customHeight="1" x14ac:dyDescent="0.25">
      <c r="E831" s="4"/>
    </row>
    <row r="832" spans="5:5" ht="14.25" customHeight="1" x14ac:dyDescent="0.25">
      <c r="E832" s="4"/>
    </row>
    <row r="833" spans="5:5" ht="14.25" customHeight="1" x14ac:dyDescent="0.25">
      <c r="E833" s="4"/>
    </row>
    <row r="834" spans="5:5" ht="14.25" customHeight="1" x14ac:dyDescent="0.25">
      <c r="E834" s="4"/>
    </row>
    <row r="835" spans="5:5" ht="14.25" customHeight="1" x14ac:dyDescent="0.25">
      <c r="E835" s="4"/>
    </row>
    <row r="836" spans="5:5" ht="14.25" customHeight="1" x14ac:dyDescent="0.25">
      <c r="E836" s="4"/>
    </row>
    <row r="837" spans="5:5" ht="14.25" customHeight="1" x14ac:dyDescent="0.25">
      <c r="E837" s="4"/>
    </row>
    <row r="838" spans="5:5" ht="14.25" customHeight="1" x14ac:dyDescent="0.25">
      <c r="E838" s="4"/>
    </row>
    <row r="839" spans="5:5" ht="14.25" customHeight="1" x14ac:dyDescent="0.25">
      <c r="E839" s="4"/>
    </row>
    <row r="840" spans="5:5" ht="14.25" customHeight="1" x14ac:dyDescent="0.25">
      <c r="E840" s="4"/>
    </row>
    <row r="841" spans="5:5" ht="14.25" customHeight="1" x14ac:dyDescent="0.25">
      <c r="E841" s="4"/>
    </row>
    <row r="842" spans="5:5" ht="14.25" customHeight="1" x14ac:dyDescent="0.25">
      <c r="E842" s="4"/>
    </row>
    <row r="843" spans="5:5" ht="14.25" customHeight="1" x14ac:dyDescent="0.25">
      <c r="E843" s="4"/>
    </row>
    <row r="844" spans="5:5" ht="14.25" customHeight="1" x14ac:dyDescent="0.25">
      <c r="E844" s="4"/>
    </row>
    <row r="845" spans="5:5" ht="14.25" customHeight="1" x14ac:dyDescent="0.25">
      <c r="E845" s="4"/>
    </row>
    <row r="846" spans="5:5" ht="14.25" customHeight="1" x14ac:dyDescent="0.25">
      <c r="E846" s="4"/>
    </row>
    <row r="847" spans="5:5" ht="14.25" customHeight="1" x14ac:dyDescent="0.25">
      <c r="E847" s="4"/>
    </row>
    <row r="848" spans="5:5" ht="14.25" customHeight="1" x14ac:dyDescent="0.25">
      <c r="E848" s="4"/>
    </row>
    <row r="849" spans="5:5" ht="14.25" customHeight="1" x14ac:dyDescent="0.25">
      <c r="E849" s="4"/>
    </row>
    <row r="850" spans="5:5" ht="14.25" customHeight="1" x14ac:dyDescent="0.25">
      <c r="E850" s="4"/>
    </row>
    <row r="851" spans="5:5" ht="14.25" customHeight="1" x14ac:dyDescent="0.25">
      <c r="E851" s="4"/>
    </row>
    <row r="852" spans="5:5" ht="14.25" customHeight="1" x14ac:dyDescent="0.25">
      <c r="E852" s="4"/>
    </row>
    <row r="853" spans="5:5" ht="14.25" customHeight="1" x14ac:dyDescent="0.25">
      <c r="E853" s="4"/>
    </row>
    <row r="854" spans="5:5" ht="14.25" customHeight="1" x14ac:dyDescent="0.25">
      <c r="E854" s="4"/>
    </row>
    <row r="855" spans="5:5" ht="14.25" customHeight="1" x14ac:dyDescent="0.25">
      <c r="E855" s="4"/>
    </row>
    <row r="856" spans="5:5" ht="14.25" customHeight="1" x14ac:dyDescent="0.25">
      <c r="E856" s="4"/>
    </row>
    <row r="857" spans="5:5" ht="14.25" customHeight="1" x14ac:dyDescent="0.25">
      <c r="E857" s="4"/>
    </row>
    <row r="858" spans="5:5" ht="14.25" customHeight="1" x14ac:dyDescent="0.25">
      <c r="E858" s="4"/>
    </row>
    <row r="859" spans="5:5" ht="14.25" customHeight="1" x14ac:dyDescent="0.25">
      <c r="E859" s="4"/>
    </row>
    <row r="860" spans="5:5" ht="14.25" customHeight="1" x14ac:dyDescent="0.25">
      <c r="E860" s="4"/>
    </row>
    <row r="861" spans="5:5" ht="14.25" customHeight="1" x14ac:dyDescent="0.25">
      <c r="E861" s="4"/>
    </row>
    <row r="862" spans="5:5" ht="14.25" customHeight="1" x14ac:dyDescent="0.25">
      <c r="E862" s="4"/>
    </row>
    <row r="863" spans="5:5" ht="14.25" customHeight="1" x14ac:dyDescent="0.25">
      <c r="E863" s="4"/>
    </row>
    <row r="864" spans="5:5" ht="14.25" customHeight="1" x14ac:dyDescent="0.25">
      <c r="E864" s="4"/>
    </row>
    <row r="865" spans="5:5" ht="14.25" customHeight="1" x14ac:dyDescent="0.25">
      <c r="E865" s="4"/>
    </row>
    <row r="866" spans="5:5" ht="14.25" customHeight="1" x14ac:dyDescent="0.25">
      <c r="E866" s="4"/>
    </row>
    <row r="867" spans="5:5" ht="14.25" customHeight="1" x14ac:dyDescent="0.25">
      <c r="E867" s="4"/>
    </row>
    <row r="868" spans="5:5" ht="14.25" customHeight="1" x14ac:dyDescent="0.25">
      <c r="E868" s="4"/>
    </row>
    <row r="869" spans="5:5" ht="14.25" customHeight="1" x14ac:dyDescent="0.25">
      <c r="E869" s="4"/>
    </row>
    <row r="870" spans="5:5" ht="14.25" customHeight="1" x14ac:dyDescent="0.25">
      <c r="E870" s="4"/>
    </row>
    <row r="871" spans="5:5" ht="14.25" customHeight="1" x14ac:dyDescent="0.25">
      <c r="E871" s="4"/>
    </row>
    <row r="872" spans="5:5" ht="14.25" customHeight="1" x14ac:dyDescent="0.25">
      <c r="E872" s="4"/>
    </row>
    <row r="873" spans="5:5" ht="14.25" customHeight="1" x14ac:dyDescent="0.25">
      <c r="E873" s="4"/>
    </row>
    <row r="874" spans="5:5" ht="14.25" customHeight="1" x14ac:dyDescent="0.25">
      <c r="E874" s="4"/>
    </row>
    <row r="875" spans="5:5" ht="14.25" customHeight="1" x14ac:dyDescent="0.25">
      <c r="E875" s="4"/>
    </row>
    <row r="876" spans="5:5" ht="14.25" customHeight="1" x14ac:dyDescent="0.25">
      <c r="E876" s="4"/>
    </row>
    <row r="877" spans="5:5" ht="14.25" customHeight="1" x14ac:dyDescent="0.25">
      <c r="E877" s="4"/>
    </row>
    <row r="878" spans="5:5" ht="14.25" customHeight="1" x14ac:dyDescent="0.25">
      <c r="E878" s="4"/>
    </row>
    <row r="879" spans="5:5" ht="14.25" customHeight="1" x14ac:dyDescent="0.25">
      <c r="E879" s="4"/>
    </row>
    <row r="880" spans="5:5" ht="14.25" customHeight="1" x14ac:dyDescent="0.25">
      <c r="E880" s="4"/>
    </row>
    <row r="881" spans="5:5" ht="14.25" customHeight="1" x14ac:dyDescent="0.25">
      <c r="E881" s="4"/>
    </row>
    <row r="882" spans="5:5" ht="14.25" customHeight="1" x14ac:dyDescent="0.25">
      <c r="E882" s="4"/>
    </row>
    <row r="883" spans="5:5" ht="14.25" customHeight="1" x14ac:dyDescent="0.25">
      <c r="E883" s="4"/>
    </row>
    <row r="884" spans="5:5" ht="14.25" customHeight="1" x14ac:dyDescent="0.25">
      <c r="E884" s="4"/>
    </row>
    <row r="885" spans="5:5" ht="14.25" customHeight="1" x14ac:dyDescent="0.25">
      <c r="E885" s="4"/>
    </row>
    <row r="886" spans="5:5" ht="14.25" customHeight="1" x14ac:dyDescent="0.25">
      <c r="E886" s="4"/>
    </row>
    <row r="887" spans="5:5" ht="14.25" customHeight="1" x14ac:dyDescent="0.25">
      <c r="E887" s="4"/>
    </row>
    <row r="888" spans="5:5" ht="14.25" customHeight="1" x14ac:dyDescent="0.25">
      <c r="E888" s="4"/>
    </row>
    <row r="889" spans="5:5" ht="14.25" customHeight="1" x14ac:dyDescent="0.25">
      <c r="E889" s="4"/>
    </row>
    <row r="890" spans="5:5" ht="14.25" customHeight="1" x14ac:dyDescent="0.25">
      <c r="E890" s="4"/>
    </row>
    <row r="891" spans="5:5" ht="14.25" customHeight="1" x14ac:dyDescent="0.25">
      <c r="E891" s="4"/>
    </row>
    <row r="892" spans="5:5" ht="14.25" customHeight="1" x14ac:dyDescent="0.25">
      <c r="E892" s="4"/>
    </row>
    <row r="893" spans="5:5" ht="14.25" customHeight="1" x14ac:dyDescent="0.25">
      <c r="E893" s="4"/>
    </row>
    <row r="894" spans="5:5" ht="14.25" customHeight="1" x14ac:dyDescent="0.25">
      <c r="E894" s="4"/>
    </row>
    <row r="895" spans="5:5" ht="14.25" customHeight="1" x14ac:dyDescent="0.25">
      <c r="E895" s="4"/>
    </row>
    <row r="896" spans="5:5" ht="14.25" customHeight="1" x14ac:dyDescent="0.25">
      <c r="E896" s="4"/>
    </row>
    <row r="897" spans="5:5" ht="14.25" customHeight="1" x14ac:dyDescent="0.25">
      <c r="E897" s="4"/>
    </row>
    <row r="898" spans="5:5" ht="14.25" customHeight="1" x14ac:dyDescent="0.25">
      <c r="E898" s="4"/>
    </row>
    <row r="899" spans="5:5" ht="14.25" customHeight="1" x14ac:dyDescent="0.25">
      <c r="E899" s="4"/>
    </row>
    <row r="900" spans="5:5" ht="14.25" customHeight="1" x14ac:dyDescent="0.25">
      <c r="E900" s="4"/>
    </row>
    <row r="901" spans="5:5" ht="14.25" customHeight="1" x14ac:dyDescent="0.25">
      <c r="E901" s="4"/>
    </row>
    <row r="902" spans="5:5" ht="14.25" customHeight="1" x14ac:dyDescent="0.25">
      <c r="E902" s="4"/>
    </row>
    <row r="903" spans="5:5" ht="14.25" customHeight="1" x14ac:dyDescent="0.25">
      <c r="E903" s="4"/>
    </row>
    <row r="904" spans="5:5" ht="14.25" customHeight="1" x14ac:dyDescent="0.25">
      <c r="E904" s="4"/>
    </row>
    <row r="905" spans="5:5" ht="14.25" customHeight="1" x14ac:dyDescent="0.25">
      <c r="E905" s="4"/>
    </row>
    <row r="906" spans="5:5" ht="14.25" customHeight="1" x14ac:dyDescent="0.25">
      <c r="E906" s="4"/>
    </row>
    <row r="907" spans="5:5" ht="14.25" customHeight="1" x14ac:dyDescent="0.25">
      <c r="E907" s="4"/>
    </row>
    <row r="908" spans="5:5" ht="14.25" customHeight="1" x14ac:dyDescent="0.25">
      <c r="E908" s="4"/>
    </row>
    <row r="909" spans="5:5" ht="14.25" customHeight="1" x14ac:dyDescent="0.25">
      <c r="E909" s="4"/>
    </row>
    <row r="910" spans="5:5" ht="14.25" customHeight="1" x14ac:dyDescent="0.25">
      <c r="E910" s="4"/>
    </row>
    <row r="911" spans="5:5" ht="14.25" customHeight="1" x14ac:dyDescent="0.25">
      <c r="E911" s="4"/>
    </row>
    <row r="912" spans="5:5" ht="14.25" customHeight="1" x14ac:dyDescent="0.25">
      <c r="E912" s="4"/>
    </row>
    <row r="913" spans="5:5" ht="14.25" customHeight="1" x14ac:dyDescent="0.25">
      <c r="E913" s="4"/>
    </row>
    <row r="914" spans="5:5" ht="14.25" customHeight="1" x14ac:dyDescent="0.25">
      <c r="E914" s="4"/>
    </row>
    <row r="915" spans="5:5" ht="14.25" customHeight="1" x14ac:dyDescent="0.25">
      <c r="E915" s="4"/>
    </row>
    <row r="916" spans="5:5" ht="14.25" customHeight="1" x14ac:dyDescent="0.25">
      <c r="E916" s="4"/>
    </row>
    <row r="917" spans="5:5" ht="14.25" customHeight="1" x14ac:dyDescent="0.25">
      <c r="E917" s="4"/>
    </row>
    <row r="918" spans="5:5" ht="14.25" customHeight="1" x14ac:dyDescent="0.25">
      <c r="E918" s="4"/>
    </row>
    <row r="919" spans="5:5" ht="14.25" customHeight="1" x14ac:dyDescent="0.25">
      <c r="E919" s="4"/>
    </row>
    <row r="920" spans="5:5" ht="14.25" customHeight="1" x14ac:dyDescent="0.25">
      <c r="E920" s="4"/>
    </row>
    <row r="921" spans="5:5" ht="14.25" customHeight="1" x14ac:dyDescent="0.25">
      <c r="E921" s="4"/>
    </row>
    <row r="922" spans="5:5" ht="14.25" customHeight="1" x14ac:dyDescent="0.25">
      <c r="E922" s="4"/>
    </row>
    <row r="923" spans="5:5" ht="14.25" customHeight="1" x14ac:dyDescent="0.25">
      <c r="E923" s="4"/>
    </row>
    <row r="924" spans="5:5" ht="14.25" customHeight="1" x14ac:dyDescent="0.25">
      <c r="E924" s="4"/>
    </row>
    <row r="925" spans="5:5" ht="14.25" customHeight="1" x14ac:dyDescent="0.25">
      <c r="E925" s="4"/>
    </row>
    <row r="926" spans="5:5" ht="14.25" customHeight="1" x14ac:dyDescent="0.25">
      <c r="E926" s="4"/>
    </row>
    <row r="927" spans="5:5" ht="14.25" customHeight="1" x14ac:dyDescent="0.25">
      <c r="E927" s="4"/>
    </row>
    <row r="928" spans="5:5" ht="14.25" customHeight="1" x14ac:dyDescent="0.25">
      <c r="E928" s="4"/>
    </row>
    <row r="929" spans="5:5" ht="14.25" customHeight="1" x14ac:dyDescent="0.25">
      <c r="E929" s="4"/>
    </row>
    <row r="930" spans="5:5" ht="14.25" customHeight="1" x14ac:dyDescent="0.25">
      <c r="E930" s="4"/>
    </row>
    <row r="931" spans="5:5" ht="14.25" customHeight="1" x14ac:dyDescent="0.25">
      <c r="E931" s="4"/>
    </row>
    <row r="932" spans="5:5" ht="14.25" customHeight="1" x14ac:dyDescent="0.25">
      <c r="E932" s="4"/>
    </row>
    <row r="933" spans="5:5" ht="14.25" customHeight="1" x14ac:dyDescent="0.25">
      <c r="E933" s="4"/>
    </row>
    <row r="934" spans="5:5" ht="14.25" customHeight="1" x14ac:dyDescent="0.25">
      <c r="E934" s="4"/>
    </row>
    <row r="935" spans="5:5" ht="14.25" customHeight="1" x14ac:dyDescent="0.25">
      <c r="E935" s="4"/>
    </row>
    <row r="936" spans="5:5" ht="14.25" customHeight="1" x14ac:dyDescent="0.25">
      <c r="E936" s="4"/>
    </row>
    <row r="937" spans="5:5" ht="14.25" customHeight="1" x14ac:dyDescent="0.25">
      <c r="E937" s="4"/>
    </row>
    <row r="938" spans="5:5" ht="14.25" customHeight="1" x14ac:dyDescent="0.25">
      <c r="E938" s="4"/>
    </row>
    <row r="939" spans="5:5" ht="14.25" customHeight="1" x14ac:dyDescent="0.25">
      <c r="E939" s="4"/>
    </row>
    <row r="940" spans="5:5" ht="14.25" customHeight="1" x14ac:dyDescent="0.25">
      <c r="E940" s="4"/>
    </row>
    <row r="941" spans="5:5" ht="14.25" customHeight="1" x14ac:dyDescent="0.25">
      <c r="E941" s="4"/>
    </row>
    <row r="942" spans="5:5" ht="14.25" customHeight="1" x14ac:dyDescent="0.25">
      <c r="E942" s="4"/>
    </row>
    <row r="943" spans="5:5" ht="14.25" customHeight="1" x14ac:dyDescent="0.25">
      <c r="E943" s="4"/>
    </row>
    <row r="944" spans="5:5" ht="14.25" customHeight="1" x14ac:dyDescent="0.25">
      <c r="E944" s="4"/>
    </row>
    <row r="945" spans="5:5" ht="14.25" customHeight="1" x14ac:dyDescent="0.25">
      <c r="E945" s="4"/>
    </row>
    <row r="946" spans="5:5" ht="14.25" customHeight="1" x14ac:dyDescent="0.25">
      <c r="E946" s="4"/>
    </row>
    <row r="947" spans="5:5" ht="14.25" customHeight="1" x14ac:dyDescent="0.25">
      <c r="E947" s="4"/>
    </row>
    <row r="948" spans="5:5" ht="14.25" customHeight="1" x14ac:dyDescent="0.25">
      <c r="E948" s="4"/>
    </row>
    <row r="949" spans="5:5" ht="14.25" customHeight="1" x14ac:dyDescent="0.25">
      <c r="E949" s="4"/>
    </row>
    <row r="950" spans="5:5" ht="14.25" customHeight="1" x14ac:dyDescent="0.25">
      <c r="E950" s="4"/>
    </row>
    <row r="951" spans="5:5" ht="14.25" customHeight="1" x14ac:dyDescent="0.25">
      <c r="E951" s="4"/>
    </row>
    <row r="952" spans="5:5" ht="14.25" customHeight="1" x14ac:dyDescent="0.25">
      <c r="E952" s="4"/>
    </row>
    <row r="953" spans="5:5" ht="14.25" customHeight="1" x14ac:dyDescent="0.25">
      <c r="E953" s="4"/>
    </row>
    <row r="954" spans="5:5" ht="14.25" customHeight="1" x14ac:dyDescent="0.25">
      <c r="E954" s="4"/>
    </row>
    <row r="955" spans="5:5" ht="14.25" customHeight="1" x14ac:dyDescent="0.25">
      <c r="E955" s="4"/>
    </row>
    <row r="956" spans="5:5" ht="14.25" customHeight="1" x14ac:dyDescent="0.25">
      <c r="E956" s="4"/>
    </row>
    <row r="957" spans="5:5" ht="14.25" customHeight="1" x14ac:dyDescent="0.25">
      <c r="E957" s="4"/>
    </row>
    <row r="958" spans="5:5" ht="14.25" customHeight="1" x14ac:dyDescent="0.25">
      <c r="E958" s="4"/>
    </row>
    <row r="959" spans="5:5" ht="14.25" customHeight="1" x14ac:dyDescent="0.25">
      <c r="E959" s="4"/>
    </row>
    <row r="960" spans="5:5" ht="14.25" customHeight="1" x14ac:dyDescent="0.25">
      <c r="E960" s="4"/>
    </row>
    <row r="961" spans="5:5" ht="14.25" customHeight="1" x14ac:dyDescent="0.25">
      <c r="E961" s="4"/>
    </row>
    <row r="962" spans="5:5" ht="14.25" customHeight="1" x14ac:dyDescent="0.25">
      <c r="E962" s="4"/>
    </row>
    <row r="963" spans="5:5" ht="14.25" customHeight="1" x14ac:dyDescent="0.25">
      <c r="E963" s="4"/>
    </row>
    <row r="964" spans="5:5" ht="14.25" customHeight="1" x14ac:dyDescent="0.25">
      <c r="E964" s="4"/>
    </row>
    <row r="965" spans="5:5" ht="14.25" customHeight="1" x14ac:dyDescent="0.25">
      <c r="E965" s="4"/>
    </row>
    <row r="966" spans="5:5" ht="14.25" customHeight="1" x14ac:dyDescent="0.25">
      <c r="E966" s="4"/>
    </row>
    <row r="967" spans="5:5" ht="14.25" customHeight="1" x14ac:dyDescent="0.25">
      <c r="E967" s="4"/>
    </row>
    <row r="968" spans="5:5" ht="14.25" customHeight="1" x14ac:dyDescent="0.25">
      <c r="E968" s="4"/>
    </row>
    <row r="969" spans="5:5" ht="14.25" customHeight="1" x14ac:dyDescent="0.25">
      <c r="E969" s="4"/>
    </row>
    <row r="970" spans="5:5" ht="14.25" customHeight="1" x14ac:dyDescent="0.25">
      <c r="E970" s="4"/>
    </row>
    <row r="971" spans="5:5" ht="14.25" customHeight="1" x14ac:dyDescent="0.25">
      <c r="E971" s="4"/>
    </row>
    <row r="972" spans="5:5" ht="14.25" customHeight="1" x14ac:dyDescent="0.25">
      <c r="E972" s="4"/>
    </row>
    <row r="973" spans="5:5" ht="14.25" customHeight="1" x14ac:dyDescent="0.25">
      <c r="E973" s="4"/>
    </row>
    <row r="974" spans="5:5" ht="14.25" customHeight="1" x14ac:dyDescent="0.25">
      <c r="E974" s="4"/>
    </row>
    <row r="975" spans="5:5" ht="14.25" customHeight="1" x14ac:dyDescent="0.25">
      <c r="E975" s="4"/>
    </row>
    <row r="976" spans="5:5" ht="14.25" customHeight="1" x14ac:dyDescent="0.25">
      <c r="E976" s="4"/>
    </row>
    <row r="977" spans="5:5" ht="14.25" customHeight="1" x14ac:dyDescent="0.25">
      <c r="E977" s="4"/>
    </row>
    <row r="978" spans="5:5" ht="14.25" customHeight="1" x14ac:dyDescent="0.25">
      <c r="E978" s="4"/>
    </row>
    <row r="979" spans="5:5" ht="14.25" customHeight="1" x14ac:dyDescent="0.25">
      <c r="E979" s="4"/>
    </row>
    <row r="980" spans="5:5" ht="14.25" customHeight="1" x14ac:dyDescent="0.25">
      <c r="E980" s="4"/>
    </row>
    <row r="981" spans="5:5" ht="14.25" customHeight="1" x14ac:dyDescent="0.25">
      <c r="E981" s="4"/>
    </row>
    <row r="982" spans="5:5" ht="14.25" customHeight="1" x14ac:dyDescent="0.25">
      <c r="E982" s="4"/>
    </row>
    <row r="983" spans="5:5" ht="14.25" customHeight="1" x14ac:dyDescent="0.25">
      <c r="E983" s="4"/>
    </row>
    <row r="984" spans="5:5" ht="14.25" customHeight="1" x14ac:dyDescent="0.25">
      <c r="E984" s="4"/>
    </row>
    <row r="985" spans="5:5" ht="14.25" customHeight="1" x14ac:dyDescent="0.25">
      <c r="E985" s="4"/>
    </row>
    <row r="986" spans="5:5" ht="14.25" customHeight="1" x14ac:dyDescent="0.25">
      <c r="E986" s="4"/>
    </row>
    <row r="987" spans="5:5" ht="14.25" customHeight="1" x14ac:dyDescent="0.25">
      <c r="E987" s="4"/>
    </row>
    <row r="988" spans="5:5" ht="14.25" customHeight="1" x14ac:dyDescent="0.25">
      <c r="E988" s="4"/>
    </row>
    <row r="989" spans="5:5" ht="14.25" customHeight="1" x14ac:dyDescent="0.25">
      <c r="E989" s="4"/>
    </row>
    <row r="990" spans="5:5" ht="14.25" customHeight="1" x14ac:dyDescent="0.25">
      <c r="E990" s="4"/>
    </row>
    <row r="991" spans="5:5" ht="14.25" customHeight="1" x14ac:dyDescent="0.25">
      <c r="E991" s="4"/>
    </row>
    <row r="992" spans="5:5" ht="14.25" customHeight="1" x14ac:dyDescent="0.25">
      <c r="E992" s="4"/>
    </row>
    <row r="993" spans="5:5" ht="14.25" customHeight="1" x14ac:dyDescent="0.25">
      <c r="E993" s="4"/>
    </row>
    <row r="994" spans="5:5" ht="14.25" customHeight="1" x14ac:dyDescent="0.25">
      <c r="E994" s="4"/>
    </row>
    <row r="995" spans="5:5" ht="14.25" customHeight="1" x14ac:dyDescent="0.25">
      <c r="E995" s="4"/>
    </row>
    <row r="996" spans="5:5" ht="14.25" customHeight="1" x14ac:dyDescent="0.25">
      <c r="E996" s="4"/>
    </row>
    <row r="997" spans="5:5" ht="14.25" customHeight="1" x14ac:dyDescent="0.25">
      <c r="E997" s="4"/>
    </row>
    <row r="998" spans="5:5" ht="14.25" customHeight="1" x14ac:dyDescent="0.25">
      <c r="E998" s="4"/>
    </row>
    <row r="999" spans="5:5" ht="14.25" customHeight="1" x14ac:dyDescent="0.25">
      <c r="E999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Swislow</dc:creator>
  <cp:lastModifiedBy>ajay</cp:lastModifiedBy>
  <dcterms:created xsi:type="dcterms:W3CDTF">2019-07-31T01:38:33Z</dcterms:created>
  <dcterms:modified xsi:type="dcterms:W3CDTF">2019-08-03T20:43:05Z</dcterms:modified>
</cp:coreProperties>
</file>