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volsung/limit_model/Model2Minc/"/>
    </mc:Choice>
  </mc:AlternateContent>
  <xr:revisionPtr revIDLastSave="941" documentId="11_F25DC773A252ABDACC1048FA49DB5E905BDE58E6" xr6:coauthVersionLast="47" xr6:coauthVersionMax="47" xr10:uidLastSave="{0298424F-87AA-4B25-9D56-4527ED3B9304}"/>
  <bookViews>
    <workbookView xWindow="-120" yWindow="-120" windowWidth="20730" windowHeight="11760" activeTab="1" xr2:uid="{00000000-000D-0000-FFFF-FFFF00000000}"/>
  </bookViews>
  <sheets>
    <sheet name="ModelA" sheetId="3" r:id="rId1"/>
    <sheet name="ModelB" sheetId="4" r:id="rId2"/>
    <sheet name="ModelA_old" sheetId="2" r:id="rId3"/>
    <sheet name="ModelB_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4" l="1"/>
  <c r="U73" i="4"/>
  <c r="U72" i="4"/>
  <c r="U71" i="4"/>
  <c r="U70" i="4"/>
  <c r="U69" i="4"/>
  <c r="U68" i="4"/>
  <c r="U67" i="4"/>
  <c r="U66" i="4"/>
  <c r="U74" i="4" s="1"/>
  <c r="U65" i="4"/>
  <c r="U64" i="4"/>
  <c r="U63" i="4"/>
  <c r="M63" i="4"/>
  <c r="P63" i="4"/>
  <c r="S63" i="4"/>
  <c r="S73" i="4"/>
  <c r="S72" i="4"/>
  <c r="S71" i="4"/>
  <c r="S70" i="4"/>
  <c r="S69" i="4"/>
  <c r="S68" i="4"/>
  <c r="S67" i="4"/>
  <c r="S66" i="4"/>
  <c r="S65" i="4"/>
  <c r="S64" i="4"/>
  <c r="P73" i="4"/>
  <c r="P72" i="4"/>
  <c r="P71" i="4"/>
  <c r="P70" i="4"/>
  <c r="P69" i="4"/>
  <c r="P68" i="4"/>
  <c r="P67" i="4"/>
  <c r="P66" i="4"/>
  <c r="P65" i="4"/>
  <c r="P64" i="4"/>
  <c r="M73" i="4"/>
  <c r="M72" i="4"/>
  <c r="M71" i="4"/>
  <c r="M70" i="4"/>
  <c r="M69" i="4"/>
  <c r="M68" i="4"/>
  <c r="M67" i="4"/>
  <c r="M66" i="4"/>
  <c r="M65" i="4"/>
  <c r="M64" i="4"/>
  <c r="J73" i="4"/>
  <c r="J72" i="4"/>
  <c r="J71" i="4"/>
  <c r="J70" i="4"/>
  <c r="J69" i="4"/>
  <c r="J68" i="4"/>
  <c r="J67" i="4"/>
  <c r="J66" i="4"/>
  <c r="J65" i="4"/>
  <c r="J64" i="4"/>
  <c r="J63" i="4"/>
  <c r="G73" i="4"/>
  <c r="G72" i="4"/>
  <c r="G71" i="4"/>
  <c r="G70" i="4"/>
  <c r="G69" i="4"/>
  <c r="G68" i="4"/>
  <c r="G67" i="4"/>
  <c r="G66" i="4"/>
  <c r="G65" i="4"/>
  <c r="G64" i="4"/>
  <c r="G63" i="4"/>
  <c r="D73" i="4"/>
  <c r="D72" i="4"/>
  <c r="D71" i="4"/>
  <c r="D70" i="4"/>
  <c r="D69" i="4"/>
  <c r="D68" i="4"/>
  <c r="D67" i="4"/>
  <c r="D66" i="4"/>
  <c r="D65" i="4"/>
  <c r="D64" i="4"/>
  <c r="D63" i="4"/>
  <c r="B73" i="4"/>
  <c r="B72" i="4"/>
  <c r="B71" i="4"/>
  <c r="B70" i="4"/>
  <c r="B69" i="4"/>
  <c r="B68" i="4"/>
  <c r="B67" i="4"/>
  <c r="B66" i="4"/>
  <c r="B65" i="4"/>
  <c r="B64" i="4"/>
  <c r="B63" i="4"/>
  <c r="U49" i="4"/>
  <c r="U52" i="4"/>
  <c r="U57" i="4"/>
  <c r="S49" i="4"/>
  <c r="S50" i="4"/>
  <c r="S51" i="4"/>
  <c r="S52" i="4"/>
  <c r="S53" i="4"/>
  <c r="S54" i="4"/>
  <c r="S55" i="4"/>
  <c r="S56" i="4"/>
  <c r="S57" i="4"/>
  <c r="S58" i="4"/>
  <c r="S48" i="4"/>
  <c r="P49" i="4"/>
  <c r="P50" i="4"/>
  <c r="P51" i="4"/>
  <c r="P52" i="4"/>
  <c r="P53" i="4"/>
  <c r="P54" i="4"/>
  <c r="P55" i="4"/>
  <c r="P56" i="4"/>
  <c r="P57" i="4"/>
  <c r="P58" i="4"/>
  <c r="P48" i="4"/>
  <c r="M49" i="4"/>
  <c r="M50" i="4"/>
  <c r="M51" i="4"/>
  <c r="M52" i="4"/>
  <c r="M53" i="4"/>
  <c r="M54" i="4"/>
  <c r="M55" i="4"/>
  <c r="M56" i="4"/>
  <c r="M57" i="4"/>
  <c r="M58" i="4"/>
  <c r="M48" i="4"/>
  <c r="J49" i="4"/>
  <c r="J50" i="4"/>
  <c r="J51" i="4"/>
  <c r="J52" i="4"/>
  <c r="J53" i="4"/>
  <c r="J54" i="4"/>
  <c r="J55" i="4"/>
  <c r="J56" i="4"/>
  <c r="U56" i="4" s="1"/>
  <c r="J57" i="4"/>
  <c r="J58" i="4"/>
  <c r="J48" i="4"/>
  <c r="G49" i="4"/>
  <c r="G50" i="4"/>
  <c r="G51" i="4"/>
  <c r="G52" i="4"/>
  <c r="G53" i="4"/>
  <c r="G54" i="4"/>
  <c r="G55" i="4"/>
  <c r="G56" i="4"/>
  <c r="G57" i="4"/>
  <c r="G58" i="4"/>
  <c r="G48" i="4"/>
  <c r="D49" i="4"/>
  <c r="D50" i="4"/>
  <c r="U50" i="4" s="1"/>
  <c r="D51" i="4"/>
  <c r="U51" i="4" s="1"/>
  <c r="D52" i="4"/>
  <c r="D53" i="4"/>
  <c r="U53" i="4" s="1"/>
  <c r="D54" i="4"/>
  <c r="U54" i="4" s="1"/>
  <c r="D55" i="4"/>
  <c r="U55" i="4" s="1"/>
  <c r="D56" i="4"/>
  <c r="D57" i="4"/>
  <c r="D58" i="4"/>
  <c r="U58" i="4" s="1"/>
  <c r="D48" i="4"/>
  <c r="U48" i="4" s="1"/>
  <c r="U59" i="4" s="1"/>
  <c r="B58" i="4"/>
  <c r="B57" i="4"/>
  <c r="B56" i="4"/>
  <c r="B55" i="4"/>
  <c r="B54" i="4"/>
  <c r="B53" i="4"/>
  <c r="B52" i="4"/>
  <c r="B51" i="4"/>
  <c r="B50" i="4"/>
  <c r="B49" i="4"/>
  <c r="B48" i="4"/>
  <c r="U38" i="4"/>
  <c r="U11" i="4"/>
  <c r="S4" i="4"/>
  <c r="S5" i="4"/>
  <c r="S6" i="4"/>
  <c r="S7" i="4"/>
  <c r="S8" i="4"/>
  <c r="S9" i="4"/>
  <c r="S10" i="4"/>
  <c r="S11" i="4"/>
  <c r="S12" i="4"/>
  <c r="S13" i="4"/>
  <c r="P4" i="4"/>
  <c r="P5" i="4"/>
  <c r="P6" i="4"/>
  <c r="U6" i="4" s="1"/>
  <c r="P7" i="4"/>
  <c r="P8" i="4"/>
  <c r="P9" i="4"/>
  <c r="P10" i="4"/>
  <c r="P11" i="4"/>
  <c r="P12" i="4"/>
  <c r="P13" i="4"/>
  <c r="M4" i="4"/>
  <c r="M5" i="4"/>
  <c r="M6" i="4"/>
  <c r="M7" i="4"/>
  <c r="M8" i="4"/>
  <c r="M9" i="4"/>
  <c r="M10" i="4"/>
  <c r="M11" i="4"/>
  <c r="M12" i="4"/>
  <c r="M13" i="4"/>
  <c r="J4" i="4"/>
  <c r="J5" i="4"/>
  <c r="J6" i="4"/>
  <c r="J7" i="4"/>
  <c r="J8" i="4"/>
  <c r="J9" i="4"/>
  <c r="J10" i="4"/>
  <c r="U10" i="4" s="1"/>
  <c r="J11" i="4"/>
  <c r="J12" i="4"/>
  <c r="J13" i="4"/>
  <c r="G4" i="4"/>
  <c r="G5" i="4"/>
  <c r="G6" i="4"/>
  <c r="G7" i="4"/>
  <c r="G8" i="4"/>
  <c r="G9" i="4"/>
  <c r="G10" i="4"/>
  <c r="G11" i="4"/>
  <c r="G12" i="4"/>
  <c r="G13" i="4"/>
  <c r="B33" i="4"/>
  <c r="B34" i="4"/>
  <c r="B35" i="4"/>
  <c r="B36" i="4"/>
  <c r="B37" i="4"/>
  <c r="B38" i="4"/>
  <c r="B39" i="4"/>
  <c r="B40" i="4"/>
  <c r="B41" i="4"/>
  <c r="B42" i="4"/>
  <c r="D33" i="4"/>
  <c r="U33" i="4" s="1"/>
  <c r="D34" i="4"/>
  <c r="U34" i="4" s="1"/>
  <c r="D35" i="4"/>
  <c r="U35" i="4" s="1"/>
  <c r="D36" i="4"/>
  <c r="U36" i="4" s="1"/>
  <c r="D37" i="4"/>
  <c r="D38" i="4"/>
  <c r="D39" i="4"/>
  <c r="U39" i="4" s="1"/>
  <c r="D40" i="4"/>
  <c r="U40" i="4" s="1"/>
  <c r="D41" i="4"/>
  <c r="U41" i="4" s="1"/>
  <c r="D42" i="4"/>
  <c r="U42" i="4" s="1"/>
  <c r="G33" i="4"/>
  <c r="G34" i="4"/>
  <c r="G35" i="4"/>
  <c r="G36" i="4"/>
  <c r="G37" i="4"/>
  <c r="G38" i="4"/>
  <c r="G39" i="4"/>
  <c r="G40" i="4"/>
  <c r="G41" i="4"/>
  <c r="G42" i="4"/>
  <c r="J33" i="4"/>
  <c r="J34" i="4"/>
  <c r="J35" i="4"/>
  <c r="J36" i="4"/>
  <c r="J37" i="4"/>
  <c r="U37" i="4" s="1"/>
  <c r="J38" i="4"/>
  <c r="J39" i="4"/>
  <c r="J40" i="4"/>
  <c r="J41" i="4"/>
  <c r="J42" i="4"/>
  <c r="M33" i="4"/>
  <c r="M34" i="4"/>
  <c r="M35" i="4"/>
  <c r="M36" i="4"/>
  <c r="M37" i="4"/>
  <c r="M38" i="4"/>
  <c r="M39" i="4"/>
  <c r="M40" i="4"/>
  <c r="M41" i="4"/>
  <c r="M42" i="4"/>
  <c r="P33" i="4"/>
  <c r="P34" i="4"/>
  <c r="P35" i="4"/>
  <c r="P36" i="4"/>
  <c r="P37" i="4"/>
  <c r="P38" i="4"/>
  <c r="P39" i="4"/>
  <c r="P40" i="4"/>
  <c r="P41" i="4"/>
  <c r="P42" i="4"/>
  <c r="S33" i="4"/>
  <c r="S34" i="4"/>
  <c r="S35" i="4"/>
  <c r="S36" i="4"/>
  <c r="S37" i="4"/>
  <c r="S38" i="4"/>
  <c r="S39" i="4"/>
  <c r="S40" i="4"/>
  <c r="S41" i="4"/>
  <c r="S42" i="4"/>
  <c r="S18" i="4"/>
  <c r="S19" i="4"/>
  <c r="S20" i="4"/>
  <c r="S21" i="4"/>
  <c r="S22" i="4"/>
  <c r="S23" i="4"/>
  <c r="S24" i="4"/>
  <c r="S25" i="4"/>
  <c r="S26" i="4"/>
  <c r="S27" i="4"/>
  <c r="P18" i="4"/>
  <c r="P19" i="4"/>
  <c r="P20" i="4"/>
  <c r="P21" i="4"/>
  <c r="P22" i="4"/>
  <c r="P23" i="4"/>
  <c r="P24" i="4"/>
  <c r="P25" i="4"/>
  <c r="P26" i="4"/>
  <c r="P27" i="4"/>
  <c r="M18" i="4"/>
  <c r="M19" i="4"/>
  <c r="M20" i="4"/>
  <c r="M21" i="4"/>
  <c r="M22" i="4"/>
  <c r="M23" i="4"/>
  <c r="M24" i="4"/>
  <c r="M25" i="4"/>
  <c r="M26" i="4"/>
  <c r="M27" i="4"/>
  <c r="J18" i="4"/>
  <c r="J19" i="4"/>
  <c r="J20" i="4"/>
  <c r="J21" i="4"/>
  <c r="J22" i="4"/>
  <c r="J23" i="4"/>
  <c r="J24" i="4"/>
  <c r="J25" i="4"/>
  <c r="J26" i="4"/>
  <c r="J27" i="4"/>
  <c r="G18" i="4"/>
  <c r="G19" i="4"/>
  <c r="G20" i="4"/>
  <c r="G21" i="4"/>
  <c r="G22" i="4"/>
  <c r="G23" i="4"/>
  <c r="G24" i="4"/>
  <c r="G25" i="4"/>
  <c r="G26" i="4"/>
  <c r="G27" i="4"/>
  <c r="D18" i="4"/>
  <c r="U18" i="4" s="1"/>
  <c r="D19" i="4"/>
  <c r="U19" i="4" s="1"/>
  <c r="D20" i="4"/>
  <c r="U20" i="4" s="1"/>
  <c r="D21" i="4"/>
  <c r="U21" i="4" s="1"/>
  <c r="D22" i="4"/>
  <c r="U22" i="4" s="1"/>
  <c r="D23" i="4"/>
  <c r="U23" i="4" s="1"/>
  <c r="D24" i="4"/>
  <c r="U24" i="4" s="1"/>
  <c r="D25" i="4"/>
  <c r="U25" i="4" s="1"/>
  <c r="D26" i="4"/>
  <c r="U26" i="4" s="1"/>
  <c r="D27" i="4"/>
  <c r="U27" i="4" s="1"/>
  <c r="B18" i="4"/>
  <c r="B19" i="4"/>
  <c r="B20" i="4"/>
  <c r="B21" i="4"/>
  <c r="B22" i="4"/>
  <c r="B23" i="4"/>
  <c r="B24" i="4"/>
  <c r="B25" i="4"/>
  <c r="B26" i="4"/>
  <c r="B27" i="4"/>
  <c r="S32" i="4"/>
  <c r="P32" i="4"/>
  <c r="M32" i="4"/>
  <c r="J32" i="4"/>
  <c r="G32" i="4"/>
  <c r="D32" i="4"/>
  <c r="U32" i="4" s="1"/>
  <c r="D17" i="4"/>
  <c r="U17" i="4" s="1"/>
  <c r="G17" i="4"/>
  <c r="J17" i="4"/>
  <c r="M17" i="4"/>
  <c r="P17" i="4"/>
  <c r="S17" i="4"/>
  <c r="S3" i="4"/>
  <c r="P3" i="4"/>
  <c r="M3" i="4"/>
  <c r="U3" i="4" s="1"/>
  <c r="J3" i="4"/>
  <c r="G3" i="4"/>
  <c r="D4" i="4"/>
  <c r="U4" i="4" s="1"/>
  <c r="D5" i="4"/>
  <c r="U5" i="4" s="1"/>
  <c r="D6" i="4"/>
  <c r="D7" i="4"/>
  <c r="U7" i="4" s="1"/>
  <c r="D8" i="4"/>
  <c r="U8" i="4" s="1"/>
  <c r="D9" i="4"/>
  <c r="U9" i="4" s="1"/>
  <c r="D10" i="4"/>
  <c r="D11" i="4"/>
  <c r="D12" i="4"/>
  <c r="U12" i="4" s="1"/>
  <c r="D13" i="4"/>
  <c r="U13" i="4" s="1"/>
  <c r="D3" i="4"/>
  <c r="B32" i="4"/>
  <c r="B17" i="4"/>
  <c r="B4" i="4"/>
  <c r="B5" i="4"/>
  <c r="B6" i="4"/>
  <c r="B7" i="4"/>
  <c r="B8" i="4"/>
  <c r="B9" i="4"/>
  <c r="B10" i="4"/>
  <c r="B11" i="4"/>
  <c r="B12" i="4"/>
  <c r="B13" i="4"/>
  <c r="B3" i="4"/>
  <c r="C46" i="1"/>
  <c r="C47" i="1"/>
  <c r="C48" i="1" s="1"/>
  <c r="C49" i="1" s="1"/>
  <c r="C50" i="1" s="1"/>
  <c r="C45" i="1"/>
  <c r="C44" i="1"/>
  <c r="G27" i="3"/>
  <c r="G28" i="3"/>
  <c r="G29" i="3" s="1"/>
  <c r="G30" i="3" s="1"/>
  <c r="G31" i="3" s="1"/>
  <c r="F22" i="3"/>
  <c r="F23" i="3"/>
  <c r="F24" i="3"/>
  <c r="F25" i="3"/>
  <c r="F26" i="3"/>
  <c r="F27" i="3"/>
  <c r="F28" i="3"/>
  <c r="F29" i="3"/>
  <c r="F30" i="3"/>
  <c r="F31" i="3"/>
  <c r="F21" i="3"/>
  <c r="E22" i="3"/>
  <c r="E23" i="3"/>
  <c r="E24" i="3"/>
  <c r="E25" i="3"/>
  <c r="E26" i="3"/>
  <c r="E27" i="3"/>
  <c r="E28" i="3"/>
  <c r="E29" i="3"/>
  <c r="E30" i="3"/>
  <c r="E31" i="3"/>
  <c r="E21" i="3"/>
  <c r="G13" i="3"/>
  <c r="G14" i="3"/>
  <c r="G15" i="3" s="1"/>
  <c r="G16" i="3" s="1"/>
  <c r="G17" i="3" s="1"/>
  <c r="E8" i="3"/>
  <c r="E9" i="3"/>
  <c r="E10" i="3"/>
  <c r="E11" i="3"/>
  <c r="E12" i="3"/>
  <c r="E13" i="3"/>
  <c r="E14" i="3"/>
  <c r="E15" i="3"/>
  <c r="E16" i="3"/>
  <c r="E17" i="3"/>
  <c r="E7" i="3"/>
  <c r="F8" i="3"/>
  <c r="F9" i="3"/>
  <c r="F10" i="3"/>
  <c r="F11" i="3"/>
  <c r="F12" i="3"/>
  <c r="F13" i="3"/>
  <c r="F14" i="3"/>
  <c r="F15" i="3"/>
  <c r="F16" i="3"/>
  <c r="F17" i="3"/>
  <c r="F7" i="3"/>
  <c r="F2" i="3"/>
  <c r="G2" i="3" s="1"/>
  <c r="P14" i="2"/>
  <c r="P11" i="2"/>
  <c r="J12" i="2"/>
  <c r="J11" i="2"/>
  <c r="I7" i="2"/>
  <c r="I3" i="2"/>
  <c r="J7" i="2"/>
  <c r="J6" i="2"/>
  <c r="J3" i="2"/>
  <c r="J2" i="2"/>
  <c r="P9" i="2"/>
  <c r="M3" i="2"/>
  <c r="M7" i="2"/>
  <c r="P18" i="2"/>
  <c r="Q7" i="2"/>
  <c r="P7" i="2"/>
  <c r="R3" i="2"/>
  <c r="R4" i="2" s="1"/>
  <c r="R2" i="2"/>
  <c r="M16" i="2"/>
  <c r="N16" i="2" s="1"/>
  <c r="M12" i="2"/>
  <c r="N12" i="2" s="1"/>
  <c r="N15" i="2"/>
  <c r="N11" i="2"/>
  <c r="N7" i="2"/>
  <c r="N6" i="2"/>
  <c r="N3" i="2"/>
  <c r="N2" i="2"/>
  <c r="F15" i="1"/>
  <c r="F14" i="1"/>
  <c r="E15" i="1"/>
  <c r="E14" i="1"/>
  <c r="E10" i="1"/>
  <c r="F10" i="1"/>
  <c r="S9" i="1"/>
  <c r="S8" i="1"/>
  <c r="S5" i="1"/>
  <c r="S4" i="1"/>
  <c r="D10" i="1"/>
  <c r="C10" i="1"/>
  <c r="U76" i="4" l="1"/>
  <c r="W74" i="4"/>
  <c r="U43" i="4"/>
  <c r="U61" i="4"/>
  <c r="W59" i="4"/>
  <c r="J13" i="2"/>
  <c r="J8" i="2"/>
  <c r="J4" i="2"/>
  <c r="N4" i="2"/>
  <c r="N17" i="2"/>
  <c r="N13" i="2"/>
  <c r="N8" i="2"/>
  <c r="S10" i="1"/>
  <c r="S6" i="1"/>
  <c r="U45" i="4" l="1"/>
  <c r="W43" i="4"/>
</calcChain>
</file>

<file path=xl/sharedStrings.xml><?xml version="1.0" encoding="utf-8"?>
<sst xmlns="http://schemas.openxmlformats.org/spreadsheetml/2006/main" count="91" uniqueCount="39">
  <si>
    <t>Waihapa-2</t>
  </si>
  <si>
    <t>Waihapa-8</t>
  </si>
  <si>
    <t>Ngaere-3</t>
  </si>
  <si>
    <t>m=24.5kg/s</t>
  </si>
  <si>
    <t>ProductionWell</t>
  </si>
  <si>
    <t>t=0</t>
  </si>
  <si>
    <t>t=1e9</t>
  </si>
  <si>
    <t>t=3e8</t>
  </si>
  <si>
    <t>Initial state</t>
  </si>
  <si>
    <t>10 years later</t>
  </si>
  <si>
    <t>36.5 years later</t>
  </si>
  <si>
    <t>mass, m, kg/s</t>
  </si>
  <si>
    <t>Ngaere-1</t>
  </si>
  <si>
    <t>Waihapa-6A</t>
  </si>
  <si>
    <t>Ngaere-2A</t>
  </si>
  <si>
    <t>Average</t>
  </si>
  <si>
    <t>150 kg/s</t>
  </si>
  <si>
    <t>30 kg/s</t>
  </si>
  <si>
    <t>m</t>
  </si>
  <si>
    <t>31 kg/s</t>
  </si>
  <si>
    <t>Threshold</t>
  </si>
  <si>
    <t>Initial enthalpy</t>
  </si>
  <si>
    <t>20% threshold</t>
  </si>
  <si>
    <t>20% value</t>
  </si>
  <si>
    <t>80% of the initial enthalpy</t>
  </si>
  <si>
    <t>flow rate</t>
  </si>
  <si>
    <t>separation between wells</t>
  </si>
  <si>
    <t>Case 1</t>
  </si>
  <si>
    <t>tsecs</t>
  </si>
  <si>
    <t>enthalpy (J/kg)</t>
  </si>
  <si>
    <t>kJ/kg</t>
  </si>
  <si>
    <t>tyrs</t>
  </si>
  <si>
    <t>20% Threshold to Abandon</t>
  </si>
  <si>
    <t>m = 355 kg/s, d = 700 m</t>
  </si>
  <si>
    <t>m = 220 kg/s, d = 500 m</t>
  </si>
  <si>
    <t>Waihapa-4</t>
  </si>
  <si>
    <t>900 kg/s</t>
  </si>
  <si>
    <t>180 kg/s</t>
  </si>
  <si>
    <t>90 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</si>
</sst>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246BA2-3679-4DC1-97C9-F2CB7F8D1A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ModelA!$F$5</c:f>
              <c:strCache>
                <c:ptCount val="1"/>
                <c:pt idx="0">
                  <c:v>m = 220 kg/s, d = 500 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ModelA!$E$7:$E$17</c:f>
              <c:numCache>
                <c:formatCode>0.00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ModelA!$F$7:$F$17</c:f>
              <c:numCache>
                <c:formatCode>General</c:formatCode>
                <c:ptCount val="11"/>
                <c:pt idx="0">
                  <c:v>402.81303124999999</c:v>
                </c:pt>
                <c:pt idx="1">
                  <c:v>419.08228124999999</c:v>
                </c:pt>
                <c:pt idx="2">
                  <c:v>404.34815624999999</c:v>
                </c:pt>
                <c:pt idx="3">
                  <c:v>388.49912499999999</c:v>
                </c:pt>
                <c:pt idx="4">
                  <c:v>374.65496875000002</c:v>
                </c:pt>
                <c:pt idx="5">
                  <c:v>362.76987500000001</c:v>
                </c:pt>
                <c:pt idx="6">
                  <c:v>352.53800000000001</c:v>
                </c:pt>
                <c:pt idx="7">
                  <c:v>343.63196875</c:v>
                </c:pt>
                <c:pt idx="8">
                  <c:v>335.83293750000001</c:v>
                </c:pt>
                <c:pt idx="9">
                  <c:v>328.89087499999999</c:v>
                </c:pt>
                <c:pt idx="10">
                  <c:v>322.62768749999998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7-4B4F-BD8B-F291621B5923}"/>
            </c:ext>
          </c:extLst>
        </c:ser>
        <c:ser>
          <c:idx val="1"/>
          <c:order val="1"/>
          <c:tx>
            <c:strRef>
              <c:f>ModelA!$G$6</c:f>
              <c:strCache>
                <c:ptCount val="1"/>
                <c:pt idx="0">
                  <c:v>20% Threshold to Abandon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97-4B4F-BD8B-F291621B59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97-4B4F-BD8B-F291621B59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97-4B4F-BD8B-F291621B59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97-4B4F-BD8B-F291621B59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97-4B4F-BD8B-F291621B59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97-4B4F-BD8B-F291621B5923}"/>
                </c:ext>
              </c:extLst>
            </c:dLbl>
            <c:dLbl>
              <c:idx val="6"/>
              <c:layout>
                <c:manualLayout>
                  <c:x val="-0.11858418447300155"/>
                  <c:y val="2.131094260857995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72100D2-250B-4323-87CA-F097E00DC332}" type="CELLRANGE">
                      <a:rPr lang="en-US"/>
                      <a:pPr algn="ctr" rtl="0">
                        <a:defRPr lang="en-US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en-NZ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78407911561552"/>
                      <c:h val="0.1541695367689554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A97-4B4F-BD8B-F291621B59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41E0FF-12C3-465A-AE49-F4CA700B164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A97-4B4F-BD8B-F291621B59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B6AD2A-B3A6-403E-9B33-E602AB9C048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A97-4B4F-BD8B-F291621B59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EA91B1-C35A-4DF6-833C-EE6E2929B384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A97-4B4F-BD8B-F291621B59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A0A203-0B4F-4EB7-8596-18FA6944302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A97-4B4F-BD8B-F291621B5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ModelA!$E$7:$E$17</c:f>
              <c:numCache>
                <c:formatCode>0.00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ModelA!$G$7:$G$17</c:f>
              <c:numCache>
                <c:formatCode>General</c:formatCode>
                <c:ptCount val="11"/>
                <c:pt idx="6">
                  <c:v>322.25040000000001</c:v>
                </c:pt>
                <c:pt idx="7">
                  <c:v>322.25040000000001</c:v>
                </c:pt>
                <c:pt idx="8">
                  <c:v>322.25040000000001</c:v>
                </c:pt>
                <c:pt idx="9">
                  <c:v>322.25040000000001</c:v>
                </c:pt>
                <c:pt idx="10">
                  <c:v>322.25040000000001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ModelA!$H$7:$H$17</c15:f>
                <c15:dlblRangeCache>
                  <c:ptCount val="11"/>
                  <c:pt idx="6">
                    <c:v>20% Threshold to Abandon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A97-4B4F-BD8B-F291621B5923}"/>
            </c:ext>
          </c:extLst>
        </c:ser>
        <c:ser>
          <c:idx val="2"/>
          <c:order val="2"/>
          <c:tx>
            <c:strRef>
              <c:f>ModelA!$F$20</c:f>
              <c:strCache>
                <c:ptCount val="1"/>
                <c:pt idx="0">
                  <c:v>m = 355 kg/s, d = 700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ModelA!$E$21:$E$31</c:f>
              <c:numCache>
                <c:formatCode>0.00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ModelA!$F$21:$F$31</c:f>
              <c:numCache>
                <c:formatCode>General</c:formatCode>
                <c:ptCount val="11"/>
                <c:pt idx="0">
                  <c:v>402.81303124999999</c:v>
                </c:pt>
                <c:pt idx="1">
                  <c:v>426.04025000000001</c:v>
                </c:pt>
                <c:pt idx="2">
                  <c:v>411.88712500000003</c:v>
                </c:pt>
                <c:pt idx="3">
                  <c:v>394.00450000000001</c:v>
                </c:pt>
                <c:pt idx="4">
                  <c:v>377.78178124999999</c:v>
                </c:pt>
                <c:pt idx="5">
                  <c:v>363.97343749999999</c:v>
                </c:pt>
                <c:pt idx="6">
                  <c:v>352.55137500000001</c:v>
                </c:pt>
                <c:pt idx="7">
                  <c:v>343.1160625</c:v>
                </c:pt>
                <c:pt idx="8">
                  <c:v>335.27815624999999</c:v>
                </c:pt>
                <c:pt idx="9">
                  <c:v>328.63631249999997</c:v>
                </c:pt>
                <c:pt idx="10">
                  <c:v>322.84325000000001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A97-4B4F-BD8B-F291621B59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43440368"/>
        <c:axId val="669909968"/>
      </c:scatterChart>
      <c:valAx>
        <c:axId val="44344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9909968"/>
        <c:crosses val="autoZero"/>
        <c:crossBetween val="midCat"/>
        <c:minorUnit val="0.2"/>
      </c:valAx>
      <c:valAx>
        <c:axId val="669909968"/>
        <c:scaling>
          <c:orientation val="minMax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NZ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enthalpy, kJ/kg</a:t>
                </a:r>
                <a:endParaRPr lang="en-NZ" sz="9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440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ModelB!$A$2</c:f>
              <c:strCache>
                <c:ptCount val="1"/>
                <c:pt idx="0">
                  <c:v>30 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ModelB!$B$3:$B$13</c:f>
              <c:numCache>
                <c:formatCode>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ModelB!$U$3:$U$13</c:f>
              <c:numCache>
                <c:formatCode>General</c:formatCode>
                <c:ptCount val="11"/>
                <c:pt idx="0">
                  <c:v>402.81303124999999</c:v>
                </c:pt>
                <c:pt idx="1">
                  <c:v>412.3313177083333</c:v>
                </c:pt>
                <c:pt idx="2">
                  <c:v>412.39488020833329</c:v>
                </c:pt>
                <c:pt idx="3">
                  <c:v>412.48712500000005</c:v>
                </c:pt>
                <c:pt idx="4">
                  <c:v>412.58611458333326</c:v>
                </c:pt>
                <c:pt idx="5">
                  <c:v>412.68861979166667</c:v>
                </c:pt>
                <c:pt idx="6">
                  <c:v>412.79344270833332</c:v>
                </c:pt>
                <c:pt idx="7">
                  <c:v>412.90028645833331</c:v>
                </c:pt>
                <c:pt idx="8">
                  <c:v>413.00816666666668</c:v>
                </c:pt>
                <c:pt idx="9">
                  <c:v>413.11709895833337</c:v>
                </c:pt>
                <c:pt idx="10">
                  <c:v>413.22686979166673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A-46F4-BF1B-58A8794709D5}"/>
            </c:ext>
          </c:extLst>
        </c:ser>
        <c:ser>
          <c:idx val="4"/>
          <c:order val="2"/>
          <c:tx>
            <c:strRef>
              <c:f>ModelB!$A$61</c:f>
              <c:strCache>
                <c:ptCount val="1"/>
                <c:pt idx="0">
                  <c:v>90 kg/s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ModelB!$B$63:$B$73</c:f>
              <c:numCache>
                <c:formatCode>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ModelB!$U$63:$U$73</c:f>
              <c:numCache>
                <c:formatCode>General</c:formatCode>
                <c:ptCount val="11"/>
                <c:pt idx="0">
                  <c:v>402.81303124999999</c:v>
                </c:pt>
                <c:pt idx="1">
                  <c:v>412.58892187500004</c:v>
                </c:pt>
                <c:pt idx="2">
                  <c:v>412.82992708333336</c:v>
                </c:pt>
                <c:pt idx="3">
                  <c:v>413.06769791666665</c:v>
                </c:pt>
                <c:pt idx="4">
                  <c:v>413.29050000000007</c:v>
                </c:pt>
                <c:pt idx="5">
                  <c:v>413.50119270833329</c:v>
                </c:pt>
                <c:pt idx="6">
                  <c:v>413.70263020833335</c:v>
                </c:pt>
                <c:pt idx="7">
                  <c:v>413.89759375</c:v>
                </c:pt>
                <c:pt idx="8">
                  <c:v>414.08669270833337</c:v>
                </c:pt>
                <c:pt idx="9">
                  <c:v>414.27162499999991</c:v>
                </c:pt>
                <c:pt idx="10">
                  <c:v>414.45320312500002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D-43A6-BF05-FC2ED542905A}"/>
            </c:ext>
          </c:extLst>
        </c:ser>
        <c:ser>
          <c:idx val="3"/>
          <c:order val="3"/>
          <c:tx>
            <c:strRef>
              <c:f>ModelB!$A$46</c:f>
              <c:strCache>
                <c:ptCount val="1"/>
                <c:pt idx="0">
                  <c:v>180 kg/s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ModelB!$B$48:$B$58</c:f>
              <c:numCache>
                <c:formatCode>0</c:formatCode>
                <c:ptCount val="11"/>
                <c:pt idx="0">
                  <c:v>0</c:v>
                </c:pt>
                <c:pt idx="1">
                  <c:v>0.99931553730319678</c:v>
                </c:pt>
                <c:pt idx="2">
                  <c:v>1.9986310746064149</c:v>
                </c:pt>
                <c:pt idx="3">
                  <c:v>3.0006844626967677</c:v>
                </c:pt>
                <c:pt idx="4">
                  <c:v>3.9999999999999787</c:v>
                </c:pt>
                <c:pt idx="5">
                  <c:v>4.9993155373031968</c:v>
                </c:pt>
                <c:pt idx="6">
                  <c:v>5.9986310746064149</c:v>
                </c:pt>
                <c:pt idx="7">
                  <c:v>7.0006844626967677</c:v>
                </c:pt>
                <c:pt idx="8">
                  <c:v>7.9999999999999787</c:v>
                </c:pt>
                <c:pt idx="9">
                  <c:v>8.9993155373031968</c:v>
                </c:pt>
                <c:pt idx="10">
                  <c:v>9.9986310746064149</c:v>
                </c:pt>
              </c:numCache>
            </c:numRef>
          </c:xVal>
          <c:yVal>
            <c:numRef>
              <c:f>ModelB!$U$48:$U$58</c:f>
              <c:numCache>
                <c:formatCode>General</c:formatCode>
                <c:ptCount val="11"/>
                <c:pt idx="0">
                  <c:v>402.81303124999999</c:v>
                </c:pt>
                <c:pt idx="1">
                  <c:v>412.92793749999993</c:v>
                </c:pt>
                <c:pt idx="2">
                  <c:v>413.36291145833337</c:v>
                </c:pt>
                <c:pt idx="3">
                  <c:v>413.74966145833332</c:v>
                </c:pt>
                <c:pt idx="4">
                  <c:v>414.08892187500004</c:v>
                </c:pt>
                <c:pt idx="5">
                  <c:v>414.39596874999989</c:v>
                </c:pt>
                <c:pt idx="6">
                  <c:v>414.67889062500007</c:v>
                </c:pt>
                <c:pt idx="7">
                  <c:v>414.94401562500002</c:v>
                </c:pt>
                <c:pt idx="8">
                  <c:v>415.19397916666662</c:v>
                </c:pt>
                <c:pt idx="9">
                  <c:v>415.43238541666659</c:v>
                </c:pt>
                <c:pt idx="10">
                  <c:v>415.66137500000008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0-4439-8F07-5DFB4990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2224"/>
        <c:axId val="512842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ModelB!$A$15</c15:sqref>
                        </c15:formulaRef>
                      </c:ext>
                    </c:extLst>
                    <c:strCache>
                      <c:ptCount val="1"/>
                      <c:pt idx="0">
                        <c:v>150 kg/s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ModelB!$B$3:$B$13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0</c:v>
                      </c:pt>
                      <c:pt idx="1">
                        <c:v>0.99931553730319678</c:v>
                      </c:pt>
                      <c:pt idx="2">
                        <c:v>1.9986310746064149</c:v>
                      </c:pt>
                      <c:pt idx="3">
                        <c:v>3.0006844626967677</c:v>
                      </c:pt>
                      <c:pt idx="4">
                        <c:v>3.9999999999999787</c:v>
                      </c:pt>
                      <c:pt idx="5">
                        <c:v>4.9993155373031968</c:v>
                      </c:pt>
                      <c:pt idx="6">
                        <c:v>5.9986310746064149</c:v>
                      </c:pt>
                      <c:pt idx="7">
                        <c:v>7.0006844626967677</c:v>
                      </c:pt>
                      <c:pt idx="8">
                        <c:v>7.9999999999999787</c:v>
                      </c:pt>
                      <c:pt idx="9">
                        <c:v>8.9993155373031968</c:v>
                      </c:pt>
                      <c:pt idx="10">
                        <c:v>9.9986310746064149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ModelB!$U$17:$U$27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402.81303124999999</c:v>
                      </c:pt>
                      <c:pt idx="1">
                        <c:v>412.80884895833333</c:v>
                      </c:pt>
                      <c:pt idx="2">
                        <c:v>413.15489062500001</c:v>
                      </c:pt>
                      <c:pt idx="3">
                        <c:v>413.41193750000002</c:v>
                      </c:pt>
                      <c:pt idx="4">
                        <c:v>413.59867187500004</c:v>
                      </c:pt>
                      <c:pt idx="5">
                        <c:v>413.72639062500002</c:v>
                      </c:pt>
                      <c:pt idx="6">
                        <c:v>413.80518749999993</c:v>
                      </c:pt>
                      <c:pt idx="7">
                        <c:v>413.84384375000008</c:v>
                      </c:pt>
                      <c:pt idx="8">
                        <c:v>413.84969791666668</c:v>
                      </c:pt>
                      <c:pt idx="9">
                        <c:v>413.82948958333333</c:v>
                      </c:pt>
                      <c:pt idx="10">
                        <c:v>413.78837500000003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BFA-46F4-BF1B-58A8794709D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ModelB!$A$30</c15:sqref>
                        </c15:formulaRef>
                      </c:ext>
                    </c:extLst>
                    <c:strCache>
                      <c:ptCount val="1"/>
                      <c:pt idx="0">
                        <c:v>900 kg/s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ModelB!$B$3:$B$13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0</c:v>
                      </c:pt>
                      <c:pt idx="1">
                        <c:v>0.99931553730319678</c:v>
                      </c:pt>
                      <c:pt idx="2">
                        <c:v>1.9986310746064149</c:v>
                      </c:pt>
                      <c:pt idx="3">
                        <c:v>3.0006844626967677</c:v>
                      </c:pt>
                      <c:pt idx="4">
                        <c:v>3.9999999999999787</c:v>
                      </c:pt>
                      <c:pt idx="5">
                        <c:v>4.9993155373031968</c:v>
                      </c:pt>
                      <c:pt idx="6">
                        <c:v>5.9986310746064149</c:v>
                      </c:pt>
                      <c:pt idx="7">
                        <c:v>7.0006844626967677</c:v>
                      </c:pt>
                      <c:pt idx="8">
                        <c:v>7.9999999999999787</c:v>
                      </c:pt>
                      <c:pt idx="9">
                        <c:v>8.9993155373031968</c:v>
                      </c:pt>
                      <c:pt idx="10">
                        <c:v>9.9986310746064149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ModelB!$U$32:$U$42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402.81303124999999</c:v>
                      </c:pt>
                      <c:pt idx="1">
                        <c:v>414.77293750000007</c:v>
                      </c:pt>
                      <c:pt idx="2">
                        <c:v>415.88120312499996</c:v>
                      </c:pt>
                      <c:pt idx="3">
                        <c:v>416.53067187500005</c:v>
                      </c:pt>
                      <c:pt idx="4">
                        <c:v>416.9337604166667</c:v>
                      </c:pt>
                      <c:pt idx="5">
                        <c:v>417.1516458333333</c:v>
                      </c:pt>
                      <c:pt idx="6">
                        <c:v>417.22156249999995</c:v>
                      </c:pt>
                      <c:pt idx="7">
                        <c:v>417.16821874999999</c:v>
                      </c:pt>
                      <c:pt idx="8">
                        <c:v>417.01057812499999</c:v>
                      </c:pt>
                      <c:pt idx="9">
                        <c:v>416.76277604166665</c:v>
                      </c:pt>
                      <c:pt idx="10">
                        <c:v>416.43645312500001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BFA-46F4-BF1B-58A8794709D5}"/>
                  </c:ext>
                </c:extLst>
              </c15:ser>
            </c15:filteredScatterSeries>
          </c:ext>
        </c:extLst>
      </c:scatterChart>
      <c:valAx>
        <c:axId val="51284222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842640"/>
        <c:crosses val="autoZero"/>
        <c:crossBetween val="midCat"/>
        <c:minorUnit val="0.2"/>
      </c:valAx>
      <c:valAx>
        <c:axId val="51284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 enthalpy, kJ/kg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842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065737195694576"/>
          <c:y val="0.67303955426624307"/>
          <c:w val="0.56972477064220184"/>
          <c:h val="6.18532332581234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ModelA_old!$C$3</c:f>
              <c:strCache>
                <c:ptCount val="1"/>
                <c:pt idx="0">
                  <c:v>Initial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ModelA_old!$B$4:$B$5</c:f>
              <c:strCache>
                <c:ptCount val="2"/>
                <c:pt idx="0">
                  <c:v>30 kg/s</c:v>
                </c:pt>
                <c:pt idx="1">
                  <c:v>150 kg/s</c:v>
                </c:pt>
              </c:strCache>
            </c:strRef>
          </c:cat>
          <c:val>
            <c:numRef>
              <c:f>ModelA_old!$C$4:$C$5</c:f>
              <c:numCache>
                <c:formatCode>General</c:formatCode>
                <c:ptCount val="2"/>
                <c:pt idx="0">
                  <c:v>402.81299999999999</c:v>
                </c:pt>
                <c:pt idx="1">
                  <c:v>402.81299999999999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4395-AB5A-0230FECB6C7B}"/>
            </c:ext>
          </c:extLst>
        </c:ser>
        <c:ser>
          <c:idx val="2"/>
          <c:order val="1"/>
          <c:tx>
            <c:strRef>
              <c:f>ModelA_old!$D$3</c:f>
              <c:strCache>
                <c:ptCount val="1"/>
                <c:pt idx="0">
                  <c:v>10 years later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ModelA_old!$B$4:$B$5</c:f>
              <c:strCache>
                <c:ptCount val="2"/>
                <c:pt idx="0">
                  <c:v>30 kg/s</c:v>
                </c:pt>
                <c:pt idx="1">
                  <c:v>150 kg/s</c:v>
                </c:pt>
              </c:strCache>
            </c:strRef>
          </c:cat>
          <c:val>
            <c:numRef>
              <c:f>ModelA_old!$D$4:$D$5</c:f>
              <c:numCache>
                <c:formatCode>General</c:formatCode>
                <c:ptCount val="2"/>
                <c:pt idx="0">
                  <c:v>418.00299999999999</c:v>
                </c:pt>
                <c:pt idx="1">
                  <c:v>341.19400000000002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F-4395-AB5A-0230FECB6C7B}"/>
            </c:ext>
          </c:extLst>
        </c:ser>
        <c:ser>
          <c:idx val="1"/>
          <c:order val="2"/>
          <c:tx>
            <c:strRef>
              <c:f>ModelA_old!$E$3</c:f>
              <c:strCache>
                <c:ptCount val="1"/>
                <c:pt idx="0">
                  <c:v>36.5 years later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ModelA_old!$B$4:$B$5</c:f>
              <c:strCache>
                <c:ptCount val="2"/>
                <c:pt idx="0">
                  <c:v>30 kg/s</c:v>
                </c:pt>
                <c:pt idx="1">
                  <c:v>150 kg/s</c:v>
                </c:pt>
              </c:strCache>
            </c:strRef>
          </c:cat>
          <c:val>
            <c:numRef>
              <c:f>ModelA_old!$E$4:$E$5</c:f>
              <c:numCache>
                <c:formatCode>General</c:formatCode>
                <c:ptCount val="2"/>
                <c:pt idx="0">
                  <c:v>394.52</c:v>
                </c:pt>
                <c:pt idx="1">
                  <c:v>249.983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F-4395-AB5A-0230FECB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overlap val="61"/>
        <c:axId val="1132625167"/>
        <c:axId val="1132625583"/>
      </c:barChart>
      <c:catAx>
        <c:axId val="11326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Production rate, m, kg/s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625583"/>
        <c:crosses val="autoZero"/>
        <c:auto val="1"/>
        <c:lblAlgn val="ctr"/>
        <c:lblOffset val="100"/>
        <c:noMultiLvlLbl val="0"/>
      </c:catAx>
      <c:valAx>
        <c:axId val="113262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Enthalpy,</a:t>
                </a:r>
                <a:r>
                  <a:rPr lang="en-NZ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kJ/kg</a:t>
                </a:r>
                <a:endParaRPr lang="en-NZ" sz="9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625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ModelA_old!$B$4</c:f>
              <c:strCache>
                <c:ptCount val="1"/>
                <c:pt idx="0">
                  <c:v>30 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73085D-6AF5-47FE-BC6D-99C6635521E3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FE8-4788-848F-C957902310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A874E9-030E-4388-91E6-CBD4EF5A500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E8-4788-848F-C957902310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C8EFE6-C770-409D-BE22-2AB7BF4B843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E8-4788-848F-C957902310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ModelA_old!$C$3:$E$3</c:f>
              <c:strCache>
                <c:ptCount val="3"/>
                <c:pt idx="0">
                  <c:v>Initial state</c:v>
                </c:pt>
                <c:pt idx="1">
                  <c:v>10 years later</c:v>
                </c:pt>
                <c:pt idx="2">
                  <c:v>36.5 years later</c:v>
                </c:pt>
              </c:strCache>
            </c:strRef>
          </c:xVal>
          <c:yVal>
            <c:numRef>
              <c:f>ModelA_old!$C$4:$E$4</c:f>
              <c:numCache>
                <c:formatCode>General</c:formatCode>
                <c:ptCount val="3"/>
                <c:pt idx="0">
                  <c:v>402.81299999999999</c:v>
                </c:pt>
                <c:pt idx="1">
                  <c:v>418.00299999999999</c:v>
                </c:pt>
                <c:pt idx="2">
                  <c:v>394.52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ModelA_old!$C$3:$E$3</c15:f>
                <c15:dlblRangeCache>
                  <c:ptCount val="3"/>
                  <c:pt idx="0">
                    <c:v>Initial state</c:v>
                  </c:pt>
                  <c:pt idx="1">
                    <c:v>10 years later</c:v>
                  </c:pt>
                  <c:pt idx="2">
                    <c:v>36.5 years later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9FE8-4788-848F-C95790231088}"/>
            </c:ext>
          </c:extLst>
        </c:ser>
        <c:ser>
          <c:idx val="1"/>
          <c:order val="1"/>
          <c:tx>
            <c:strRef>
              <c:f>ModelA_old!$B$5</c:f>
              <c:strCache>
                <c:ptCount val="1"/>
                <c:pt idx="0">
                  <c:v>150 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1C735E-C987-4E27-99AD-A21BBE044E03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FE8-4788-848F-C957902310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B471C5-3DB6-4D3B-B8C8-967C06FD3D9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E8-4788-848F-C957902310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E0F0B4-649B-445A-A545-A804C31998D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E8-4788-848F-C957902310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ModelA_old!$C$3:$E$3</c:f>
              <c:strCache>
                <c:ptCount val="3"/>
                <c:pt idx="0">
                  <c:v>Initial state</c:v>
                </c:pt>
                <c:pt idx="1">
                  <c:v>10 years later</c:v>
                </c:pt>
                <c:pt idx="2">
                  <c:v>36.5 years later</c:v>
                </c:pt>
              </c:strCache>
            </c:strRef>
          </c:xVal>
          <c:yVal>
            <c:numRef>
              <c:f>ModelA_old!$C$5:$E$5</c:f>
              <c:numCache>
                <c:formatCode>General</c:formatCode>
                <c:ptCount val="3"/>
                <c:pt idx="0">
                  <c:v>402.81299999999999</c:v>
                </c:pt>
                <c:pt idx="1">
                  <c:v>341.19400000000002</c:v>
                </c:pt>
                <c:pt idx="2">
                  <c:v>249.983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ModelA_old!$C$3:$E$3</c15:f>
                <c15:dlblRangeCache>
                  <c:ptCount val="3"/>
                  <c:pt idx="0">
                    <c:v>Initial state</c:v>
                  </c:pt>
                  <c:pt idx="1">
                    <c:v>10 years later</c:v>
                  </c:pt>
                  <c:pt idx="2">
                    <c:v>36.5 years later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FE8-4788-848F-C95790231088}"/>
            </c:ext>
          </c:extLst>
        </c:ser>
        <c:ser>
          <c:idx val="2"/>
          <c:order val="2"/>
          <c:tx>
            <c:strRef>
              <c:f>ModelA_old!$B$6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ModelA_old!$C$3:$E$3</c:f>
              <c:strCache>
                <c:ptCount val="3"/>
                <c:pt idx="0">
                  <c:v>Initial state</c:v>
                </c:pt>
                <c:pt idx="1">
                  <c:v>10 years later</c:v>
                </c:pt>
                <c:pt idx="2">
                  <c:v>36.5 years later</c:v>
                </c:pt>
              </c:strCache>
            </c:strRef>
          </c:xVal>
          <c:yVal>
            <c:numRef>
              <c:f>ModelA_old!$C$6:$E$6</c:f>
              <c:numCache>
                <c:formatCode>General</c:formatCode>
                <c:ptCount val="3"/>
                <c:pt idx="0">
                  <c:v>413.33300000000003</c:v>
                </c:pt>
                <c:pt idx="1">
                  <c:v>413.33300000000003</c:v>
                </c:pt>
                <c:pt idx="2">
                  <c:v>413.33300000000003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FE8-4788-848F-C9579023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65711"/>
        <c:axId val="932764463"/>
      </c:scatterChart>
      <c:valAx>
        <c:axId val="932765711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932764463"/>
        <c:crosses val="autoZero"/>
        <c:crossBetween val="midCat"/>
      </c:valAx>
      <c:valAx>
        <c:axId val="9327644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Enthalpy, kJ/kg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7657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ModelB_old!$D$13</c:f>
              <c:strCache>
                <c:ptCount val="1"/>
                <c:pt idx="0">
                  <c:v>Initial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ModelB_old!$C$14:$C$15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ModelB_old!$D$14:$D$15</c:f>
              <c:numCache>
                <c:formatCode>General</c:formatCode>
                <c:ptCount val="2"/>
                <c:pt idx="0">
                  <c:v>402.81299999999999</c:v>
                </c:pt>
                <c:pt idx="1">
                  <c:v>402.81299999999999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5AB-8BAE-F30BC7AA6C8B}"/>
            </c:ext>
          </c:extLst>
        </c:ser>
        <c:ser>
          <c:idx val="1"/>
          <c:order val="1"/>
          <c:tx>
            <c:strRef>
              <c:f>ModelB_old!$E$13</c:f>
              <c:strCache>
                <c:ptCount val="1"/>
                <c:pt idx="0">
                  <c:v>10 years later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numRef>
              <c:f>ModelB_old!$C$14:$C$15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ModelB_old!$E$14:$E$15</c:f>
              <c:numCache>
                <c:formatCode>General</c:formatCode>
                <c:ptCount val="2"/>
                <c:pt idx="0">
                  <c:v>412.33300000000003</c:v>
                </c:pt>
                <c:pt idx="1">
                  <c:v>414.79300000000001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8-45AB-8BAE-F30BC7AA6C8B}"/>
            </c:ext>
          </c:extLst>
        </c:ser>
        <c:ser>
          <c:idx val="2"/>
          <c:order val="2"/>
          <c:tx>
            <c:strRef>
              <c:f>ModelB_old!$F$13</c:f>
              <c:strCache>
                <c:ptCount val="1"/>
                <c:pt idx="0">
                  <c:v>36.5 years later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  <a:prstDash val="dash"/>
            </a:ln>
            <a:effectLst/>
          </c:spPr>
          <c:invertIfNegative val="0"/>
          <c:cat>
            <c:numRef>
              <c:f>ModelB_old!$C$14:$C$15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ModelB_old!$F$14:$F$15</c:f>
              <c:numCache>
                <c:formatCode>General</c:formatCode>
                <c:ptCount val="2"/>
                <c:pt idx="0">
                  <c:v>415.572</c:v>
                </c:pt>
                <c:pt idx="1">
                  <c:v>420.38200000000001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8-45AB-8BAE-F30BC7AA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overlap val="61"/>
        <c:axId val="1739181792"/>
        <c:axId val="1739183040"/>
      </c:barChart>
      <c:catAx>
        <c:axId val="17391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Total</a:t>
                </a:r>
                <a:r>
                  <a:rPr lang="en-NZ" baseline="0"/>
                  <a:t> production rate, m, kg/s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9183040"/>
        <c:crosses val="autoZero"/>
        <c:auto val="1"/>
        <c:lblAlgn val="ctr"/>
        <c:lblOffset val="100"/>
        <c:noMultiLvlLbl val="0"/>
      </c:catAx>
      <c:valAx>
        <c:axId val="173918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Enthalpy, kJ/kg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9181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ModelB_old!$E$3</c:f>
              <c:strCache>
                <c:ptCount val="1"/>
                <c:pt idx="0">
                  <c:v>30 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ModelB_old!$A$4:$A$9</c:f>
              <c:strCache>
                <c:ptCount val="6"/>
                <c:pt idx="0">
                  <c:v>Waihapa-2</c:v>
                </c:pt>
                <c:pt idx="1">
                  <c:v>Ngaere-1</c:v>
                </c:pt>
                <c:pt idx="2">
                  <c:v>Waihapa-6A</c:v>
                </c:pt>
                <c:pt idx="3">
                  <c:v>Waihapa-8</c:v>
                </c:pt>
                <c:pt idx="4">
                  <c:v>Ngaere-2A</c:v>
                </c:pt>
                <c:pt idx="5">
                  <c:v>Ngaere-3</c:v>
                </c:pt>
              </c:strCache>
            </c:strRef>
          </c:xVal>
          <c:yVal>
            <c:numRef>
              <c:f>ModelB_old!$E$4:$E$9</c:f>
              <c:numCache>
                <c:formatCode>General</c:formatCode>
                <c:ptCount val="6"/>
                <c:pt idx="0">
                  <c:v>412.33300000000003</c:v>
                </c:pt>
                <c:pt idx="1">
                  <c:v>413.56799999999998</c:v>
                </c:pt>
                <c:pt idx="2">
                  <c:v>411.351</c:v>
                </c:pt>
                <c:pt idx="3">
                  <c:v>414.08300000000003</c:v>
                </c:pt>
                <c:pt idx="4">
                  <c:v>414.11799999999999</c:v>
                </c:pt>
                <c:pt idx="5">
                  <c:v>414.12299999999999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9-4CC7-8599-4D32E8A911DF}"/>
            </c:ext>
          </c:extLst>
        </c:ser>
        <c:ser>
          <c:idx val="0"/>
          <c:order val="1"/>
          <c:tx>
            <c:strRef>
              <c:f>ModelB_old!$C$3</c:f>
              <c:strCache>
                <c:ptCount val="1"/>
                <c:pt idx="0">
                  <c:v>150 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ModelB_old!$A$4:$A$9</c:f>
              <c:strCache>
                <c:ptCount val="6"/>
                <c:pt idx="0">
                  <c:v>Waihapa-2</c:v>
                </c:pt>
                <c:pt idx="1">
                  <c:v>Ngaere-1</c:v>
                </c:pt>
                <c:pt idx="2">
                  <c:v>Waihapa-6A</c:v>
                </c:pt>
                <c:pt idx="3">
                  <c:v>Waihapa-8</c:v>
                </c:pt>
                <c:pt idx="4">
                  <c:v>Ngaere-2A</c:v>
                </c:pt>
                <c:pt idx="5">
                  <c:v>Ngaere-3</c:v>
                </c:pt>
              </c:strCache>
            </c:strRef>
          </c:xVal>
          <c:yVal>
            <c:numRef>
              <c:f>ModelB_old!$C$4:$C$9</c:f>
              <c:numCache>
                <c:formatCode>General</c:formatCode>
                <c:ptCount val="6"/>
                <c:pt idx="0">
                  <c:v>414.79300000000001</c:v>
                </c:pt>
                <c:pt idx="1">
                  <c:v>406.70400000000001</c:v>
                </c:pt>
                <c:pt idx="2">
                  <c:v>412.721</c:v>
                </c:pt>
                <c:pt idx="3">
                  <c:v>416.07400000000001</c:v>
                </c:pt>
                <c:pt idx="4">
                  <c:v>416.303</c:v>
                </c:pt>
                <c:pt idx="5">
                  <c:v>416.351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9-4CC7-8599-4D32E8A911DF}"/>
            </c:ext>
          </c:extLst>
        </c:ser>
        <c:ser>
          <c:idx val="2"/>
          <c:order val="2"/>
          <c:tx>
            <c:strRef>
              <c:f>ModelB_old!$D$3</c:f>
              <c:strCache>
                <c:ptCount val="1"/>
                <c:pt idx="0">
                  <c:v>150 kg/s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ModelB_old!$A$4:$A$9</c:f>
              <c:strCache>
                <c:ptCount val="6"/>
                <c:pt idx="0">
                  <c:v>Waihapa-2</c:v>
                </c:pt>
                <c:pt idx="1">
                  <c:v>Ngaere-1</c:v>
                </c:pt>
                <c:pt idx="2">
                  <c:v>Waihapa-6A</c:v>
                </c:pt>
                <c:pt idx="3">
                  <c:v>Waihapa-8</c:v>
                </c:pt>
                <c:pt idx="4">
                  <c:v>Ngaere-2A</c:v>
                </c:pt>
                <c:pt idx="5">
                  <c:v>Ngaere-3</c:v>
                </c:pt>
              </c:strCache>
            </c:strRef>
          </c:xVal>
          <c:yVal>
            <c:numRef>
              <c:f>ModelB_old!$D$4:$D$9</c:f>
              <c:numCache>
                <c:formatCode>General</c:formatCode>
                <c:ptCount val="6"/>
                <c:pt idx="0">
                  <c:v>420.38200000000001</c:v>
                </c:pt>
                <c:pt idx="1">
                  <c:v>360.07900000000001</c:v>
                </c:pt>
                <c:pt idx="2">
                  <c:v>418.05500000000001</c:v>
                </c:pt>
                <c:pt idx="3">
                  <c:v>420.63299999999998</c:v>
                </c:pt>
                <c:pt idx="4">
                  <c:v>420.96800000000002</c:v>
                </c:pt>
                <c:pt idx="5">
                  <c:v>421.214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249-4CC7-8599-4D32E8A911DF}"/>
            </c:ext>
          </c:extLst>
        </c:ser>
        <c:ser>
          <c:idx val="3"/>
          <c:order val="3"/>
          <c:tx>
            <c:strRef>
              <c:f>ModelB_old!$F$3</c:f>
              <c:strCache>
                <c:ptCount val="1"/>
                <c:pt idx="0">
                  <c:v>30 kg/s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ModelB_old!$A$4:$A$9</c:f>
              <c:strCache>
                <c:ptCount val="6"/>
                <c:pt idx="0">
                  <c:v>Waihapa-2</c:v>
                </c:pt>
                <c:pt idx="1">
                  <c:v>Ngaere-1</c:v>
                </c:pt>
                <c:pt idx="2">
                  <c:v>Waihapa-6A</c:v>
                </c:pt>
                <c:pt idx="3">
                  <c:v>Waihapa-8</c:v>
                </c:pt>
                <c:pt idx="4">
                  <c:v>Ngaere-2A</c:v>
                </c:pt>
                <c:pt idx="5">
                  <c:v>Ngaere-3</c:v>
                </c:pt>
              </c:strCache>
            </c:strRef>
          </c:xVal>
          <c:yVal>
            <c:numRef>
              <c:f>ModelB_old!$F$4:$F$9</c:f>
              <c:numCache>
                <c:formatCode>General</c:formatCode>
                <c:ptCount val="6"/>
                <c:pt idx="0">
                  <c:v>415.572</c:v>
                </c:pt>
                <c:pt idx="1">
                  <c:v>416.56200000000001</c:v>
                </c:pt>
                <c:pt idx="2">
                  <c:v>412.57600000000002</c:v>
                </c:pt>
                <c:pt idx="3">
                  <c:v>417.57299999999998</c:v>
                </c:pt>
                <c:pt idx="4">
                  <c:v>417.59899999999999</c:v>
                </c:pt>
                <c:pt idx="5">
                  <c:v>417.61500000000001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249-4CC7-8599-4D32E8A9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65711"/>
        <c:axId val="932764463"/>
      </c:scatterChart>
      <c:valAx>
        <c:axId val="932765711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932764463"/>
        <c:crosses val="autoZero"/>
        <c:crossBetween val="midCat"/>
      </c:valAx>
      <c:valAx>
        <c:axId val="93276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Enthalpy, kJ/kg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7657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ModelB_old!$D$20</c:f>
              <c:strCache>
                <c:ptCount val="1"/>
                <c:pt idx="0">
                  <c:v>Initial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ModelB_old!$C$21:$C$22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ModelB_old!$D$21:$D$22</c:f>
              <c:numCache>
                <c:formatCode>General</c:formatCode>
                <c:ptCount val="2"/>
                <c:pt idx="0">
                  <c:v>402.81299999999999</c:v>
                </c:pt>
                <c:pt idx="1">
                  <c:v>402.81299999999999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C-4368-9D18-E34012CE0EAF}"/>
            </c:ext>
          </c:extLst>
        </c:ser>
        <c:ser>
          <c:idx val="1"/>
          <c:order val="1"/>
          <c:tx>
            <c:strRef>
              <c:f>ModelB_old!$E$20</c:f>
              <c:strCache>
                <c:ptCount val="1"/>
                <c:pt idx="0">
                  <c:v>10 years later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ModelB_old!$C$21:$C$22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ModelB_old!$E$21:$E$22</c:f>
              <c:numCache>
                <c:formatCode>General</c:formatCode>
                <c:ptCount val="2"/>
                <c:pt idx="0">
                  <c:v>413.26266666666669</c:v>
                </c:pt>
                <c:pt idx="1">
                  <c:v>413.82433333333341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C-4368-9D18-E34012CE0EAF}"/>
            </c:ext>
          </c:extLst>
        </c:ser>
        <c:ser>
          <c:idx val="2"/>
          <c:order val="2"/>
          <c:tx>
            <c:strRef>
              <c:f>ModelB_old!$F$20</c:f>
              <c:strCache>
                <c:ptCount val="1"/>
                <c:pt idx="0">
                  <c:v>36.5 years later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ModelB_old!$C$21:$C$22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cat>
          <c:val>
            <c:numRef>
              <c:f>ModelB_old!$F$21:$F$22</c:f>
              <c:numCache>
                <c:formatCode>General</c:formatCode>
                <c:ptCount val="2"/>
                <c:pt idx="0">
                  <c:v>416.24950000000007</c:v>
                </c:pt>
                <c:pt idx="1">
                  <c:v>410.22183333333334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C-4368-9D18-E34012CE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overlap val="61"/>
        <c:axId val="1054899503"/>
        <c:axId val="1054896175"/>
      </c:barChart>
      <c:catAx>
        <c:axId val="105489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Total production rate, m, kg/s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4896175"/>
        <c:crosses val="autoZero"/>
        <c:auto val="1"/>
        <c:lblAlgn val="ctr"/>
        <c:lblOffset val="100"/>
        <c:noMultiLvlLbl val="0"/>
      </c:catAx>
      <c:valAx>
        <c:axId val="1054896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NZ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900" b="0" i="0" baseline="0">
                    <a:effectLst/>
                  </a:rPr>
                  <a:t>Enthalpy, kJ/kg</a:t>
                </a:r>
                <a:endParaRPr lang="en-NZ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NZ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48995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2</xdr:row>
      <xdr:rowOff>38099</xdr:rowOff>
    </xdr:from>
    <xdr:to>
      <xdr:col>14</xdr:col>
      <xdr:colOff>133349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71221-3FDB-406F-A4DA-9B347C09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5</xdr:row>
      <xdr:rowOff>9525</xdr:rowOff>
    </xdr:from>
    <xdr:to>
      <xdr:col>14</xdr:col>
      <xdr:colOff>219075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12D50-0A90-43FE-AEEB-1BF14D55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23</xdr:row>
      <xdr:rowOff>0</xdr:rowOff>
    </xdr:from>
    <xdr:to>
      <xdr:col>6</xdr:col>
      <xdr:colOff>552450</xdr:colOff>
      <xdr:row>37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DF50AFF-C24D-46F5-97C3-2E2A8755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419099</xdr:colOff>
      <xdr:row>24</xdr:row>
      <xdr:rowOff>57150</xdr:rowOff>
    </xdr:from>
    <xdr:to>
      <xdr:col>17</xdr:col>
      <xdr:colOff>647699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B3AA5-7592-4E9C-974C-865F4E87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6</xdr:row>
      <xdr:rowOff>9525</xdr:rowOff>
    </xdr:from>
    <xdr:to>
      <xdr:col>11</xdr:col>
      <xdr:colOff>595649</xdr:colOff>
      <xdr:row>19</xdr:row>
      <xdr:rowOff>153825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32078-3CDC-49E3-82E6-EC9D4D43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24</xdr:row>
      <xdr:rowOff>0</xdr:rowOff>
    </xdr:from>
    <xdr:to>
      <xdr:col>9</xdr:col>
      <xdr:colOff>371475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F2EB7-1726-4724-B26F-44051B62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20</xdr:row>
      <xdr:rowOff>38100</xdr:rowOff>
    </xdr:from>
    <xdr:to>
      <xdr:col>11</xdr:col>
      <xdr:colOff>600412</xdr:colOff>
      <xdr:row>33</xdr:row>
      <xdr:rowOff>182400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4EF0BA-AD9A-4AC4-BC78-5E12571A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C925-4301-40DE-9277-BBC8BE442BE6}">
  <dimension ref="A1:L31"/>
  <sheetViews>
    <sheetView workbookViewId="0">
      <selection activeCell="E7" sqref="E7"/>
    </sheetView>
  </sheetViews>
  <sheetFormatPr defaultRowHeight="15" x14ac:dyDescent="0.25"/>
  <cols>
    <col min="1" max="1" width="18.5703125" bestFit="1" customWidth="1"/>
    <col min="2" max="2" width="9" bestFit="1" customWidth="1"/>
    <col min="3" max="3" width="14.28515625" bestFit="1" customWidth="1"/>
    <col min="4" max="4" width="9.42578125" customWidth="1"/>
    <col min="5" max="5" width="12" style="4" bestFit="1" customWidth="1"/>
    <col min="6" max="6" width="8" bestFit="1" customWidth="1"/>
    <col min="7" max="7" width="14.5703125" bestFit="1" customWidth="1"/>
  </cols>
  <sheetData>
    <row r="1" spans="1:12" s="5" customFormat="1" ht="30" x14ac:dyDescent="0.25">
      <c r="B1" s="5" t="s">
        <v>25</v>
      </c>
      <c r="C1" s="5" t="s">
        <v>26</v>
      </c>
      <c r="D1" s="5" t="s">
        <v>21</v>
      </c>
      <c r="E1" s="7" t="s">
        <v>22</v>
      </c>
      <c r="F1" s="5" t="s">
        <v>23</v>
      </c>
      <c r="G1" s="5" t="s">
        <v>24</v>
      </c>
    </row>
    <row r="2" spans="1:12" x14ac:dyDescent="0.25">
      <c r="A2" t="s">
        <v>27</v>
      </c>
      <c r="B2">
        <v>150</v>
      </c>
      <c r="C2">
        <v>700</v>
      </c>
      <c r="D2">
        <v>402813</v>
      </c>
      <c r="E2" s="4">
        <v>0.2</v>
      </c>
      <c r="F2">
        <f>E2*D2</f>
        <v>80562.600000000006</v>
      </c>
      <c r="G2">
        <f>D2-F2</f>
        <v>322250.40000000002</v>
      </c>
    </row>
    <row r="3" spans="1:12" x14ac:dyDescent="0.25">
      <c r="J3">
        <v>31</v>
      </c>
      <c r="K3">
        <v>557</v>
      </c>
      <c r="L3">
        <v>600</v>
      </c>
    </row>
    <row r="4" spans="1:12" x14ac:dyDescent="0.25">
      <c r="B4" s="6"/>
    </row>
    <row r="5" spans="1:12" x14ac:dyDescent="0.25">
      <c r="B5" s="6"/>
      <c r="F5" t="s">
        <v>34</v>
      </c>
    </row>
    <row r="6" spans="1:12" x14ac:dyDescent="0.25">
      <c r="B6" t="s">
        <v>28</v>
      </c>
      <c r="C6" t="s">
        <v>29</v>
      </c>
      <c r="E6" s="4" t="s">
        <v>31</v>
      </c>
      <c r="F6" t="s">
        <v>30</v>
      </c>
      <c r="G6" t="s">
        <v>32</v>
      </c>
    </row>
    <row r="7" spans="1:12" x14ac:dyDescent="0.25">
      <c r="B7" s="6">
        <v>1628164800</v>
      </c>
      <c r="C7" s="6">
        <v>402813.03125</v>
      </c>
      <c r="E7" s="4">
        <f>B7/31557600-51.5934291581109</f>
        <v>0</v>
      </c>
      <c r="F7">
        <f t="shared" ref="F7:F17" si="0">C7/1000</f>
        <v>402.81303124999999</v>
      </c>
    </row>
    <row r="8" spans="1:12" x14ac:dyDescent="0.25">
      <c r="B8">
        <v>1659700800</v>
      </c>
      <c r="C8">
        <v>419082.28125</v>
      </c>
      <c r="E8" s="4">
        <f t="shared" ref="E8:E17" si="1">B8/31557600-51.5934291581109</f>
        <v>0.99931553730319678</v>
      </c>
      <c r="F8">
        <f t="shared" si="0"/>
        <v>419.08228124999999</v>
      </c>
    </row>
    <row r="9" spans="1:12" x14ac:dyDescent="0.25">
      <c r="B9">
        <v>1691236800</v>
      </c>
      <c r="C9">
        <v>404348.15625</v>
      </c>
      <c r="E9" s="4">
        <f t="shared" si="1"/>
        <v>1.9986310746064149</v>
      </c>
      <c r="F9">
        <f t="shared" si="0"/>
        <v>404.34815624999999</v>
      </c>
    </row>
    <row r="10" spans="1:12" x14ac:dyDescent="0.25">
      <c r="B10">
        <v>1722859200</v>
      </c>
      <c r="C10">
        <v>388499.125</v>
      </c>
      <c r="E10" s="4">
        <f t="shared" si="1"/>
        <v>3.0006844626967677</v>
      </c>
      <c r="F10">
        <f t="shared" si="0"/>
        <v>388.49912499999999</v>
      </c>
    </row>
    <row r="11" spans="1:12" x14ac:dyDescent="0.25">
      <c r="B11">
        <v>1754395200</v>
      </c>
      <c r="C11">
        <v>374654.96875</v>
      </c>
      <c r="E11" s="4">
        <f t="shared" si="1"/>
        <v>3.9999999999999787</v>
      </c>
      <c r="F11">
        <f t="shared" si="0"/>
        <v>374.65496875000002</v>
      </c>
    </row>
    <row r="12" spans="1:12" x14ac:dyDescent="0.25">
      <c r="B12">
        <v>1785931200</v>
      </c>
      <c r="C12">
        <v>362769.875</v>
      </c>
      <c r="E12" s="4">
        <f t="shared" si="1"/>
        <v>4.9993155373031968</v>
      </c>
      <c r="F12">
        <f t="shared" si="0"/>
        <v>362.76987500000001</v>
      </c>
    </row>
    <row r="13" spans="1:12" x14ac:dyDescent="0.25">
      <c r="B13">
        <v>1817467200</v>
      </c>
      <c r="C13">
        <v>352538</v>
      </c>
      <c r="E13" s="4">
        <f t="shared" si="1"/>
        <v>5.9986310746064149</v>
      </c>
      <c r="F13">
        <f t="shared" si="0"/>
        <v>352.53800000000001</v>
      </c>
      <c r="G13">
        <f>G2/1000</f>
        <v>322.25040000000001</v>
      </c>
      <c r="H13" t="s">
        <v>32</v>
      </c>
    </row>
    <row r="14" spans="1:12" x14ac:dyDescent="0.25">
      <c r="B14">
        <v>1849089600</v>
      </c>
      <c r="C14">
        <v>343631.96875</v>
      </c>
      <c r="E14" s="4">
        <f t="shared" si="1"/>
        <v>7.0006844626967677</v>
      </c>
      <c r="F14">
        <f t="shared" si="0"/>
        <v>343.63196875</v>
      </c>
      <c r="G14">
        <f t="shared" ref="G14:G17" si="2">G13</f>
        <v>322.25040000000001</v>
      </c>
    </row>
    <row r="15" spans="1:12" x14ac:dyDescent="0.25">
      <c r="B15">
        <v>1880625600</v>
      </c>
      <c r="C15">
        <v>335832.9375</v>
      </c>
      <c r="E15" s="4">
        <f t="shared" si="1"/>
        <v>7.9999999999999787</v>
      </c>
      <c r="F15">
        <f t="shared" si="0"/>
        <v>335.83293750000001</v>
      </c>
      <c r="G15">
        <f t="shared" si="2"/>
        <v>322.25040000000001</v>
      </c>
    </row>
    <row r="16" spans="1:12" x14ac:dyDescent="0.25">
      <c r="B16">
        <v>1912161600</v>
      </c>
      <c r="C16">
        <v>328890.875</v>
      </c>
      <c r="E16" s="4">
        <f t="shared" si="1"/>
        <v>8.9993155373031968</v>
      </c>
      <c r="F16">
        <f t="shared" si="0"/>
        <v>328.89087499999999</v>
      </c>
      <c r="G16">
        <f t="shared" si="2"/>
        <v>322.25040000000001</v>
      </c>
    </row>
    <row r="17" spans="2:7" x14ac:dyDescent="0.25">
      <c r="B17">
        <v>1943697600</v>
      </c>
      <c r="C17">
        <v>322627.6875</v>
      </c>
      <c r="E17" s="4">
        <f t="shared" si="1"/>
        <v>9.9986310746064149</v>
      </c>
      <c r="F17">
        <f t="shared" si="0"/>
        <v>322.62768749999998</v>
      </c>
      <c r="G17">
        <f t="shared" si="2"/>
        <v>322.25040000000001</v>
      </c>
    </row>
    <row r="20" spans="2:7" x14ac:dyDescent="0.25">
      <c r="F20" t="s">
        <v>33</v>
      </c>
    </row>
    <row r="21" spans="2:7" x14ac:dyDescent="0.25">
      <c r="B21">
        <v>1628164800</v>
      </c>
      <c r="C21">
        <v>402813.03125</v>
      </c>
      <c r="E21" s="4">
        <f>B21/31557600-51.5934291581109</f>
        <v>0</v>
      </c>
      <c r="F21">
        <f>C21/1000</f>
        <v>402.81303124999999</v>
      </c>
    </row>
    <row r="22" spans="2:7" x14ac:dyDescent="0.25">
      <c r="B22">
        <v>1659700800</v>
      </c>
      <c r="C22">
        <v>426040.25</v>
      </c>
      <c r="E22" s="4">
        <f t="shared" ref="E22:E31" si="3">B22/31557600-51.5934291581109</f>
        <v>0.99931553730319678</v>
      </c>
      <c r="F22">
        <f t="shared" ref="F22:F31" si="4">C22/1000</f>
        <v>426.04025000000001</v>
      </c>
    </row>
    <row r="23" spans="2:7" x14ac:dyDescent="0.25">
      <c r="B23">
        <v>1691236800</v>
      </c>
      <c r="C23">
        <v>411887.125</v>
      </c>
      <c r="E23" s="4">
        <f t="shared" si="3"/>
        <v>1.9986310746064149</v>
      </c>
      <c r="F23">
        <f t="shared" si="4"/>
        <v>411.88712500000003</v>
      </c>
    </row>
    <row r="24" spans="2:7" x14ac:dyDescent="0.25">
      <c r="B24" s="4">
        <v>1722859200</v>
      </c>
      <c r="C24" s="4">
        <v>394004.5</v>
      </c>
      <c r="E24" s="4">
        <f t="shared" si="3"/>
        <v>3.0006844626967677</v>
      </c>
      <c r="F24">
        <f t="shared" si="4"/>
        <v>394.00450000000001</v>
      </c>
    </row>
    <row r="25" spans="2:7" x14ac:dyDescent="0.25">
      <c r="B25">
        <v>1754395200</v>
      </c>
      <c r="C25">
        <v>377781.78125</v>
      </c>
      <c r="E25" s="4">
        <f t="shared" si="3"/>
        <v>3.9999999999999787</v>
      </c>
      <c r="F25">
        <f t="shared" si="4"/>
        <v>377.78178124999999</v>
      </c>
    </row>
    <row r="26" spans="2:7" x14ac:dyDescent="0.25">
      <c r="B26">
        <v>1785931200</v>
      </c>
      <c r="C26">
        <v>363973.4375</v>
      </c>
      <c r="E26" s="4">
        <f t="shared" si="3"/>
        <v>4.9993155373031968</v>
      </c>
      <c r="F26">
        <f t="shared" si="4"/>
        <v>363.97343749999999</v>
      </c>
    </row>
    <row r="27" spans="2:7" x14ac:dyDescent="0.25">
      <c r="B27">
        <v>1817467200</v>
      </c>
      <c r="C27">
        <v>352551.375</v>
      </c>
      <c r="E27" s="4">
        <f t="shared" si="3"/>
        <v>5.9986310746064149</v>
      </c>
      <c r="F27">
        <f t="shared" si="4"/>
        <v>352.55137500000001</v>
      </c>
      <c r="G27">
        <f>G2/1000</f>
        <v>322.25040000000001</v>
      </c>
    </row>
    <row r="28" spans="2:7" x14ac:dyDescent="0.25">
      <c r="B28">
        <v>1849089600</v>
      </c>
      <c r="C28">
        <v>343116.0625</v>
      </c>
      <c r="E28" s="4">
        <f t="shared" si="3"/>
        <v>7.0006844626967677</v>
      </c>
      <c r="F28">
        <f t="shared" si="4"/>
        <v>343.1160625</v>
      </c>
      <c r="G28">
        <f t="shared" ref="G28:G31" si="5">G27</f>
        <v>322.25040000000001</v>
      </c>
    </row>
    <row r="29" spans="2:7" x14ac:dyDescent="0.25">
      <c r="B29">
        <v>1880625600</v>
      </c>
      <c r="C29">
        <v>335278.15625</v>
      </c>
      <c r="E29" s="4">
        <f t="shared" si="3"/>
        <v>7.9999999999999787</v>
      </c>
      <c r="F29">
        <f t="shared" si="4"/>
        <v>335.27815624999999</v>
      </c>
      <c r="G29">
        <f t="shared" si="5"/>
        <v>322.25040000000001</v>
      </c>
    </row>
    <row r="30" spans="2:7" x14ac:dyDescent="0.25">
      <c r="B30">
        <v>1912161600</v>
      </c>
      <c r="C30">
        <v>328636.3125</v>
      </c>
      <c r="E30" s="4">
        <f t="shared" si="3"/>
        <v>8.9993155373031968</v>
      </c>
      <c r="F30">
        <f t="shared" si="4"/>
        <v>328.63631249999997</v>
      </c>
      <c r="G30">
        <f t="shared" si="5"/>
        <v>322.25040000000001</v>
      </c>
    </row>
    <row r="31" spans="2:7" x14ac:dyDescent="0.25">
      <c r="B31">
        <v>1943697600</v>
      </c>
      <c r="C31">
        <v>322843.25</v>
      </c>
      <c r="E31" s="4">
        <f t="shared" si="3"/>
        <v>9.9986310746064149</v>
      </c>
      <c r="F31">
        <f t="shared" si="4"/>
        <v>322.84325000000001</v>
      </c>
      <c r="G31">
        <f t="shared" si="5"/>
        <v>322.25040000000001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2E22-9E2B-4933-8701-A3ED8396033E}">
  <dimension ref="A1:W76"/>
  <sheetViews>
    <sheetView tabSelected="1" topLeftCell="H1" workbookViewId="0">
      <selection activeCell="W14" sqref="W14"/>
    </sheetView>
  </sheetViews>
  <sheetFormatPr defaultRowHeight="15" x14ac:dyDescent="0.25"/>
  <sheetData>
    <row r="1" spans="1:23" x14ac:dyDescent="0.25">
      <c r="A1" t="s">
        <v>0</v>
      </c>
      <c r="D1" t="s">
        <v>0</v>
      </c>
      <c r="G1" t="s">
        <v>12</v>
      </c>
      <c r="J1" t="s">
        <v>13</v>
      </c>
      <c r="M1" t="s">
        <v>1</v>
      </c>
      <c r="P1" t="s">
        <v>14</v>
      </c>
      <c r="S1" t="s">
        <v>2</v>
      </c>
      <c r="U1" t="s">
        <v>15</v>
      </c>
    </row>
    <row r="2" spans="1:23" x14ac:dyDescent="0.25">
      <c r="A2" t="s">
        <v>17</v>
      </c>
    </row>
    <row r="3" spans="1:23" x14ac:dyDescent="0.25">
      <c r="A3">
        <v>1628164800</v>
      </c>
      <c r="B3" s="8">
        <f>A3/31557600-51.5934291581109</f>
        <v>0</v>
      </c>
      <c r="C3">
        <v>402813.03125</v>
      </c>
      <c r="D3">
        <f>C3/1000</f>
        <v>402.81303124999999</v>
      </c>
      <c r="F3">
        <v>402813.03125</v>
      </c>
      <c r="G3">
        <f>F3/1000</f>
        <v>402.81303124999999</v>
      </c>
      <c r="I3">
        <v>402813.03125</v>
      </c>
      <c r="J3">
        <f>I3/1000</f>
        <v>402.81303124999999</v>
      </c>
      <c r="L3">
        <v>402813.03125</v>
      </c>
      <c r="M3">
        <f>L3/1000</f>
        <v>402.81303124999999</v>
      </c>
      <c r="O3">
        <v>402813.03125</v>
      </c>
      <c r="P3">
        <f>O3/1000</f>
        <v>402.81303124999999</v>
      </c>
      <c r="R3">
        <v>402813.03125</v>
      </c>
      <c r="S3">
        <f>R3/1000</f>
        <v>402.81303124999999</v>
      </c>
      <c r="U3">
        <f>AVERAGE(D3,G3,J3,M3,P3,S3)</f>
        <v>402.81303124999999</v>
      </c>
    </row>
    <row r="4" spans="1:23" x14ac:dyDescent="0.25">
      <c r="A4">
        <v>1659700800</v>
      </c>
      <c r="B4" s="8">
        <f t="shared" ref="B4:B13" si="0">A4/31557600-51.5934291581109</f>
        <v>0.99931553730319678</v>
      </c>
      <c r="C4">
        <v>411963.75</v>
      </c>
      <c r="D4">
        <f t="shared" ref="D4:D13" si="1">C4/1000</f>
        <v>411.96375</v>
      </c>
      <c r="F4">
        <v>412291.75</v>
      </c>
      <c r="G4">
        <f t="shared" ref="G4:G13" si="2">F4/1000</f>
        <v>412.29174999999998</v>
      </c>
      <c r="I4">
        <v>411499.90625</v>
      </c>
      <c r="J4">
        <f t="shared" ref="J4:J13" si="3">I4/1000</f>
        <v>411.49990624999998</v>
      </c>
      <c r="L4">
        <v>412740.875</v>
      </c>
      <c r="M4">
        <f t="shared" ref="M4:M13" si="4">L4/1000</f>
        <v>412.74087500000002</v>
      </c>
      <c r="O4">
        <v>412746.09375</v>
      </c>
      <c r="P4">
        <f t="shared" ref="P4:P13" si="5">O4/1000</f>
        <v>412.74609375</v>
      </c>
      <c r="R4">
        <v>412745.53125</v>
      </c>
      <c r="S4">
        <f t="shared" ref="S4:S13" si="6">R4/1000</f>
        <v>412.74553125</v>
      </c>
      <c r="U4">
        <f t="shared" ref="U4:U13" si="7">AVERAGE(D4,G4,J4,M4,P4,S4)</f>
        <v>412.3313177083333</v>
      </c>
    </row>
    <row r="5" spans="1:23" x14ac:dyDescent="0.25">
      <c r="A5">
        <v>1691236800</v>
      </c>
      <c r="B5" s="8">
        <f t="shared" si="0"/>
        <v>1.9986310746064149</v>
      </c>
      <c r="C5">
        <v>411904.03125</v>
      </c>
      <c r="D5">
        <f t="shared" si="1"/>
        <v>411.90403125</v>
      </c>
      <c r="F5">
        <v>412354.25</v>
      </c>
      <c r="G5">
        <f t="shared" si="2"/>
        <v>412.35424999999998</v>
      </c>
      <c r="I5">
        <v>411432.0625</v>
      </c>
      <c r="J5">
        <f t="shared" si="3"/>
        <v>411.43206249999997</v>
      </c>
      <c r="L5">
        <v>412885.375</v>
      </c>
      <c r="M5">
        <f t="shared" si="4"/>
        <v>412.88537500000001</v>
      </c>
      <c r="O5">
        <v>412896.78125</v>
      </c>
      <c r="P5">
        <f t="shared" si="5"/>
        <v>412.89678125</v>
      </c>
      <c r="R5">
        <v>412896.78125</v>
      </c>
      <c r="S5">
        <f t="shared" si="6"/>
        <v>412.89678125</v>
      </c>
      <c r="U5">
        <f t="shared" si="7"/>
        <v>412.39488020833329</v>
      </c>
    </row>
    <row r="6" spans="1:23" x14ac:dyDescent="0.25">
      <c r="A6">
        <v>1722859200</v>
      </c>
      <c r="B6" s="8">
        <f t="shared" si="0"/>
        <v>3.0006844626967677</v>
      </c>
      <c r="C6">
        <v>411897.96875</v>
      </c>
      <c r="D6">
        <f t="shared" si="1"/>
        <v>411.89796875000002</v>
      </c>
      <c r="F6">
        <v>412458</v>
      </c>
      <c r="G6">
        <f t="shared" si="2"/>
        <v>412.45800000000003</v>
      </c>
      <c r="I6">
        <v>411393.5</v>
      </c>
      <c r="J6">
        <f t="shared" si="3"/>
        <v>411.39350000000002</v>
      </c>
      <c r="L6">
        <v>413046.6875</v>
      </c>
      <c r="M6">
        <f t="shared" si="4"/>
        <v>413.04668750000002</v>
      </c>
      <c r="O6">
        <v>413063.0625</v>
      </c>
      <c r="P6">
        <f t="shared" si="5"/>
        <v>413.0630625</v>
      </c>
      <c r="R6">
        <v>413063.53125</v>
      </c>
      <c r="S6">
        <f t="shared" si="6"/>
        <v>413.06353124999998</v>
      </c>
      <c r="U6">
        <f t="shared" si="7"/>
        <v>412.48712500000005</v>
      </c>
    </row>
    <row r="7" spans="1:23" x14ac:dyDescent="0.25">
      <c r="A7">
        <v>1754395200</v>
      </c>
      <c r="B7" s="8">
        <f t="shared" si="0"/>
        <v>3.9999999999999787</v>
      </c>
      <c r="C7">
        <v>411918.3125</v>
      </c>
      <c r="D7">
        <f t="shared" si="1"/>
        <v>411.91831250000001</v>
      </c>
      <c r="F7">
        <v>412575.875</v>
      </c>
      <c r="G7">
        <f t="shared" si="2"/>
        <v>412.575875</v>
      </c>
      <c r="I7">
        <v>411366.21875</v>
      </c>
      <c r="J7">
        <f t="shared" si="3"/>
        <v>411.36621874999997</v>
      </c>
      <c r="L7">
        <v>413204.875</v>
      </c>
      <c r="M7">
        <f t="shared" si="4"/>
        <v>413.20487500000002</v>
      </c>
      <c r="O7">
        <v>413225.25</v>
      </c>
      <c r="P7">
        <f t="shared" si="5"/>
        <v>413.22525000000002</v>
      </c>
      <c r="R7">
        <v>413226.15625</v>
      </c>
      <c r="S7">
        <f t="shared" si="6"/>
        <v>413.22615624999997</v>
      </c>
      <c r="U7">
        <f t="shared" si="7"/>
        <v>412.58611458333326</v>
      </c>
    </row>
    <row r="8" spans="1:23" x14ac:dyDescent="0.25">
      <c r="A8">
        <v>1785931200</v>
      </c>
      <c r="B8" s="8">
        <f t="shared" si="0"/>
        <v>4.9993155373031968</v>
      </c>
      <c r="C8">
        <v>411957.375</v>
      </c>
      <c r="D8">
        <f t="shared" si="1"/>
        <v>411.95737500000001</v>
      </c>
      <c r="F8">
        <v>412701.6875</v>
      </c>
      <c r="G8">
        <f t="shared" si="2"/>
        <v>412.70168749999999</v>
      </c>
      <c r="I8">
        <v>411346.96875</v>
      </c>
      <c r="J8">
        <f t="shared" si="3"/>
        <v>411.34696874999997</v>
      </c>
      <c r="L8">
        <v>413359.03125</v>
      </c>
      <c r="M8">
        <f t="shared" si="4"/>
        <v>413.35903124999999</v>
      </c>
      <c r="O8">
        <v>413382.6875</v>
      </c>
      <c r="P8">
        <f t="shared" si="5"/>
        <v>413.38268749999997</v>
      </c>
      <c r="R8">
        <v>413383.96875</v>
      </c>
      <c r="S8">
        <f t="shared" si="6"/>
        <v>413.38396875000001</v>
      </c>
      <c r="U8">
        <f t="shared" si="7"/>
        <v>412.68861979166667</v>
      </c>
    </row>
    <row r="9" spans="1:23" x14ac:dyDescent="0.25">
      <c r="A9">
        <v>1817467200</v>
      </c>
      <c r="B9" s="8">
        <f t="shared" si="0"/>
        <v>5.9986310746064149</v>
      </c>
      <c r="C9">
        <v>412010.5625</v>
      </c>
      <c r="D9">
        <f t="shared" si="1"/>
        <v>412.01056249999999</v>
      </c>
      <c r="F9">
        <v>412832.375</v>
      </c>
      <c r="G9">
        <f t="shared" si="2"/>
        <v>412.83237500000001</v>
      </c>
      <c r="I9">
        <v>411334.34375</v>
      </c>
      <c r="J9">
        <f t="shared" si="3"/>
        <v>411.33434375000002</v>
      </c>
      <c r="L9">
        <v>413509.71875</v>
      </c>
      <c r="M9">
        <f t="shared" si="4"/>
        <v>413.50971874999999</v>
      </c>
      <c r="O9">
        <v>413536</v>
      </c>
      <c r="P9">
        <f t="shared" si="5"/>
        <v>413.536</v>
      </c>
      <c r="R9">
        <v>413537.65625</v>
      </c>
      <c r="S9">
        <f t="shared" si="6"/>
        <v>413.53765625</v>
      </c>
      <c r="U9">
        <f t="shared" si="7"/>
        <v>412.79344270833332</v>
      </c>
    </row>
    <row r="10" spans="1:23" x14ac:dyDescent="0.25">
      <c r="A10">
        <v>1849089600</v>
      </c>
      <c r="B10" s="8">
        <f t="shared" si="0"/>
        <v>7.0006844626967677</v>
      </c>
      <c r="C10">
        <v>412074.90625</v>
      </c>
      <c r="D10">
        <f t="shared" si="1"/>
        <v>412.07490625000003</v>
      </c>
      <c r="F10">
        <v>412966.5625</v>
      </c>
      <c r="G10">
        <f t="shared" si="2"/>
        <v>412.96656250000001</v>
      </c>
      <c r="I10">
        <v>411327.46875</v>
      </c>
      <c r="J10">
        <f t="shared" si="3"/>
        <v>411.32746874999998</v>
      </c>
      <c r="L10">
        <v>413657.96875</v>
      </c>
      <c r="M10">
        <f t="shared" si="4"/>
        <v>413.65796875000001</v>
      </c>
      <c r="O10">
        <v>413686.4375</v>
      </c>
      <c r="P10">
        <f t="shared" si="5"/>
        <v>413.68643750000001</v>
      </c>
      <c r="R10">
        <v>413688.375</v>
      </c>
      <c r="S10">
        <f t="shared" si="6"/>
        <v>413.68837500000001</v>
      </c>
      <c r="U10">
        <f t="shared" si="7"/>
        <v>412.90028645833331</v>
      </c>
    </row>
    <row r="11" spans="1:23" x14ac:dyDescent="0.25">
      <c r="A11">
        <v>1880625600</v>
      </c>
      <c r="B11" s="8">
        <f t="shared" si="0"/>
        <v>7.9999999999999787</v>
      </c>
      <c r="C11">
        <v>412147.75</v>
      </c>
      <c r="D11">
        <f t="shared" si="1"/>
        <v>412.14774999999997</v>
      </c>
      <c r="F11">
        <v>413102.3125</v>
      </c>
      <c r="G11">
        <f t="shared" si="2"/>
        <v>413.10231249999998</v>
      </c>
      <c r="I11">
        <v>411325.625</v>
      </c>
      <c r="J11">
        <f t="shared" si="3"/>
        <v>411.325625</v>
      </c>
      <c r="L11">
        <v>413803.53125</v>
      </c>
      <c r="M11">
        <f t="shared" si="4"/>
        <v>413.80353124999999</v>
      </c>
      <c r="O11">
        <v>413833.75</v>
      </c>
      <c r="P11">
        <f t="shared" si="5"/>
        <v>413.83375000000001</v>
      </c>
      <c r="R11">
        <v>413836.03125</v>
      </c>
      <c r="S11">
        <f t="shared" si="6"/>
        <v>413.83603125000002</v>
      </c>
      <c r="U11">
        <f t="shared" si="7"/>
        <v>413.00816666666668</v>
      </c>
    </row>
    <row r="12" spans="1:23" x14ac:dyDescent="0.25">
      <c r="A12">
        <v>1912161600</v>
      </c>
      <c r="B12" s="8">
        <f t="shared" si="0"/>
        <v>8.9993155373031968</v>
      </c>
      <c r="C12">
        <v>412227.59375</v>
      </c>
      <c r="D12">
        <f t="shared" si="1"/>
        <v>412.22759374999998</v>
      </c>
      <c r="F12">
        <v>413239.21875</v>
      </c>
      <c r="G12">
        <f t="shared" si="2"/>
        <v>413.23921875000002</v>
      </c>
      <c r="I12">
        <v>411328.1875</v>
      </c>
      <c r="J12">
        <f t="shared" si="3"/>
        <v>411.32818750000001</v>
      </c>
      <c r="L12">
        <v>413947.28125</v>
      </c>
      <c r="M12">
        <f t="shared" si="4"/>
        <v>413.94728125</v>
      </c>
      <c r="O12">
        <v>413978.875</v>
      </c>
      <c r="P12">
        <f t="shared" si="5"/>
        <v>413.97887500000002</v>
      </c>
      <c r="R12">
        <v>413981.4375</v>
      </c>
      <c r="S12">
        <f t="shared" si="6"/>
        <v>413.98143750000003</v>
      </c>
      <c r="U12">
        <f t="shared" si="7"/>
        <v>413.11709895833337</v>
      </c>
      <c r="W12">
        <v>80</v>
      </c>
    </row>
    <row r="13" spans="1:23" x14ac:dyDescent="0.25">
      <c r="A13">
        <v>1943697600</v>
      </c>
      <c r="B13" s="8">
        <f t="shared" si="0"/>
        <v>9.9986310746064149</v>
      </c>
      <c r="C13">
        <v>412313.15625</v>
      </c>
      <c r="D13">
        <f t="shared" si="1"/>
        <v>412.31315625000002</v>
      </c>
      <c r="F13">
        <v>413376.78125</v>
      </c>
      <c r="G13">
        <f t="shared" si="2"/>
        <v>413.37678125000002</v>
      </c>
      <c r="I13">
        <v>411334.65625</v>
      </c>
      <c r="J13">
        <f t="shared" si="3"/>
        <v>411.33465625000002</v>
      </c>
      <c r="L13">
        <v>414089.4375</v>
      </c>
      <c r="M13">
        <f t="shared" si="4"/>
        <v>414.08943749999997</v>
      </c>
      <c r="O13">
        <v>414122.15625</v>
      </c>
      <c r="P13">
        <f t="shared" si="5"/>
        <v>414.12215624999999</v>
      </c>
      <c r="R13">
        <v>414125.03125</v>
      </c>
      <c r="S13">
        <f t="shared" si="6"/>
        <v>414.12503125000001</v>
      </c>
      <c r="U13">
        <f t="shared" si="7"/>
        <v>413.22686979166673</v>
      </c>
      <c r="V13">
        <v>30</v>
      </c>
      <c r="W13">
        <f>V13*(U13-W12)</f>
        <v>9996.8060937500013</v>
      </c>
    </row>
    <row r="15" spans="1:23" x14ac:dyDescent="0.25">
      <c r="A15" t="s">
        <v>16</v>
      </c>
    </row>
    <row r="17" spans="1:21" x14ac:dyDescent="0.25">
      <c r="A17">
        <v>1628164800</v>
      </c>
      <c r="B17" s="8">
        <f>A17/31557600-51.5934291581109</f>
        <v>0</v>
      </c>
      <c r="C17">
        <v>402813.03125</v>
      </c>
      <c r="D17">
        <f>C17/1000</f>
        <v>402.81303124999999</v>
      </c>
      <c r="F17">
        <v>402813.03125</v>
      </c>
      <c r="G17">
        <f>F17/1000</f>
        <v>402.81303124999999</v>
      </c>
      <c r="I17">
        <v>402813.03125</v>
      </c>
      <c r="J17">
        <f>I17/1000</f>
        <v>402.81303124999999</v>
      </c>
      <c r="L17">
        <v>402813.03125</v>
      </c>
      <c r="M17">
        <f>L17/1000</f>
        <v>402.81303124999999</v>
      </c>
      <c r="O17">
        <v>402813.03125</v>
      </c>
      <c r="P17">
        <f>O17/1000</f>
        <v>402.81303124999999</v>
      </c>
      <c r="R17">
        <v>402813.03125</v>
      </c>
      <c r="S17">
        <f>R17/1000</f>
        <v>402.81303124999999</v>
      </c>
      <c r="U17">
        <f>AVERAGE(D17,G17,J17,M17,P17,S17)</f>
        <v>402.81303124999999</v>
      </c>
    </row>
    <row r="18" spans="1:21" x14ac:dyDescent="0.25">
      <c r="A18">
        <v>1659700800</v>
      </c>
      <c r="B18" s="8">
        <f t="shared" ref="B18:B27" si="8">A18/31557600-51.5934291581109</f>
        <v>0.99931553730319678</v>
      </c>
      <c r="C18">
        <v>412156.0625</v>
      </c>
      <c r="D18">
        <f t="shared" ref="D18:D27" si="9">C18/1000</f>
        <v>412.15606250000002</v>
      </c>
      <c r="F18">
        <v>412741.75</v>
      </c>
      <c r="G18">
        <f t="shared" ref="G18:G27" si="10">F18/1000</f>
        <v>412.74175000000002</v>
      </c>
      <c r="I18">
        <v>411646.65625</v>
      </c>
      <c r="J18">
        <f t="shared" ref="J18:J27" si="11">I18/1000</f>
        <v>411.64665624999998</v>
      </c>
      <c r="L18">
        <v>413418.53125</v>
      </c>
      <c r="M18">
        <f t="shared" ref="M18:M27" si="12">L18/1000</f>
        <v>413.41853125</v>
      </c>
      <c r="O18">
        <v>413446.25</v>
      </c>
      <c r="P18">
        <f t="shared" ref="P18:P27" si="13">O18/1000</f>
        <v>413.44625000000002</v>
      </c>
      <c r="R18">
        <v>413443.84375</v>
      </c>
      <c r="S18">
        <f t="shared" ref="S18:S27" si="14">R18/1000</f>
        <v>413.44384374999998</v>
      </c>
      <c r="U18">
        <f t="shared" ref="U18:U27" si="15">AVERAGE(D18,G18,J18,M18,P18,S18)</f>
        <v>412.80884895833333</v>
      </c>
    </row>
    <row r="19" spans="1:21" x14ac:dyDescent="0.25">
      <c r="A19">
        <v>1691236800</v>
      </c>
      <c r="B19" s="8">
        <f t="shared" si="8"/>
        <v>1.9986310746064149</v>
      </c>
      <c r="C19">
        <v>412422.0625</v>
      </c>
      <c r="D19">
        <f t="shared" si="9"/>
        <v>412.42206249999998</v>
      </c>
      <c r="F19">
        <v>412987.21875</v>
      </c>
      <c r="G19">
        <f t="shared" si="10"/>
        <v>412.98721875000001</v>
      </c>
      <c r="I19">
        <v>411637.03125</v>
      </c>
      <c r="J19">
        <f t="shared" si="11"/>
        <v>411.63703125000001</v>
      </c>
      <c r="L19">
        <v>413919.125</v>
      </c>
      <c r="M19">
        <f t="shared" si="12"/>
        <v>413.91912500000001</v>
      </c>
      <c r="O19">
        <v>413981.28125</v>
      </c>
      <c r="P19">
        <f t="shared" si="13"/>
        <v>413.98128124999999</v>
      </c>
      <c r="R19">
        <v>413982.625</v>
      </c>
      <c r="S19">
        <f t="shared" si="14"/>
        <v>413.98262499999998</v>
      </c>
      <c r="U19">
        <f t="shared" si="15"/>
        <v>413.15489062500001</v>
      </c>
    </row>
    <row r="20" spans="1:21" x14ac:dyDescent="0.25">
      <c r="A20">
        <v>1722859200</v>
      </c>
      <c r="B20" s="8">
        <f t="shared" si="8"/>
        <v>3.0006844626967677</v>
      </c>
      <c r="C20">
        <v>412752.25</v>
      </c>
      <c r="D20">
        <f t="shared" si="9"/>
        <v>412.75225</v>
      </c>
      <c r="F20">
        <v>412914.84375</v>
      </c>
      <c r="G20">
        <f t="shared" si="10"/>
        <v>412.91484374999999</v>
      </c>
      <c r="I20">
        <v>411680.75</v>
      </c>
      <c r="J20">
        <f t="shared" si="11"/>
        <v>411.68074999999999</v>
      </c>
      <c r="L20">
        <v>414312.4375</v>
      </c>
      <c r="M20">
        <f t="shared" si="12"/>
        <v>414.31243749999999</v>
      </c>
      <c r="O20">
        <v>414403.09375</v>
      </c>
      <c r="P20">
        <f t="shared" si="13"/>
        <v>414.40309374999998</v>
      </c>
      <c r="R20">
        <v>414408.25</v>
      </c>
      <c r="S20">
        <f t="shared" si="14"/>
        <v>414.40825000000001</v>
      </c>
      <c r="U20">
        <f t="shared" si="15"/>
        <v>413.41193750000002</v>
      </c>
    </row>
    <row r="21" spans="1:21" x14ac:dyDescent="0.25">
      <c r="A21">
        <v>1754395200</v>
      </c>
      <c r="B21" s="8">
        <f t="shared" si="8"/>
        <v>3.9999999999999787</v>
      </c>
      <c r="C21">
        <v>413085.59375</v>
      </c>
      <c r="D21">
        <f t="shared" si="9"/>
        <v>413.08559374999999</v>
      </c>
      <c r="F21">
        <v>412569.09375</v>
      </c>
      <c r="G21">
        <f t="shared" si="10"/>
        <v>412.56909374999998</v>
      </c>
      <c r="I21">
        <v>411763.53125</v>
      </c>
      <c r="J21">
        <f t="shared" si="11"/>
        <v>411.76353125000003</v>
      </c>
      <c r="L21">
        <v>414644.78125</v>
      </c>
      <c r="M21">
        <f t="shared" si="12"/>
        <v>414.64478124999999</v>
      </c>
      <c r="O21">
        <v>414760</v>
      </c>
      <c r="P21">
        <f t="shared" si="13"/>
        <v>414.76</v>
      </c>
      <c r="R21">
        <v>414769.03125</v>
      </c>
      <c r="S21">
        <f t="shared" si="14"/>
        <v>414.76903125000001</v>
      </c>
      <c r="U21">
        <f t="shared" si="15"/>
        <v>413.59867187500004</v>
      </c>
    </row>
    <row r="22" spans="1:21" x14ac:dyDescent="0.25">
      <c r="A22">
        <v>1785931200</v>
      </c>
      <c r="B22" s="8">
        <f t="shared" si="8"/>
        <v>4.9993155373031968</v>
      </c>
      <c r="C22">
        <v>413409.6875</v>
      </c>
      <c r="D22">
        <f t="shared" si="9"/>
        <v>413.40968750000002</v>
      </c>
      <c r="F22">
        <v>411973.875</v>
      </c>
      <c r="G22">
        <f t="shared" si="10"/>
        <v>411.97387500000002</v>
      </c>
      <c r="I22">
        <v>411879.03125</v>
      </c>
      <c r="J22">
        <f t="shared" si="11"/>
        <v>411.87903125000003</v>
      </c>
      <c r="L22">
        <v>414936.625</v>
      </c>
      <c r="M22">
        <f t="shared" si="12"/>
        <v>414.93662499999999</v>
      </c>
      <c r="O22">
        <v>415073.0625</v>
      </c>
      <c r="P22">
        <f t="shared" si="13"/>
        <v>415.07306249999999</v>
      </c>
      <c r="R22">
        <v>415086.0625</v>
      </c>
      <c r="S22">
        <f t="shared" si="14"/>
        <v>415.08606250000003</v>
      </c>
      <c r="U22">
        <f t="shared" si="15"/>
        <v>413.72639062500002</v>
      </c>
    </row>
    <row r="23" spans="1:21" x14ac:dyDescent="0.25">
      <c r="A23">
        <v>1817467200</v>
      </c>
      <c r="B23" s="8">
        <f t="shared" si="8"/>
        <v>5.9986310746064149</v>
      </c>
      <c r="C23">
        <v>413719.90625</v>
      </c>
      <c r="D23">
        <f t="shared" si="9"/>
        <v>413.71990625000001</v>
      </c>
      <c r="F23">
        <v>411162.40625</v>
      </c>
      <c r="G23">
        <f t="shared" si="10"/>
        <v>411.16240625</v>
      </c>
      <c r="I23">
        <v>412019.53125</v>
      </c>
      <c r="J23">
        <f t="shared" si="11"/>
        <v>412.01953125</v>
      </c>
      <c r="L23">
        <v>415200.875</v>
      </c>
      <c r="M23">
        <f t="shared" si="12"/>
        <v>415.200875</v>
      </c>
      <c r="O23">
        <v>415355.6875</v>
      </c>
      <c r="P23">
        <f t="shared" si="13"/>
        <v>415.35568749999999</v>
      </c>
      <c r="R23">
        <v>415372.71875</v>
      </c>
      <c r="S23">
        <f t="shared" si="14"/>
        <v>415.37271874999999</v>
      </c>
      <c r="U23">
        <f t="shared" si="15"/>
        <v>413.80518749999993</v>
      </c>
    </row>
    <row r="24" spans="1:21" x14ac:dyDescent="0.25">
      <c r="A24">
        <v>1849089600</v>
      </c>
      <c r="B24" s="8">
        <f t="shared" si="8"/>
        <v>7.0006844626967677</v>
      </c>
      <c r="C24">
        <v>414016.59375</v>
      </c>
      <c r="D24">
        <f t="shared" si="9"/>
        <v>414.01659375000003</v>
      </c>
      <c r="F24">
        <v>410165.53125</v>
      </c>
      <c r="G24">
        <f t="shared" si="10"/>
        <v>410.16553125000002</v>
      </c>
      <c r="I24">
        <v>412178.40625</v>
      </c>
      <c r="J24">
        <f t="shared" si="11"/>
        <v>412.17840625000002</v>
      </c>
      <c r="L24">
        <v>415446.6875</v>
      </c>
      <c r="M24">
        <f t="shared" si="12"/>
        <v>415.4466875</v>
      </c>
      <c r="O24">
        <v>415617.34375</v>
      </c>
      <c r="P24">
        <f t="shared" si="13"/>
        <v>415.61734374999997</v>
      </c>
      <c r="R24">
        <v>415638.5</v>
      </c>
      <c r="S24">
        <f t="shared" si="14"/>
        <v>415.63850000000002</v>
      </c>
      <c r="U24">
        <f t="shared" si="15"/>
        <v>413.84384375000008</v>
      </c>
    </row>
    <row r="25" spans="1:21" x14ac:dyDescent="0.25">
      <c r="A25">
        <v>1880625600</v>
      </c>
      <c r="B25" s="8">
        <f t="shared" si="8"/>
        <v>7.9999999999999787</v>
      </c>
      <c r="C25">
        <v>414299.40625</v>
      </c>
      <c r="D25">
        <f t="shared" si="9"/>
        <v>414.29940625</v>
      </c>
      <c r="F25">
        <v>409020.78125</v>
      </c>
      <c r="G25">
        <f t="shared" si="10"/>
        <v>409.02078125000003</v>
      </c>
      <c r="I25">
        <v>412349.15625</v>
      </c>
      <c r="J25">
        <f t="shared" si="11"/>
        <v>412.34915625000002</v>
      </c>
      <c r="L25">
        <v>415678.34375</v>
      </c>
      <c r="M25">
        <f t="shared" si="12"/>
        <v>415.67834375000001</v>
      </c>
      <c r="O25">
        <v>415862.5625</v>
      </c>
      <c r="P25">
        <f t="shared" si="13"/>
        <v>415.86256250000002</v>
      </c>
      <c r="R25">
        <v>415887.9375</v>
      </c>
      <c r="S25">
        <f t="shared" si="14"/>
        <v>415.88793750000002</v>
      </c>
      <c r="U25">
        <f t="shared" si="15"/>
        <v>413.84969791666668</v>
      </c>
    </row>
    <row r="26" spans="1:21" x14ac:dyDescent="0.25">
      <c r="A26">
        <v>1912161600</v>
      </c>
      <c r="B26" s="8">
        <f t="shared" si="8"/>
        <v>8.9993155373031968</v>
      </c>
      <c r="C26">
        <v>414571.0625</v>
      </c>
      <c r="D26">
        <f t="shared" si="9"/>
        <v>414.57106249999998</v>
      </c>
      <c r="F26">
        <v>407755.78125</v>
      </c>
      <c r="G26">
        <f t="shared" si="10"/>
        <v>407.75578124999998</v>
      </c>
      <c r="I26">
        <v>412528.25</v>
      </c>
      <c r="J26">
        <f t="shared" si="11"/>
        <v>412.52825000000001</v>
      </c>
      <c r="L26">
        <v>415900.28125</v>
      </c>
      <c r="M26">
        <f t="shared" si="12"/>
        <v>415.90028124999998</v>
      </c>
      <c r="O26">
        <v>416095.9375</v>
      </c>
      <c r="P26">
        <f t="shared" si="13"/>
        <v>416.09593749999999</v>
      </c>
      <c r="R26">
        <v>416125.625</v>
      </c>
      <c r="S26">
        <f t="shared" si="14"/>
        <v>416.12562500000001</v>
      </c>
      <c r="U26">
        <f t="shared" si="15"/>
        <v>413.82948958333333</v>
      </c>
    </row>
    <row r="27" spans="1:21" x14ac:dyDescent="0.25">
      <c r="A27">
        <v>1943697600</v>
      </c>
      <c r="B27" s="8">
        <f t="shared" si="8"/>
        <v>9.9986310746064149</v>
      </c>
      <c r="C27">
        <v>414833.4375</v>
      </c>
      <c r="D27">
        <f t="shared" si="9"/>
        <v>414.8334375</v>
      </c>
      <c r="F27">
        <v>406394.46875</v>
      </c>
      <c r="G27">
        <f t="shared" si="10"/>
        <v>406.39446874999999</v>
      </c>
      <c r="I27">
        <v>412712.96875</v>
      </c>
      <c r="J27">
        <f t="shared" si="11"/>
        <v>412.71296875000002</v>
      </c>
      <c r="L27">
        <v>416114.9375</v>
      </c>
      <c r="M27">
        <f t="shared" si="12"/>
        <v>416.1149375</v>
      </c>
      <c r="O27">
        <v>416320.15625</v>
      </c>
      <c r="P27">
        <f t="shared" si="13"/>
        <v>416.32015625000003</v>
      </c>
      <c r="R27">
        <v>416354.28125</v>
      </c>
      <c r="S27">
        <f t="shared" si="14"/>
        <v>416.35428124999999</v>
      </c>
      <c r="U27">
        <f t="shared" si="15"/>
        <v>413.78837500000003</v>
      </c>
    </row>
    <row r="30" spans="1:21" x14ac:dyDescent="0.25">
      <c r="A30" t="s">
        <v>36</v>
      </c>
    </row>
    <row r="32" spans="1:21" x14ac:dyDescent="0.25">
      <c r="A32">
        <v>1628164800</v>
      </c>
      <c r="B32" s="8">
        <f>A32/31557600-51.5934291581109</f>
        <v>0</v>
      </c>
      <c r="C32">
        <v>402813.03125</v>
      </c>
      <c r="D32">
        <f>C32/1000</f>
        <v>402.81303124999999</v>
      </c>
      <c r="F32">
        <v>402813.03125</v>
      </c>
      <c r="G32">
        <f>F32/1000</f>
        <v>402.81303124999999</v>
      </c>
      <c r="I32">
        <v>402813.03125</v>
      </c>
      <c r="J32">
        <f>I32/1000</f>
        <v>402.81303124999999</v>
      </c>
      <c r="L32">
        <v>402813.03125</v>
      </c>
      <c r="M32">
        <f>L32/1000</f>
        <v>402.81303124999999</v>
      </c>
      <c r="O32">
        <v>402813.03125</v>
      </c>
      <c r="P32">
        <f>O32/1000</f>
        <v>402.81303124999999</v>
      </c>
      <c r="R32">
        <v>402813.03125</v>
      </c>
      <c r="S32">
        <f>R32/1000</f>
        <v>402.81303124999999</v>
      </c>
      <c r="U32">
        <f>AVERAGE(D32,G32,J32,M32,P32,S32)</f>
        <v>402.81303124999999</v>
      </c>
    </row>
    <row r="33" spans="1:23" x14ac:dyDescent="0.25">
      <c r="A33">
        <v>1659700800</v>
      </c>
      <c r="B33" s="8">
        <f t="shared" ref="B33:B42" si="16">A33/31557600-51.5934291581109</f>
        <v>0.99931553730319678</v>
      </c>
      <c r="C33">
        <v>414118.4375</v>
      </c>
      <c r="D33">
        <f t="shared" ref="D33:D42" si="17">C33/1000</f>
        <v>414.11843750000003</v>
      </c>
      <c r="F33">
        <v>414990</v>
      </c>
      <c r="G33">
        <f t="shared" ref="G33:G42" si="18">F33/1000</f>
        <v>414.99</v>
      </c>
      <c r="I33">
        <v>412458.3125</v>
      </c>
      <c r="J33">
        <f t="shared" ref="J33:J42" si="19">I33/1000</f>
        <v>412.45831249999998</v>
      </c>
      <c r="L33">
        <v>415628.25</v>
      </c>
      <c r="M33">
        <f t="shared" ref="M33:M42" si="20">L33/1000</f>
        <v>415.62824999999998</v>
      </c>
      <c r="O33">
        <v>415569.34375</v>
      </c>
      <c r="P33">
        <f t="shared" ref="P33:P42" si="21">O33/1000</f>
        <v>415.56934374999997</v>
      </c>
      <c r="R33">
        <v>415873.28125</v>
      </c>
      <c r="S33">
        <f t="shared" ref="S33:S42" si="22">R33/1000</f>
        <v>415.87328124999999</v>
      </c>
      <c r="U33">
        <f t="shared" ref="U33:U42" si="23">AVERAGE(D33,G33,J33,M33,P33,S33)</f>
        <v>414.77293750000007</v>
      </c>
    </row>
    <row r="34" spans="1:23" x14ac:dyDescent="0.25">
      <c r="A34">
        <v>1691236800</v>
      </c>
      <c r="B34" s="8">
        <f t="shared" si="16"/>
        <v>1.9986310746064149</v>
      </c>
      <c r="C34">
        <v>415651</v>
      </c>
      <c r="D34">
        <f t="shared" si="17"/>
        <v>415.65100000000001</v>
      </c>
      <c r="F34">
        <v>415519.0625</v>
      </c>
      <c r="G34">
        <f t="shared" si="18"/>
        <v>415.51906250000002</v>
      </c>
      <c r="I34">
        <v>413674.625</v>
      </c>
      <c r="J34">
        <f t="shared" si="19"/>
        <v>413.67462499999999</v>
      </c>
      <c r="L34">
        <v>416844.28125</v>
      </c>
      <c r="M34">
        <f t="shared" si="20"/>
        <v>416.84428124999999</v>
      </c>
      <c r="O34">
        <v>416474</v>
      </c>
      <c r="P34">
        <f t="shared" si="21"/>
        <v>416.47399999999999</v>
      </c>
      <c r="R34">
        <v>417124.25</v>
      </c>
      <c r="S34">
        <f t="shared" si="22"/>
        <v>417.12425000000002</v>
      </c>
      <c r="U34">
        <f t="shared" si="23"/>
        <v>415.88120312499996</v>
      </c>
    </row>
    <row r="35" spans="1:23" x14ac:dyDescent="0.25">
      <c r="A35">
        <v>1722859200</v>
      </c>
      <c r="B35" s="8">
        <f t="shared" si="16"/>
        <v>3.0006844626967677</v>
      </c>
      <c r="C35">
        <v>416707.5625</v>
      </c>
      <c r="D35">
        <f t="shared" si="17"/>
        <v>416.70756249999999</v>
      </c>
      <c r="F35">
        <v>415319.28125</v>
      </c>
      <c r="G35">
        <f t="shared" si="18"/>
        <v>415.31928125000002</v>
      </c>
      <c r="I35">
        <v>414678.96875</v>
      </c>
      <c r="J35">
        <f t="shared" si="19"/>
        <v>414.67896875000002</v>
      </c>
      <c r="L35">
        <v>417650.21875</v>
      </c>
      <c r="M35">
        <f t="shared" si="20"/>
        <v>417.65021875000002</v>
      </c>
      <c r="O35">
        <v>416844.3125</v>
      </c>
      <c r="P35">
        <f t="shared" si="21"/>
        <v>416.8443125</v>
      </c>
      <c r="R35">
        <v>417983.6875</v>
      </c>
      <c r="S35">
        <f t="shared" si="22"/>
        <v>417.98368749999997</v>
      </c>
      <c r="U35">
        <f t="shared" si="23"/>
        <v>416.53067187500005</v>
      </c>
    </row>
    <row r="36" spans="1:23" x14ac:dyDescent="0.25">
      <c r="A36">
        <v>1754395200</v>
      </c>
      <c r="B36" s="8">
        <f t="shared" si="16"/>
        <v>3.9999999999999787</v>
      </c>
      <c r="C36">
        <v>417536.0625</v>
      </c>
      <c r="D36">
        <f t="shared" si="17"/>
        <v>417.53606250000001</v>
      </c>
      <c r="F36">
        <v>414805.28125</v>
      </c>
      <c r="G36">
        <f t="shared" si="18"/>
        <v>414.80528125000001</v>
      </c>
      <c r="I36">
        <v>415517.53125</v>
      </c>
      <c r="J36">
        <f t="shared" si="19"/>
        <v>415.51753124999999</v>
      </c>
      <c r="L36">
        <v>418259.5625</v>
      </c>
      <c r="M36">
        <f t="shared" si="20"/>
        <v>418.25956250000002</v>
      </c>
      <c r="O36">
        <v>416821.15625</v>
      </c>
      <c r="P36">
        <f t="shared" si="21"/>
        <v>416.82115625</v>
      </c>
      <c r="R36">
        <v>418662.96875</v>
      </c>
      <c r="S36">
        <f t="shared" si="22"/>
        <v>418.66296875</v>
      </c>
      <c r="U36">
        <f t="shared" si="23"/>
        <v>416.9337604166667</v>
      </c>
    </row>
    <row r="37" spans="1:23" x14ac:dyDescent="0.25">
      <c r="A37">
        <v>1785931200</v>
      </c>
      <c r="B37" s="8">
        <f t="shared" si="16"/>
        <v>4.9993155373031968</v>
      </c>
      <c r="C37">
        <v>418216.15625</v>
      </c>
      <c r="D37">
        <f t="shared" si="17"/>
        <v>418.21615624999998</v>
      </c>
      <c r="F37">
        <v>414098.21875</v>
      </c>
      <c r="G37">
        <f t="shared" si="18"/>
        <v>414.09821875</v>
      </c>
      <c r="I37">
        <v>416231.21875</v>
      </c>
      <c r="J37">
        <f t="shared" si="19"/>
        <v>416.23121874999998</v>
      </c>
      <c r="L37">
        <v>418728.875</v>
      </c>
      <c r="M37">
        <f t="shared" si="20"/>
        <v>418.72887500000002</v>
      </c>
      <c r="O37">
        <v>416409.46875</v>
      </c>
      <c r="P37">
        <f t="shared" si="21"/>
        <v>416.40946874999997</v>
      </c>
      <c r="R37">
        <v>419225.9375</v>
      </c>
      <c r="S37">
        <f t="shared" si="22"/>
        <v>419.22593749999999</v>
      </c>
      <c r="U37">
        <f t="shared" si="23"/>
        <v>417.1516458333333</v>
      </c>
    </row>
    <row r="38" spans="1:23" x14ac:dyDescent="0.25">
      <c r="A38">
        <v>1817467200</v>
      </c>
      <c r="B38" s="8">
        <f t="shared" si="16"/>
        <v>5.9986310746064149</v>
      </c>
      <c r="C38">
        <v>418795.8125</v>
      </c>
      <c r="D38">
        <f t="shared" si="17"/>
        <v>418.79581250000001</v>
      </c>
      <c r="F38">
        <v>413263.34375</v>
      </c>
      <c r="G38">
        <f t="shared" si="18"/>
        <v>413.26334374999999</v>
      </c>
      <c r="I38">
        <v>416852.875</v>
      </c>
      <c r="J38">
        <f t="shared" si="19"/>
        <v>416.85287499999998</v>
      </c>
      <c r="L38">
        <v>419086.53125</v>
      </c>
      <c r="M38">
        <f t="shared" si="20"/>
        <v>419.08653125000001</v>
      </c>
      <c r="O38">
        <v>415620.8125</v>
      </c>
      <c r="P38">
        <f t="shared" si="21"/>
        <v>415.6208125</v>
      </c>
      <c r="R38">
        <v>419710</v>
      </c>
      <c r="S38">
        <f t="shared" si="22"/>
        <v>419.71</v>
      </c>
      <c r="U38">
        <f t="shared" si="23"/>
        <v>417.22156249999995</v>
      </c>
    </row>
    <row r="39" spans="1:23" x14ac:dyDescent="0.25">
      <c r="A39">
        <v>1849089600</v>
      </c>
      <c r="B39" s="8">
        <f t="shared" si="16"/>
        <v>7.0006844626967677</v>
      </c>
      <c r="C39">
        <v>419306.84375</v>
      </c>
      <c r="D39">
        <f t="shared" si="17"/>
        <v>419.30684374999998</v>
      </c>
      <c r="F39">
        <v>412329.5</v>
      </c>
      <c r="G39">
        <f t="shared" si="18"/>
        <v>412.3295</v>
      </c>
      <c r="I39">
        <v>417408.625</v>
      </c>
      <c r="J39">
        <f t="shared" si="19"/>
        <v>417.40862499999997</v>
      </c>
      <c r="L39">
        <v>419347.875</v>
      </c>
      <c r="M39">
        <f t="shared" si="20"/>
        <v>419.34787499999999</v>
      </c>
      <c r="O39">
        <v>414476.65625</v>
      </c>
      <c r="P39">
        <f t="shared" si="21"/>
        <v>414.47665625000002</v>
      </c>
      <c r="R39">
        <v>420139.8125</v>
      </c>
      <c r="S39">
        <f t="shared" si="22"/>
        <v>420.13981250000001</v>
      </c>
      <c r="U39">
        <f t="shared" si="23"/>
        <v>417.16821874999999</v>
      </c>
    </row>
    <row r="40" spans="1:23" x14ac:dyDescent="0.25">
      <c r="A40">
        <v>1880625600</v>
      </c>
      <c r="B40" s="8">
        <f t="shared" si="16"/>
        <v>7.9999999999999787</v>
      </c>
      <c r="C40">
        <v>419766.53125</v>
      </c>
      <c r="D40">
        <f t="shared" si="17"/>
        <v>419.76653125000001</v>
      </c>
      <c r="F40">
        <v>411314.09375</v>
      </c>
      <c r="G40">
        <f t="shared" si="18"/>
        <v>411.31409374999998</v>
      </c>
      <c r="I40">
        <v>417913.5</v>
      </c>
      <c r="J40">
        <f t="shared" si="19"/>
        <v>417.9135</v>
      </c>
      <c r="L40">
        <v>419519.96875</v>
      </c>
      <c r="M40">
        <f t="shared" si="20"/>
        <v>419.51996874999998</v>
      </c>
      <c r="O40">
        <v>413021.0625</v>
      </c>
      <c r="P40">
        <f t="shared" si="21"/>
        <v>413.02106250000003</v>
      </c>
      <c r="R40">
        <v>420528.3125</v>
      </c>
      <c r="S40">
        <f t="shared" si="22"/>
        <v>420.52831250000003</v>
      </c>
      <c r="U40">
        <f t="shared" si="23"/>
        <v>417.01057812499999</v>
      </c>
      <c r="W40">
        <v>80</v>
      </c>
    </row>
    <row r="41" spans="1:23" x14ac:dyDescent="0.25">
      <c r="A41">
        <v>1912161600</v>
      </c>
      <c r="B41" s="8">
        <f t="shared" si="16"/>
        <v>8.9993155373031968</v>
      </c>
      <c r="C41">
        <v>420189.5625</v>
      </c>
      <c r="D41">
        <f t="shared" si="17"/>
        <v>420.18956250000002</v>
      </c>
      <c r="F41">
        <v>410216.375</v>
      </c>
      <c r="G41">
        <f t="shared" si="18"/>
        <v>410.21637500000003</v>
      </c>
      <c r="I41">
        <v>418381.5625</v>
      </c>
      <c r="J41">
        <f t="shared" si="19"/>
        <v>418.38156249999997</v>
      </c>
      <c r="L41">
        <v>419608.875</v>
      </c>
      <c r="M41">
        <f t="shared" si="20"/>
        <v>419.60887500000001</v>
      </c>
      <c r="O41">
        <v>411293.78125</v>
      </c>
      <c r="P41">
        <f t="shared" si="21"/>
        <v>411.29378124999999</v>
      </c>
      <c r="R41">
        <v>420886.5</v>
      </c>
      <c r="S41">
        <f t="shared" si="22"/>
        <v>420.88650000000001</v>
      </c>
      <c r="U41">
        <f t="shared" si="23"/>
        <v>416.76277604166665</v>
      </c>
    </row>
    <row r="42" spans="1:23" x14ac:dyDescent="0.25">
      <c r="A42">
        <v>1943697600</v>
      </c>
      <c r="B42" s="8">
        <f t="shared" si="16"/>
        <v>9.9986310746064149</v>
      </c>
      <c r="C42">
        <v>420584.875</v>
      </c>
      <c r="D42">
        <f t="shared" si="17"/>
        <v>420.58487500000001</v>
      </c>
      <c r="F42">
        <v>409033.96875</v>
      </c>
      <c r="G42">
        <f t="shared" si="18"/>
        <v>409.03396874999999</v>
      </c>
      <c r="I42">
        <v>418821.5625</v>
      </c>
      <c r="J42">
        <f t="shared" si="19"/>
        <v>418.82156250000003</v>
      </c>
      <c r="L42">
        <v>419619.03125</v>
      </c>
      <c r="M42">
        <f t="shared" si="20"/>
        <v>419.61903124999998</v>
      </c>
      <c r="O42">
        <v>409338.53125</v>
      </c>
      <c r="P42">
        <f t="shared" si="21"/>
        <v>409.33853125000002</v>
      </c>
      <c r="R42">
        <v>421220.75</v>
      </c>
      <c r="S42">
        <f t="shared" si="22"/>
        <v>421.22075000000001</v>
      </c>
      <c r="U42">
        <f t="shared" si="23"/>
        <v>416.43645312500001</v>
      </c>
    </row>
    <row r="43" spans="1:23" x14ac:dyDescent="0.25">
      <c r="U43">
        <f>AVERAGE(U32:U42)</f>
        <v>415.33480350378795</v>
      </c>
      <c r="V43">
        <v>900</v>
      </c>
      <c r="W43">
        <f>V43*(U43-W40)</f>
        <v>301801.32315340918</v>
      </c>
    </row>
    <row r="45" spans="1:23" x14ac:dyDescent="0.25">
      <c r="U45">
        <f>U43-W40</f>
        <v>335.33480350378795</v>
      </c>
    </row>
    <row r="46" spans="1:23" x14ac:dyDescent="0.25">
      <c r="A46" t="s">
        <v>37</v>
      </c>
    </row>
    <row r="48" spans="1:23" x14ac:dyDescent="0.25">
      <c r="A48">
        <v>1628164800</v>
      </c>
      <c r="B48" s="8">
        <f>A48/31557600-51.5934291581109</f>
        <v>0</v>
      </c>
      <c r="C48">
        <v>402813.03125</v>
      </c>
      <c r="D48">
        <f>C48/1000</f>
        <v>402.81303124999999</v>
      </c>
      <c r="F48">
        <v>402813.03125</v>
      </c>
      <c r="G48">
        <f>F48/1000</f>
        <v>402.81303124999999</v>
      </c>
      <c r="I48">
        <v>402813.03125</v>
      </c>
      <c r="J48">
        <f>I48/1000</f>
        <v>402.81303124999999</v>
      </c>
      <c r="L48">
        <v>402813.03125</v>
      </c>
      <c r="M48">
        <f>L48/1000</f>
        <v>402.81303124999999</v>
      </c>
      <c r="O48">
        <v>402813.03125</v>
      </c>
      <c r="P48">
        <f>O48/1000</f>
        <v>402.81303124999999</v>
      </c>
      <c r="R48">
        <v>402813.03125</v>
      </c>
      <c r="S48">
        <f>R48/1000</f>
        <v>402.81303124999999</v>
      </c>
      <c r="U48">
        <f>AVERAGE(D48,G48,J48,M48,P48,S48)</f>
        <v>402.81303124999999</v>
      </c>
    </row>
    <row r="49" spans="1:23" x14ac:dyDescent="0.25">
      <c r="A49">
        <v>1659700800</v>
      </c>
      <c r="B49" s="8">
        <f t="shared" ref="B49:B58" si="24">A49/31557600-51.5934291581109</f>
        <v>0.99931553730319678</v>
      </c>
      <c r="C49">
        <v>412203.625</v>
      </c>
      <c r="D49">
        <f t="shared" ref="D49:D58" si="25">C49/1000</f>
        <v>412.20362499999999</v>
      </c>
      <c r="F49">
        <v>412970.90625</v>
      </c>
      <c r="G49">
        <f t="shared" ref="G49:G58" si="26">F49/1000</f>
        <v>412.97090624999998</v>
      </c>
      <c r="I49">
        <v>411640.65625</v>
      </c>
      <c r="J49">
        <f t="shared" ref="J49:J58" si="27">I49/1000</f>
        <v>411.64065625000001</v>
      </c>
      <c r="L49">
        <v>413569.875</v>
      </c>
      <c r="M49">
        <f t="shared" ref="M49:M58" si="28">L49/1000</f>
        <v>413.56987500000002</v>
      </c>
      <c r="O49">
        <v>413570.875</v>
      </c>
      <c r="P49">
        <f t="shared" ref="P49:P58" si="29">O49/1000</f>
        <v>413.570875</v>
      </c>
      <c r="R49">
        <v>413611.6875</v>
      </c>
      <c r="S49">
        <f t="shared" ref="S49:S58" si="30">R49/1000</f>
        <v>413.61168750000002</v>
      </c>
      <c r="U49">
        <f t="shared" ref="U49:U58" si="31">AVERAGE(D49,G49,J49,M49,P49,S49)</f>
        <v>412.92793749999993</v>
      </c>
    </row>
    <row r="50" spans="1:23" x14ac:dyDescent="0.25">
      <c r="A50">
        <v>1691236800</v>
      </c>
      <c r="B50" s="8">
        <f t="shared" si="24"/>
        <v>1.9986310746064149</v>
      </c>
      <c r="C50">
        <v>412557.6875</v>
      </c>
      <c r="D50">
        <f t="shared" si="25"/>
        <v>412.55768749999999</v>
      </c>
      <c r="F50">
        <v>413526.375</v>
      </c>
      <c r="G50">
        <f t="shared" si="26"/>
        <v>413.52637499999997</v>
      </c>
      <c r="I50">
        <v>411661.875</v>
      </c>
      <c r="J50">
        <f t="shared" si="27"/>
        <v>411.66187500000001</v>
      </c>
      <c r="L50">
        <v>414142.28125</v>
      </c>
      <c r="M50">
        <f t="shared" si="28"/>
        <v>414.14228125</v>
      </c>
      <c r="O50">
        <v>414106.78125</v>
      </c>
      <c r="P50">
        <f t="shared" si="29"/>
        <v>414.10678124999998</v>
      </c>
      <c r="R50">
        <v>414182.46875</v>
      </c>
      <c r="S50">
        <f t="shared" si="30"/>
        <v>414.18246875</v>
      </c>
      <c r="U50">
        <f t="shared" si="31"/>
        <v>413.36291145833337</v>
      </c>
    </row>
    <row r="51" spans="1:23" x14ac:dyDescent="0.25">
      <c r="A51">
        <v>1722859200</v>
      </c>
      <c r="B51" s="8">
        <f t="shared" si="24"/>
        <v>3.0006844626967677</v>
      </c>
      <c r="C51">
        <v>412958</v>
      </c>
      <c r="D51">
        <f t="shared" si="25"/>
        <v>412.95800000000003</v>
      </c>
      <c r="F51">
        <v>413994.9375</v>
      </c>
      <c r="G51">
        <f t="shared" si="26"/>
        <v>413.99493749999999</v>
      </c>
      <c r="I51">
        <v>411745.96875</v>
      </c>
      <c r="J51">
        <f t="shared" si="27"/>
        <v>411.74596874999997</v>
      </c>
      <c r="L51">
        <v>414608.34375</v>
      </c>
      <c r="M51">
        <f t="shared" si="28"/>
        <v>414.60834375000002</v>
      </c>
      <c r="O51">
        <v>414542.40625</v>
      </c>
      <c r="P51">
        <f t="shared" si="29"/>
        <v>414.54240625</v>
      </c>
      <c r="R51">
        <v>414648.3125</v>
      </c>
      <c r="S51">
        <f t="shared" si="30"/>
        <v>414.64831249999997</v>
      </c>
      <c r="U51">
        <f t="shared" si="31"/>
        <v>413.74966145833332</v>
      </c>
    </row>
    <row r="52" spans="1:23" x14ac:dyDescent="0.25">
      <c r="A52">
        <v>1754395200</v>
      </c>
      <c r="B52" s="8">
        <f t="shared" si="24"/>
        <v>3.9999999999999787</v>
      </c>
      <c r="C52">
        <v>413349.875</v>
      </c>
      <c r="D52">
        <f t="shared" si="25"/>
        <v>413.349875</v>
      </c>
      <c r="F52">
        <v>414376.71875</v>
      </c>
      <c r="G52">
        <f t="shared" si="26"/>
        <v>414.37671875000001</v>
      </c>
      <c r="I52">
        <v>411881.03125</v>
      </c>
      <c r="J52">
        <f t="shared" si="27"/>
        <v>411.88103124999998</v>
      </c>
      <c r="L52">
        <v>414992.03125</v>
      </c>
      <c r="M52">
        <f t="shared" si="28"/>
        <v>414.99203125000003</v>
      </c>
      <c r="O52">
        <v>414900.90625</v>
      </c>
      <c r="P52">
        <f t="shared" si="29"/>
        <v>414.90090624999999</v>
      </c>
      <c r="R52">
        <v>415032.96875</v>
      </c>
      <c r="S52">
        <f t="shared" si="30"/>
        <v>415.03296875000001</v>
      </c>
      <c r="U52">
        <f t="shared" si="31"/>
        <v>414.08892187500004</v>
      </c>
    </row>
    <row r="53" spans="1:23" x14ac:dyDescent="0.25">
      <c r="A53">
        <v>1785931200</v>
      </c>
      <c r="B53" s="8">
        <f t="shared" si="24"/>
        <v>4.9993155373031968</v>
      </c>
      <c r="C53">
        <v>413720.15625</v>
      </c>
      <c r="D53">
        <f t="shared" si="25"/>
        <v>413.72015625</v>
      </c>
      <c r="F53">
        <v>414697.875</v>
      </c>
      <c r="G53">
        <f t="shared" si="26"/>
        <v>414.69787500000001</v>
      </c>
      <c r="I53">
        <v>412051.125</v>
      </c>
      <c r="J53">
        <f t="shared" si="27"/>
        <v>412.05112500000001</v>
      </c>
      <c r="L53">
        <v>415325.4375</v>
      </c>
      <c r="M53">
        <f t="shared" si="28"/>
        <v>415.32543750000002</v>
      </c>
      <c r="O53">
        <v>415213.03125</v>
      </c>
      <c r="P53">
        <f t="shared" si="29"/>
        <v>415.21303124999997</v>
      </c>
      <c r="R53">
        <v>415368.1875</v>
      </c>
      <c r="S53">
        <f t="shared" si="30"/>
        <v>415.36818749999998</v>
      </c>
      <c r="U53">
        <f t="shared" si="31"/>
        <v>414.39596874999989</v>
      </c>
    </row>
    <row r="54" spans="1:23" x14ac:dyDescent="0.25">
      <c r="A54">
        <v>1817467200</v>
      </c>
      <c r="B54" s="8">
        <f t="shared" si="24"/>
        <v>5.9986310746064149</v>
      </c>
      <c r="C54">
        <v>414066.8125</v>
      </c>
      <c r="D54">
        <f t="shared" si="25"/>
        <v>414.06681250000003</v>
      </c>
      <c r="F54">
        <v>414973.625</v>
      </c>
      <c r="G54">
        <f t="shared" si="26"/>
        <v>414.97362500000003</v>
      </c>
      <c r="I54">
        <v>412244.65625</v>
      </c>
      <c r="J54">
        <f t="shared" si="27"/>
        <v>412.24465624999999</v>
      </c>
      <c r="L54">
        <v>415624.5</v>
      </c>
      <c r="M54">
        <f t="shared" si="28"/>
        <v>415.62450000000001</v>
      </c>
      <c r="O54">
        <v>415494.09375</v>
      </c>
      <c r="P54">
        <f t="shared" si="29"/>
        <v>415.49409374999999</v>
      </c>
      <c r="R54">
        <v>415669.65625</v>
      </c>
      <c r="S54">
        <f t="shared" si="30"/>
        <v>415.66965625</v>
      </c>
      <c r="U54">
        <f t="shared" si="31"/>
        <v>414.67889062500007</v>
      </c>
    </row>
    <row r="55" spans="1:23" x14ac:dyDescent="0.25">
      <c r="A55">
        <v>1849089600</v>
      </c>
      <c r="B55" s="8">
        <f t="shared" si="24"/>
        <v>7.0006844626967677</v>
      </c>
      <c r="C55">
        <v>414392.8125</v>
      </c>
      <c r="D55">
        <f t="shared" si="25"/>
        <v>414.39281249999999</v>
      </c>
      <c r="F55">
        <v>415215.46875</v>
      </c>
      <c r="G55">
        <f t="shared" si="26"/>
        <v>415.21546875000001</v>
      </c>
      <c r="I55">
        <v>412453</v>
      </c>
      <c r="J55">
        <f t="shared" si="27"/>
        <v>412.45299999999997</v>
      </c>
      <c r="L55">
        <v>415900.15625</v>
      </c>
      <c r="M55">
        <f t="shared" si="28"/>
        <v>415.90015625000001</v>
      </c>
      <c r="O55">
        <v>415754.46875</v>
      </c>
      <c r="P55">
        <f t="shared" si="29"/>
        <v>415.75446875</v>
      </c>
      <c r="R55">
        <v>415948.1875</v>
      </c>
      <c r="S55">
        <f t="shared" si="30"/>
        <v>415.94818750000002</v>
      </c>
      <c r="U55">
        <f t="shared" si="31"/>
        <v>414.94401562500002</v>
      </c>
    </row>
    <row r="56" spans="1:23" x14ac:dyDescent="0.25">
      <c r="A56">
        <v>1880625600</v>
      </c>
      <c r="B56" s="8">
        <f t="shared" si="24"/>
        <v>7.9999999999999787</v>
      </c>
      <c r="C56">
        <v>414699.65625</v>
      </c>
      <c r="D56">
        <f t="shared" si="25"/>
        <v>414.69965624999998</v>
      </c>
      <c r="F56">
        <v>415429.8125</v>
      </c>
      <c r="G56">
        <f t="shared" si="26"/>
        <v>415.42981250000003</v>
      </c>
      <c r="I56">
        <v>412668.6875</v>
      </c>
      <c r="J56">
        <f t="shared" si="27"/>
        <v>412.66868749999998</v>
      </c>
      <c r="L56">
        <v>416157.71875</v>
      </c>
      <c r="M56">
        <f t="shared" si="28"/>
        <v>416.15771875000002</v>
      </c>
      <c r="O56">
        <v>415999.0625</v>
      </c>
      <c r="P56">
        <f t="shared" si="29"/>
        <v>415.99906249999998</v>
      </c>
      <c r="R56">
        <v>416208.9375</v>
      </c>
      <c r="S56">
        <f t="shared" si="30"/>
        <v>416.20893749999999</v>
      </c>
      <c r="U56">
        <f t="shared" si="31"/>
        <v>415.19397916666662</v>
      </c>
      <c r="W56">
        <v>80</v>
      </c>
    </row>
    <row r="57" spans="1:23" x14ac:dyDescent="0.25">
      <c r="A57">
        <v>1912161600</v>
      </c>
      <c r="B57" s="8">
        <f t="shared" si="24"/>
        <v>8.9993155373031968</v>
      </c>
      <c r="C57">
        <v>414991.625</v>
      </c>
      <c r="D57">
        <f t="shared" si="25"/>
        <v>414.991625</v>
      </c>
      <c r="F57">
        <v>415622.40625</v>
      </c>
      <c r="G57">
        <f t="shared" si="26"/>
        <v>415.62240624999998</v>
      </c>
      <c r="I57">
        <v>412888.28125</v>
      </c>
      <c r="J57">
        <f t="shared" si="27"/>
        <v>412.88828124999998</v>
      </c>
      <c r="L57">
        <v>416402.34375</v>
      </c>
      <c r="M57">
        <f t="shared" si="28"/>
        <v>416.40234375</v>
      </c>
      <c r="O57">
        <v>416232.6875</v>
      </c>
      <c r="P57">
        <f t="shared" si="29"/>
        <v>416.2326875</v>
      </c>
      <c r="R57">
        <v>416456.96875</v>
      </c>
      <c r="S57">
        <f t="shared" si="30"/>
        <v>416.45696874999999</v>
      </c>
      <c r="U57">
        <f t="shared" si="31"/>
        <v>415.43238541666659</v>
      </c>
    </row>
    <row r="58" spans="1:23" x14ac:dyDescent="0.25">
      <c r="A58">
        <v>1943697600</v>
      </c>
      <c r="B58" s="8">
        <f t="shared" si="24"/>
        <v>9.9986310746064149</v>
      </c>
      <c r="C58">
        <v>415271.5625</v>
      </c>
      <c r="D58">
        <f t="shared" si="25"/>
        <v>415.27156250000002</v>
      </c>
      <c r="F58">
        <v>415796.9375</v>
      </c>
      <c r="G58">
        <f t="shared" si="26"/>
        <v>415.79693750000001</v>
      </c>
      <c r="I58">
        <v>413109.5</v>
      </c>
      <c r="J58">
        <f t="shared" si="27"/>
        <v>413.10950000000003</v>
      </c>
      <c r="L58">
        <v>416637.03125</v>
      </c>
      <c r="M58">
        <f t="shared" si="28"/>
        <v>416.63703125000001</v>
      </c>
      <c r="O58">
        <v>416458</v>
      </c>
      <c r="P58">
        <f t="shared" si="29"/>
        <v>416.45800000000003</v>
      </c>
      <c r="R58">
        <v>416695.21875</v>
      </c>
      <c r="S58">
        <f t="shared" si="30"/>
        <v>416.69521874999998</v>
      </c>
      <c r="U58">
        <f t="shared" si="31"/>
        <v>415.66137500000008</v>
      </c>
    </row>
    <row r="59" spans="1:23" x14ac:dyDescent="0.25">
      <c r="U59">
        <f>AVERAGE(U48:U58)</f>
        <v>413.38627982954546</v>
      </c>
      <c r="V59">
        <v>180</v>
      </c>
      <c r="W59">
        <f>V59*(U59-W56)</f>
        <v>60009.530369318185</v>
      </c>
    </row>
    <row r="61" spans="1:23" x14ac:dyDescent="0.25">
      <c r="A61" t="s">
        <v>38</v>
      </c>
      <c r="U61">
        <f>U59-W56</f>
        <v>333.38627982954546</v>
      </c>
    </row>
    <row r="63" spans="1:23" x14ac:dyDescent="0.25">
      <c r="A63">
        <v>1628164800</v>
      </c>
      <c r="B63" s="8">
        <f>A63/31557600-51.5934291581109</f>
        <v>0</v>
      </c>
      <c r="C63">
        <v>402813.03125</v>
      </c>
      <c r="D63">
        <f>C63/1000</f>
        <v>402.81303124999999</v>
      </c>
      <c r="F63">
        <v>402813.03125</v>
      </c>
      <c r="G63">
        <f>F63/1000</f>
        <v>402.81303124999999</v>
      </c>
      <c r="I63">
        <v>402813.03125</v>
      </c>
      <c r="J63">
        <f>I63/1000</f>
        <v>402.81303124999999</v>
      </c>
      <c r="L63">
        <v>402813.03125</v>
      </c>
      <c r="M63">
        <f>L63/1000</f>
        <v>402.81303124999999</v>
      </c>
      <c r="O63">
        <v>402813.03125</v>
      </c>
      <c r="P63">
        <f>O63/1000</f>
        <v>402.81303124999999</v>
      </c>
      <c r="R63">
        <v>402813.03125</v>
      </c>
      <c r="S63">
        <f>R63/1000</f>
        <v>402.81303124999999</v>
      </c>
      <c r="U63">
        <f>AVERAGE(D63,G63,J63,M63,P63,S63)</f>
        <v>402.81303124999999</v>
      </c>
    </row>
    <row r="64" spans="1:23" x14ac:dyDescent="0.25">
      <c r="A64">
        <v>1659700800</v>
      </c>
      <c r="B64" s="8">
        <f t="shared" ref="B64:B73" si="32">A64/31557600-51.5934291581109</f>
        <v>0.99931553730319678</v>
      </c>
      <c r="C64">
        <v>412029.4375</v>
      </c>
      <c r="D64">
        <f t="shared" ref="D64:D73" si="33">C64/1000</f>
        <v>412.02943749999997</v>
      </c>
      <c r="F64">
        <v>412558.5</v>
      </c>
      <c r="G64">
        <f t="shared" ref="G64:G73" si="34">F64/1000</f>
        <v>412.55849999999998</v>
      </c>
      <c r="I64">
        <v>411575.40625</v>
      </c>
      <c r="J64">
        <f t="shared" ref="J64:J73" si="35">I64/1000</f>
        <v>411.57540625000001</v>
      </c>
      <c r="L64">
        <v>413113.3125</v>
      </c>
      <c r="M64">
        <f t="shared" ref="M64:M73" si="36">L64/1000</f>
        <v>413.11331250000001</v>
      </c>
      <c r="O64">
        <v>413123.8125</v>
      </c>
      <c r="P64">
        <f t="shared" ref="P64:P73" si="37">O64/1000</f>
        <v>413.12381249999999</v>
      </c>
      <c r="R64">
        <v>413133.0625</v>
      </c>
      <c r="S64">
        <f t="shared" ref="S64:S73" si="38">R64/1000</f>
        <v>413.13306249999999</v>
      </c>
      <c r="U64">
        <f t="shared" ref="U64:U73" si="39">AVERAGE(D64,G64,J64,M64,P64,S64)</f>
        <v>412.58892187500004</v>
      </c>
    </row>
    <row r="65" spans="1:23" x14ac:dyDescent="0.25">
      <c r="A65">
        <v>1691236800</v>
      </c>
      <c r="B65" s="8">
        <f t="shared" si="32"/>
        <v>1.9986310746064149</v>
      </c>
      <c r="C65">
        <v>412114.71875</v>
      </c>
      <c r="D65">
        <f t="shared" si="33"/>
        <v>412.11471875000001</v>
      </c>
      <c r="F65">
        <v>412861.28125</v>
      </c>
      <c r="G65">
        <f t="shared" si="34"/>
        <v>412.86128124999999</v>
      </c>
      <c r="I65">
        <v>411537.84375</v>
      </c>
      <c r="J65">
        <f t="shared" si="35"/>
        <v>411.53784374999998</v>
      </c>
      <c r="L65">
        <v>413480.3125</v>
      </c>
      <c r="M65">
        <f t="shared" si="36"/>
        <v>413.48031250000003</v>
      </c>
      <c r="O65">
        <v>413484.125</v>
      </c>
      <c r="P65">
        <f t="shared" si="37"/>
        <v>413.48412500000001</v>
      </c>
      <c r="R65">
        <v>413501.28125</v>
      </c>
      <c r="S65">
        <f t="shared" si="38"/>
        <v>413.50128124999998</v>
      </c>
      <c r="U65">
        <f t="shared" si="39"/>
        <v>412.82992708333336</v>
      </c>
    </row>
    <row r="66" spans="1:23" x14ac:dyDescent="0.25">
      <c r="A66">
        <v>1722859200</v>
      </c>
      <c r="B66" s="8">
        <f t="shared" si="32"/>
        <v>3.0006844626967677</v>
      </c>
      <c r="C66">
        <v>412270.6875</v>
      </c>
      <c r="D66">
        <f t="shared" si="33"/>
        <v>412.27068750000001</v>
      </c>
      <c r="F66">
        <v>413167</v>
      </c>
      <c r="G66">
        <f t="shared" si="34"/>
        <v>413.16699999999997</v>
      </c>
      <c r="I66">
        <v>411525.21875</v>
      </c>
      <c r="J66">
        <f t="shared" si="35"/>
        <v>411.52521875000002</v>
      </c>
      <c r="L66">
        <v>413807.59375</v>
      </c>
      <c r="M66">
        <f t="shared" si="36"/>
        <v>413.80759375000002</v>
      </c>
      <c r="O66">
        <v>413805.96875</v>
      </c>
      <c r="P66">
        <f t="shared" si="37"/>
        <v>413.80596874999998</v>
      </c>
      <c r="R66">
        <v>413829.71875</v>
      </c>
      <c r="S66">
        <f t="shared" si="38"/>
        <v>413.82971874999998</v>
      </c>
      <c r="U66">
        <f t="shared" si="39"/>
        <v>413.06769791666665</v>
      </c>
    </row>
    <row r="67" spans="1:23" x14ac:dyDescent="0.25">
      <c r="A67">
        <v>1754395200</v>
      </c>
      <c r="B67" s="8">
        <f t="shared" si="32"/>
        <v>3.9999999999999787</v>
      </c>
      <c r="C67">
        <v>412455.75</v>
      </c>
      <c r="D67">
        <f t="shared" si="33"/>
        <v>412.45575000000002</v>
      </c>
      <c r="F67">
        <v>413452.0625</v>
      </c>
      <c r="G67">
        <f t="shared" si="34"/>
        <v>413.45206250000001</v>
      </c>
      <c r="I67">
        <v>411530.375</v>
      </c>
      <c r="J67">
        <f t="shared" si="35"/>
        <v>411.53037499999999</v>
      </c>
      <c r="L67">
        <v>414095.875</v>
      </c>
      <c r="M67">
        <f t="shared" si="36"/>
        <v>414.09587499999998</v>
      </c>
      <c r="O67">
        <v>414089.8125</v>
      </c>
      <c r="P67">
        <f t="shared" si="37"/>
        <v>414.08981249999999</v>
      </c>
      <c r="R67">
        <v>414119.125</v>
      </c>
      <c r="S67">
        <f t="shared" si="38"/>
        <v>414.119125</v>
      </c>
      <c r="U67">
        <f t="shared" si="39"/>
        <v>413.29050000000007</v>
      </c>
    </row>
    <row r="68" spans="1:23" x14ac:dyDescent="0.25">
      <c r="A68">
        <v>1785931200</v>
      </c>
      <c r="B68" s="8">
        <f t="shared" si="32"/>
        <v>4.9993155373031968</v>
      </c>
      <c r="C68">
        <v>412655.96875</v>
      </c>
      <c r="D68">
        <f t="shared" si="33"/>
        <v>412.65596875</v>
      </c>
      <c r="F68">
        <v>413716.1875</v>
      </c>
      <c r="G68">
        <f t="shared" si="34"/>
        <v>413.71618749999999</v>
      </c>
      <c r="I68">
        <v>411554.03125</v>
      </c>
      <c r="J68">
        <f t="shared" si="35"/>
        <v>411.55403124999998</v>
      </c>
      <c r="L68">
        <v>414355.46875</v>
      </c>
      <c r="M68">
        <f t="shared" si="36"/>
        <v>414.35546875</v>
      </c>
      <c r="O68">
        <v>414345.6875</v>
      </c>
      <c r="P68">
        <f t="shared" si="37"/>
        <v>414.3456875</v>
      </c>
      <c r="R68">
        <v>414379.8125</v>
      </c>
      <c r="S68">
        <f t="shared" si="38"/>
        <v>414.37981250000001</v>
      </c>
      <c r="U68">
        <f t="shared" si="39"/>
        <v>413.50119270833329</v>
      </c>
    </row>
    <row r="69" spans="1:23" x14ac:dyDescent="0.25">
      <c r="A69">
        <v>1817467200</v>
      </c>
      <c r="B69" s="8">
        <f t="shared" si="32"/>
        <v>5.9986310746064149</v>
      </c>
      <c r="C69">
        <v>412863.375</v>
      </c>
      <c r="D69">
        <f t="shared" si="33"/>
        <v>412.86337500000002</v>
      </c>
      <c r="F69">
        <v>413961.90625</v>
      </c>
      <c r="G69">
        <f t="shared" si="34"/>
        <v>413.96190625000003</v>
      </c>
      <c r="I69">
        <v>411595.6875</v>
      </c>
      <c r="J69">
        <f t="shared" si="35"/>
        <v>411.5956875</v>
      </c>
      <c r="L69">
        <v>414594.09375</v>
      </c>
      <c r="M69">
        <f t="shared" si="36"/>
        <v>414.59409375000001</v>
      </c>
      <c r="O69">
        <v>414581.1875</v>
      </c>
      <c r="P69">
        <f t="shared" si="37"/>
        <v>414.5811875</v>
      </c>
      <c r="R69">
        <v>414619.53125</v>
      </c>
      <c r="S69">
        <f t="shared" si="38"/>
        <v>414.61953125000002</v>
      </c>
      <c r="U69">
        <f t="shared" si="39"/>
        <v>413.70263020833335</v>
      </c>
    </row>
    <row r="70" spans="1:23" x14ac:dyDescent="0.25">
      <c r="A70">
        <v>1849089600</v>
      </c>
      <c r="B70" s="8">
        <f t="shared" si="32"/>
        <v>7.0006844626967677</v>
      </c>
      <c r="C70">
        <v>413074.03125</v>
      </c>
      <c r="D70">
        <f t="shared" si="33"/>
        <v>413.07403125000002</v>
      </c>
      <c r="F70">
        <v>414192.875</v>
      </c>
      <c r="G70">
        <f t="shared" si="34"/>
        <v>414.19287500000002</v>
      </c>
      <c r="I70">
        <v>411653.9375</v>
      </c>
      <c r="J70">
        <f t="shared" si="35"/>
        <v>411.65393749999998</v>
      </c>
      <c r="L70">
        <v>414817.875</v>
      </c>
      <c r="M70">
        <f t="shared" si="36"/>
        <v>414.81787500000002</v>
      </c>
      <c r="O70">
        <v>414802.40625</v>
      </c>
      <c r="P70">
        <f t="shared" si="37"/>
        <v>414.80240624999999</v>
      </c>
      <c r="R70">
        <v>414844.4375</v>
      </c>
      <c r="S70">
        <f t="shared" si="38"/>
        <v>414.84443750000003</v>
      </c>
      <c r="U70">
        <f t="shared" si="39"/>
        <v>413.89759375</v>
      </c>
    </row>
    <row r="71" spans="1:23" x14ac:dyDescent="0.25">
      <c r="A71">
        <v>1880625600</v>
      </c>
      <c r="B71" s="8">
        <f t="shared" si="32"/>
        <v>7.9999999999999787</v>
      </c>
      <c r="C71">
        <v>413284.375</v>
      </c>
      <c r="D71">
        <f t="shared" si="33"/>
        <v>413.28437500000001</v>
      </c>
      <c r="F71">
        <v>414410.53125</v>
      </c>
      <c r="G71">
        <f t="shared" si="34"/>
        <v>414.41053125000002</v>
      </c>
      <c r="I71">
        <v>411726.34375</v>
      </c>
      <c r="J71">
        <f t="shared" si="35"/>
        <v>411.72634375000001</v>
      </c>
      <c r="L71">
        <v>415029.625</v>
      </c>
      <c r="M71">
        <f t="shared" si="36"/>
        <v>415.02962500000001</v>
      </c>
      <c r="O71">
        <v>415012</v>
      </c>
      <c r="P71">
        <f t="shared" si="37"/>
        <v>415.012</v>
      </c>
      <c r="R71">
        <v>415057.28125</v>
      </c>
      <c r="S71">
        <f t="shared" si="38"/>
        <v>415.05728125000002</v>
      </c>
      <c r="U71">
        <f t="shared" si="39"/>
        <v>414.08669270833337</v>
      </c>
      <c r="W71">
        <v>80</v>
      </c>
    </row>
    <row r="72" spans="1:23" x14ac:dyDescent="0.25">
      <c r="A72">
        <v>1912161600</v>
      </c>
      <c r="B72" s="8">
        <f t="shared" si="32"/>
        <v>8.9993155373031968</v>
      </c>
      <c r="C72">
        <v>413493.71875</v>
      </c>
      <c r="D72">
        <f t="shared" si="33"/>
        <v>413.49371875000003</v>
      </c>
      <c r="F72">
        <v>414617.6875</v>
      </c>
      <c r="G72">
        <f t="shared" si="34"/>
        <v>414.61768749999999</v>
      </c>
      <c r="I72">
        <v>411810.9375</v>
      </c>
      <c r="J72">
        <f t="shared" si="35"/>
        <v>411.81093750000002</v>
      </c>
      <c r="L72">
        <v>415232.6875</v>
      </c>
      <c r="M72">
        <f t="shared" si="36"/>
        <v>415.2326875</v>
      </c>
      <c r="O72">
        <v>415213.28125</v>
      </c>
      <c r="P72">
        <f t="shared" si="37"/>
        <v>415.21328125000002</v>
      </c>
      <c r="R72">
        <v>415261.4375</v>
      </c>
      <c r="S72">
        <f t="shared" si="38"/>
        <v>415.2614375</v>
      </c>
      <c r="U72">
        <f t="shared" si="39"/>
        <v>414.27162499999991</v>
      </c>
    </row>
    <row r="73" spans="1:23" x14ac:dyDescent="0.25">
      <c r="A73">
        <v>1943697600</v>
      </c>
      <c r="B73" s="8">
        <f t="shared" si="32"/>
        <v>9.9986310746064149</v>
      </c>
      <c r="C73">
        <v>413701.53125</v>
      </c>
      <c r="D73">
        <f t="shared" si="33"/>
        <v>413.70153125000002</v>
      </c>
      <c r="F73">
        <v>414815.9375</v>
      </c>
      <c r="G73">
        <f t="shared" si="34"/>
        <v>414.81593750000002</v>
      </c>
      <c r="I73">
        <v>411905.8125</v>
      </c>
      <c r="J73">
        <f t="shared" si="35"/>
        <v>411.90581250000002</v>
      </c>
      <c r="L73">
        <v>415429</v>
      </c>
      <c r="M73">
        <f t="shared" si="36"/>
        <v>415.42899999999997</v>
      </c>
      <c r="O73">
        <v>415408.09375</v>
      </c>
      <c r="P73">
        <f t="shared" si="37"/>
        <v>415.40809374999998</v>
      </c>
      <c r="R73">
        <v>415458.84375</v>
      </c>
      <c r="S73">
        <f t="shared" si="38"/>
        <v>415.45884375000003</v>
      </c>
      <c r="U73">
        <f t="shared" si="39"/>
        <v>414.45320312500002</v>
      </c>
    </row>
    <row r="74" spans="1:23" x14ac:dyDescent="0.25">
      <c r="U74">
        <f>AVERAGE(U63:U73)</f>
        <v>412.5911832386364</v>
      </c>
      <c r="V74">
        <v>90</v>
      </c>
      <c r="W74">
        <f>V74*(U74-W71)</f>
        <v>29933.206491477278</v>
      </c>
    </row>
    <row r="76" spans="1:23" x14ac:dyDescent="0.25">
      <c r="U76">
        <f>U74-W71</f>
        <v>332.5911832386364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986E-9516-4FEF-AEAA-0F8C80C55923}">
  <dimension ref="A1:R18"/>
  <sheetViews>
    <sheetView topLeftCell="A17" workbookViewId="0">
      <selection activeCell="E8" sqref="E8"/>
    </sheetView>
  </sheetViews>
  <sheetFormatPr defaultRowHeight="15" x14ac:dyDescent="0.25"/>
  <cols>
    <col min="1" max="1" width="15" bestFit="1" customWidth="1"/>
    <col min="2" max="2" width="15" customWidth="1"/>
    <col min="14" max="14" width="11.5703125" bestFit="1" customWidth="1"/>
    <col min="16" max="17" width="9.5703125" bestFit="1" customWidth="1"/>
    <col min="18" max="18" width="11.5703125" bestFit="1" customWidth="1"/>
  </cols>
  <sheetData>
    <row r="1" spans="1:18" x14ac:dyDescent="0.25">
      <c r="C1" t="s">
        <v>3</v>
      </c>
      <c r="H1" t="s">
        <v>7</v>
      </c>
      <c r="L1" t="s">
        <v>7</v>
      </c>
      <c r="P1" t="s">
        <v>7</v>
      </c>
    </row>
    <row r="2" spans="1:18" x14ac:dyDescent="0.25">
      <c r="C2" t="s">
        <v>5</v>
      </c>
      <c r="D2" t="s">
        <v>7</v>
      </c>
      <c r="E2" t="s">
        <v>6</v>
      </c>
      <c r="H2">
        <v>31</v>
      </c>
      <c r="I2" s="1">
        <v>80000</v>
      </c>
      <c r="J2" s="1">
        <f>I2*H2</f>
        <v>2480000</v>
      </c>
      <c r="L2">
        <v>30</v>
      </c>
      <c r="M2" s="1">
        <v>80000</v>
      </c>
      <c r="N2" s="1">
        <f>M2*L2</f>
        <v>2400000</v>
      </c>
      <c r="P2">
        <v>30</v>
      </c>
      <c r="Q2" s="1">
        <v>80000</v>
      </c>
      <c r="R2" s="1">
        <f>Q2*P2</f>
        <v>2400000</v>
      </c>
    </row>
    <row r="3" spans="1:18" x14ac:dyDescent="0.25">
      <c r="B3" t="s">
        <v>11</v>
      </c>
      <c r="C3" t="s">
        <v>8</v>
      </c>
      <c r="D3" t="s">
        <v>9</v>
      </c>
      <c r="E3" t="s">
        <v>10</v>
      </c>
      <c r="H3">
        <v>31</v>
      </c>
      <c r="I3" s="1">
        <f>D9*1000</f>
        <v>417648</v>
      </c>
      <c r="J3" s="1">
        <f>I3*H3</f>
        <v>12947088</v>
      </c>
      <c r="L3">
        <v>30</v>
      </c>
      <c r="M3" s="1">
        <f>D4*1000</f>
        <v>418003</v>
      </c>
      <c r="N3" s="1">
        <f>M3*L3</f>
        <v>12540090</v>
      </c>
      <c r="P3">
        <v>30</v>
      </c>
      <c r="Q3" s="4">
        <v>418003</v>
      </c>
      <c r="R3" s="4">
        <f>Q3*P3</f>
        <v>12540090</v>
      </c>
    </row>
    <row r="4" spans="1:18" x14ac:dyDescent="0.25">
      <c r="A4" t="s">
        <v>4</v>
      </c>
      <c r="B4" t="s">
        <v>17</v>
      </c>
      <c r="C4">
        <v>402.81299999999999</v>
      </c>
      <c r="D4">
        <v>418.00299999999999</v>
      </c>
      <c r="E4">
        <v>394.52</v>
      </c>
      <c r="J4" s="1">
        <f>J3-J2</f>
        <v>10467088</v>
      </c>
      <c r="N4" s="1">
        <f>N3-N2</f>
        <v>10140090</v>
      </c>
      <c r="R4" s="4">
        <f>R3-R2</f>
        <v>10140090</v>
      </c>
    </row>
    <row r="5" spans="1:18" x14ac:dyDescent="0.25">
      <c r="B5" t="s">
        <v>16</v>
      </c>
      <c r="C5">
        <v>402.81299999999999</v>
      </c>
      <c r="D5">
        <v>341.19400000000002</v>
      </c>
      <c r="E5">
        <v>249.983</v>
      </c>
      <c r="H5" t="s">
        <v>6</v>
      </c>
      <c r="L5" t="s">
        <v>6</v>
      </c>
    </row>
    <row r="6" spans="1:18" x14ac:dyDescent="0.25">
      <c r="B6" t="s">
        <v>20</v>
      </c>
      <c r="C6">
        <v>413.33300000000003</v>
      </c>
      <c r="D6">
        <v>413.33300000000003</v>
      </c>
      <c r="E6">
        <v>413.33300000000003</v>
      </c>
      <c r="H6">
        <v>31</v>
      </c>
      <c r="I6" s="1">
        <v>80000</v>
      </c>
      <c r="J6" s="1">
        <f>I6*H6</f>
        <v>2480000</v>
      </c>
      <c r="L6">
        <v>30</v>
      </c>
      <c r="M6" s="1">
        <v>80000</v>
      </c>
      <c r="N6" s="1">
        <f>M6*L6</f>
        <v>2400000</v>
      </c>
    </row>
    <row r="7" spans="1:18" x14ac:dyDescent="0.25">
      <c r="B7" t="s">
        <v>20</v>
      </c>
      <c r="C7">
        <v>146.66999999999999</v>
      </c>
      <c r="D7">
        <v>146.66999999999999</v>
      </c>
      <c r="E7">
        <v>146.66999999999999</v>
      </c>
      <c r="H7">
        <v>31</v>
      </c>
      <c r="I7" s="1">
        <f>E9*1000</f>
        <v>392851</v>
      </c>
      <c r="J7" s="1">
        <f>I7*H7</f>
        <v>12178381</v>
      </c>
      <c r="L7">
        <v>30</v>
      </c>
      <c r="M7" s="1">
        <f>E4*1000</f>
        <v>394520</v>
      </c>
      <c r="N7" s="1">
        <f>M7*L7</f>
        <v>11835600</v>
      </c>
      <c r="P7">
        <f>10000000/30</f>
        <v>333333.33333333331</v>
      </c>
      <c r="Q7" s="4">
        <f>P7+Q2</f>
        <v>413333.33333333331</v>
      </c>
      <c r="R7" s="1"/>
    </row>
    <row r="8" spans="1:18" x14ac:dyDescent="0.25">
      <c r="J8" s="1">
        <f>J7-J6</f>
        <v>9698381</v>
      </c>
      <c r="N8" s="1">
        <f>N7-N6</f>
        <v>9435600</v>
      </c>
    </row>
    <row r="9" spans="1:18" x14ac:dyDescent="0.25">
      <c r="B9" t="s">
        <v>19</v>
      </c>
      <c r="D9">
        <v>417.64800000000002</v>
      </c>
      <c r="E9">
        <v>392.851</v>
      </c>
      <c r="P9" s="4">
        <f>10000000/(Q7-M2)</f>
        <v>30</v>
      </c>
    </row>
    <row r="10" spans="1:18" x14ac:dyDescent="0.25">
      <c r="H10" t="s">
        <v>6</v>
      </c>
      <c r="L10" t="s">
        <v>7</v>
      </c>
    </row>
    <row r="11" spans="1:18" x14ac:dyDescent="0.25">
      <c r="H11">
        <v>25</v>
      </c>
      <c r="I11" s="1">
        <v>80000</v>
      </c>
      <c r="J11" s="1">
        <f>I11*H11</f>
        <v>2000000</v>
      </c>
      <c r="L11">
        <v>150</v>
      </c>
      <c r="M11" s="1">
        <v>80000</v>
      </c>
      <c r="N11" s="1">
        <f>M11*L11</f>
        <v>12000000</v>
      </c>
      <c r="P11">
        <f>10000000/150+80000</f>
        <v>146666.66666666669</v>
      </c>
    </row>
    <row r="12" spans="1:18" x14ac:dyDescent="0.25">
      <c r="H12">
        <v>25</v>
      </c>
      <c r="I12" s="1">
        <v>402751</v>
      </c>
      <c r="J12" s="1">
        <f>I12*H12</f>
        <v>10068775</v>
      </c>
      <c r="L12">
        <v>150</v>
      </c>
      <c r="M12" s="1">
        <f>D5*1000</f>
        <v>341194</v>
      </c>
      <c r="N12" s="1">
        <f>M12*L12</f>
        <v>51179100</v>
      </c>
    </row>
    <row r="13" spans="1:18" x14ac:dyDescent="0.25">
      <c r="J13" s="1">
        <f>J12-J11</f>
        <v>8068775</v>
      </c>
      <c r="N13" s="1">
        <f>N12-N11</f>
        <v>39179100</v>
      </c>
    </row>
    <row r="14" spans="1:18" x14ac:dyDescent="0.25">
      <c r="L14" t="s">
        <v>6</v>
      </c>
      <c r="P14" s="1">
        <f>150*(P11-80000)</f>
        <v>10000000.000000004</v>
      </c>
    </row>
    <row r="15" spans="1:18" x14ac:dyDescent="0.25">
      <c r="L15">
        <v>150</v>
      </c>
      <c r="M15" s="1">
        <v>80000</v>
      </c>
      <c r="N15" s="1">
        <f>M15*L15</f>
        <v>12000000</v>
      </c>
    </row>
    <row r="16" spans="1:18" x14ac:dyDescent="0.25">
      <c r="L16">
        <v>150</v>
      </c>
      <c r="M16" s="1">
        <f>E5*1000</f>
        <v>249983</v>
      </c>
      <c r="N16" s="1">
        <f>M16*L16</f>
        <v>37497450</v>
      </c>
    </row>
    <row r="17" spans="14:16" x14ac:dyDescent="0.25">
      <c r="N17" s="1">
        <f>N16-N15</f>
        <v>25497450</v>
      </c>
    </row>
    <row r="18" spans="14:16" x14ac:dyDescent="0.25">
      <c r="P18" s="4">
        <f>30000000/150+M15</f>
        <v>280000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opLeftCell="A29" workbookViewId="0">
      <selection activeCell="C50" sqref="C50"/>
    </sheetView>
  </sheetViews>
  <sheetFormatPr defaultRowHeight="15" x14ac:dyDescent="0.25"/>
  <cols>
    <col min="1" max="1" width="11.7109375" bestFit="1" customWidth="1"/>
    <col min="2" max="2" width="11.7109375" customWidth="1"/>
    <col min="3" max="3" width="12" bestFit="1" customWidth="1"/>
    <col min="4" max="4" width="11" bestFit="1" customWidth="1"/>
    <col min="5" max="5" width="12.7109375" bestFit="1" customWidth="1"/>
    <col min="6" max="6" width="14.42578125" bestFit="1" customWidth="1"/>
  </cols>
  <sheetData>
    <row r="1" spans="1:19" x14ac:dyDescent="0.25">
      <c r="B1" t="s">
        <v>5</v>
      </c>
      <c r="C1" t="s">
        <v>7</v>
      </c>
      <c r="D1" t="s">
        <v>6</v>
      </c>
      <c r="E1" t="s">
        <v>7</v>
      </c>
      <c r="F1" t="s">
        <v>6</v>
      </c>
    </row>
    <row r="2" spans="1:19" x14ac:dyDescent="0.25">
      <c r="C2" t="s">
        <v>18</v>
      </c>
      <c r="D2" t="s">
        <v>18</v>
      </c>
      <c r="E2" t="s">
        <v>18</v>
      </c>
      <c r="F2" t="s">
        <v>18</v>
      </c>
    </row>
    <row r="3" spans="1:19" x14ac:dyDescent="0.25">
      <c r="C3" t="s">
        <v>16</v>
      </c>
      <c r="D3" t="s">
        <v>16</v>
      </c>
      <c r="E3" t="s">
        <v>17</v>
      </c>
      <c r="F3" t="s">
        <v>17</v>
      </c>
    </row>
    <row r="4" spans="1:19" x14ac:dyDescent="0.25">
      <c r="A4" t="s">
        <v>0</v>
      </c>
      <c r="B4">
        <v>402.81299999999999</v>
      </c>
      <c r="C4">
        <v>414.79300000000001</v>
      </c>
      <c r="D4">
        <v>420.38200000000001</v>
      </c>
      <c r="E4">
        <v>412.33300000000003</v>
      </c>
      <c r="F4">
        <v>415.572</v>
      </c>
      <c r="Q4">
        <v>30</v>
      </c>
      <c r="R4" s="1">
        <v>80000</v>
      </c>
      <c r="S4" s="1">
        <f>R4*Q4</f>
        <v>2400000</v>
      </c>
    </row>
    <row r="5" spans="1:19" x14ac:dyDescent="0.25">
      <c r="A5" t="s">
        <v>12</v>
      </c>
      <c r="B5">
        <v>402.81299999999999</v>
      </c>
      <c r="C5">
        <v>406.70400000000001</v>
      </c>
      <c r="D5">
        <v>360.07900000000001</v>
      </c>
      <c r="E5">
        <v>413.56799999999998</v>
      </c>
      <c r="F5">
        <v>416.56200000000001</v>
      </c>
      <c r="Q5">
        <v>30</v>
      </c>
      <c r="R5" s="1">
        <v>414100</v>
      </c>
      <c r="S5" s="1">
        <f>R5*Q5</f>
        <v>12423000</v>
      </c>
    </row>
    <row r="6" spans="1:19" x14ac:dyDescent="0.25">
      <c r="A6" t="s">
        <v>13</v>
      </c>
      <c r="B6">
        <v>402.81299999999999</v>
      </c>
      <c r="C6">
        <v>412.721</v>
      </c>
      <c r="D6">
        <v>418.05500000000001</v>
      </c>
      <c r="E6">
        <v>411.351</v>
      </c>
      <c r="F6">
        <v>412.57600000000002</v>
      </c>
      <c r="S6" s="1">
        <f>S5-S4</f>
        <v>10023000</v>
      </c>
    </row>
    <row r="7" spans="1:19" x14ac:dyDescent="0.25">
      <c r="A7" t="s">
        <v>1</v>
      </c>
      <c r="B7">
        <v>402.81299999999999</v>
      </c>
      <c r="C7">
        <v>416.07400000000001</v>
      </c>
      <c r="D7">
        <v>420.63299999999998</v>
      </c>
      <c r="E7">
        <v>414.08300000000003</v>
      </c>
      <c r="F7">
        <v>417.57299999999998</v>
      </c>
    </row>
    <row r="8" spans="1:19" x14ac:dyDescent="0.25">
      <c r="A8" t="s">
        <v>14</v>
      </c>
      <c r="B8">
        <v>402.81299999999999</v>
      </c>
      <c r="C8">
        <v>416.303</v>
      </c>
      <c r="D8">
        <v>420.96800000000002</v>
      </c>
      <c r="E8">
        <v>414.11799999999999</v>
      </c>
      <c r="F8">
        <v>417.59899999999999</v>
      </c>
      <c r="Q8">
        <v>100</v>
      </c>
      <c r="R8" s="1">
        <v>80000</v>
      </c>
      <c r="S8" s="1">
        <f>R8*Q8</f>
        <v>8000000</v>
      </c>
    </row>
    <row r="9" spans="1:19" x14ac:dyDescent="0.25">
      <c r="A9" t="s">
        <v>2</v>
      </c>
      <c r="B9">
        <v>402.81299999999999</v>
      </c>
      <c r="C9">
        <v>416.351</v>
      </c>
      <c r="D9">
        <v>421.214</v>
      </c>
      <c r="E9">
        <v>414.12299999999999</v>
      </c>
      <c r="F9">
        <v>417.61500000000001</v>
      </c>
      <c r="Q9">
        <v>100</v>
      </c>
      <c r="R9" s="1">
        <v>414100</v>
      </c>
      <c r="S9" s="1">
        <f>R9*Q9</f>
        <v>41410000</v>
      </c>
    </row>
    <row r="10" spans="1:19" s="2" customFormat="1" x14ac:dyDescent="0.25">
      <c r="A10" s="2" t="s">
        <v>15</v>
      </c>
      <c r="B10" s="2">
        <v>402.81299999999999</v>
      </c>
      <c r="C10" s="2">
        <f>AVERAGE(C4:C9)</f>
        <v>413.82433333333341</v>
      </c>
      <c r="D10" s="2">
        <f t="shared" ref="D10" si="0">AVERAGE(D4:D9)</f>
        <v>410.22183333333334</v>
      </c>
      <c r="E10" s="2">
        <f t="shared" ref="E10" si="1">AVERAGE(E4:E9)</f>
        <v>413.26266666666669</v>
      </c>
      <c r="F10" s="2">
        <f t="shared" ref="F10" si="2">AVERAGE(F4:F9)</f>
        <v>416.24950000000007</v>
      </c>
      <c r="S10" s="3">
        <f>S9-S8</f>
        <v>33410000</v>
      </c>
    </row>
    <row r="12" spans="1:19" x14ac:dyDescent="0.25">
      <c r="D12" t="s">
        <v>5</v>
      </c>
      <c r="E12" t="s">
        <v>7</v>
      </c>
      <c r="F12" t="s">
        <v>6</v>
      </c>
    </row>
    <row r="13" spans="1:19" x14ac:dyDescent="0.25">
      <c r="D13" t="s">
        <v>8</v>
      </c>
      <c r="E13" t="s">
        <v>9</v>
      </c>
      <c r="F13" t="s">
        <v>10</v>
      </c>
    </row>
    <row r="14" spans="1:19" x14ac:dyDescent="0.25">
      <c r="A14" t="s">
        <v>0</v>
      </c>
      <c r="C14">
        <v>30</v>
      </c>
      <c r="D14">
        <v>402.81299999999999</v>
      </c>
      <c r="E14">
        <f>E4</f>
        <v>412.33300000000003</v>
      </c>
      <c r="F14">
        <f>F4</f>
        <v>415.572</v>
      </c>
    </row>
    <row r="15" spans="1:19" x14ac:dyDescent="0.25">
      <c r="C15">
        <v>150</v>
      </c>
      <c r="D15">
        <v>402.81299999999999</v>
      </c>
      <c r="E15">
        <f>C4</f>
        <v>414.79300000000001</v>
      </c>
      <c r="F15">
        <f>D4</f>
        <v>420.38200000000001</v>
      </c>
    </row>
    <row r="19" spans="1:6" x14ac:dyDescent="0.25">
      <c r="D19" t="s">
        <v>5</v>
      </c>
      <c r="E19" t="s">
        <v>7</v>
      </c>
      <c r="F19" t="s">
        <v>6</v>
      </c>
    </row>
    <row r="20" spans="1:6" x14ac:dyDescent="0.25">
      <c r="D20" t="s">
        <v>8</v>
      </c>
      <c r="E20" t="s">
        <v>9</v>
      </c>
      <c r="F20" t="s">
        <v>10</v>
      </c>
    </row>
    <row r="21" spans="1:6" x14ac:dyDescent="0.25">
      <c r="A21" t="s">
        <v>15</v>
      </c>
      <c r="C21">
        <v>30</v>
      </c>
      <c r="D21">
        <v>402.81299999999999</v>
      </c>
      <c r="E21" s="2">
        <v>413.26266666666669</v>
      </c>
      <c r="F21" s="2">
        <v>416.24950000000007</v>
      </c>
    </row>
    <row r="22" spans="1:6" x14ac:dyDescent="0.25">
      <c r="C22">
        <v>150</v>
      </c>
      <c r="D22" s="2">
        <v>402.81299999999999</v>
      </c>
      <c r="E22" s="2">
        <v>413.82433333333341</v>
      </c>
      <c r="F22" s="2">
        <v>410.22183333333334</v>
      </c>
    </row>
    <row r="44" spans="2:3" x14ac:dyDescent="0.25">
      <c r="B44" t="s">
        <v>0</v>
      </c>
      <c r="C44" t="str">
        <f>"'"&amp;B44&amp;"'"</f>
        <v>'Waihapa-2'</v>
      </c>
    </row>
    <row r="45" spans="2:3" x14ac:dyDescent="0.25">
      <c r="B45" t="s">
        <v>12</v>
      </c>
      <c r="C45" t="str">
        <f>C44&amp;", '"&amp;B45&amp;"'"</f>
        <v>'Waihapa-2', 'Ngaere-1'</v>
      </c>
    </row>
    <row r="46" spans="2:3" x14ac:dyDescent="0.25">
      <c r="B46" t="s">
        <v>13</v>
      </c>
      <c r="C46" t="str">
        <f t="shared" ref="C46:C50" si="3">C45&amp;", '"&amp;B46&amp;"'"</f>
        <v>'Waihapa-2', 'Ngaere-1', 'Waihapa-6A'</v>
      </c>
    </row>
    <row r="47" spans="2:3" x14ac:dyDescent="0.25">
      <c r="B47" t="s">
        <v>1</v>
      </c>
      <c r="C47" t="str">
        <f t="shared" si="3"/>
        <v>'Waihapa-2', 'Ngaere-1', 'Waihapa-6A', 'Waihapa-8'</v>
      </c>
    </row>
    <row r="48" spans="2:3" x14ac:dyDescent="0.25">
      <c r="B48" t="s">
        <v>14</v>
      </c>
      <c r="C48" t="str">
        <f t="shared" si="3"/>
        <v>'Waihapa-2', 'Ngaere-1', 'Waihapa-6A', 'Waihapa-8', 'Ngaere-2A'</v>
      </c>
    </row>
    <row r="49" spans="2:3" x14ac:dyDescent="0.25">
      <c r="B49" t="s">
        <v>2</v>
      </c>
      <c r="C49" t="str">
        <f t="shared" si="3"/>
        <v>'Waihapa-2', 'Ngaere-1', 'Waihapa-6A', 'Waihapa-8', 'Ngaere-2A', 'Ngaere-3'</v>
      </c>
    </row>
    <row r="50" spans="2:3" x14ac:dyDescent="0.25">
      <c r="B50" t="s">
        <v>35</v>
      </c>
      <c r="C50" t="str">
        <f t="shared" si="3"/>
        <v>'Waihapa-2', 'Ngaere-1', 'Waihapa-6A', 'Waihapa-8', 'Ngaere-2A', 'Ngaere-3', 'Waihapa-4'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ModelA</vt:lpstr>
      <vt:lpstr>ModelB</vt:lpstr>
      <vt:lpstr>ModelA_old</vt:lpstr>
      <vt:lpstr>ModelB_old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2015-06-05T18:17:20Z</dcterms:created>
  <dcterms:modified xsi:type="dcterms:W3CDTF">2021-08-13T00:06:30Z</dcterms:modified>
</cp:coreProperties>
</file>