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1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2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3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4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5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6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7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rithvikduggireddy/Desktop/ORIE 4999/Solar Grazing/orie-solar-grazing/"/>
    </mc:Choice>
  </mc:AlternateContent>
  <xr:revisionPtr revIDLastSave="0" documentId="13_ncr:1_{9F18DE16-1234-854E-BEE9-9A6A2034374C}" xr6:coauthVersionLast="47" xr6:coauthVersionMax="47" xr10:uidLastSave="{00000000-0000-0000-0000-000000000000}"/>
  <bookViews>
    <workbookView xWindow="0" yWindow="500" windowWidth="28800" windowHeight="16340" activeTab="1" xr2:uid="{BCFBC5C9-3159-2646-87E0-84DD0DC86433}"/>
  </bookViews>
  <sheets>
    <sheet name="Attributes" sheetId="1" r:id="rId1"/>
    <sheet name="Analysis" sheetId="2" r:id="rId2"/>
  </sheets>
  <definedNames>
    <definedName name="acres">Attributes!$C$4</definedName>
    <definedName name="beginFlock">Attributes!$C$11</definedName>
    <definedName name="cull">Attributes!$C$14</definedName>
    <definedName name="death">Attributes!$C$15</definedName>
    <definedName name="discRate">Attributes!$C$24</definedName>
    <definedName name="eweCost">Attributes!$C$16</definedName>
    <definedName name="growthRate">Attributes!$C$20</definedName>
    <definedName name="intRate">Attributes!$C$22</definedName>
    <definedName name="loanYears">Attributes!$C$23</definedName>
    <definedName name="maxflock">Attributes!$C$12</definedName>
    <definedName name="mowMax">Attributes!$C$8</definedName>
    <definedName name="mowNoSheep">Attributes!$C$7</definedName>
    <definedName name="repro">Attributes!$C$13</definedName>
    <definedName name="revCull">Attributes!$C$19</definedName>
    <definedName name="revEweLamb">Attributes!$C$18</definedName>
    <definedName name="revperacre">Attributes!$C$5</definedName>
    <definedName name="revRamLamb">Attributes!$C$17</definedName>
    <definedName name="sheepperacre">Attributes!$C$6</definedName>
  </definedNames>
  <calcPr calcId="191028"/>
  <customWorkbookViews>
    <customWorkbookView name="f" guid="{973AB2A8-DE95-674A-9660-C127AC4E49C7}" yWindow="25" windowWidth="1048" windowHeight="817" activeSheetId="2"/>
    <customWorkbookView name="a" guid="{1E5AC243-FE64-B142-BAE0-84C821C97FE3}" yWindow="25" windowWidth="1048" windowHeight="817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XyQcp2NPbt21fmWqWxH9CW7aO9TiuIonDvyZxuXStIg="/>
    </ext>
  </extLst>
</workbook>
</file>

<file path=xl/calcChain.xml><?xml version="1.0" encoding="utf-8"?>
<calcChain xmlns="http://schemas.openxmlformats.org/spreadsheetml/2006/main">
  <c r="B12" i="2" l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68" i="1"/>
  <c r="C20" i="1"/>
  <c r="C24" i="1"/>
  <c r="I19" i="2"/>
  <c r="J19" i="2"/>
  <c r="K19" i="2"/>
  <c r="L19" i="2"/>
  <c r="C5" i="2" l="1"/>
  <c r="C27" i="1"/>
  <c r="C39" i="1" s="1"/>
  <c r="B16" i="2" s="1"/>
  <c r="B38" i="1"/>
  <c r="L24" i="2"/>
  <c r="K24" i="2"/>
  <c r="J24" i="2"/>
  <c r="I24" i="2"/>
  <c r="H24" i="2"/>
  <c r="G24" i="2"/>
  <c r="F24" i="2"/>
  <c r="E24" i="2"/>
  <c r="D24" i="2"/>
  <c r="C24" i="2"/>
  <c r="B44" i="1"/>
  <c r="B37" i="1"/>
  <c r="E30" i="1"/>
  <c r="E39" i="1" s="1"/>
  <c r="B18" i="2" s="1"/>
  <c r="C18" i="2" s="1"/>
  <c r="D18" i="2" s="1"/>
  <c r="E18" i="2" s="1"/>
  <c r="F18" i="2" s="1"/>
  <c r="G18" i="2" s="1"/>
  <c r="H18" i="2" s="1"/>
  <c r="I18" i="2" s="1"/>
  <c r="J18" i="2" s="1"/>
  <c r="K18" i="2" s="1"/>
  <c r="L18" i="2" s="1"/>
  <c r="C12" i="1"/>
  <c r="D27" i="1" s="1"/>
  <c r="D39" i="1" l="1"/>
  <c r="B17" i="2" s="1"/>
  <c r="B39" i="1"/>
  <c r="I16" i="2"/>
  <c r="H16" i="2"/>
  <c r="G16" i="2"/>
  <c r="D16" i="2"/>
  <c r="F16" i="2"/>
  <c r="E16" i="2"/>
  <c r="L16" i="2"/>
  <c r="K16" i="2"/>
  <c r="C16" i="2"/>
  <c r="J16" i="2"/>
  <c r="AI14" i="1" l="1"/>
  <c r="B32" i="2"/>
  <c r="B40" i="2" l="1"/>
  <c r="C44" i="1" s="1"/>
  <c r="C19" i="2"/>
  <c r="E19" i="2"/>
  <c r="F19" i="2"/>
  <c r="G19" i="2"/>
  <c r="D19" i="2"/>
  <c r="H19" i="2"/>
  <c r="C9" i="2"/>
  <c r="C26" i="2" s="1"/>
  <c r="C6" i="2"/>
  <c r="C8" i="2"/>
  <c r="C7" i="2"/>
  <c r="C25" i="2" s="1"/>
  <c r="C10" i="2" l="1"/>
  <c r="C11" i="2" s="1"/>
  <c r="C12" i="2" l="1"/>
  <c r="C27" i="2"/>
  <c r="C28" i="2" s="1"/>
  <c r="B45" i="1" l="1"/>
  <c r="C17" i="2"/>
  <c r="C20" i="2" s="1"/>
  <c r="C32" i="2" s="1"/>
  <c r="C40" i="2" s="1"/>
  <c r="D5" i="2"/>
  <c r="D8" i="2" s="1"/>
  <c r="C45" i="1" l="1"/>
  <c r="D7" i="2"/>
  <c r="D25" i="2" s="1"/>
  <c r="D9" i="2"/>
  <c r="D26" i="2" s="1"/>
  <c r="D6" i="2"/>
  <c r="D10" i="2" l="1"/>
  <c r="D11" i="2" s="1"/>
  <c r="D12" i="2" l="1"/>
  <c r="D27" i="2"/>
  <c r="D28" i="2" s="1"/>
  <c r="B46" i="1" l="1"/>
  <c r="D17" i="2"/>
  <c r="D20" i="2" s="1"/>
  <c r="D32" i="2" s="1"/>
  <c r="D40" i="2" s="1"/>
  <c r="E5" i="2"/>
  <c r="C46" i="1" l="1"/>
  <c r="E6" i="2"/>
  <c r="E7" i="2"/>
  <c r="E25" i="2" s="1"/>
  <c r="E9" i="2"/>
  <c r="E26" i="2" s="1"/>
  <c r="E8" i="2"/>
  <c r="E10" i="2" l="1"/>
  <c r="E11" i="2" s="1"/>
  <c r="E12" i="2" s="1"/>
  <c r="E17" i="2" s="1"/>
  <c r="E27" i="2" l="1"/>
  <c r="E28" i="2" s="1"/>
  <c r="B47" i="1"/>
  <c r="F5" i="2"/>
  <c r="E20" i="2"/>
  <c r="E32" i="2" l="1"/>
  <c r="E40" i="2" s="1"/>
  <c r="F8" i="2"/>
  <c r="F7" i="2"/>
  <c r="F25" i="2" s="1"/>
  <c r="F6" i="2"/>
  <c r="F9" i="2"/>
  <c r="F26" i="2" s="1"/>
  <c r="C47" i="1" l="1"/>
  <c r="F10" i="2"/>
  <c r="F11" i="2" s="1"/>
  <c r="F12" i="2" s="1"/>
  <c r="F27" i="2" l="1"/>
  <c r="F28" i="2" s="1"/>
  <c r="F17" i="2"/>
  <c r="F20" i="2" s="1"/>
  <c r="G5" i="2"/>
  <c r="B48" i="1"/>
  <c r="F32" i="2" l="1"/>
  <c r="F40" i="2" s="1"/>
  <c r="G9" i="2"/>
  <c r="G26" i="2" s="1"/>
  <c r="G7" i="2"/>
  <c r="G25" i="2" s="1"/>
  <c r="G6" i="2"/>
  <c r="G8" i="2"/>
  <c r="C48" i="1" l="1"/>
  <c r="G10" i="2"/>
  <c r="G11" i="2" s="1"/>
  <c r="G12" i="2" l="1"/>
  <c r="G27" i="2"/>
  <c r="G28" i="2" s="1"/>
  <c r="G17" i="2" l="1"/>
  <c r="G20" i="2" s="1"/>
  <c r="G32" i="2" s="1"/>
  <c r="G40" i="2" s="1"/>
  <c r="B49" i="1"/>
  <c r="H5" i="2"/>
  <c r="C49" i="1" l="1"/>
  <c r="H8" i="2"/>
  <c r="H6" i="2"/>
  <c r="H9" i="2"/>
  <c r="H26" i="2" s="1"/>
  <c r="H7" i="2"/>
  <c r="H25" i="2" s="1"/>
  <c r="H10" i="2" l="1"/>
  <c r="H11" i="2" s="1"/>
  <c r="H27" i="2" l="1"/>
  <c r="H28" i="2" s="1"/>
  <c r="H12" i="2"/>
  <c r="B50" i="1" l="1"/>
  <c r="I5" i="2"/>
  <c r="H17" i="2"/>
  <c r="H20" i="2" s="1"/>
  <c r="H32" i="2" s="1"/>
  <c r="H40" i="2" s="1"/>
  <c r="C50" i="1" l="1"/>
  <c r="I8" i="2"/>
  <c r="I9" i="2"/>
  <c r="I26" i="2" s="1"/>
  <c r="I7" i="2"/>
  <c r="I25" i="2" s="1"/>
  <c r="I6" i="2"/>
  <c r="I10" i="2" l="1"/>
  <c r="I11" i="2" s="1"/>
  <c r="I27" i="2" l="1"/>
  <c r="I28" i="2" s="1"/>
  <c r="I12" i="2"/>
  <c r="B51" i="1" l="1"/>
  <c r="J5" i="2"/>
  <c r="I17" i="2"/>
  <c r="I20" i="2" s="1"/>
  <c r="I32" i="2" s="1"/>
  <c r="I40" i="2" s="1"/>
  <c r="C51" i="1" l="1"/>
  <c r="J7" i="2"/>
  <c r="J25" i="2" s="1"/>
  <c r="J8" i="2"/>
  <c r="J6" i="2"/>
  <c r="J9" i="2"/>
  <c r="J26" i="2" s="1"/>
  <c r="J10" i="2" l="1"/>
  <c r="J11" i="2" s="1"/>
  <c r="J27" i="2" s="1"/>
  <c r="J28" i="2" s="1"/>
  <c r="J12" i="2" l="1"/>
  <c r="J17" i="2" l="1"/>
  <c r="J20" i="2" s="1"/>
  <c r="J32" i="2" s="1"/>
  <c r="J40" i="2" s="1"/>
  <c r="K5" i="2"/>
  <c r="B52" i="1"/>
  <c r="C52" i="1" l="1"/>
  <c r="K9" i="2"/>
  <c r="K26" i="2" s="1"/>
  <c r="K7" i="2"/>
  <c r="K25" i="2" s="1"/>
  <c r="K8" i="2"/>
  <c r="K6" i="2"/>
  <c r="K10" i="2" l="1"/>
  <c r="K11" i="2" s="1"/>
  <c r="K27" i="2" s="1"/>
  <c r="K28" i="2" s="1"/>
  <c r="K12" i="2" l="1"/>
  <c r="K17" i="2" l="1"/>
  <c r="K20" i="2" s="1"/>
  <c r="K32" i="2" s="1"/>
  <c r="K40" i="2" s="1"/>
  <c r="L5" i="2"/>
  <c r="B53" i="1"/>
  <c r="C53" i="1" l="1"/>
  <c r="L9" i="2"/>
  <c r="L26" i="2" s="1"/>
  <c r="L8" i="2"/>
  <c r="L7" i="2"/>
  <c r="L25" i="2" s="1"/>
  <c r="L6" i="2"/>
  <c r="L10" i="2" l="1"/>
  <c r="L11" i="2" s="1"/>
  <c r="L27" i="2" l="1"/>
  <c r="L28" i="2" s="1"/>
  <c r="L12" i="2"/>
  <c r="B54" i="1" l="1"/>
  <c r="L17" i="2"/>
  <c r="L20" i="2" s="1"/>
  <c r="L32" i="2" s="1"/>
  <c r="L40" i="2" s="1"/>
  <c r="M40" i="2" l="1"/>
  <c r="C54" i="1"/>
  <c r="D44" i="1" s="1"/>
  <c r="AM22" i="1" l="1"/>
  <c r="AP67" i="1"/>
  <c r="AF12" i="1"/>
  <c r="AM12" i="1"/>
  <c r="R98" i="1"/>
  <c r="R48" i="1"/>
  <c r="Y25" i="1"/>
  <c r="R126" i="1"/>
  <c r="R14" i="1"/>
  <c r="R154" i="1"/>
  <c r="L12" i="1"/>
  <c r="L28" i="1" s="1"/>
  <c r="L51" i="1" s="1"/>
  <c r="L75" i="1" s="1"/>
  <c r="AM35" i="1"/>
  <c r="Y12" i="1"/>
  <c r="R70" i="1"/>
  <c r="R22" i="1"/>
  <c r="R3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tc={A900B1AB-705E-C841-BD90-77D81CD08BE3}</author>
  </authors>
  <commentList>
    <comment ref="AP67" authorId="0" shapeId="0" xr:uid="{A900B1AB-705E-C841-BD90-77D81CD08BE3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NPV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tc={8823D4CC-EBE9-884F-8FA7-5FD6FCDCE00D}</author>
    <author>tc={1E99C190-053B-9944-8F39-E37A3F8ACD65}</author>
  </authors>
  <commentList>
    <comment ref="A16" authorId="0" shapeId="0" xr:uid="{8823D4CC-EBE9-884F-8FA7-5FD6FCDCE00D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changes when mowMax changes. Constant every year unless Acres changes.</t>
      </text>
    </comment>
    <comment ref="A17" authorId="1" shapeId="0" xr:uid="{1E99C190-053B-9944-8F39-E37A3F8ACD65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changes when mowNoSheep - mowMax changes. Yearly values depend on growth rate.</t>
      </text>
    </comment>
  </commentList>
</comments>
</file>

<file path=xl/sharedStrings.xml><?xml version="1.0" encoding="utf-8"?>
<sst xmlns="http://schemas.openxmlformats.org/spreadsheetml/2006/main" count="167" uniqueCount="119">
  <si>
    <t>Parameters for Solar Grazing Analysis</t>
  </si>
  <si>
    <t>Spreadsheet developed by:</t>
  </si>
  <si>
    <t>Site Attributes</t>
  </si>
  <si>
    <t>Variable</t>
  </si>
  <si>
    <t>Value</t>
  </si>
  <si>
    <t>Acres</t>
  </si>
  <si>
    <t>acres</t>
  </si>
  <si>
    <t>Vincent W. Slaugh</t>
  </si>
  <si>
    <t>Annual Revenue per Acre</t>
  </si>
  <si>
    <t>revperacre</t>
  </si>
  <si>
    <t>Assistant Professor of Service Operations Management</t>
  </si>
  <si>
    <t>Sheep per Acre</t>
  </si>
  <si>
    <t>sheepperacre</t>
  </si>
  <si>
    <t>SC Johnson College of Business, Cornell University</t>
  </si>
  <si>
    <t>Mowing cost per acre  (0 sheep)</t>
  </si>
  <si>
    <t>mowNoSheep</t>
  </si>
  <si>
    <t>vslaugh@cornell.edu</t>
  </si>
  <si>
    <t>Mowing cost per acre (max sheep)</t>
  </si>
  <si>
    <t>mowMax</t>
  </si>
  <si>
    <t>Flock Attributes</t>
  </si>
  <si>
    <t>Beginning Flock Size</t>
  </si>
  <si>
    <t>beginFlock</t>
  </si>
  <si>
    <t>Maximum Flock Size</t>
  </si>
  <si>
    <t>maxflock</t>
  </si>
  <si>
    <t>Reproduction Rate</t>
  </si>
  <si>
    <t>repro</t>
  </si>
  <si>
    <t>Caleb Scott</t>
  </si>
  <si>
    <t>Annual Cull Rate</t>
  </si>
  <si>
    <t>cull</t>
  </si>
  <si>
    <t>President, United Agrivoltaics North America LLC</t>
  </si>
  <si>
    <t>Annual Death Rate</t>
  </si>
  <si>
    <t>death</t>
  </si>
  <si>
    <t>Vice President, American Solar Grazing Association</t>
  </si>
  <si>
    <t>Cost per Ewe</t>
  </si>
  <si>
    <t>eweCost</t>
  </si>
  <si>
    <t>1-833-FARMSUM</t>
  </si>
  <si>
    <t>www.unitedagrivoltaics.com/</t>
  </si>
  <si>
    <t>Revenue per Ram Lamb</t>
  </si>
  <si>
    <t>revRamLamb</t>
  </si>
  <si>
    <t>caleb@scottscape.net</t>
  </si>
  <si>
    <t>www.scottscape.net</t>
  </si>
  <si>
    <t>Revenue per Ewe Lamb</t>
  </si>
  <si>
    <t>revEweLamb</t>
  </si>
  <si>
    <t>Revenue per Ewe Culled</t>
  </si>
  <si>
    <t>revCull</t>
  </si>
  <si>
    <t>Financial Parameters</t>
  </si>
  <si>
    <t>Interest Rate</t>
  </si>
  <si>
    <t>intRate</t>
  </si>
  <si>
    <t>Loan Duration (Years)</t>
  </si>
  <si>
    <t>loanYears</t>
  </si>
  <si>
    <t>Costs</t>
  </si>
  <si>
    <t>Item</t>
  </si>
  <si>
    <t>Upfront</t>
  </si>
  <si>
    <t>Fixed per Year per Acre</t>
  </si>
  <si>
    <t>Per Head per Year</t>
  </si>
  <si>
    <t>Fixed per Year</t>
  </si>
  <si>
    <t>Mowing</t>
  </si>
  <si>
    <t>Insurance</t>
  </si>
  <si>
    <t>Transportation</t>
  </si>
  <si>
    <t>Water Hauling</t>
  </si>
  <si>
    <t>Vet care</t>
  </si>
  <si>
    <t>Minerals</t>
  </si>
  <si>
    <t>Overwintering</t>
  </si>
  <si>
    <t>Staffing</t>
  </si>
  <si>
    <t>Guard dogs</t>
  </si>
  <si>
    <t>Catchment Systems</t>
  </si>
  <si>
    <t>Miscellaneous Costs</t>
  </si>
  <si>
    <t>Buying ewe cost</t>
  </si>
  <si>
    <t>Total</t>
  </si>
  <si>
    <t>Outputs</t>
  </si>
  <si>
    <t>Year</t>
  </si>
  <si>
    <t>Net Present Value</t>
  </si>
  <si>
    <t>Total NPV</t>
  </si>
  <si>
    <t>Calculating Loan</t>
  </si>
  <si>
    <t xml:space="preserve">Ewes Count </t>
  </si>
  <si>
    <t>Total to borrow</t>
  </si>
  <si>
    <t>Solar Grazing Analysis</t>
  </si>
  <si>
    <t>Flock Dynamics</t>
  </si>
  <si>
    <t xml:space="preserve">Year </t>
  </si>
  <si>
    <t>Sheep at Year Start</t>
  </si>
  <si>
    <t>Ewe Lambs</t>
  </si>
  <si>
    <t>Ram Lambs</t>
  </si>
  <si>
    <t>Deaths</t>
  </si>
  <si>
    <t>Culled</t>
  </si>
  <si>
    <t>Replacements Needed</t>
  </si>
  <si>
    <t>Ewe Lambs to Sell</t>
  </si>
  <si>
    <t>Sheep at Year End</t>
  </si>
  <si>
    <t>Annual Costs</t>
  </si>
  <si>
    <t>Amount</t>
  </si>
  <si>
    <t>Per Head per year</t>
  </si>
  <si>
    <t>Fixed per year</t>
  </si>
  <si>
    <t>Loan Payment per year</t>
  </si>
  <si>
    <t>Annual Revenue</t>
  </si>
  <si>
    <t>Price per Head</t>
  </si>
  <si>
    <t>Mowing Fee</t>
  </si>
  <si>
    <t>Ram Lambs Sales</t>
  </si>
  <si>
    <t>Ewes Culled</t>
  </si>
  <si>
    <t>Ewe Lambs Sales</t>
  </si>
  <si>
    <t>Annual Profit</t>
  </si>
  <si>
    <t>0 (Upfront Costs)</t>
  </si>
  <si>
    <t>Total by year</t>
  </si>
  <si>
    <t>NPV</t>
  </si>
  <si>
    <t>Financial Attributes</t>
  </si>
  <si>
    <t>Loan Duration</t>
  </si>
  <si>
    <t>Decisions</t>
  </si>
  <si>
    <t>Ewe to Buy w Loan</t>
  </si>
  <si>
    <t>Mowing Cost 0 Sheep</t>
  </si>
  <si>
    <t>Mowing Cost Max Sheep</t>
  </si>
  <si>
    <t>discRate</t>
  </si>
  <si>
    <t>Dicsount Rate</t>
  </si>
  <si>
    <t>Ewe to Buy with Loan</t>
  </si>
  <si>
    <t>Mixed Analysis</t>
  </si>
  <si>
    <t>Growth Rate</t>
  </si>
  <si>
    <t>growthRate</t>
  </si>
  <si>
    <t>Death Rate</t>
  </si>
  <si>
    <t>Cull Rate</t>
  </si>
  <si>
    <t>Adjusted Component</t>
  </si>
  <si>
    <t xml:space="preserve"> </t>
  </si>
  <si>
    <t>Flock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</si>
</sst>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"/>
    <numFmt numFmtId="166" formatCode="0.0%"/>
  </numFmts>
  <fonts count="2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i/>
      <sz val="11"/>
      <color rgb="FFBFBFBF"/>
      <name val="Calibri"/>
      <family val="2"/>
    </font>
    <font>
      <sz val="12"/>
      <color rgb="FF3F3F76"/>
      <name val="Calibri"/>
      <family val="2"/>
    </font>
    <font>
      <i/>
      <sz val="11"/>
      <color rgb="FFA5A5A5"/>
      <name val="Calibri"/>
      <family val="2"/>
    </font>
    <font>
      <u/>
      <sz val="11"/>
      <color theme="10"/>
      <name val="Calibri"/>
      <family val="2"/>
    </font>
    <font>
      <sz val="11"/>
      <color rgb="FFBFBFBF"/>
      <name val="Calibri"/>
      <family val="2"/>
    </font>
    <font>
      <b/>
      <sz val="12"/>
      <color rgb="FFFA7D00"/>
      <name val="Calibri"/>
      <family val="2"/>
    </font>
    <font>
      <b/>
      <sz val="12"/>
      <color rgb="FF3F3F3F"/>
      <name val="Calibri"/>
      <family val="2"/>
    </font>
    <font>
      <b/>
      <sz val="16"/>
      <color theme="1"/>
      <name val="Calibri"/>
      <family val="2"/>
    </font>
    <font>
      <sz val="12"/>
      <color rgb="FFFA7D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rgb="FFF2F2F2"/>
      </patternFill>
    </fill>
    <fill>
      <patternFill patternType="solid">
        <fgColor theme="9" tint="0.59999389629810485"/>
        <bgColor indexed="64"/>
      </patternFill>
    </fill>
  </fills>
  <borders count="4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5" fillId="0" borderId="0" applyFont="0" applyFill="0" applyBorder="0" applyAlignment="0" applyProtection="0"/>
    <xf numFmtId="9" fontId="18" fillId="0" borderId="0" applyFont="0" applyFill="0" applyBorder="0" applyAlignment="0" applyProtection="0"/>
  </cellStyleXfs>
  <cellXfs count="128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2" borderId="1" xfId="0" applyFont="1" applyFill="1" applyBorder="1"/>
    <xf numFmtId="0" fontId="7" fillId="0" borderId="0" xfId="0" applyFont="1"/>
    <xf numFmtId="6" fontId="6" fillId="2" borderId="1" xfId="0" applyNumberFormat="1" applyFont="1" applyFill="1" applyBorder="1"/>
    <xf numFmtId="164" fontId="3" fillId="0" borderId="0" xfId="0" applyNumberFormat="1" applyFont="1"/>
    <xf numFmtId="0" fontId="8" fillId="0" borderId="0" xfId="0" applyFont="1"/>
    <xf numFmtId="1" fontId="3" fillId="0" borderId="0" xfId="0" applyNumberFormat="1" applyFont="1"/>
    <xf numFmtId="0" fontId="9" fillId="0" borderId="0" xfId="0" applyFont="1"/>
    <xf numFmtId="0" fontId="10" fillId="3" borderId="1" xfId="0" applyFont="1" applyFill="1" applyBorder="1"/>
    <xf numFmtId="9" fontId="6" fillId="2" borderId="1" xfId="0" applyNumberFormat="1" applyFont="1" applyFill="1" applyBorder="1"/>
    <xf numFmtId="164" fontId="6" fillId="2" borderId="1" xfId="0" applyNumberFormat="1" applyFont="1" applyFill="1" applyBorder="1" applyAlignment="1">
      <alignment horizontal="left"/>
    </xf>
    <xf numFmtId="164" fontId="6" fillId="2" borderId="1" xfId="0" applyNumberFormat="1" applyFont="1" applyFill="1" applyBorder="1"/>
    <xf numFmtId="164" fontId="10" fillId="3" borderId="1" xfId="0" applyNumberFormat="1" applyFont="1" applyFill="1" applyBorder="1"/>
    <xf numFmtId="164" fontId="11" fillId="3" borderId="2" xfId="0" applyNumberFormat="1" applyFont="1" applyFill="1" applyBorder="1"/>
    <xf numFmtId="0" fontId="12" fillId="0" borderId="0" xfId="0" applyFont="1"/>
    <xf numFmtId="0" fontId="13" fillId="0" borderId="3" xfId="0" applyFont="1" applyBorder="1"/>
    <xf numFmtId="1" fontId="13" fillId="0" borderId="3" xfId="0" applyNumberFormat="1" applyFont="1" applyBorder="1"/>
    <xf numFmtId="1" fontId="10" fillId="3" borderId="1" xfId="0" applyNumberFormat="1" applyFont="1" applyFill="1" applyBorder="1"/>
    <xf numFmtId="1" fontId="11" fillId="3" borderId="2" xfId="0" applyNumberFormat="1" applyFont="1" applyFill="1" applyBorder="1"/>
    <xf numFmtId="164" fontId="13" fillId="0" borderId="3" xfId="0" applyNumberFormat="1" applyFont="1" applyBorder="1"/>
    <xf numFmtId="164" fontId="13" fillId="0" borderId="0" xfId="0" applyNumberFormat="1" applyFont="1"/>
    <xf numFmtId="0" fontId="0" fillId="0" borderId="4" xfId="0" applyBorder="1"/>
    <xf numFmtId="164" fontId="6" fillId="2" borderId="0" xfId="0" applyNumberFormat="1" applyFont="1" applyFill="1"/>
    <xf numFmtId="0" fontId="14" fillId="0" borderId="0" xfId="0" applyFont="1"/>
    <xf numFmtId="164" fontId="0" fillId="0" borderId="0" xfId="0" applyNumberFormat="1"/>
    <xf numFmtId="0" fontId="1" fillId="0" borderId="0" xfId="0" applyFont="1"/>
    <xf numFmtId="0" fontId="14" fillId="0" borderId="4" xfId="0" applyFont="1" applyBorder="1"/>
    <xf numFmtId="165" fontId="0" fillId="0" borderId="4" xfId="0" applyNumberFormat="1" applyBorder="1"/>
    <xf numFmtId="164" fontId="10" fillId="3" borderId="5" xfId="0" applyNumberFormat="1" applyFont="1" applyFill="1" applyBorder="1"/>
    <xf numFmtId="164" fontId="11" fillId="3" borderId="6" xfId="0" applyNumberFormat="1" applyFont="1" applyFill="1" applyBorder="1"/>
    <xf numFmtId="164" fontId="10" fillId="3" borderId="7" xfId="0" applyNumberFormat="1" applyFont="1" applyFill="1" applyBorder="1"/>
    <xf numFmtId="0" fontId="1" fillId="0" borderId="4" xfId="0" applyFont="1" applyBorder="1"/>
    <xf numFmtId="0" fontId="0" fillId="0" borderId="8" xfId="0" applyBorder="1"/>
    <xf numFmtId="0" fontId="0" fillId="0" borderId="9" xfId="0" applyBorder="1"/>
    <xf numFmtId="0" fontId="0" fillId="0" borderId="14" xfId="0" applyBorder="1"/>
    <xf numFmtId="0" fontId="14" fillId="0" borderId="0" xfId="0" applyFont="1" applyAlignment="1">
      <alignment horizontal="center"/>
    </xf>
    <xf numFmtId="44" fontId="0" fillId="0" borderId="4" xfId="1" applyFont="1" applyBorder="1"/>
    <xf numFmtId="0" fontId="1" fillId="0" borderId="0" xfId="0" applyFont="1" applyAlignment="1">
      <alignment horizontal="right" vertical="center" textRotation="90"/>
    </xf>
    <xf numFmtId="44" fontId="0" fillId="0" borderId="4" xfId="0" applyNumberFormat="1" applyBorder="1"/>
    <xf numFmtId="44" fontId="0" fillId="0" borderId="0" xfId="0" applyNumberFormat="1"/>
    <xf numFmtId="44" fontId="0" fillId="0" borderId="0" xfId="1" applyFont="1" applyBorder="1"/>
    <xf numFmtId="44" fontId="1" fillId="0" borderId="4" xfId="1" applyFont="1" applyBorder="1"/>
    <xf numFmtId="0" fontId="1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2" fontId="0" fillId="0" borderId="0" xfId="0" applyNumberFormat="1"/>
    <xf numFmtId="165" fontId="0" fillId="0" borderId="0" xfId="0" applyNumberFormat="1"/>
    <xf numFmtId="44" fontId="14" fillId="0" borderId="4" xfId="1" applyFont="1" applyBorder="1"/>
    <xf numFmtId="9" fontId="0" fillId="0" borderId="4" xfId="0" applyNumberFormat="1" applyBorder="1"/>
    <xf numFmtId="9" fontId="1" fillId="0" borderId="4" xfId="0" applyNumberFormat="1" applyFont="1" applyBorder="1"/>
    <xf numFmtId="166" fontId="1" fillId="0" borderId="4" xfId="0" applyNumberFormat="1" applyFont="1" applyBorder="1"/>
    <xf numFmtId="0" fontId="16" fillId="0" borderId="15" xfId="0" applyFont="1" applyBorder="1" applyAlignment="1">
      <alignment vertical="center" textRotation="90"/>
    </xf>
    <xf numFmtId="0" fontId="16" fillId="0" borderId="0" xfId="0" applyFont="1"/>
    <xf numFmtId="164" fontId="0" fillId="0" borderId="4" xfId="0" applyNumberFormat="1" applyBorder="1"/>
    <xf numFmtId="0" fontId="16" fillId="0" borderId="0" xfId="0" applyFont="1" applyAlignment="1">
      <alignment vertical="center"/>
    </xf>
    <xf numFmtId="44" fontId="0" fillId="0" borderId="8" xfId="1" applyFont="1" applyBorder="1"/>
    <xf numFmtId="9" fontId="6" fillId="2" borderId="1" xfId="2" applyFont="1" applyFill="1" applyBorder="1"/>
    <xf numFmtId="0" fontId="0" fillId="0" borderId="16" xfId="0" applyBorder="1"/>
    <xf numFmtId="0" fontId="0" fillId="0" borderId="10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9" xfId="0" applyBorder="1"/>
    <xf numFmtId="0" fontId="0" fillId="0" borderId="30" xfId="0" applyBorder="1"/>
    <xf numFmtId="0" fontId="1" fillId="0" borderId="1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4" fillId="0" borderId="31" xfId="0" applyFont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1" fillId="0" borderId="17" xfId="0" applyFont="1" applyBorder="1"/>
    <xf numFmtId="9" fontId="0" fillId="0" borderId="30" xfId="0" applyNumberFormat="1" applyBorder="1"/>
    <xf numFmtId="165" fontId="0" fillId="0" borderId="25" xfId="0" applyNumberFormat="1" applyBorder="1"/>
    <xf numFmtId="9" fontId="0" fillId="0" borderId="23" xfId="0" applyNumberFormat="1" applyBorder="1"/>
    <xf numFmtId="165" fontId="0" fillId="0" borderId="26" xfId="0" applyNumberFormat="1" applyBorder="1"/>
    <xf numFmtId="9" fontId="0" fillId="0" borderId="24" xfId="0" applyNumberFormat="1" applyBorder="1"/>
    <xf numFmtId="9" fontId="1" fillId="0" borderId="23" xfId="0" applyNumberFormat="1" applyFont="1" applyBorder="1"/>
    <xf numFmtId="9" fontId="1" fillId="0" borderId="30" xfId="0" applyNumberFormat="1" applyFont="1" applyBorder="1"/>
    <xf numFmtId="9" fontId="1" fillId="0" borderId="24" xfId="0" applyNumberFormat="1" applyFont="1" applyBorder="1"/>
    <xf numFmtId="44" fontId="0" fillId="0" borderId="10" xfId="1" applyFont="1" applyBorder="1"/>
    <xf numFmtId="44" fontId="0" fillId="0" borderId="33" xfId="1" applyFont="1" applyBorder="1"/>
    <xf numFmtId="44" fontId="0" fillId="0" borderId="22" xfId="1" applyFont="1" applyBorder="1"/>
    <xf numFmtId="44" fontId="0" fillId="0" borderId="16" xfId="1" applyFont="1" applyBorder="1"/>
    <xf numFmtId="44" fontId="0" fillId="0" borderId="9" xfId="1" applyFont="1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5" xfId="0" applyBorder="1"/>
    <xf numFmtId="0" fontId="0" fillId="0" borderId="21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44" fontId="0" fillId="0" borderId="39" xfId="1" applyFont="1" applyBorder="1"/>
    <xf numFmtId="44" fontId="0" fillId="0" borderId="21" xfId="1" applyFont="1" applyBorder="1"/>
    <xf numFmtId="44" fontId="0" fillId="0" borderId="41" xfId="1" applyFont="1" applyBorder="1"/>
    <xf numFmtId="44" fontId="0" fillId="0" borderId="43" xfId="1" applyFont="1" applyBorder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164" fontId="10" fillId="6" borderId="1" xfId="0" applyNumberFormat="1" applyFont="1" applyFill="1" applyBorder="1"/>
    <xf numFmtId="0" fontId="1" fillId="7" borderId="0" xfId="0" applyFont="1" applyFill="1"/>
    <xf numFmtId="0" fontId="1" fillId="0" borderId="0" xfId="0" applyFont="1" applyAlignment="1">
      <alignment horizontal="right" vertical="center" textRotation="90"/>
    </xf>
    <xf numFmtId="0" fontId="17" fillId="0" borderId="0" xfId="0" applyFont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8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16" fillId="0" borderId="8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6" fillId="0" borderId="31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14" fillId="0" borderId="34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0" fontId="16" fillId="0" borderId="32" xfId="0" applyFont="1" applyBorder="1" applyAlignment="1">
      <alignment horizontal="center"/>
    </xf>
    <xf numFmtId="0" fontId="16" fillId="0" borderId="27" xfId="0" applyFont="1" applyBorder="1" applyAlignment="1">
      <alignment horizontal="center"/>
    </xf>
    <xf numFmtId="0" fontId="16" fillId="0" borderId="28" xfId="0" applyFont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10" Type="http://schemas.microsoft.com/office/2017/10/relationships/person" Target="persons/person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US" sz="1400" b="0" i="0">
                <a:solidFill>
                  <a:srgbClr val="757575"/>
                </a:solidFill>
                <a:latin typeface="+mn-lt"/>
              </a:rPr>
              <a:t>Annual Net Present Value by Year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No Loan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Attributes!$A$44:$A$54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Attributes!$C$44:$C$54</c:f>
              <c:numCache>
                <c:formatCode>_("$"* #,##0_);_("$"* \(#,##0\);_("$"* "-"??_);_(@_)</c:formatCode>
                <c:ptCount val="11"/>
                <c:pt idx="0">
                  <c:v>-58500</c:v>
                </c:pt>
                <c:pt idx="1">
                  <c:v>-65603.265647990833</c:v>
                </c:pt>
                <c:pt idx="2">
                  <c:v>-39840.211451468742</c:v>
                </c:pt>
                <c:pt idx="3">
                  <c:v>44298.76543483018</c:v>
                </c:pt>
                <c:pt idx="4">
                  <c:v>41791.28814606621</c:v>
                </c:pt>
                <c:pt idx="5">
                  <c:v>39425.743534024725</c:v>
                </c:pt>
                <c:pt idx="6">
                  <c:v>37194.097673608223</c:v>
                </c:pt>
                <c:pt idx="7">
                  <c:v>39404.633982123407</c:v>
                </c:pt>
                <c:pt idx="8">
                  <c:v>37174.183002003221</c:v>
                </c:pt>
                <c:pt idx="9">
                  <c:v>35069.98396415398</c:v>
                </c:pt>
                <c:pt idx="10">
                  <c:v>33084.890532220736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5CBC-42FF-8FC8-EB9172E1CBE7}"/>
            </c:ext>
          </c:extLst>
        </c:ser>
        <c:ser>
          <c:idx val="1"/>
          <c:order val="1"/>
          <c:tx>
            <c:v>With Loan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Attributes!$A$44:$A$54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Attributes!#REF!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5CBC-42FF-8FC8-EB9172E1CB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018982"/>
        <c:axId val="1689787031"/>
      </c:barChart>
      <c:catAx>
        <c:axId val="730189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000" b="0" i="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89787031"/>
        <c:crosses val="autoZero"/>
        <c:auto val="1"/>
        <c:lblAlgn val="ctr"/>
        <c:lblOffset val="100"/>
        <c:noMultiLvlLbl val="1"/>
      </c:catAx>
      <c:valAx>
        <c:axId val="16897870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3018982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US" sz="1400" b="0" i="0">
                <a:solidFill>
                  <a:srgbClr val="757575"/>
                </a:solidFill>
                <a:latin typeface="+mn-lt"/>
              </a:rPr>
              <a:t>Flock Size by Year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Flock Size (no loan)</c:v>
          </c:tx>
          <c:spPr>
            <a:ln w="28575" cmpd="sng"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Attributes!$A$44:$A$54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Attributes!$B$44:$B$54</c:f>
              <c:numCache>
                <c:formatCode>0</c:formatCode>
                <c:ptCount val="11"/>
                <c:pt idx="0">
                  <c:v>200</c:v>
                </c:pt>
                <c:pt idx="1">
                  <c:v>334</c:v>
                </c:pt>
                <c:pt idx="2">
                  <c:v>500</c:v>
                </c:pt>
                <c:pt idx="3">
                  <c:v>500</c:v>
                </c:pt>
                <c:pt idx="4">
                  <c:v>500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AF-4651-B054-1A24D33A8C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0135172"/>
        <c:axId val="454770915"/>
      </c:lineChart>
      <c:catAx>
        <c:axId val="14901351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000" b="0" i="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54770915"/>
        <c:crosses val="autoZero"/>
        <c:auto val="1"/>
        <c:lblAlgn val="ctr"/>
        <c:lblOffset val="100"/>
        <c:noMultiLvlLbl val="1"/>
      </c:catAx>
      <c:valAx>
        <c:axId val="4547709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90135172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NPV v. Annual</a:t>
            </a:r>
            <a:r>
              <a:rPr lang="en-US" baseline="0"/>
              <a:t> Revenue Per Acre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Attributes!$L$11</c:f>
              <c:strCache>
                <c:ptCount val="1"/>
                <c:pt idx="0">
                  <c:v>NPV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Attributes!$K$13:$K$25</c:f>
              <c:numCache>
                <c:formatCode>General</c:formatCode>
                <c:ptCount val="13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</c:numCache>
            </c:numRef>
          </c:cat>
          <c:val>
            <c:numRef>
              <c:f>Attributes!$L$13:$L$25</c:f>
              <c:numCache>
                <c:formatCode>_("$"* #,##0.00_);_("$"* \(#,##0.00\);_("$"* "-"??_);_(@_)</c:formatCode>
                <c:ptCount val="13"/>
                <c:pt idx="0">
                  <c:v>-136183.19878418729</c:v>
                </c:pt>
                <c:pt idx="1">
                  <c:v>-106742.85057852851</c:v>
                </c:pt>
                <c:pt idx="2">
                  <c:v>-77302.502372869742</c:v>
                </c:pt>
                <c:pt idx="3">
                  <c:v>-47862.154167210887</c:v>
                </c:pt>
                <c:pt idx="4">
                  <c:v>-18421.805961552152</c:v>
                </c:pt>
                <c:pt idx="5">
                  <c:v>11018.542244106626</c:v>
                </c:pt>
                <c:pt idx="6">
                  <c:v>40458.890449765415</c:v>
                </c:pt>
                <c:pt idx="7">
                  <c:v>69899.238655424168</c:v>
                </c:pt>
                <c:pt idx="8">
                  <c:v>99339.586861082949</c:v>
                </c:pt>
                <c:pt idx="9">
                  <c:v>128779.93506674173</c:v>
                </c:pt>
                <c:pt idx="10">
                  <c:v>158220.28327240053</c:v>
                </c:pt>
                <c:pt idx="11">
                  <c:v>187660.63147805928</c:v>
                </c:pt>
                <c:pt idx="12">
                  <c:v>217100.97968371806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15-7040-BF57-D50B0D612B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3216736"/>
        <c:axId val="2043127616"/>
      </c:barChart>
      <c:catAx>
        <c:axId val="2043216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127616"/>
        <c:crosses val="autoZero"/>
        <c:auto val="1"/>
        <c:lblAlgn val="ctr"/>
        <c:lblOffset val="100"/>
        <c:noMultiLvlLbl val="0"/>
      </c:catAx>
      <c:valAx>
        <c:axId val="204312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216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Sheep</a:t>
            </a:r>
            <a:r>
              <a:rPr lang="en-US" baseline="0"/>
              <a:t> per Acre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Attributes!$L$27</c:f>
              <c:strCache>
                <c:ptCount val="1"/>
                <c:pt idx="0">
                  <c:v>NPV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Attributes!$K$29:$K$48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Attributes!$L$29:$L$48</c:f>
              <c:numCache>
                <c:formatCode>_("$"* #,##0.00_);_("$"* \(#,##0.00\);_("$"* "-"??_);_(@_)</c:formatCode>
                <c:ptCount val="20"/>
                <c:pt idx="0">
                  <c:v>-183747.39767319654</c:v>
                </c:pt>
                <c:pt idx="1">
                  <c:v>-101450.91790091692</c:v>
                </c:pt>
                <c:pt idx="2">
                  <c:v>-9720.4758644862213</c:v>
                </c:pt>
                <c:pt idx="3">
                  <c:v>69187.164463151203</c:v>
                </c:pt>
                <c:pt idx="4">
                  <c:v>143500.10916957114</c:v>
                </c:pt>
                <c:pt idx="5">
                  <c:v>211566.71629530366</c:v>
                </c:pt>
                <c:pt idx="6">
                  <c:v>270367.15451266599</c:v>
                </c:pt>
                <c:pt idx="7">
                  <c:v>330744.17974241334</c:v>
                </c:pt>
                <c:pt idx="8">
                  <c:v>392172.26298041746</c:v>
                </c:pt>
                <c:pt idx="9">
                  <c:v>442826.63358237734</c:v>
                </c:pt>
                <c:pt idx="10">
                  <c:v>489100.17450507137</c:v>
                </c:pt>
                <c:pt idx="11">
                  <c:v>536120.46678882104</c:v>
                </c:pt>
                <c:pt idx="12">
                  <c:v>583715.18319646013</c:v>
                </c:pt>
                <c:pt idx="13">
                  <c:v>631761.23284429801</c:v>
                </c:pt>
                <c:pt idx="14">
                  <c:v>680168.34908429475</c:v>
                </c:pt>
                <c:pt idx="15">
                  <c:v>722215.07301262754</c:v>
                </c:pt>
                <c:pt idx="16">
                  <c:v>756296.27990362281</c:v>
                </c:pt>
                <c:pt idx="17">
                  <c:v>790725.54502858501</c:v>
                </c:pt>
                <c:pt idx="18">
                  <c:v>825447.91182425572</c:v>
                </c:pt>
                <c:pt idx="19">
                  <c:v>860419.41504002945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22-B14A-A99A-D5EB7D25F1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3479200"/>
        <c:axId val="25533487"/>
      </c:barChart>
      <c:catAx>
        <c:axId val="2043479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33487"/>
        <c:crosses val="autoZero"/>
        <c:auto val="1"/>
        <c:lblAlgn val="ctr"/>
        <c:lblOffset val="100"/>
        <c:noMultiLvlLbl val="0"/>
      </c:catAx>
      <c:valAx>
        <c:axId val="25533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479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Mowing Cost per Acre (0</a:t>
            </a:r>
            <a:r>
              <a:rPr lang="en-US" baseline="0"/>
              <a:t> Sheep)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Attributes!$L$50</c:f>
              <c:strCache>
                <c:ptCount val="1"/>
                <c:pt idx="0">
                  <c:v> NPV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Attributes!$K$52:$K$72</c:f>
              <c:numCache>
                <c:formatCode>General</c:formatCode>
                <c:ptCount val="21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  <c:pt idx="4">
                  <c:v>180</c:v>
                </c:pt>
                <c:pt idx="5">
                  <c:v>200</c:v>
                </c:pt>
                <c:pt idx="6">
                  <c:v>220</c:v>
                </c:pt>
                <c:pt idx="7">
                  <c:v>240</c:v>
                </c:pt>
                <c:pt idx="8">
                  <c:v>260</c:v>
                </c:pt>
                <c:pt idx="9">
                  <c:v>280</c:v>
                </c:pt>
                <c:pt idx="10">
                  <c:v>300</c:v>
                </c:pt>
                <c:pt idx="11">
                  <c:v>320</c:v>
                </c:pt>
                <c:pt idx="12">
                  <c:v>340</c:v>
                </c:pt>
                <c:pt idx="13">
                  <c:v>360</c:v>
                </c:pt>
                <c:pt idx="14">
                  <c:v>380</c:v>
                </c:pt>
                <c:pt idx="15">
                  <c:v>400</c:v>
                </c:pt>
                <c:pt idx="16">
                  <c:v>420</c:v>
                </c:pt>
                <c:pt idx="17">
                  <c:v>440</c:v>
                </c:pt>
                <c:pt idx="18">
                  <c:v>460</c:v>
                </c:pt>
                <c:pt idx="19">
                  <c:v>480</c:v>
                </c:pt>
                <c:pt idx="20">
                  <c:v>500</c:v>
                </c:pt>
              </c:numCache>
            </c:numRef>
          </c:cat>
          <c:val>
            <c:numRef>
              <c:f>Attributes!$L$52:$L$72</c:f>
              <c:numCache>
                <c:formatCode>_("$"* #,##0.00_);_("$"* \(#,##0.00\);_("$"* "-"??_);_(@_)</c:formatCode>
                <c:ptCount val="21"/>
                <c:pt idx="0">
                  <c:v>161120.97068612505</c:v>
                </c:pt>
                <c:pt idx="1">
                  <c:v>159946.24658502146</c:v>
                </c:pt>
                <c:pt idx="2">
                  <c:v>158771.52248391788</c:v>
                </c:pt>
                <c:pt idx="3">
                  <c:v>157596.79838281428</c:v>
                </c:pt>
                <c:pt idx="4">
                  <c:v>156422.07428171069</c:v>
                </c:pt>
                <c:pt idx="5">
                  <c:v>155247.35018060709</c:v>
                </c:pt>
                <c:pt idx="6">
                  <c:v>154072.62607950351</c:v>
                </c:pt>
                <c:pt idx="7">
                  <c:v>152897.9019783999</c:v>
                </c:pt>
                <c:pt idx="8">
                  <c:v>151723.17787729629</c:v>
                </c:pt>
                <c:pt idx="9">
                  <c:v>150548.45377619271</c:v>
                </c:pt>
                <c:pt idx="10">
                  <c:v>149373.7296750891</c:v>
                </c:pt>
                <c:pt idx="11">
                  <c:v>148199.00557398552</c:v>
                </c:pt>
                <c:pt idx="12">
                  <c:v>147024.28147288191</c:v>
                </c:pt>
                <c:pt idx="13">
                  <c:v>145849.55737177833</c:v>
                </c:pt>
                <c:pt idx="14">
                  <c:v>144674.83327067472</c:v>
                </c:pt>
                <c:pt idx="15">
                  <c:v>143500.10916957114</c:v>
                </c:pt>
                <c:pt idx="16">
                  <c:v>142325.38506846753</c:v>
                </c:pt>
                <c:pt idx="17">
                  <c:v>141150.66096736395</c:v>
                </c:pt>
                <c:pt idx="18">
                  <c:v>139975.93686626034</c:v>
                </c:pt>
                <c:pt idx="19">
                  <c:v>138801.21276515676</c:v>
                </c:pt>
                <c:pt idx="20">
                  <c:v>137626.48866405315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FF-B64A-980C-F260A3329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3369056"/>
        <c:axId val="2043660752"/>
      </c:barChart>
      <c:catAx>
        <c:axId val="204336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660752"/>
        <c:crosses val="autoZero"/>
        <c:auto val="1"/>
        <c:lblAlgn val="ctr"/>
        <c:lblOffset val="100"/>
        <c:noMultiLvlLbl val="0"/>
      </c:catAx>
      <c:valAx>
        <c:axId val="204366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369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Mowing Cost per Acre (max Sheep)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Attributes!$L$74</c:f>
              <c:strCache>
                <c:ptCount val="1"/>
                <c:pt idx="0">
                  <c:v>NPV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Attributes!$K$76:$K$95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cat>
          <c:val>
            <c:numRef>
              <c:f>Attributes!$L$76:$L$95</c:f>
              <c:numCache>
                <c:formatCode>_("$"* #,##0.00_);_("$"* \(#,##0.00\);_("$"* "-"??_);_(@_)</c:formatCode>
                <c:ptCount val="20"/>
                <c:pt idx="0">
                  <c:v>207840.99667776862</c:v>
                </c:pt>
                <c:pt idx="1">
                  <c:v>204454.63417733717</c:v>
                </c:pt>
                <c:pt idx="2">
                  <c:v>201068.27167690577</c:v>
                </c:pt>
                <c:pt idx="3">
                  <c:v>197681.90917647429</c:v>
                </c:pt>
                <c:pt idx="4">
                  <c:v>194295.54667604284</c:v>
                </c:pt>
                <c:pt idx="5">
                  <c:v>190909.18417561139</c:v>
                </c:pt>
                <c:pt idx="6">
                  <c:v>187522.82167517996</c:v>
                </c:pt>
                <c:pt idx="7">
                  <c:v>184136.45917474851</c:v>
                </c:pt>
                <c:pt idx="8">
                  <c:v>180750.09667431706</c:v>
                </c:pt>
                <c:pt idx="9">
                  <c:v>177363.7341738856</c:v>
                </c:pt>
                <c:pt idx="10">
                  <c:v>173977.37167345412</c:v>
                </c:pt>
                <c:pt idx="11">
                  <c:v>170591.0091730227</c:v>
                </c:pt>
                <c:pt idx="12">
                  <c:v>167204.64667259128</c:v>
                </c:pt>
                <c:pt idx="13">
                  <c:v>163818.28417215982</c:v>
                </c:pt>
                <c:pt idx="14">
                  <c:v>160431.92167172837</c:v>
                </c:pt>
                <c:pt idx="15">
                  <c:v>157045.55917129692</c:v>
                </c:pt>
                <c:pt idx="16">
                  <c:v>153659.19667086547</c:v>
                </c:pt>
                <c:pt idx="17">
                  <c:v>150272.83417043401</c:v>
                </c:pt>
                <c:pt idx="18">
                  <c:v>146886.47167000256</c:v>
                </c:pt>
                <c:pt idx="19">
                  <c:v>143500.10916957114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2C-1A41-AC6B-7171EDEF7A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5214256"/>
        <c:axId val="2044137600"/>
      </c:barChart>
      <c:catAx>
        <c:axId val="204521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137600"/>
        <c:crosses val="autoZero"/>
        <c:auto val="1"/>
        <c:lblAlgn val="ctr"/>
        <c:lblOffset val="100"/>
        <c:noMultiLvlLbl val="0"/>
      </c:catAx>
      <c:valAx>
        <c:axId val="204413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5214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Reproduction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Attributes!$R$21</c:f>
              <c:strCache>
                <c:ptCount val="1"/>
                <c:pt idx="0">
                  <c:v>NPV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Attributes!$Q$23:$Q$32</c:f>
              <c:numCache>
                <c:formatCode>General</c:formatCode>
                <c:ptCount val="10"/>
                <c:pt idx="0">
                  <c:v>1.1000000000000001</c:v>
                </c:pt>
                <c:pt idx="1">
                  <c:v>1.2</c:v>
                </c:pt>
                <c:pt idx="2">
                  <c:v>1.3</c:v>
                </c:pt>
                <c:pt idx="3">
                  <c:v>1.4</c:v>
                </c:pt>
                <c:pt idx="4">
                  <c:v>1.5</c:v>
                </c:pt>
                <c:pt idx="5">
                  <c:v>1.6</c:v>
                </c:pt>
                <c:pt idx="6">
                  <c:v>1.7</c:v>
                </c:pt>
                <c:pt idx="7">
                  <c:v>1.8</c:v>
                </c:pt>
                <c:pt idx="8">
                  <c:v>1.9</c:v>
                </c:pt>
                <c:pt idx="9" formatCode="0.0">
                  <c:v>2</c:v>
                </c:pt>
              </c:numCache>
            </c:numRef>
          </c:cat>
          <c:val>
            <c:numRef>
              <c:f>Attributes!$R$23:$R$32</c:f>
              <c:numCache>
                <c:formatCode>_("$"* #,##0.00_);_("$"* \(#,##0.00\);_("$"* "-"??_);_(@_)</c:formatCode>
                <c:ptCount val="10"/>
                <c:pt idx="0">
                  <c:v>-440166.93163366971</c:v>
                </c:pt>
                <c:pt idx="1">
                  <c:v>-358589.76029656472</c:v>
                </c:pt>
                <c:pt idx="2">
                  <c:v>-277494.06721154612</c:v>
                </c:pt>
                <c:pt idx="3">
                  <c:v>-194662.04144921666</c:v>
                </c:pt>
                <c:pt idx="4">
                  <c:v>-110030.71156334903</c:v>
                </c:pt>
                <c:pt idx="5">
                  <c:v>-23537.106107715743</c:v>
                </c:pt>
                <c:pt idx="6">
                  <c:v>60327.785711828641</c:v>
                </c:pt>
                <c:pt idx="7">
                  <c:v>143500.10916957114</c:v>
                </c:pt>
                <c:pt idx="8">
                  <c:v>227117.43084732065</c:v>
                </c:pt>
                <c:pt idx="9">
                  <c:v>311179.75074507733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6B-F845-9000-D1BB351EF2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5500992"/>
        <c:axId val="23533007"/>
      </c:barChart>
      <c:catAx>
        <c:axId val="2055500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33007"/>
        <c:crosses val="autoZero"/>
        <c:auto val="1"/>
        <c:lblAlgn val="ctr"/>
        <c:lblOffset val="100"/>
        <c:noMultiLvlLbl val="0"/>
      </c:catAx>
      <c:valAx>
        <c:axId val="23533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500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Cull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Attributes!$Q$36:$Q$45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Attributes!$R$36:$R$45</c:f>
              <c:numCache>
                <c:formatCode>_("$"* #,##0.00_);_("$"* \(#,##0.00\);_("$"* "-"??_);_(@_)</c:formatCode>
                <c:ptCount val="10"/>
                <c:pt idx="0">
                  <c:v>196831.7695311514</c:v>
                </c:pt>
                <c:pt idx="1">
                  <c:v>143500.10916957114</c:v>
                </c:pt>
                <c:pt idx="2">
                  <c:v>89358.585632348899</c:v>
                </c:pt>
                <c:pt idx="3">
                  <c:v>26309.927346307759</c:v>
                </c:pt>
                <c:pt idx="4">
                  <c:v>-34008.289031312641</c:v>
                </c:pt>
                <c:pt idx="5">
                  <c:v>-104839.85545058447</c:v>
                </c:pt>
                <c:pt idx="6">
                  <c:v>-193973.14996678082</c:v>
                </c:pt>
                <c:pt idx="7">
                  <c:v>-325488.1603062767</c:v>
                </c:pt>
                <c:pt idx="8">
                  <c:v>-401712.97690054984</c:v>
                </c:pt>
                <c:pt idx="9">
                  <c:v>-452840.43686894549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DA-B645-BA00-BA009FACC0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0417952"/>
        <c:axId val="330419680"/>
      </c:barChart>
      <c:catAx>
        <c:axId val="330417952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419680"/>
        <c:crosses val="autoZero"/>
        <c:auto val="1"/>
        <c:lblAlgn val="ctr"/>
        <c:lblOffset val="100"/>
        <c:noMultiLvlLbl val="0"/>
      </c:catAx>
      <c:valAx>
        <c:axId val="33041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417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Interest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Attributes!$X$13:$X$22</c:f>
              <c:numCache>
                <c:formatCode>0.0%</c:formatCode>
                <c:ptCount val="10"/>
                <c:pt idx="0">
                  <c:v>5.0000000000000001E-3</c:v>
                </c:pt>
                <c:pt idx="1">
                  <c:v>0.01</c:v>
                </c:pt>
                <c:pt idx="2">
                  <c:v>1.4999999999999999E-2</c:v>
                </c:pt>
                <c:pt idx="3">
                  <c:v>0.02</c:v>
                </c:pt>
                <c:pt idx="4">
                  <c:v>2.5000000000000001E-2</c:v>
                </c:pt>
                <c:pt idx="5">
                  <c:v>0.03</c:v>
                </c:pt>
                <c:pt idx="6">
                  <c:v>3.5000000000000003E-2</c:v>
                </c:pt>
                <c:pt idx="7">
                  <c:v>0.04</c:v>
                </c:pt>
                <c:pt idx="8">
                  <c:v>4.4999999999999998E-2</c:v>
                </c:pt>
                <c:pt idx="9">
                  <c:v>0.05</c:v>
                </c:pt>
              </c:numCache>
            </c:numRef>
          </c:cat>
          <c:val>
            <c:numRef>
              <c:f>Attributes!$Y$13:$Y$22</c:f>
              <c:numCache>
                <c:formatCode>_("$"* #,##0.00_);_("$"* \(#,##0.00\);_("$"* "-"??_);_(@_)</c:formatCode>
                <c:ptCount val="10"/>
                <c:pt idx="0">
                  <c:v>273189.55073219771</c:v>
                </c:pt>
                <c:pt idx="1">
                  <c:v>262547.64277112286</c:v>
                </c:pt>
                <c:pt idx="2">
                  <c:v>252236.83287997596</c:v>
                </c:pt>
                <c:pt idx="3">
                  <c:v>242245.18782086004</c:v>
                </c:pt>
                <c:pt idx="4">
                  <c:v>232561.26119055535</c:v>
                </c:pt>
                <c:pt idx="5">
                  <c:v>223174.07140476222</c:v>
                </c:pt>
                <c:pt idx="6">
                  <c:v>214073.08076932834</c:v>
                </c:pt>
                <c:pt idx="7">
                  <c:v>205248.17558050819</c:v>
                </c:pt>
                <c:pt idx="8">
                  <c:v>196689.6471995982</c:v>
                </c:pt>
                <c:pt idx="9">
                  <c:v>188388.17405041881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8C-854E-BDF7-86D2024B58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3018032"/>
        <c:axId val="302292896"/>
      </c:barChart>
      <c:catAx>
        <c:axId val="253018032"/>
        <c:scaling>
          <c:orientation val="minMax"/>
        </c:scaling>
        <c:delete val="0"/>
        <c:axPos val="b"/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292896"/>
        <c:crosses val="autoZero"/>
        <c:auto val="1"/>
        <c:lblAlgn val="ctr"/>
        <c:lblOffset val="100"/>
        <c:noMultiLvlLbl val="0"/>
      </c:catAx>
      <c:valAx>
        <c:axId val="30229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018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Ewes Bought Upfront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Attributes!$AE$13:$AE$33</c:f>
              <c:numCache>
                <c:formatCode>General</c:formatCode>
                <c:ptCount val="21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</c:numCache>
            </c:numRef>
          </c:cat>
          <c:val>
            <c:numRef>
              <c:f>Attributes!$AF$13:$AF$33</c:f>
              <c:numCache>
                <c:formatCode>_("$"* #,##0.00_);_("$"* \(#,##0.00\);_("$"* "-"??_);_(@_)</c:formatCode>
                <c:ptCount val="21"/>
                <c:pt idx="0">
                  <c:v>32163.79557201518</c:v>
                </c:pt>
                <c:pt idx="1">
                  <c:v>62063.287682865113</c:v>
                </c:pt>
                <c:pt idx="2">
                  <c:v>85369.670086588128</c:v>
                </c:pt>
                <c:pt idx="3">
                  <c:v>108676.05249031127</c:v>
                </c:pt>
                <c:pt idx="4">
                  <c:v>131573.97186750901</c:v>
                </c:pt>
                <c:pt idx="5">
                  <c:v>143500.10916957114</c:v>
                </c:pt>
                <c:pt idx="6">
                  <c:v>155426.24647163306</c:v>
                </c:pt>
                <c:pt idx="7">
                  <c:v>167352.38377369492</c:v>
                </c:pt>
                <c:pt idx="8">
                  <c:v>179278.5210757569</c:v>
                </c:pt>
                <c:pt idx="9">
                  <c:v>191204.65837781891</c:v>
                </c:pt>
                <c:pt idx="10">
                  <c:v>202914.52654495739</c:v>
                </c:pt>
                <c:pt idx="11">
                  <c:v>207617.27474057578</c:v>
                </c:pt>
                <c:pt idx="12">
                  <c:v>212320.02293619412</c:v>
                </c:pt>
                <c:pt idx="13">
                  <c:v>217022.77113181239</c:v>
                </c:pt>
                <c:pt idx="14">
                  <c:v>221725.51932743101</c:v>
                </c:pt>
                <c:pt idx="15">
                  <c:v>226428.26752304941</c:v>
                </c:pt>
                <c:pt idx="16">
                  <c:v>231131.0157186678</c:v>
                </c:pt>
                <c:pt idx="17">
                  <c:v>235833.76391428613</c:v>
                </c:pt>
                <c:pt idx="18">
                  <c:v>240536.51210990446</c:v>
                </c:pt>
                <c:pt idx="19">
                  <c:v>245239.26030552285</c:v>
                </c:pt>
                <c:pt idx="20">
                  <c:v>249942.00850114124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C8-2F4D-AB69-5A92174E73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6012016"/>
        <c:axId val="345914224"/>
      </c:barChart>
      <c:catAx>
        <c:axId val="346012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914224"/>
        <c:crosses val="autoZero"/>
        <c:auto val="1"/>
        <c:lblAlgn val="ctr"/>
        <c:lblOffset val="100"/>
        <c:noMultiLvlLbl val="0"/>
      </c:catAx>
      <c:valAx>
        <c:axId val="34591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012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Loan Duration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Attributes!$X$26:$X$45</c:f>
              <c:numCache>
                <c:formatCode>0.0</c:formatCode>
                <c:ptCount val="20"/>
                <c:pt idx="0" formatCode="General">
                  <c:v>0.5</c:v>
                </c:pt>
                <c:pt idx="1">
                  <c:v>1</c:v>
                </c:pt>
                <c:pt idx="2" formatCode="General">
                  <c:v>1.5</c:v>
                </c:pt>
                <c:pt idx="3">
                  <c:v>2</c:v>
                </c:pt>
                <c:pt idx="4" formatCode="General">
                  <c:v>2.5</c:v>
                </c:pt>
                <c:pt idx="5">
                  <c:v>3</c:v>
                </c:pt>
                <c:pt idx="6" formatCode="General">
                  <c:v>3.5</c:v>
                </c:pt>
                <c:pt idx="7">
                  <c:v>4</c:v>
                </c:pt>
                <c:pt idx="8" formatCode="General">
                  <c:v>4.5</c:v>
                </c:pt>
                <c:pt idx="9">
                  <c:v>5</c:v>
                </c:pt>
                <c:pt idx="10" formatCode="General">
                  <c:v>5.5</c:v>
                </c:pt>
                <c:pt idx="11">
                  <c:v>6</c:v>
                </c:pt>
                <c:pt idx="12" formatCode="General">
                  <c:v>6.5</c:v>
                </c:pt>
                <c:pt idx="13">
                  <c:v>7</c:v>
                </c:pt>
                <c:pt idx="14" formatCode="General">
                  <c:v>7.5</c:v>
                </c:pt>
                <c:pt idx="15">
                  <c:v>8</c:v>
                </c:pt>
                <c:pt idx="16" formatCode="General">
                  <c:v>8.5</c:v>
                </c:pt>
                <c:pt idx="17">
                  <c:v>9</c:v>
                </c:pt>
                <c:pt idx="18" formatCode="General">
                  <c:v>9.5</c:v>
                </c:pt>
                <c:pt idx="19">
                  <c:v>10</c:v>
                </c:pt>
              </c:numCache>
            </c:numRef>
          </c:cat>
          <c:val>
            <c:numRef>
              <c:f>Attributes!$Y$26:$Y$45</c:f>
              <c:numCache>
                <c:formatCode>_("$"* #,##0.00_);_("$"* \(#,##0.00\);_("$"* "-"??_);_(@_)</c:formatCode>
                <c:ptCount val="20"/>
                <c:pt idx="0">
                  <c:v>175410.8964933659</c:v>
                </c:pt>
                <c:pt idx="1">
                  <c:v>144844.85875751681</c:v>
                </c:pt>
                <c:pt idx="2">
                  <c:v>154644.08260049089</c:v>
                </c:pt>
                <c:pt idx="3">
                  <c:v>144567.59063582003</c:v>
                </c:pt>
                <c:pt idx="4">
                  <c:v>150270.86527242564</c:v>
                </c:pt>
                <c:pt idx="5">
                  <c:v>144294.34989824309</c:v>
                </c:pt>
                <c:pt idx="6">
                  <c:v>148243.21545149945</c:v>
                </c:pt>
                <c:pt idx="7">
                  <c:v>144025.2722702313</c:v>
                </c:pt>
                <c:pt idx="8">
                  <c:v>147000.35679750206</c:v>
                </c:pt>
                <c:pt idx="9">
                  <c:v>143760.48552101004</c:v>
                </c:pt>
                <c:pt idx="10">
                  <c:v>146116.71018551924</c:v>
                </c:pt>
                <c:pt idx="11">
                  <c:v>143500.10916957114</c:v>
                </c:pt>
                <c:pt idx="12">
                  <c:v>145428.6584202362</c:v>
                </c:pt>
                <c:pt idx="13">
                  <c:v>143244.25422940531</c:v>
                </c:pt>
                <c:pt idx="14">
                  <c:v>144859.89900227706</c:v>
                </c:pt>
                <c:pt idx="15">
                  <c:v>142993.02299315252</c:v>
                </c:pt>
                <c:pt idx="16">
                  <c:v>144370.07717308152</c:v>
                </c:pt>
                <c:pt idx="17">
                  <c:v>142746.50885798704</c:v>
                </c:pt>
                <c:pt idx="18">
                  <c:v>143935.86116927056</c:v>
                </c:pt>
                <c:pt idx="19">
                  <c:v>142504.79619221692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F2-D646-8FD7-5BBDC1D57A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1463696"/>
        <c:axId val="291465424"/>
      </c:barChart>
      <c:catAx>
        <c:axId val="29146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465424"/>
        <c:crosses val="autoZero"/>
        <c:auto val="1"/>
        <c:lblAlgn val="ctr"/>
        <c:lblOffset val="100"/>
        <c:noMultiLvlLbl val="0"/>
      </c:catAx>
      <c:valAx>
        <c:axId val="29146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463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Maximum Flock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Attributes!$Q$15:$Q$19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Attributes!$R$15:$R$19</c:f>
              <c:numCache>
                <c:formatCode>_("$"* #,##0.00_);_("$"* \(#,##0.00\);_("$"* "-"??_);_(@_)</c:formatCode>
                <c:ptCount val="5"/>
                <c:pt idx="0">
                  <c:v>-183747.39767319654</c:v>
                </c:pt>
                <c:pt idx="1">
                  <c:v>-101450.91790091692</c:v>
                </c:pt>
                <c:pt idx="2">
                  <c:v>-9720.4758644862213</c:v>
                </c:pt>
                <c:pt idx="3">
                  <c:v>69187.164463151203</c:v>
                </c:pt>
                <c:pt idx="4">
                  <c:v>143500.10916957114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F7-B949-BF38-139847922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7466656"/>
        <c:axId val="332604368"/>
      </c:barChart>
      <c:catAx>
        <c:axId val="34746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604368"/>
        <c:crosses val="autoZero"/>
        <c:auto val="1"/>
        <c:lblAlgn val="ctr"/>
        <c:lblOffset val="100"/>
        <c:noMultiLvlLbl val="0"/>
      </c:catAx>
      <c:valAx>
        <c:axId val="33260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466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Annual Death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Attributes!$Q$49:$Q$67</c:f>
              <c:numCache>
                <c:formatCode>0%</c:formatCode>
                <c:ptCount val="1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  <c:pt idx="14">
                  <c:v>0.6</c:v>
                </c:pt>
                <c:pt idx="15">
                  <c:v>0.7</c:v>
                </c:pt>
                <c:pt idx="16">
                  <c:v>0.8</c:v>
                </c:pt>
                <c:pt idx="17">
                  <c:v>0.9</c:v>
                </c:pt>
                <c:pt idx="18">
                  <c:v>1</c:v>
                </c:pt>
              </c:numCache>
            </c:numRef>
          </c:cat>
          <c:val>
            <c:numRef>
              <c:f>Attributes!$R$49:$R$67</c:f>
              <c:numCache>
                <c:formatCode>_("$"* #,##0.00_);_("$"* \(#,##0.00\);_("$"* "-"??_);_(@_)</c:formatCode>
                <c:ptCount val="19"/>
                <c:pt idx="0">
                  <c:v>160629.41188176753</c:v>
                </c:pt>
                <c:pt idx="1">
                  <c:v>152060.31054346953</c:v>
                </c:pt>
                <c:pt idx="2">
                  <c:v>143500.10916957114</c:v>
                </c:pt>
                <c:pt idx="3">
                  <c:v>134948.80776007334</c:v>
                </c:pt>
                <c:pt idx="4">
                  <c:v>126406.40631497529</c:v>
                </c:pt>
                <c:pt idx="5">
                  <c:v>117872.90483427784</c:v>
                </c:pt>
                <c:pt idx="6">
                  <c:v>109348.30331797997</c:v>
                </c:pt>
                <c:pt idx="7">
                  <c:v>100832.6017660826</c:v>
                </c:pt>
                <c:pt idx="8">
                  <c:v>92325.800178585079</c:v>
                </c:pt>
                <c:pt idx="9">
                  <c:v>83827.898555488166</c:v>
                </c:pt>
                <c:pt idx="10">
                  <c:v>-9078.8029458741221</c:v>
                </c:pt>
                <c:pt idx="11">
                  <c:v>-100175.28527301882</c:v>
                </c:pt>
                <c:pt idx="12">
                  <c:v>-194665.55626779987</c:v>
                </c:pt>
                <c:pt idx="13">
                  <c:v>-294681.97061889636</c:v>
                </c:pt>
                <c:pt idx="14">
                  <c:v>-420789.25447699759</c:v>
                </c:pt>
                <c:pt idx="15">
                  <c:v>-480495.40104877361</c:v>
                </c:pt>
                <c:pt idx="16">
                  <c:v>-517158.02068429283</c:v>
                </c:pt>
                <c:pt idx="17">
                  <c:v>-540794.97047876508</c:v>
                </c:pt>
                <c:pt idx="18">
                  <c:v>-556088.92128558643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9B-DD4B-ACF9-881F434964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9838448"/>
        <c:axId val="254604384"/>
      </c:barChart>
      <c:catAx>
        <c:axId val="329838448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604384"/>
        <c:crosses val="autoZero"/>
        <c:auto val="1"/>
        <c:lblAlgn val="ctr"/>
        <c:lblOffset val="100"/>
        <c:noMultiLvlLbl val="0"/>
      </c:catAx>
      <c:valAx>
        <c:axId val="25460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83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FIxed Cost per Ewe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Attributes!$Q$71:$Q$95</c:f>
              <c:numCache>
                <c:formatCode>General</c:formatCode>
                <c:ptCount val="2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  <c:pt idx="11">
                  <c:v>240</c:v>
                </c:pt>
                <c:pt idx="12">
                  <c:v>260</c:v>
                </c:pt>
                <c:pt idx="13">
                  <c:v>280</c:v>
                </c:pt>
                <c:pt idx="14">
                  <c:v>300</c:v>
                </c:pt>
                <c:pt idx="15">
                  <c:v>320</c:v>
                </c:pt>
                <c:pt idx="16">
                  <c:v>340</c:v>
                </c:pt>
                <c:pt idx="17">
                  <c:v>360</c:v>
                </c:pt>
                <c:pt idx="18">
                  <c:v>380</c:v>
                </c:pt>
                <c:pt idx="19">
                  <c:v>400</c:v>
                </c:pt>
                <c:pt idx="20">
                  <c:v>420</c:v>
                </c:pt>
                <c:pt idx="21">
                  <c:v>440</c:v>
                </c:pt>
                <c:pt idx="22">
                  <c:v>460</c:v>
                </c:pt>
                <c:pt idx="23">
                  <c:v>480</c:v>
                </c:pt>
                <c:pt idx="24">
                  <c:v>500</c:v>
                </c:pt>
              </c:numCache>
            </c:numRef>
          </c:cat>
          <c:val>
            <c:numRef>
              <c:f>Attributes!$R$71:$R$95</c:f>
              <c:numCache>
                <c:formatCode>_("$"* #,##0.00_);_("$"* \(#,##0.00\);_("$"* "-"??_);_(@_)</c:formatCode>
                <c:ptCount val="25"/>
                <c:pt idx="0">
                  <c:v>201283.5106717796</c:v>
                </c:pt>
                <c:pt idx="1">
                  <c:v>197156.12485019321</c:v>
                </c:pt>
                <c:pt idx="2">
                  <c:v>193028.73902860691</c:v>
                </c:pt>
                <c:pt idx="3">
                  <c:v>188901.35320702064</c:v>
                </c:pt>
                <c:pt idx="4">
                  <c:v>184773.96738543434</c:v>
                </c:pt>
                <c:pt idx="5">
                  <c:v>180646.58156384793</c:v>
                </c:pt>
                <c:pt idx="6">
                  <c:v>176519.19574226165</c:v>
                </c:pt>
                <c:pt idx="7">
                  <c:v>172391.80992067538</c:v>
                </c:pt>
                <c:pt idx="8">
                  <c:v>168264.42409908891</c:v>
                </c:pt>
                <c:pt idx="9">
                  <c:v>164137.03827750267</c:v>
                </c:pt>
                <c:pt idx="10">
                  <c:v>160009.65245591637</c:v>
                </c:pt>
                <c:pt idx="11">
                  <c:v>155882.26663433001</c:v>
                </c:pt>
                <c:pt idx="12">
                  <c:v>151754.88081274368</c:v>
                </c:pt>
                <c:pt idx="13">
                  <c:v>147627.49499115738</c:v>
                </c:pt>
                <c:pt idx="14">
                  <c:v>143500.10916957114</c:v>
                </c:pt>
                <c:pt idx="15">
                  <c:v>139372.72334798472</c:v>
                </c:pt>
                <c:pt idx="16">
                  <c:v>135245.33752639845</c:v>
                </c:pt>
                <c:pt idx="17">
                  <c:v>131117.95170481215</c:v>
                </c:pt>
                <c:pt idx="18">
                  <c:v>126990.5658832257</c:v>
                </c:pt>
                <c:pt idx="19">
                  <c:v>122863.18006163943</c:v>
                </c:pt>
                <c:pt idx="20">
                  <c:v>118735.79424005313</c:v>
                </c:pt>
                <c:pt idx="21">
                  <c:v>114608.40841846689</c:v>
                </c:pt>
                <c:pt idx="22">
                  <c:v>110481.02259688044</c:v>
                </c:pt>
                <c:pt idx="23">
                  <c:v>106353.63677529414</c:v>
                </c:pt>
                <c:pt idx="24">
                  <c:v>102226.25095370787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CC-5B4A-A165-900029F8D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7448624"/>
        <c:axId val="330931824"/>
      </c:barChart>
      <c:catAx>
        <c:axId val="347448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931824"/>
        <c:crosses val="autoZero"/>
        <c:auto val="1"/>
        <c:lblAlgn val="ctr"/>
        <c:lblOffset val="100"/>
        <c:noMultiLvlLbl val="0"/>
      </c:catAx>
      <c:valAx>
        <c:axId val="33093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448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per Ram</a:t>
            </a:r>
            <a:r>
              <a:rPr lang="en-US" baseline="0"/>
              <a:t> Lamb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Attributes!$Q$99:$Q$123</c:f>
              <c:numCache>
                <c:formatCode>General</c:formatCode>
                <c:ptCount val="2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  <c:pt idx="11">
                  <c:v>240</c:v>
                </c:pt>
                <c:pt idx="12">
                  <c:v>260</c:v>
                </c:pt>
                <c:pt idx="13">
                  <c:v>280</c:v>
                </c:pt>
                <c:pt idx="14">
                  <c:v>300</c:v>
                </c:pt>
                <c:pt idx="15">
                  <c:v>320</c:v>
                </c:pt>
                <c:pt idx="16">
                  <c:v>340</c:v>
                </c:pt>
                <c:pt idx="17">
                  <c:v>360</c:v>
                </c:pt>
                <c:pt idx="18">
                  <c:v>380</c:v>
                </c:pt>
                <c:pt idx="19">
                  <c:v>400</c:v>
                </c:pt>
                <c:pt idx="20">
                  <c:v>420</c:v>
                </c:pt>
                <c:pt idx="21">
                  <c:v>440</c:v>
                </c:pt>
                <c:pt idx="22">
                  <c:v>460</c:v>
                </c:pt>
                <c:pt idx="23">
                  <c:v>480</c:v>
                </c:pt>
                <c:pt idx="24">
                  <c:v>500</c:v>
                </c:pt>
              </c:numCache>
            </c:numRef>
          </c:cat>
          <c:val>
            <c:numRef>
              <c:f>Attributes!$R$99:$R$123</c:f>
              <c:numCache>
                <c:formatCode>_("$"* #,##0.00_);_("$"* \(#,##0.00\);_("$"* "-"??_);_(@_)</c:formatCode>
                <c:ptCount val="25"/>
                <c:pt idx="0">
                  <c:v>-529101.93731970328</c:v>
                </c:pt>
                <c:pt idx="1">
                  <c:v>-470614.80284237495</c:v>
                </c:pt>
                <c:pt idx="2">
                  <c:v>-412127.66836504673</c:v>
                </c:pt>
                <c:pt idx="3">
                  <c:v>-353640.53388771857</c:v>
                </c:pt>
                <c:pt idx="4">
                  <c:v>-295153.3994103903</c:v>
                </c:pt>
                <c:pt idx="5">
                  <c:v>-236666.26493306214</c:v>
                </c:pt>
                <c:pt idx="6">
                  <c:v>-178179.130455734</c:v>
                </c:pt>
                <c:pt idx="7">
                  <c:v>-119691.99597840576</c:v>
                </c:pt>
                <c:pt idx="8">
                  <c:v>-61204.861501077539</c:v>
                </c:pt>
                <c:pt idx="9">
                  <c:v>-2717.727023749394</c:v>
                </c:pt>
                <c:pt idx="10">
                  <c:v>55769.407453578824</c:v>
                </c:pt>
                <c:pt idx="11">
                  <c:v>114256.54193090704</c:v>
                </c:pt>
                <c:pt idx="12">
                  <c:v>172743.67640823522</c:v>
                </c:pt>
                <c:pt idx="13">
                  <c:v>231230.81088556343</c:v>
                </c:pt>
                <c:pt idx="14">
                  <c:v>289717.94536289159</c:v>
                </c:pt>
                <c:pt idx="15">
                  <c:v>348205.07984021981</c:v>
                </c:pt>
                <c:pt idx="16">
                  <c:v>406692.21431754797</c:v>
                </c:pt>
                <c:pt idx="17">
                  <c:v>465179.34879487613</c:v>
                </c:pt>
                <c:pt idx="18">
                  <c:v>523666.48327220441</c:v>
                </c:pt>
                <c:pt idx="19">
                  <c:v>582153.61774953257</c:v>
                </c:pt>
                <c:pt idx="20">
                  <c:v>640640.75222686073</c:v>
                </c:pt>
                <c:pt idx="21">
                  <c:v>699127.886704189</c:v>
                </c:pt>
                <c:pt idx="22">
                  <c:v>757615.02118151728</c:v>
                </c:pt>
                <c:pt idx="23">
                  <c:v>816102.15565884544</c:v>
                </c:pt>
                <c:pt idx="24">
                  <c:v>874589.29013617348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E2-054F-BB57-B9DA0805AE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7487872"/>
        <c:axId val="348100304"/>
      </c:barChart>
      <c:catAx>
        <c:axId val="347487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100304"/>
        <c:crosses val="autoZero"/>
        <c:auto val="1"/>
        <c:lblAlgn val="ctr"/>
        <c:lblOffset val="100"/>
        <c:noMultiLvlLbl val="0"/>
      </c:catAx>
      <c:valAx>
        <c:axId val="34810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487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per Ewe</a:t>
            </a:r>
            <a:r>
              <a:rPr lang="en-US" baseline="0"/>
              <a:t> Lamb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Attributes!$Q$127:$Q$151</c:f>
              <c:numCache>
                <c:formatCode>General</c:formatCode>
                <c:ptCount val="2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  <c:pt idx="11">
                  <c:v>240</c:v>
                </c:pt>
                <c:pt idx="12">
                  <c:v>260</c:v>
                </c:pt>
                <c:pt idx="13">
                  <c:v>280</c:v>
                </c:pt>
                <c:pt idx="14">
                  <c:v>300</c:v>
                </c:pt>
                <c:pt idx="15">
                  <c:v>320</c:v>
                </c:pt>
                <c:pt idx="16">
                  <c:v>340</c:v>
                </c:pt>
                <c:pt idx="17">
                  <c:v>360</c:v>
                </c:pt>
                <c:pt idx="18">
                  <c:v>380</c:v>
                </c:pt>
                <c:pt idx="19">
                  <c:v>400</c:v>
                </c:pt>
                <c:pt idx="20">
                  <c:v>420</c:v>
                </c:pt>
                <c:pt idx="21">
                  <c:v>440</c:v>
                </c:pt>
                <c:pt idx="22">
                  <c:v>460</c:v>
                </c:pt>
                <c:pt idx="23">
                  <c:v>480</c:v>
                </c:pt>
                <c:pt idx="24">
                  <c:v>500</c:v>
                </c:pt>
              </c:numCache>
            </c:numRef>
          </c:cat>
          <c:val>
            <c:numRef>
              <c:f>Attributes!$R$127:$R$151</c:f>
              <c:numCache>
                <c:formatCode>_("$"* #,##0.00_);_("$"* \(#,##0.00\);_("$"* "-"??_);_(@_)</c:formatCode>
                <c:ptCount val="25"/>
                <c:pt idx="0">
                  <c:v>-294159.21188347612</c:v>
                </c:pt>
                <c:pt idx="1">
                  <c:v>-256101.87961799381</c:v>
                </c:pt>
                <c:pt idx="2">
                  <c:v>-218044.54735251141</c:v>
                </c:pt>
                <c:pt idx="3">
                  <c:v>-179987.21508702898</c:v>
                </c:pt>
                <c:pt idx="4">
                  <c:v>-141929.88282154666</c:v>
                </c:pt>
                <c:pt idx="5">
                  <c:v>-103872.55055606434</c:v>
                </c:pt>
                <c:pt idx="6">
                  <c:v>-65815.218290581935</c:v>
                </c:pt>
                <c:pt idx="7">
                  <c:v>-27757.8860250996</c:v>
                </c:pt>
                <c:pt idx="8">
                  <c:v>10299.446240382826</c:v>
                </c:pt>
                <c:pt idx="9">
                  <c:v>48356.778505865179</c:v>
                </c:pt>
                <c:pt idx="10">
                  <c:v>86414.110771347594</c:v>
                </c:pt>
                <c:pt idx="11">
                  <c:v>124471.44303682994</c:v>
                </c:pt>
                <c:pt idx="12">
                  <c:v>162528.77530231231</c:v>
                </c:pt>
                <c:pt idx="13">
                  <c:v>200586.10756779468</c:v>
                </c:pt>
                <c:pt idx="14">
                  <c:v>238643.43983327702</c:v>
                </c:pt>
                <c:pt idx="15">
                  <c:v>276700.77209875942</c:v>
                </c:pt>
                <c:pt idx="16">
                  <c:v>314758.10436424176</c:v>
                </c:pt>
                <c:pt idx="17">
                  <c:v>352815.43662972411</c:v>
                </c:pt>
                <c:pt idx="18">
                  <c:v>390872.76889520651</c:v>
                </c:pt>
                <c:pt idx="19">
                  <c:v>428930.10116068885</c:v>
                </c:pt>
                <c:pt idx="20">
                  <c:v>466987.43342617119</c:v>
                </c:pt>
                <c:pt idx="21">
                  <c:v>505044.76569165353</c:v>
                </c:pt>
                <c:pt idx="22">
                  <c:v>543102.09795713599</c:v>
                </c:pt>
                <c:pt idx="23">
                  <c:v>581159.43022261839</c:v>
                </c:pt>
                <c:pt idx="24">
                  <c:v>619216.76248810079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9C-794B-A51A-FB68337EEF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3679504"/>
        <c:axId val="329302608"/>
      </c:barChart>
      <c:catAx>
        <c:axId val="33367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302608"/>
        <c:crosses val="autoZero"/>
        <c:auto val="1"/>
        <c:lblAlgn val="ctr"/>
        <c:lblOffset val="100"/>
        <c:noMultiLvlLbl val="0"/>
      </c:catAx>
      <c:valAx>
        <c:axId val="32930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679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  <a:r>
              <a:rPr lang="en-US" baseline="0"/>
              <a:t> per Ewe Lamb Culled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Attributes!$Q$155:$Q$179</c:f>
              <c:numCache>
                <c:formatCode>General</c:formatCode>
                <c:ptCount val="2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  <c:pt idx="11">
                  <c:v>240</c:v>
                </c:pt>
                <c:pt idx="12">
                  <c:v>260</c:v>
                </c:pt>
                <c:pt idx="13">
                  <c:v>280</c:v>
                </c:pt>
                <c:pt idx="14">
                  <c:v>300</c:v>
                </c:pt>
                <c:pt idx="15">
                  <c:v>320</c:v>
                </c:pt>
                <c:pt idx="16">
                  <c:v>340</c:v>
                </c:pt>
                <c:pt idx="17">
                  <c:v>360</c:v>
                </c:pt>
                <c:pt idx="18">
                  <c:v>380</c:v>
                </c:pt>
                <c:pt idx="19">
                  <c:v>400</c:v>
                </c:pt>
                <c:pt idx="20">
                  <c:v>420</c:v>
                </c:pt>
                <c:pt idx="21">
                  <c:v>440</c:v>
                </c:pt>
                <c:pt idx="22">
                  <c:v>460</c:v>
                </c:pt>
                <c:pt idx="23">
                  <c:v>480</c:v>
                </c:pt>
                <c:pt idx="24">
                  <c:v>500</c:v>
                </c:pt>
              </c:numCache>
            </c:numRef>
          </c:cat>
          <c:val>
            <c:numRef>
              <c:f>Attributes!$R$155:$R$179</c:f>
              <c:numCache>
                <c:formatCode>_("$"* #,##0.00_);_("$"* \(#,##0.00\);_("$"* "-"??_);_(@_)</c:formatCode>
                <c:ptCount val="25"/>
                <c:pt idx="0">
                  <c:v>91511.545189723838</c:v>
                </c:pt>
                <c:pt idx="1">
                  <c:v>104508.68618468566</c:v>
                </c:pt>
                <c:pt idx="2">
                  <c:v>117505.82717964749</c:v>
                </c:pt>
                <c:pt idx="3">
                  <c:v>130502.96817460931</c:v>
                </c:pt>
                <c:pt idx="4">
                  <c:v>143500.10916957114</c:v>
                </c:pt>
                <c:pt idx="5">
                  <c:v>156497.25016453295</c:v>
                </c:pt>
                <c:pt idx="6">
                  <c:v>169494.39115949476</c:v>
                </c:pt>
                <c:pt idx="7">
                  <c:v>182491.5321544566</c:v>
                </c:pt>
                <c:pt idx="8">
                  <c:v>195488.67314941841</c:v>
                </c:pt>
                <c:pt idx="9">
                  <c:v>208485.81414438022</c:v>
                </c:pt>
                <c:pt idx="10">
                  <c:v>221482.95513934203</c:v>
                </c:pt>
                <c:pt idx="11">
                  <c:v>234480.09613430384</c:v>
                </c:pt>
                <c:pt idx="12">
                  <c:v>247477.23712926568</c:v>
                </c:pt>
                <c:pt idx="13">
                  <c:v>260474.37812422751</c:v>
                </c:pt>
                <c:pt idx="14">
                  <c:v>273471.5191191893</c:v>
                </c:pt>
                <c:pt idx="15">
                  <c:v>286468.66011415113</c:v>
                </c:pt>
                <c:pt idx="16">
                  <c:v>299465.80110911297</c:v>
                </c:pt>
                <c:pt idx="17">
                  <c:v>312462.94210407481</c:v>
                </c:pt>
                <c:pt idx="18">
                  <c:v>325460.08309903665</c:v>
                </c:pt>
                <c:pt idx="19">
                  <c:v>338457.22409399843</c:v>
                </c:pt>
                <c:pt idx="20">
                  <c:v>351454.36508896027</c:v>
                </c:pt>
                <c:pt idx="21">
                  <c:v>364451.50608392211</c:v>
                </c:pt>
                <c:pt idx="22">
                  <c:v>377448.64707888383</c:v>
                </c:pt>
                <c:pt idx="23">
                  <c:v>390445.78807384567</c:v>
                </c:pt>
                <c:pt idx="24">
                  <c:v>403442.92906880757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E8-5845-B8E1-FEB8B6270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9330688"/>
        <c:axId val="330093168"/>
      </c:barChart>
      <c:catAx>
        <c:axId val="329330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093168"/>
        <c:crosses val="autoZero"/>
        <c:auto val="1"/>
        <c:lblAlgn val="ctr"/>
        <c:lblOffset val="100"/>
        <c:noMultiLvlLbl val="0"/>
      </c:catAx>
      <c:valAx>
        <c:axId val="33009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330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.xml"/><Relationship Id="rId13" Type="http://schemas.openxmlformats.org/officeDocument/2006/relationships/chart" Target="../charts/chart11.xml"/><Relationship Id="rId18" Type="http://schemas.openxmlformats.org/officeDocument/2006/relationships/chart" Target="../charts/chart16.xml"/><Relationship Id="rId3" Type="http://schemas.openxmlformats.org/officeDocument/2006/relationships/image" Target="../media/image1.png"/><Relationship Id="rId7" Type="http://schemas.openxmlformats.org/officeDocument/2006/relationships/chart" Target="../charts/chart5.xml"/><Relationship Id="rId12" Type="http://schemas.openxmlformats.org/officeDocument/2006/relationships/chart" Target="../charts/chart10.xml"/><Relationship Id="rId17" Type="http://schemas.openxmlformats.org/officeDocument/2006/relationships/chart" Target="../charts/chart15.xml"/><Relationship Id="rId2" Type="http://schemas.openxmlformats.org/officeDocument/2006/relationships/chart" Target="../charts/chart2.xml"/><Relationship Id="rId16" Type="http://schemas.openxmlformats.org/officeDocument/2006/relationships/chart" Target="../charts/chart14.xml"/><Relationship Id="rId20" Type="http://schemas.openxmlformats.org/officeDocument/2006/relationships/image" Target="../media/image3.png"/><Relationship Id="rId1" Type="http://schemas.openxmlformats.org/officeDocument/2006/relationships/chart" Target="../charts/chart1.xml"/><Relationship Id="rId6" Type="http://schemas.openxmlformats.org/officeDocument/2006/relationships/chart" Target="../charts/chart4.xml"/><Relationship Id="rId11" Type="http://schemas.openxmlformats.org/officeDocument/2006/relationships/chart" Target="../charts/chart9.xml"/><Relationship Id="rId5" Type="http://schemas.openxmlformats.org/officeDocument/2006/relationships/chart" Target="../charts/chart3.xml"/><Relationship Id="rId15" Type="http://schemas.openxmlformats.org/officeDocument/2006/relationships/chart" Target="../charts/chart13.xml"/><Relationship Id="rId10" Type="http://schemas.openxmlformats.org/officeDocument/2006/relationships/chart" Target="../charts/chart8.xml"/><Relationship Id="rId19" Type="http://schemas.openxmlformats.org/officeDocument/2006/relationships/chart" Target="../charts/chart17.xml"/><Relationship Id="rId4" Type="http://schemas.openxmlformats.org/officeDocument/2006/relationships/image" Target="../media/image2.png"/><Relationship Id="rId9" Type="http://schemas.openxmlformats.org/officeDocument/2006/relationships/chart" Target="../charts/chart7.xml"/><Relationship Id="rId1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148167</xdr:colOff>
      <xdr:row>33</xdr:row>
      <xdr:rowOff>61383</xdr:rowOff>
    </xdr:from>
    <xdr:ext cx="4391025" cy="3314700"/>
    <xdr:graphicFrame macro="">
      <xdr:nvGraphicFramePr>
        <xdr:cNvPr id="1798385977" name="Chart 1" title="Chart">
          <a:extLst>
            <a:ext uri="{FF2B5EF4-FFF2-40B4-BE49-F238E27FC236}">
              <a16:creationId xmlns:a16="http://schemas.microsoft.com/office/drawing/2014/main" id="{00000000-0008-0000-0000-0000393131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5</xdr:col>
      <xdr:colOff>286809</xdr:colOff>
      <xdr:row>52</xdr:row>
      <xdr:rowOff>98424</xdr:rowOff>
    </xdr:from>
    <xdr:ext cx="4086225" cy="3295650"/>
    <xdr:graphicFrame macro="">
      <xdr:nvGraphicFramePr>
        <xdr:cNvPr id="1367759182" name="Chart 2" title="Chart">
          <a:extLst>
            <a:ext uri="{FF2B5EF4-FFF2-40B4-BE49-F238E27FC236}">
              <a16:creationId xmlns:a16="http://schemas.microsoft.com/office/drawing/2014/main" id="{00000000-0008-0000-0000-00004E5986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4</xdr:col>
      <xdr:colOff>9525</xdr:colOff>
      <xdr:row>7</xdr:row>
      <xdr:rowOff>133350</xdr:rowOff>
    </xdr:from>
    <xdr:ext cx="2343150" cy="67627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1009650</xdr:colOff>
      <xdr:row>17</xdr:row>
      <xdr:rowOff>180975</xdr:rowOff>
    </xdr:from>
    <xdr:ext cx="1323975" cy="1200150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>
    <xdr:from>
      <xdr:col>12</xdr:col>
      <xdr:colOff>287421</xdr:colOff>
      <xdr:row>11</xdr:row>
      <xdr:rowOff>159083</xdr:rowOff>
    </xdr:from>
    <xdr:to>
      <xdr:col>15</xdr:col>
      <xdr:colOff>828842</xdr:colOff>
      <xdr:row>23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B103DDD-6F7D-D80D-6175-3B7CBBB146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156308</xdr:colOff>
      <xdr:row>27</xdr:row>
      <xdr:rowOff>121697</xdr:rowOff>
    </xdr:from>
    <xdr:to>
      <xdr:col>15</xdr:col>
      <xdr:colOff>837363</xdr:colOff>
      <xdr:row>40</xdr:row>
      <xdr:rowOff>181429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4E542B0-19C8-0C13-73FB-3915D9CA2F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111649</xdr:colOff>
      <xdr:row>54</xdr:row>
      <xdr:rowOff>79828</xdr:rowOff>
    </xdr:from>
    <xdr:to>
      <xdr:col>15</xdr:col>
      <xdr:colOff>823407</xdr:colOff>
      <xdr:row>66</xdr:row>
      <xdr:rowOff>55824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14205EE-85DE-8E49-45CB-DF3B183DC9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135374</xdr:colOff>
      <xdr:row>77</xdr:row>
      <xdr:rowOff>37960</xdr:rowOff>
    </xdr:from>
    <xdr:to>
      <xdr:col>15</xdr:col>
      <xdr:colOff>851319</xdr:colOff>
      <xdr:row>90</xdr:row>
      <xdr:rowOff>27912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C093B4D-9DA3-ED30-F9C1-1BFDF9BE75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18</xdr:col>
      <xdr:colOff>142352</xdr:colOff>
      <xdr:row>20</xdr:row>
      <xdr:rowOff>10049</xdr:rowOff>
    </xdr:from>
    <xdr:to>
      <xdr:col>21</xdr:col>
      <xdr:colOff>753626</xdr:colOff>
      <xdr:row>31</xdr:row>
      <xdr:rowOff>181429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C09F0F3-324C-3227-768E-6E549D3EA4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18</xdr:col>
      <xdr:colOff>148167</xdr:colOff>
      <xdr:row>33</xdr:row>
      <xdr:rowOff>19353</xdr:rowOff>
    </xdr:from>
    <xdr:to>
      <xdr:col>21</xdr:col>
      <xdr:colOff>786191</xdr:colOff>
      <xdr:row>45</xdr:row>
      <xdr:rowOff>30238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BE5119F-05AA-3671-83C6-052DC72C62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25</xdr:col>
      <xdr:colOff>87688</xdr:colOff>
      <xdr:row>10</xdr:row>
      <xdr:rowOff>4232</xdr:rowOff>
    </xdr:from>
    <xdr:to>
      <xdr:col>28</xdr:col>
      <xdr:colOff>997856</xdr:colOff>
      <xdr:row>22</xdr:row>
      <xdr:rowOff>45357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AC70C4F-877A-3DD9-8707-ADF5DDE0A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32</xdr:col>
      <xdr:colOff>216202</xdr:colOff>
      <xdr:row>15</xdr:row>
      <xdr:rowOff>49590</xdr:rowOff>
    </xdr:from>
    <xdr:to>
      <xdr:col>35</xdr:col>
      <xdr:colOff>498928</xdr:colOff>
      <xdr:row>28</xdr:row>
      <xdr:rowOff>75595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BC9F7991-5195-0C07-29F6-ADE900FC4F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25</xdr:col>
      <xdr:colOff>95250</xdr:colOff>
      <xdr:row>24</xdr:row>
      <xdr:rowOff>155422</xdr:rowOff>
    </xdr:from>
    <xdr:to>
      <xdr:col>28</xdr:col>
      <xdr:colOff>876904</xdr:colOff>
      <xdr:row>40</xdr:row>
      <xdr:rowOff>60477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1AF9398B-3257-F147-DD05-15EE1C7462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18</xdr:col>
      <xdr:colOff>140607</xdr:colOff>
      <xdr:row>9</xdr:row>
      <xdr:rowOff>1</xdr:rowOff>
    </xdr:from>
    <xdr:to>
      <xdr:col>21</xdr:col>
      <xdr:colOff>786191</xdr:colOff>
      <xdr:row>19</xdr:row>
      <xdr:rowOff>60477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21CC582D-3D94-E813-6128-A4206A376F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18</xdr:col>
      <xdr:colOff>110368</xdr:colOff>
      <xdr:row>48</xdr:row>
      <xdr:rowOff>140305</xdr:rowOff>
    </xdr:from>
    <xdr:to>
      <xdr:col>23</xdr:col>
      <xdr:colOff>423332</xdr:colOff>
      <xdr:row>65</xdr:row>
      <xdr:rowOff>105833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DC8F24A0-9550-44A4-79A7-B1A360E2F5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18</xdr:col>
      <xdr:colOff>110368</xdr:colOff>
      <xdr:row>71</xdr:row>
      <xdr:rowOff>185660</xdr:rowOff>
    </xdr:from>
    <xdr:to>
      <xdr:col>23</xdr:col>
      <xdr:colOff>408213</xdr:colOff>
      <xdr:row>88</xdr:row>
      <xdr:rowOff>105832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568B1729-AABB-A153-3D2D-5514B69E5E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18</xdr:col>
      <xdr:colOff>155727</xdr:colOff>
      <xdr:row>99</xdr:row>
      <xdr:rowOff>170543</xdr:rowOff>
    </xdr:from>
    <xdr:to>
      <xdr:col>23</xdr:col>
      <xdr:colOff>433917</xdr:colOff>
      <xdr:row>113</xdr:row>
      <xdr:rowOff>162076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FC006DFE-5DD9-BC07-966A-0DB25934FC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18</xdr:col>
      <xdr:colOff>254001</xdr:colOff>
      <xdr:row>131</xdr:row>
      <xdr:rowOff>49590</xdr:rowOff>
    </xdr:from>
    <xdr:to>
      <xdr:col>23</xdr:col>
      <xdr:colOff>532191</xdr:colOff>
      <xdr:row>145</xdr:row>
      <xdr:rowOff>41124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8CDA8C80-AED4-B989-FF1A-CFDFCE730A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18</xdr:col>
      <xdr:colOff>269119</xdr:colOff>
      <xdr:row>159</xdr:row>
      <xdr:rowOff>34472</xdr:rowOff>
    </xdr:from>
    <xdr:to>
      <xdr:col>23</xdr:col>
      <xdr:colOff>547309</xdr:colOff>
      <xdr:row>173</xdr:row>
      <xdr:rowOff>26005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B53D0081-64D7-C475-97BF-C4D83DF7DD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 editAs="oneCell">
    <xdr:from>
      <xdr:col>39</xdr:col>
      <xdr:colOff>981810</xdr:colOff>
      <xdr:row>57</xdr:row>
      <xdr:rowOff>94967</xdr:rowOff>
    </xdr:from>
    <xdr:to>
      <xdr:col>47</xdr:col>
      <xdr:colOff>1026372</xdr:colOff>
      <xdr:row>64</xdr:row>
      <xdr:rowOff>30028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CAABD4F3-1067-01AB-CE07-63EBECC73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5390171" y="11316770"/>
          <a:ext cx="8872104" cy="124670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ithvik Duggireddy" id="{58D499CE-21B2-F047-B30C-90B4E804A772}" userId="12e7e90a4402825d" providerId="Windows Live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P67" dT="2023-10-27T12:30:11.00" personId="{58D499CE-21B2-F047-B30C-90B4E804A772}" id="{A900B1AB-705E-C841-BD90-77D81CD08BE3}">
    <text>Total NPV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6" dT="2023-11-10T11:52:49.00" personId="{58D499CE-21B2-F047-B30C-90B4E804A772}" id="{8823D4CC-EBE9-884F-8FA7-5FD6FCDCE00D}">
    <text>Only changes when mowMax changes. Constant every year unless Acres changes.</text>
  </threadedComment>
  <threadedComment ref="A17" dT="2023-11-10T11:54:51.47" personId="{58D499CE-21B2-F047-B30C-90B4E804A772}" id="{1E99C190-053B-9944-8F39-E37A3F8ACD65}">
    <text>Only changes when mowNoSheep - mowMax changes. Yearly values depend on growth rate.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1.xml"/><Relationship Id="rId3" Type="http://schemas.openxmlformats.org/officeDocument/2006/relationships/hyperlink" Target="mailto:caleb@scottscape.net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www.unitedagrivoltaics.com/" TargetMode="External"/><Relationship Id="rId1" Type="http://schemas.openxmlformats.org/officeDocument/2006/relationships/hyperlink" Target="mailto:vslaugh@cornell.edu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hyperlink" Target="http://www.scottscape.net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986"/>
  <sheetViews>
    <sheetView workbookViewId="0">
      <selection activeCell="B17" sqref="B17"/>
    </sheetView>
  </sheetViews>
  <sheetFormatPr baseColWidth="10" defaultColWidth="14.5" defaultRowHeight="15" customHeight="1" x14ac:dyDescent="0.2"/>
  <cols>
    <col min="1" max="1" width="42.33203125" customWidth="1"/>
    <col min="2" max="2" width="17.5" customWidth="1"/>
    <col min="3" max="3" width="21.83203125" customWidth="1"/>
    <col min="4" max="4" width="17.5" customWidth="1"/>
    <col min="5" max="5" width="19.5" customWidth="1"/>
    <col min="6" max="6" width="14.33203125" customWidth="1"/>
    <col min="7" max="7" width="12.1640625" customWidth="1"/>
    <col min="8" max="8" width="13.33203125" customWidth="1"/>
    <col min="9" max="9" width="13.83203125" customWidth="1"/>
    <col min="10" max="10" width="12.5" customWidth="1"/>
    <col min="11" max="11" width="27.6640625" customWidth="1"/>
    <col min="12" max="12" width="12.5" customWidth="1"/>
    <col min="13" max="13" width="8.83203125" customWidth="1"/>
    <col min="14" max="14" width="13" customWidth="1"/>
    <col min="15" max="15" width="12.33203125" customWidth="1"/>
    <col min="16" max="16" width="12.5" customWidth="1"/>
    <col min="17" max="17" width="20.33203125" customWidth="1"/>
    <col min="18" max="18" width="12.6640625" customWidth="1"/>
    <col min="19" max="19" width="8.83203125" customWidth="1"/>
    <col min="20" max="20" width="16.33203125" customWidth="1"/>
    <col min="21" max="21" width="8.83203125" customWidth="1"/>
    <col min="22" max="23" width="11.1640625" customWidth="1"/>
    <col min="24" max="24" width="16.83203125" customWidth="1"/>
    <col min="25" max="25" width="12" customWidth="1"/>
    <col min="26" max="27" width="8.83203125" customWidth="1"/>
    <col min="28" max="29" width="14.5" customWidth="1"/>
    <col min="35" max="35" width="18.6640625" bestFit="1" customWidth="1"/>
    <col min="36" max="36" width="16" customWidth="1"/>
    <col min="37" max="37" width="8.33203125" bestFit="1" customWidth="1"/>
    <col min="38" max="38" width="18.6640625" bestFit="1" customWidth="1"/>
  </cols>
  <sheetData>
    <row r="1" spans="1:49" ht="24" x14ac:dyDescent="0.3">
      <c r="A1" s="1" t="s">
        <v>0</v>
      </c>
      <c r="K1" s="105"/>
      <c r="L1" s="105"/>
    </row>
    <row r="2" spans="1:49" x14ac:dyDescent="0.2">
      <c r="E2" s="2" t="s">
        <v>1</v>
      </c>
      <c r="J2" s="26"/>
      <c r="K2" s="26"/>
      <c r="O2" s="26"/>
    </row>
    <row r="3" spans="1:49" x14ac:dyDescent="0.2">
      <c r="A3" s="2" t="s">
        <v>2</v>
      </c>
      <c r="B3" s="2" t="s">
        <v>3</v>
      </c>
      <c r="C3" s="2" t="s">
        <v>4</v>
      </c>
      <c r="D3" s="2"/>
      <c r="J3" s="26"/>
      <c r="L3" s="28"/>
    </row>
    <row r="4" spans="1:49" ht="16" x14ac:dyDescent="0.2">
      <c r="A4" s="28" t="s">
        <v>5</v>
      </c>
      <c r="B4" s="3" t="s">
        <v>6</v>
      </c>
      <c r="C4" s="4">
        <v>100</v>
      </c>
      <c r="E4" s="2" t="s">
        <v>7</v>
      </c>
      <c r="L4" s="42"/>
      <c r="M4" s="42"/>
    </row>
    <row r="5" spans="1:49" ht="16" x14ac:dyDescent="0.2">
      <c r="A5" s="28" t="s">
        <v>8</v>
      </c>
      <c r="B5" s="5" t="s">
        <v>9</v>
      </c>
      <c r="C5" s="6">
        <v>380</v>
      </c>
      <c r="E5" s="28" t="s">
        <v>10</v>
      </c>
      <c r="L5" s="43"/>
      <c r="M5" s="47"/>
    </row>
    <row r="6" spans="1:49" ht="16" x14ac:dyDescent="0.2">
      <c r="A6" s="28" t="s">
        <v>11</v>
      </c>
      <c r="B6" s="3" t="s">
        <v>12</v>
      </c>
      <c r="C6" s="4">
        <v>5</v>
      </c>
      <c r="E6" s="28" t="s">
        <v>13</v>
      </c>
      <c r="L6" s="43"/>
      <c r="M6" s="47"/>
    </row>
    <row r="7" spans="1:49" ht="16" x14ac:dyDescent="0.2">
      <c r="A7" s="99" t="s">
        <v>14</v>
      </c>
      <c r="B7" s="3" t="s">
        <v>15</v>
      </c>
      <c r="C7" s="6">
        <v>400</v>
      </c>
      <c r="E7" s="8" t="s">
        <v>16</v>
      </c>
      <c r="L7" s="43"/>
      <c r="M7" s="47"/>
    </row>
    <row r="8" spans="1:49" ht="16" x14ac:dyDescent="0.2">
      <c r="A8" s="99" t="s">
        <v>17</v>
      </c>
      <c r="B8" s="3" t="s">
        <v>18</v>
      </c>
      <c r="C8" s="6">
        <v>100</v>
      </c>
      <c r="K8" s="48"/>
      <c r="L8" s="43"/>
      <c r="M8" s="47"/>
      <c r="AN8" s="117" t="s">
        <v>111</v>
      </c>
      <c r="AO8" s="117"/>
      <c r="AP8" s="117"/>
      <c r="AQ8" s="117"/>
      <c r="AR8" s="117"/>
      <c r="AS8" s="117"/>
      <c r="AT8" s="117"/>
    </row>
    <row r="9" spans="1:49" ht="24" x14ac:dyDescent="0.3">
      <c r="B9" s="3"/>
      <c r="K9" s="105" t="s">
        <v>2</v>
      </c>
      <c r="L9" s="105"/>
      <c r="M9" s="47"/>
      <c r="Q9" s="105" t="s">
        <v>19</v>
      </c>
      <c r="R9" s="105"/>
      <c r="X9" s="105" t="s">
        <v>102</v>
      </c>
      <c r="Y9" s="105"/>
      <c r="AE9" s="105" t="s">
        <v>104</v>
      </c>
      <c r="AF9" s="105"/>
      <c r="AM9" s="46"/>
      <c r="AN9" s="117"/>
      <c r="AO9" s="117"/>
      <c r="AP9" s="117"/>
      <c r="AQ9" s="117"/>
      <c r="AR9" s="117"/>
      <c r="AS9" s="117"/>
      <c r="AT9" s="117"/>
    </row>
    <row r="10" spans="1:49" x14ac:dyDescent="0.2">
      <c r="A10" s="2" t="s">
        <v>19</v>
      </c>
      <c r="B10" s="10"/>
      <c r="AN10" s="43"/>
      <c r="AO10" s="47"/>
    </row>
    <row r="11" spans="1:49" ht="17" thickBot="1" x14ac:dyDescent="0.25">
      <c r="A11" s="28" t="s">
        <v>20</v>
      </c>
      <c r="B11" s="10" t="s">
        <v>21</v>
      </c>
      <c r="C11" s="4">
        <v>100</v>
      </c>
      <c r="K11" s="29" t="s">
        <v>8</v>
      </c>
      <c r="L11" s="29" t="s">
        <v>101</v>
      </c>
      <c r="Q11" s="28"/>
      <c r="R11" s="43"/>
      <c r="V11" s="28"/>
      <c r="W11" s="28"/>
      <c r="X11" s="29" t="s">
        <v>46</v>
      </c>
      <c r="Y11" s="29" t="s">
        <v>101</v>
      </c>
      <c r="AE11" s="29" t="s">
        <v>105</v>
      </c>
      <c r="AF11" s="29" t="s">
        <v>101</v>
      </c>
      <c r="AM11" s="54"/>
      <c r="AN11" s="106" t="s">
        <v>106</v>
      </c>
      <c r="AO11" s="107"/>
      <c r="AP11" s="107"/>
      <c r="AQ11" s="107"/>
      <c r="AR11" s="107"/>
      <c r="AS11" s="107"/>
      <c r="AT11" s="107"/>
      <c r="AU11" s="107"/>
      <c r="AV11" s="107"/>
      <c r="AW11" s="108"/>
    </row>
    <row r="12" spans="1:49" ht="16" x14ac:dyDescent="0.2">
      <c r="A12" s="28" t="s">
        <v>22</v>
      </c>
      <c r="B12" s="3" t="s">
        <v>23</v>
      </c>
      <c r="C12" s="11">
        <f>acres*sheepperacre</f>
        <v>500</v>
      </c>
      <c r="J12" s="104"/>
      <c r="K12" s="34"/>
      <c r="L12" s="41">
        <f>Analysis!M40</f>
        <v>143500.10916957114</v>
      </c>
      <c r="Q12" s="28"/>
      <c r="X12" s="24"/>
      <c r="Y12" s="39">
        <f>Analysis!M40</f>
        <v>143500.10916957114</v>
      </c>
      <c r="AE12" s="24"/>
      <c r="AF12" s="39">
        <f>Analysis!M40</f>
        <v>143500.10916957114</v>
      </c>
      <c r="AH12" s="112" t="s">
        <v>73</v>
      </c>
      <c r="AI12" s="113"/>
      <c r="AL12" s="53"/>
      <c r="AM12" s="55">
        <f>Analysis!M40</f>
        <v>143500.10916957114</v>
      </c>
      <c r="AN12" s="36">
        <v>50</v>
      </c>
      <c r="AO12" s="36">
        <v>100</v>
      </c>
      <c r="AP12" s="36">
        <v>150</v>
      </c>
      <c r="AQ12" s="36">
        <v>200</v>
      </c>
      <c r="AR12" s="36">
        <v>250</v>
      </c>
      <c r="AS12" s="36">
        <v>300</v>
      </c>
      <c r="AT12" s="24">
        <v>350</v>
      </c>
      <c r="AU12" s="24">
        <v>400</v>
      </c>
      <c r="AV12" s="24">
        <v>450</v>
      </c>
      <c r="AW12" s="24">
        <v>500</v>
      </c>
    </row>
    <row r="13" spans="1:49" ht="16" x14ac:dyDescent="0.2">
      <c r="A13" s="101" t="s">
        <v>24</v>
      </c>
      <c r="B13" s="3" t="s">
        <v>25</v>
      </c>
      <c r="C13" s="4">
        <v>1.8</v>
      </c>
      <c r="E13" s="2" t="s">
        <v>26</v>
      </c>
      <c r="J13" s="104"/>
      <c r="K13" s="34">
        <v>0</v>
      </c>
      <c r="L13" s="39">
        <f t="dataTable" ref="L13:L25" dt2D="0" dtr="0" r1="C5"/>
        <v>-136183.19878418729</v>
      </c>
      <c r="Q13" s="29" t="s">
        <v>22</v>
      </c>
      <c r="R13" s="29" t="s">
        <v>101</v>
      </c>
      <c r="X13" s="52">
        <v>5.0000000000000001E-3</v>
      </c>
      <c r="Y13" s="39">
        <f t="dataTable" ref="Y13:Y22" dt2D="0" dtr="0" r1="C22" ca="1"/>
        <v>273189.55073219771</v>
      </c>
      <c r="AE13" s="24">
        <v>0</v>
      </c>
      <c r="AF13" s="39">
        <f t="dataTable" ref="AF13:AF33" dt2D="0" dtr="0" r1="AI13" ca="1"/>
        <v>32163.79557201518</v>
      </c>
      <c r="AH13" s="91" t="s">
        <v>74</v>
      </c>
      <c r="AI13" s="92">
        <v>100</v>
      </c>
      <c r="AL13" s="114" t="s">
        <v>107</v>
      </c>
      <c r="AM13" s="24">
        <v>20</v>
      </c>
      <c r="AN13" s="55">
        <f t="dataTable" ref="AN13:AW19" dt2D="1" dtr="1" r1="C7" r2="C8" ca="1"/>
        <v>218239.58094578722</v>
      </c>
      <c r="AO13" s="55">
        <v>215302.77069302823</v>
      </c>
      <c r="AP13" s="55">
        <v>212365.96044026923</v>
      </c>
      <c r="AQ13" s="55">
        <v>209429.15018751027</v>
      </c>
      <c r="AR13" s="55">
        <v>206492.33993475125</v>
      </c>
      <c r="AS13" s="55">
        <v>203555.52968199228</v>
      </c>
      <c r="AT13" s="55">
        <v>200618.71942923329</v>
      </c>
      <c r="AU13" s="55">
        <v>197681.90917647429</v>
      </c>
      <c r="AV13" s="55">
        <v>194745.0989237153</v>
      </c>
      <c r="AW13" s="55">
        <v>191808.2886709563</v>
      </c>
    </row>
    <row r="14" spans="1:49" ht="17" thickBot="1" x14ac:dyDescent="0.25">
      <c r="A14" s="101" t="s">
        <v>27</v>
      </c>
      <c r="B14" s="3" t="s">
        <v>28</v>
      </c>
      <c r="C14" s="12">
        <v>0.2</v>
      </c>
      <c r="E14" s="28" t="s">
        <v>29</v>
      </c>
      <c r="J14" s="104"/>
      <c r="K14" s="34">
        <v>40</v>
      </c>
      <c r="L14" s="39">
        <v>-106742.85057852851</v>
      </c>
      <c r="Q14" s="34"/>
      <c r="R14" s="39">
        <f>Analysis!M40</f>
        <v>143500.10916957114</v>
      </c>
      <c r="X14" s="52">
        <v>0.01</v>
      </c>
      <c r="Y14" s="39">
        <v>262547.64277112286</v>
      </c>
      <c r="AE14" s="24">
        <v>20</v>
      </c>
      <c r="AF14" s="39">
        <v>62063.287682865113</v>
      </c>
      <c r="AH14" s="93" t="s">
        <v>75</v>
      </c>
      <c r="AI14" s="94">
        <f>eweCost * AI13</f>
        <v>30000</v>
      </c>
      <c r="AL14" s="115"/>
      <c r="AM14" s="24">
        <v>25</v>
      </c>
      <c r="AN14" s="55">
        <v>214853.21844535577</v>
      </c>
      <c r="AO14" s="55">
        <v>211916.40819259675</v>
      </c>
      <c r="AP14" s="55">
        <v>208979.59793983778</v>
      </c>
      <c r="AQ14" s="55">
        <v>206042.78768707882</v>
      </c>
      <c r="AR14" s="55">
        <v>203105.97743431979</v>
      </c>
      <c r="AS14" s="55">
        <v>200169.16718156083</v>
      </c>
      <c r="AT14" s="55">
        <v>197232.3569288018</v>
      </c>
      <c r="AU14" s="55">
        <v>194295.54667604284</v>
      </c>
      <c r="AV14" s="55">
        <v>191358.73642328382</v>
      </c>
      <c r="AW14" s="55">
        <v>188421.92617052485</v>
      </c>
    </row>
    <row r="15" spans="1:49" ht="16" x14ac:dyDescent="0.2">
      <c r="A15" s="101" t="s">
        <v>30</v>
      </c>
      <c r="B15" s="3" t="s">
        <v>31</v>
      </c>
      <c r="C15" s="12">
        <v>0.03</v>
      </c>
      <c r="E15" s="28" t="s">
        <v>32</v>
      </c>
      <c r="J15" s="104"/>
      <c r="K15" s="24">
        <v>80</v>
      </c>
      <c r="L15" s="39">
        <v>-77302.502372869742</v>
      </c>
      <c r="Q15" s="24">
        <v>100</v>
      </c>
      <c r="R15" s="39">
        <f t="dataTable" ref="R15:R19" dt2D="0" dtr="0" r1="C12" ca="1"/>
        <v>-183747.39767319654</v>
      </c>
      <c r="X15" s="52">
        <v>1.4999999999999999E-2</v>
      </c>
      <c r="Y15" s="39">
        <v>252236.83287997596</v>
      </c>
      <c r="AE15" s="24">
        <v>40</v>
      </c>
      <c r="AF15" s="39">
        <v>85369.670086588128</v>
      </c>
      <c r="AL15" s="115"/>
      <c r="AM15" s="24">
        <v>30</v>
      </c>
      <c r="AN15" s="55">
        <v>211466.85594492432</v>
      </c>
      <c r="AO15" s="55">
        <v>208530.04569216532</v>
      </c>
      <c r="AP15" s="55">
        <v>205593.23543940633</v>
      </c>
      <c r="AQ15" s="55">
        <v>202656.42518664736</v>
      </c>
      <c r="AR15" s="55">
        <v>199719.61493388837</v>
      </c>
      <c r="AS15" s="55">
        <v>196782.80468112938</v>
      </c>
      <c r="AT15" s="55">
        <v>193845.99442837038</v>
      </c>
      <c r="AU15" s="55">
        <v>190909.18417561139</v>
      </c>
      <c r="AV15" s="55">
        <v>187972.37392285239</v>
      </c>
      <c r="AW15" s="55">
        <v>185035.5636700934</v>
      </c>
    </row>
    <row r="16" spans="1:49" ht="16" x14ac:dyDescent="0.2">
      <c r="A16" s="28" t="s">
        <v>33</v>
      </c>
      <c r="B16" s="3" t="s">
        <v>34</v>
      </c>
      <c r="C16" s="6">
        <v>300</v>
      </c>
      <c r="E16" s="28" t="s">
        <v>35</v>
      </c>
      <c r="F16" s="8" t="s">
        <v>36</v>
      </c>
      <c r="H16" s="9"/>
      <c r="J16" s="104"/>
      <c r="K16" s="34">
        <v>120</v>
      </c>
      <c r="L16" s="39">
        <v>-47862.154167210887</v>
      </c>
      <c r="Q16" s="24">
        <v>200</v>
      </c>
      <c r="R16" s="39">
        <v>-101450.91790091692</v>
      </c>
      <c r="X16" s="52">
        <v>0.02</v>
      </c>
      <c r="Y16" s="39">
        <v>242245.18782086004</v>
      </c>
      <c r="AE16" s="24">
        <v>60</v>
      </c>
      <c r="AF16" s="39">
        <v>108676.05249031127</v>
      </c>
      <c r="AL16" s="115"/>
      <c r="AM16" s="24">
        <v>35</v>
      </c>
      <c r="AN16" s="55">
        <v>208080.49344449287</v>
      </c>
      <c r="AO16" s="55">
        <v>205143.68319173387</v>
      </c>
      <c r="AP16" s="55">
        <v>202206.87293897488</v>
      </c>
      <c r="AQ16" s="55">
        <v>199270.06268621588</v>
      </c>
      <c r="AR16" s="55">
        <v>196333.25243345692</v>
      </c>
      <c r="AS16" s="55">
        <v>193396.44218069792</v>
      </c>
      <c r="AT16" s="55">
        <v>190459.63192793893</v>
      </c>
      <c r="AU16" s="55">
        <v>187522.82167517996</v>
      </c>
      <c r="AV16" s="55">
        <v>184586.01142242094</v>
      </c>
      <c r="AW16" s="55">
        <v>181649.20116966197</v>
      </c>
    </row>
    <row r="17" spans="1:51" ht="16" x14ac:dyDescent="0.2">
      <c r="A17" s="28" t="s">
        <v>37</v>
      </c>
      <c r="B17" s="3" t="s">
        <v>38</v>
      </c>
      <c r="C17" s="13">
        <v>250</v>
      </c>
      <c r="E17" s="8" t="s">
        <v>39</v>
      </c>
      <c r="F17" s="8" t="s">
        <v>40</v>
      </c>
      <c r="J17" s="104"/>
      <c r="K17" s="34">
        <v>160</v>
      </c>
      <c r="L17" s="39">
        <v>-18421.805961552152</v>
      </c>
      <c r="Q17" s="24">
        <v>300</v>
      </c>
      <c r="R17" s="39">
        <v>-9720.4758644862213</v>
      </c>
      <c r="X17" s="52">
        <v>2.5000000000000001E-2</v>
      </c>
      <c r="Y17" s="39">
        <v>232561.26119055535</v>
      </c>
      <c r="AE17" s="24">
        <v>80</v>
      </c>
      <c r="AF17" s="39">
        <v>131573.97186750901</v>
      </c>
      <c r="AL17" s="115"/>
      <c r="AM17" s="24">
        <v>40</v>
      </c>
      <c r="AN17" s="55">
        <v>204694.13094406144</v>
      </c>
      <c r="AO17" s="55">
        <v>201757.32069130242</v>
      </c>
      <c r="AP17" s="55">
        <v>198820.51043854345</v>
      </c>
      <c r="AQ17" s="55">
        <v>195883.70018578449</v>
      </c>
      <c r="AR17" s="55">
        <v>192946.88993302546</v>
      </c>
      <c r="AS17" s="55">
        <v>190010.0796802665</v>
      </c>
      <c r="AT17" s="55">
        <v>187073.26942750748</v>
      </c>
      <c r="AU17" s="55">
        <v>184136.45917474851</v>
      </c>
      <c r="AV17" s="55">
        <v>181199.64892198954</v>
      </c>
      <c r="AW17" s="55">
        <v>178262.83866923052</v>
      </c>
    </row>
    <row r="18" spans="1:51" ht="16" x14ac:dyDescent="0.2">
      <c r="A18" s="28" t="s">
        <v>41</v>
      </c>
      <c r="B18" s="3" t="s">
        <v>42</v>
      </c>
      <c r="C18" s="14">
        <v>250</v>
      </c>
      <c r="J18" s="104"/>
      <c r="K18" s="24">
        <v>200</v>
      </c>
      <c r="L18" s="39">
        <v>11018.542244106626</v>
      </c>
      <c r="Q18" s="24">
        <v>400</v>
      </c>
      <c r="R18" s="39">
        <v>69187.164463151203</v>
      </c>
      <c r="X18" s="52">
        <v>0.03</v>
      </c>
      <c r="Y18" s="39">
        <v>223174.07140476222</v>
      </c>
      <c r="AE18" s="24">
        <v>100</v>
      </c>
      <c r="AF18" s="39">
        <v>143500.10916957114</v>
      </c>
      <c r="AL18" s="115"/>
      <c r="AM18" s="24">
        <v>45</v>
      </c>
      <c r="AN18" s="55">
        <v>201307.76844362999</v>
      </c>
      <c r="AO18" s="55">
        <v>198370.958190871</v>
      </c>
      <c r="AP18" s="55">
        <v>195434.147938112</v>
      </c>
      <c r="AQ18" s="55">
        <v>192497.33768535301</v>
      </c>
      <c r="AR18" s="55">
        <v>189560.52743259404</v>
      </c>
      <c r="AS18" s="55">
        <v>186623.71717983505</v>
      </c>
      <c r="AT18" s="55">
        <v>183686.90692707605</v>
      </c>
      <c r="AU18" s="55">
        <v>180750.09667431706</v>
      </c>
      <c r="AV18" s="55">
        <v>177813.28642155806</v>
      </c>
      <c r="AW18" s="55">
        <v>174876.47616879907</v>
      </c>
    </row>
    <row r="19" spans="1:51" ht="16" x14ac:dyDescent="0.2">
      <c r="A19" s="28" t="s">
        <v>43</v>
      </c>
      <c r="B19" s="3" t="s">
        <v>44</v>
      </c>
      <c r="C19" s="14">
        <v>100</v>
      </c>
      <c r="J19" s="104"/>
      <c r="K19" s="34">
        <v>240</v>
      </c>
      <c r="L19" s="39">
        <v>40458.890449765415</v>
      </c>
      <c r="Q19" s="24">
        <v>500</v>
      </c>
      <c r="R19" s="39">
        <v>143500.10916957114</v>
      </c>
      <c r="X19" s="52">
        <v>3.5000000000000003E-2</v>
      </c>
      <c r="Y19" s="39">
        <v>214073.08076932834</v>
      </c>
      <c r="AE19" s="24">
        <v>120</v>
      </c>
      <c r="AF19" s="39">
        <v>155426.24647163306</v>
      </c>
      <c r="AL19" s="116"/>
      <c r="AM19" s="24">
        <v>50</v>
      </c>
      <c r="AN19" s="55">
        <v>197921.40594319854</v>
      </c>
      <c r="AO19" s="55">
        <v>194984.59569043951</v>
      </c>
      <c r="AP19" s="55">
        <v>192047.78543768055</v>
      </c>
      <c r="AQ19" s="55">
        <v>189110.97518492152</v>
      </c>
      <c r="AR19" s="55">
        <v>186174.16493216256</v>
      </c>
      <c r="AS19" s="55">
        <v>183237.35467940359</v>
      </c>
      <c r="AT19" s="55">
        <v>180300.54442664457</v>
      </c>
      <c r="AU19" s="55">
        <v>177363.7341738856</v>
      </c>
      <c r="AV19" s="55">
        <v>174426.92392112664</v>
      </c>
      <c r="AW19" s="55">
        <v>171490.11366836762</v>
      </c>
    </row>
    <row r="20" spans="1:51" ht="15" customHeight="1" x14ac:dyDescent="0.2">
      <c r="A20" s="101" t="s">
        <v>112</v>
      </c>
      <c r="B20" s="3" t="s">
        <v>113</v>
      </c>
      <c r="C20" s="4">
        <f>SUM(1, -death,-cull,repro/2)</f>
        <v>1.67</v>
      </c>
      <c r="J20" s="40"/>
      <c r="K20" s="34">
        <v>280</v>
      </c>
      <c r="L20" s="39">
        <v>69899.238655424168</v>
      </c>
      <c r="X20" s="52">
        <v>0.04</v>
      </c>
      <c r="Y20" s="39">
        <v>205248.17558050819</v>
      </c>
      <c r="AE20" s="24">
        <v>140</v>
      </c>
      <c r="AF20" s="39">
        <v>167352.38377369492</v>
      </c>
      <c r="AL20" s="40"/>
    </row>
    <row r="21" spans="1:51" ht="15.75" customHeight="1" x14ac:dyDescent="0.2">
      <c r="A21" s="2" t="s">
        <v>45</v>
      </c>
      <c r="B21" s="3"/>
      <c r="K21" s="24">
        <v>320</v>
      </c>
      <c r="L21" s="44">
        <v>99339.586861082949</v>
      </c>
      <c r="Q21" s="29" t="s">
        <v>24</v>
      </c>
      <c r="R21" s="29" t="s">
        <v>101</v>
      </c>
      <c r="X21" s="52">
        <v>4.4999999999999998E-2</v>
      </c>
      <c r="Y21" s="39">
        <v>196689.6471995982</v>
      </c>
      <c r="AE21" s="24">
        <v>160</v>
      </c>
      <c r="AF21" s="39">
        <v>179278.5210757569</v>
      </c>
      <c r="AM21" s="37"/>
      <c r="AN21" s="106" t="s">
        <v>103</v>
      </c>
      <c r="AO21" s="107"/>
      <c r="AP21" s="107"/>
      <c r="AQ21" s="107"/>
      <c r="AR21" s="107"/>
      <c r="AS21" s="107"/>
      <c r="AT21" s="107"/>
      <c r="AU21" s="107"/>
      <c r="AV21" s="107"/>
      <c r="AW21" s="107"/>
      <c r="AX21" s="107"/>
      <c r="AY21" s="108"/>
    </row>
    <row r="22" spans="1:51" ht="15.75" customHeight="1" x14ac:dyDescent="0.2">
      <c r="A22" s="28" t="s">
        <v>46</v>
      </c>
      <c r="B22" s="3" t="s">
        <v>47</v>
      </c>
      <c r="C22" s="12">
        <v>0.08</v>
      </c>
      <c r="J22" s="104"/>
      <c r="K22" s="34">
        <v>360</v>
      </c>
      <c r="L22" s="39">
        <v>128779.93506674173</v>
      </c>
      <c r="Q22" s="24"/>
      <c r="R22" s="39">
        <f>Analysis!M40</f>
        <v>143500.10916957114</v>
      </c>
      <c r="X22" s="52">
        <v>0.05</v>
      </c>
      <c r="Y22" s="39">
        <v>188388.17405041881</v>
      </c>
      <c r="AE22" s="24">
        <v>180</v>
      </c>
      <c r="AF22" s="39">
        <v>191204.65837781891</v>
      </c>
      <c r="AL22" s="56"/>
      <c r="AM22" s="55">
        <f ca="1">D44</f>
        <v>143500.10916957114</v>
      </c>
      <c r="AN22" s="24">
        <v>0.5</v>
      </c>
      <c r="AO22" s="24">
        <v>1</v>
      </c>
      <c r="AP22" s="24">
        <v>1.5</v>
      </c>
      <c r="AQ22" s="24">
        <v>2</v>
      </c>
      <c r="AR22" s="24">
        <v>2.5</v>
      </c>
      <c r="AS22" s="24">
        <v>3</v>
      </c>
      <c r="AT22" s="24">
        <v>3.5</v>
      </c>
      <c r="AU22" s="24">
        <v>4</v>
      </c>
      <c r="AV22" s="24">
        <v>4.5</v>
      </c>
      <c r="AW22" s="24">
        <v>5</v>
      </c>
      <c r="AX22" s="24">
        <v>5.5</v>
      </c>
      <c r="AY22" s="24">
        <v>6</v>
      </c>
    </row>
    <row r="23" spans="1:51" ht="15.75" customHeight="1" x14ac:dyDescent="0.2">
      <c r="A23" s="28" t="s">
        <v>48</v>
      </c>
      <c r="B23" s="3" t="s">
        <v>49</v>
      </c>
      <c r="C23" s="4">
        <v>6</v>
      </c>
      <c r="J23" s="104"/>
      <c r="K23" s="34">
        <v>400</v>
      </c>
      <c r="L23" s="39">
        <v>158220.28327240053</v>
      </c>
      <c r="Q23" s="24">
        <v>1.1000000000000001</v>
      </c>
      <c r="R23" s="39">
        <f t="dataTable" ref="R23:R32" dt2D="0" dtr="0" r1="C13" ca="1"/>
        <v>-440166.93163366971</v>
      </c>
      <c r="X23" s="28"/>
      <c r="AE23" s="24">
        <v>200</v>
      </c>
      <c r="AF23" s="39">
        <v>202914.52654495739</v>
      </c>
      <c r="AL23" s="109" t="s">
        <v>46</v>
      </c>
      <c r="AM23" s="50">
        <v>0.01</v>
      </c>
      <c r="AN23" s="39">
        <f t="dataTable" ref="AN23:AY32" dt2D="1" dtr="1" r1="C23" r2="C22" ca="1"/>
        <v>292807.09247768309</v>
      </c>
      <c r="AO23" s="39">
        <v>262732.65079033817</v>
      </c>
      <c r="AP23" s="39">
        <v>272707.63114026602</v>
      </c>
      <c r="AQ23" s="39">
        <v>262695.52322507848</v>
      </c>
      <c r="AR23" s="39">
        <v>268658.06261836609</v>
      </c>
      <c r="AS23" s="39">
        <v>262658.45830171916</v>
      </c>
      <c r="AT23" s="39">
        <v>266901.39001371793</v>
      </c>
      <c r="AU23" s="39">
        <v>262621.45636005042</v>
      </c>
      <c r="AV23" s="39">
        <v>265909.05841638555</v>
      </c>
      <c r="AW23" s="39">
        <v>262584.5177379009</v>
      </c>
      <c r="AX23" s="39">
        <v>265264.189459029</v>
      </c>
      <c r="AY23" s="39">
        <v>262547.64277112286</v>
      </c>
    </row>
    <row r="24" spans="1:51" ht="15.75" customHeight="1" x14ac:dyDescent="0.2">
      <c r="A24" s="28" t="s">
        <v>109</v>
      </c>
      <c r="B24" s="3" t="s">
        <v>108</v>
      </c>
      <c r="C24" s="58">
        <f>intRate*0.75</f>
        <v>0.06</v>
      </c>
      <c r="J24" s="104"/>
      <c r="K24" s="24">
        <v>440</v>
      </c>
      <c r="L24" s="39">
        <v>187660.63147805928</v>
      </c>
      <c r="Q24" s="24">
        <v>1.2</v>
      </c>
      <c r="R24" s="39">
        <v>-358589.76029656472</v>
      </c>
      <c r="X24" s="29" t="s">
        <v>103</v>
      </c>
      <c r="Y24" s="29" t="s">
        <v>101</v>
      </c>
      <c r="AE24" s="24">
        <v>220</v>
      </c>
      <c r="AF24" s="39">
        <v>207617.27474057578</v>
      </c>
      <c r="AL24" s="110"/>
      <c r="AM24" s="51">
        <v>0.02</v>
      </c>
      <c r="AN24" s="39">
        <v>272758.0368231248</v>
      </c>
      <c r="AO24" s="39">
        <v>242610.25357189329</v>
      </c>
      <c r="AP24" s="39">
        <v>252560.17958968165</v>
      </c>
      <c r="AQ24" s="39">
        <v>242536.73315231755</v>
      </c>
      <c r="AR24" s="39">
        <v>248461.89807444855</v>
      </c>
      <c r="AS24" s="39">
        <v>242463.46375681026</v>
      </c>
      <c r="AT24" s="39">
        <v>246663.77419216096</v>
      </c>
      <c r="AU24" s="39">
        <v>242390.44801176584</v>
      </c>
      <c r="AV24" s="39">
        <v>245632.54158398396</v>
      </c>
      <c r="AW24" s="39">
        <v>242317.68851211251</v>
      </c>
      <c r="AX24" s="39">
        <v>244950.03856442764</v>
      </c>
      <c r="AY24" s="39">
        <v>242245.18782086004</v>
      </c>
    </row>
    <row r="25" spans="1:51" ht="15.75" customHeight="1" x14ac:dyDescent="0.2">
      <c r="A25" s="2" t="s">
        <v>50</v>
      </c>
      <c r="J25" s="104"/>
      <c r="K25" s="34">
        <v>480</v>
      </c>
      <c r="L25" s="39">
        <v>217100.97968371806</v>
      </c>
      <c r="Q25" s="24">
        <v>1.3</v>
      </c>
      <c r="R25" s="39">
        <v>-277494.06721154612</v>
      </c>
      <c r="X25" s="34"/>
      <c r="Y25" s="39">
        <f>Analysis!M40</f>
        <v>143500.10916957114</v>
      </c>
      <c r="AE25" s="24">
        <v>240</v>
      </c>
      <c r="AF25" s="39">
        <v>212320.02293619412</v>
      </c>
      <c r="AL25" s="110"/>
      <c r="AM25" s="50">
        <v>0.03</v>
      </c>
      <c r="AN25" s="39">
        <v>253934.34741849857</v>
      </c>
      <c r="AO25" s="39">
        <v>223714.29851874305</v>
      </c>
      <c r="AP25" s="39">
        <v>233639.14219824204</v>
      </c>
      <c r="AQ25" s="39">
        <v>223605.10494713471</v>
      </c>
      <c r="AR25" s="39">
        <v>229492.9920676577</v>
      </c>
      <c r="AS25" s="39">
        <v>223496.47696863877</v>
      </c>
      <c r="AT25" s="39">
        <v>227654.34478006486</v>
      </c>
      <c r="AU25" s="39">
        <v>223388.42314460862</v>
      </c>
      <c r="AV25" s="39">
        <v>226585.25760658999</v>
      </c>
      <c r="AW25" s="39">
        <v>223280.95187691986</v>
      </c>
      <c r="AX25" s="39">
        <v>225866.2976262664</v>
      </c>
      <c r="AY25" s="39">
        <v>223174.07140476222</v>
      </c>
    </row>
    <row r="26" spans="1:51" ht="15.75" customHeight="1" x14ac:dyDescent="0.2">
      <c r="A26" s="2" t="s">
        <v>51</v>
      </c>
      <c r="B26" s="2" t="s">
        <v>52</v>
      </c>
      <c r="C26" s="100" t="s">
        <v>53</v>
      </c>
      <c r="D26" s="100" t="s">
        <v>54</v>
      </c>
      <c r="E26" s="2" t="s">
        <v>55</v>
      </c>
      <c r="J26" s="104"/>
      <c r="Q26" s="24">
        <v>1.4</v>
      </c>
      <c r="R26" s="39">
        <v>-194662.04144921666</v>
      </c>
      <c r="X26" s="24">
        <v>0.5</v>
      </c>
      <c r="Y26" s="39">
        <f t="dataTable" ref="Y26:Y45" dt2D="0" dtr="0" r1="C23" ca="1"/>
        <v>175410.8964933659</v>
      </c>
      <c r="AE26" s="24">
        <v>260</v>
      </c>
      <c r="AF26" s="39">
        <v>217022.77113181239</v>
      </c>
      <c r="AL26" s="110"/>
      <c r="AM26" s="50">
        <v>0.04</v>
      </c>
      <c r="AN26" s="39">
        <v>236249.98796302863</v>
      </c>
      <c r="AO26" s="39">
        <v>205958.7258271063</v>
      </c>
      <c r="AP26" s="39">
        <v>215858.46551598288</v>
      </c>
      <c r="AQ26" s="39">
        <v>205814.564099827</v>
      </c>
      <c r="AR26" s="39">
        <v>211665.27999528759</v>
      </c>
      <c r="AS26" s="39">
        <v>205671.40887109903</v>
      </c>
      <c r="AT26" s="39">
        <v>209787.02893419767</v>
      </c>
      <c r="AU26" s="39">
        <v>205529.27973455872</v>
      </c>
      <c r="AV26" s="39">
        <v>208681.12918739341</v>
      </c>
      <c r="AW26" s="39">
        <v>205388.19577994428</v>
      </c>
      <c r="AX26" s="39">
        <v>207926.88980387669</v>
      </c>
      <c r="AY26" s="39">
        <v>205248.17558050819</v>
      </c>
    </row>
    <row r="27" spans="1:51" ht="15.75" customHeight="1" x14ac:dyDescent="0.2">
      <c r="A27" s="99" t="s">
        <v>56</v>
      </c>
      <c r="B27" s="14"/>
      <c r="C27" s="102">
        <f>mowNoSheep</f>
        <v>400</v>
      </c>
      <c r="D27" s="102">
        <f>-1*(mowNoSheep-mowMax)*acres/maxflock</f>
        <v>-60</v>
      </c>
      <c r="E27" s="14"/>
      <c r="J27" s="104"/>
      <c r="K27" s="29" t="s">
        <v>11</v>
      </c>
      <c r="L27" s="29" t="s">
        <v>101</v>
      </c>
      <c r="Q27" s="24">
        <v>1.5</v>
      </c>
      <c r="R27" s="39">
        <v>-110030.71156334903</v>
      </c>
      <c r="X27" s="30">
        <v>1</v>
      </c>
      <c r="Y27" s="39">
        <v>144844.85875751681</v>
      </c>
      <c r="AE27" s="24">
        <v>280</v>
      </c>
      <c r="AF27" s="39">
        <v>221725.51932743101</v>
      </c>
      <c r="AL27" s="110"/>
      <c r="AM27" s="50">
        <v>0.05</v>
      </c>
      <c r="AN27" s="39">
        <v>219625.71695118383</v>
      </c>
      <c r="AO27" s="39">
        <v>189264.27116805132</v>
      </c>
      <c r="AP27" s="39">
        <v>199138.8912610285</v>
      </c>
      <c r="AQ27" s="39">
        <v>189085.83187458594</v>
      </c>
      <c r="AR27" s="39">
        <v>194899.492432281</v>
      </c>
      <c r="AS27" s="39">
        <v>188908.96619804218</v>
      </c>
      <c r="AT27" s="39">
        <v>192982.54853162676</v>
      </c>
      <c r="AU27" s="39">
        <v>188733.71107418588</v>
      </c>
      <c r="AV27" s="39">
        <v>191840.87257256923</v>
      </c>
      <c r="AW27" s="39">
        <v>188560.10221048121</v>
      </c>
      <c r="AX27" s="39">
        <v>191052.5295906697</v>
      </c>
      <c r="AY27" s="39">
        <v>188388.17405041881</v>
      </c>
    </row>
    <row r="28" spans="1:51" ht="15.75" customHeight="1" x14ac:dyDescent="0.2">
      <c r="A28" s="28" t="s">
        <v>57</v>
      </c>
      <c r="B28" s="14"/>
      <c r="C28" s="14"/>
      <c r="D28" s="14"/>
      <c r="E28" s="14">
        <v>14000</v>
      </c>
      <c r="I28" s="28" t="s">
        <v>117</v>
      </c>
      <c r="J28" s="104"/>
      <c r="K28" s="24"/>
      <c r="L28" s="39">
        <f>L12</f>
        <v>143500.10916957114</v>
      </c>
      <c r="Q28" s="24">
        <v>1.6</v>
      </c>
      <c r="R28" s="39">
        <v>-23537.106107715743</v>
      </c>
      <c r="X28" s="24">
        <v>1.5</v>
      </c>
      <c r="Y28" s="39">
        <v>154644.08260049089</v>
      </c>
      <c r="AE28" s="24">
        <v>300</v>
      </c>
      <c r="AF28" s="39">
        <v>226428.26752304941</v>
      </c>
      <c r="AL28" s="110"/>
      <c r="AM28" s="50">
        <v>0.06</v>
      </c>
      <c r="AN28" s="39">
        <v>203988.49567638553</v>
      </c>
      <c r="AO28" s="39">
        <v>173557.87366681613</v>
      </c>
      <c r="AP28" s="39">
        <v>183407.36431345594</v>
      </c>
      <c r="AQ28" s="39">
        <v>173345.83328490341</v>
      </c>
      <c r="AR28" s="39">
        <v>179122.56313589544</v>
      </c>
      <c r="AS28" s="39">
        <v>173136.05947733662</v>
      </c>
      <c r="AT28" s="39">
        <v>177167.82821483052</v>
      </c>
      <c r="AU28" s="39">
        <v>172928.61382360532</v>
      </c>
      <c r="AV28" s="39">
        <v>175991.40568059424</v>
      </c>
      <c r="AW28" s="39">
        <v>172723.55536326146</v>
      </c>
      <c r="AX28" s="39">
        <v>175170.13108742124</v>
      </c>
      <c r="AY28" s="39">
        <v>172520.94051373404</v>
      </c>
    </row>
    <row r="29" spans="1:51" ht="15.75" customHeight="1" x14ac:dyDescent="0.2">
      <c r="A29" s="28" t="s">
        <v>58</v>
      </c>
      <c r="B29" s="14"/>
      <c r="C29" s="14"/>
      <c r="D29" s="14">
        <v>15</v>
      </c>
      <c r="E29" s="14"/>
      <c r="K29" s="24">
        <v>1</v>
      </c>
      <c r="L29" s="39">
        <f t="dataTable" ref="L29:L48" dt2D="0" dtr="0" r1="C6" ca="1"/>
        <v>-183747.39767319654</v>
      </c>
      <c r="Q29" s="24">
        <v>1.7</v>
      </c>
      <c r="R29" s="39">
        <v>60327.785711828641</v>
      </c>
      <c r="X29" s="30">
        <v>2</v>
      </c>
      <c r="Y29" s="39">
        <v>144567.59063582003</v>
      </c>
      <c r="AE29" s="24">
        <v>320</v>
      </c>
      <c r="AF29" s="39">
        <v>231131.0157186678</v>
      </c>
      <c r="AL29" s="110"/>
      <c r="AM29" s="50">
        <v>7.0000000000000007E-2</v>
      </c>
      <c r="AN29" s="39">
        <v>189270.95233281492</v>
      </c>
      <c r="AO29" s="39">
        <v>158772.139981271</v>
      </c>
      <c r="AP29" s="39">
        <v>168596.4968075506</v>
      </c>
      <c r="AQ29" s="39">
        <v>158527.16116793168</v>
      </c>
      <c r="AR29" s="39">
        <v>164267.09314790391</v>
      </c>
      <c r="AS29" s="39">
        <v>158285.26712224301</v>
      </c>
      <c r="AT29" s="39">
        <v>162275.45953211095</v>
      </c>
      <c r="AU29" s="39">
        <v>158046.55215517298</v>
      </c>
      <c r="AV29" s="39">
        <v>161065.31232338661</v>
      </c>
      <c r="AW29" s="39">
        <v>157811.10589055595</v>
      </c>
      <c r="AX29" s="39">
        <v>160212.27236371883</v>
      </c>
      <c r="AY29" s="39">
        <v>157579.01310113887</v>
      </c>
    </row>
    <row r="30" spans="1:51" ht="15.75" customHeight="1" x14ac:dyDescent="0.2">
      <c r="A30" s="28" t="s">
        <v>59</v>
      </c>
      <c r="B30" s="14"/>
      <c r="C30" s="14"/>
      <c r="D30" s="14"/>
      <c r="E30" s="14">
        <f>200*27</f>
        <v>5400</v>
      </c>
      <c r="K30" s="24">
        <v>2</v>
      </c>
      <c r="L30" s="44">
        <v>-101450.91790091692</v>
      </c>
      <c r="Q30" s="24">
        <v>1.8</v>
      </c>
      <c r="R30" s="39">
        <v>143500.10916957114</v>
      </c>
      <c r="T30" s="28"/>
      <c r="X30" s="24">
        <v>2.5</v>
      </c>
      <c r="Y30" s="39">
        <v>150270.86527242564</v>
      </c>
      <c r="AE30" s="24">
        <v>340</v>
      </c>
      <c r="AF30" s="39">
        <v>235833.76391428613</v>
      </c>
      <c r="AL30" s="110"/>
      <c r="AM30" s="50">
        <v>0.08</v>
      </c>
      <c r="AN30" s="39">
        <v>175410.8964933659</v>
      </c>
      <c r="AO30" s="39">
        <v>144844.85875751681</v>
      </c>
      <c r="AP30" s="39">
        <v>154644.08260049089</v>
      </c>
      <c r="AQ30" s="39">
        <v>144567.59063582003</v>
      </c>
      <c r="AR30" s="39">
        <v>150270.86527242564</v>
      </c>
      <c r="AS30" s="39">
        <v>144294.34989824309</v>
      </c>
      <c r="AT30" s="39">
        <v>148243.21545149945</v>
      </c>
      <c r="AU30" s="39">
        <v>144025.2722702313</v>
      </c>
      <c r="AV30" s="39">
        <v>147000.35679750206</v>
      </c>
      <c r="AW30" s="39">
        <v>143760.48552101004</v>
      </c>
      <c r="AX30" s="39">
        <v>146116.71018551924</v>
      </c>
      <c r="AY30" s="39">
        <v>143500.10916957114</v>
      </c>
    </row>
    <row r="31" spans="1:51" ht="15.75" customHeight="1" x14ac:dyDescent="0.2">
      <c r="A31" s="28" t="s">
        <v>60</v>
      </c>
      <c r="B31" s="14"/>
      <c r="C31" s="14"/>
      <c r="D31" s="14">
        <v>10</v>
      </c>
      <c r="E31" s="14"/>
      <c r="K31" s="24">
        <v>3</v>
      </c>
      <c r="L31" s="39">
        <v>-9720.4758644862213</v>
      </c>
      <c r="Q31" s="24">
        <v>1.9</v>
      </c>
      <c r="R31" s="39">
        <v>227117.43084732065</v>
      </c>
      <c r="X31" s="30">
        <v>3</v>
      </c>
      <c r="Y31" s="39">
        <v>144294.34989824309</v>
      </c>
      <c r="AE31" s="24">
        <v>360</v>
      </c>
      <c r="AF31" s="39">
        <v>240536.51210990446</v>
      </c>
      <c r="AL31" s="110"/>
      <c r="AM31" s="50">
        <v>0.09</v>
      </c>
      <c r="AN31" s="39">
        <v>162350.87886504293</v>
      </c>
      <c r="AO31" s="39">
        <v>131718.56036387195</v>
      </c>
      <c r="AP31" s="39">
        <v>141492.65701875364</v>
      </c>
      <c r="AQ31" s="39">
        <v>131409.63880530655</v>
      </c>
      <c r="AR31" s="39">
        <v>137076.40383073036</v>
      </c>
      <c r="AS31" s="39">
        <v>131105.81066670542</v>
      </c>
      <c r="AT31" s="39">
        <v>135013.61014959682</v>
      </c>
      <c r="AU31" s="39">
        <v>130807.26218945053</v>
      </c>
      <c r="AV31" s="39">
        <v>133739.04374687493</v>
      </c>
      <c r="AW31" s="39">
        <v>130514.16694685249</v>
      </c>
      <c r="AX31" s="39">
        <v>132825.94001005468</v>
      </c>
      <c r="AY31" s="39">
        <v>130226.68535866865</v>
      </c>
    </row>
    <row r="32" spans="1:51" ht="15.75" customHeight="1" x14ac:dyDescent="0.2">
      <c r="A32" s="28" t="s">
        <v>61</v>
      </c>
      <c r="B32" s="14"/>
      <c r="C32" s="14"/>
      <c r="D32" s="14">
        <v>25</v>
      </c>
      <c r="E32" s="14"/>
      <c r="K32" s="24">
        <v>4</v>
      </c>
      <c r="L32" s="39">
        <v>69187.164463151203</v>
      </c>
      <c r="Q32" s="30">
        <v>2</v>
      </c>
      <c r="R32" s="39">
        <v>311179.75074507733</v>
      </c>
      <c r="T32" s="28"/>
      <c r="X32" s="24">
        <v>3.5</v>
      </c>
      <c r="Y32" s="39">
        <v>148243.21545149945</v>
      </c>
      <c r="AE32" s="24">
        <v>380</v>
      </c>
      <c r="AF32" s="39">
        <v>245239.26030552285</v>
      </c>
      <c r="AL32" s="111"/>
      <c r="AM32" s="50">
        <v>0.1</v>
      </c>
      <c r="AN32" s="39">
        <v>150037.79177434737</v>
      </c>
      <c r="AO32" s="39">
        <v>119340.1173557427</v>
      </c>
      <c r="AP32" s="39">
        <v>129089.09733477313</v>
      </c>
      <c r="AQ32" s="39">
        <v>119000.16525808375</v>
      </c>
      <c r="AR32" s="39">
        <v>124630.57514559929</v>
      </c>
      <c r="AS32" s="39">
        <v>118666.4948580068</v>
      </c>
      <c r="AT32" s="39">
        <v>122533.49952802592</v>
      </c>
      <c r="AU32" s="39">
        <v>118339.35226955017</v>
      </c>
      <c r="AV32" s="39">
        <v>121228.21874983629</v>
      </c>
      <c r="AW32" s="39">
        <v>118018.96443236672</v>
      </c>
      <c r="AX32" s="39">
        <v>120286.79670063089</v>
      </c>
      <c r="AY32" s="39">
        <v>117705.538361527</v>
      </c>
    </row>
    <row r="33" spans="1:51" ht="15.75" customHeight="1" x14ac:dyDescent="0.2">
      <c r="A33" s="28" t="s">
        <v>62</v>
      </c>
      <c r="B33" s="14"/>
      <c r="C33" s="14"/>
      <c r="D33" s="14">
        <v>110</v>
      </c>
      <c r="E33" s="14"/>
      <c r="K33" s="24">
        <v>5</v>
      </c>
      <c r="L33" s="39">
        <v>143500.10916957114</v>
      </c>
      <c r="X33" s="30">
        <v>4</v>
      </c>
      <c r="Y33" s="39">
        <v>144025.2722702313</v>
      </c>
      <c r="AE33" s="24">
        <v>400</v>
      </c>
      <c r="AF33" s="39">
        <v>249942.00850114124</v>
      </c>
    </row>
    <row r="34" spans="1:51" ht="15.75" customHeight="1" x14ac:dyDescent="0.2">
      <c r="A34" s="28" t="s">
        <v>63</v>
      </c>
      <c r="B34" s="14"/>
      <c r="C34" s="14"/>
      <c r="D34" s="14">
        <v>50</v>
      </c>
      <c r="E34" s="14">
        <v>50000</v>
      </c>
      <c r="I34" s="9"/>
      <c r="K34" s="24">
        <v>6</v>
      </c>
      <c r="L34" s="39">
        <v>211566.71629530366</v>
      </c>
      <c r="Q34" s="29" t="s">
        <v>27</v>
      </c>
      <c r="R34" s="29" t="s">
        <v>101</v>
      </c>
      <c r="X34" s="24">
        <v>4.5</v>
      </c>
      <c r="Y34" s="39">
        <v>147000.35679750206</v>
      </c>
      <c r="AM34" s="37"/>
      <c r="AN34" s="106" t="s">
        <v>103</v>
      </c>
      <c r="AO34" s="107"/>
      <c r="AP34" s="107"/>
      <c r="AQ34" s="107"/>
      <c r="AR34" s="107"/>
      <c r="AS34" s="107"/>
      <c r="AT34" s="107"/>
      <c r="AU34" s="107"/>
      <c r="AV34" s="107"/>
      <c r="AW34" s="107"/>
      <c r="AX34" s="107"/>
      <c r="AY34" s="108"/>
    </row>
    <row r="35" spans="1:51" ht="15.75" customHeight="1" x14ac:dyDescent="0.2">
      <c r="A35" s="28" t="s">
        <v>64</v>
      </c>
      <c r="B35" s="14"/>
      <c r="C35" s="14"/>
      <c r="D35" s="14"/>
      <c r="E35" s="14">
        <v>600</v>
      </c>
      <c r="I35" s="9"/>
      <c r="K35" s="24">
        <v>7</v>
      </c>
      <c r="L35" s="39">
        <v>270367.15451266599</v>
      </c>
      <c r="Q35" s="24"/>
      <c r="R35" s="39">
        <f>Analysis!M40</f>
        <v>143500.10916957114</v>
      </c>
      <c r="X35" s="30">
        <v>5</v>
      </c>
      <c r="Y35" s="39">
        <v>143760.48552101004</v>
      </c>
      <c r="AL35" s="56"/>
      <c r="AM35" s="55">
        <f>Analysis!M40</f>
        <v>143500.10916957114</v>
      </c>
      <c r="AN35" s="24">
        <v>0.5</v>
      </c>
      <c r="AO35" s="24">
        <v>1</v>
      </c>
      <c r="AP35" s="24">
        <v>1.5</v>
      </c>
      <c r="AQ35" s="24">
        <v>2</v>
      </c>
      <c r="AR35" s="24">
        <v>2.5</v>
      </c>
      <c r="AS35" s="24">
        <v>3</v>
      </c>
      <c r="AT35" s="24">
        <v>3.5</v>
      </c>
      <c r="AU35" s="24">
        <v>4</v>
      </c>
      <c r="AV35" s="24">
        <v>4.5</v>
      </c>
      <c r="AW35" s="24">
        <v>5</v>
      </c>
      <c r="AX35" s="24">
        <v>5.5</v>
      </c>
      <c r="AY35" s="24">
        <v>6</v>
      </c>
    </row>
    <row r="36" spans="1:51" ht="15.75" customHeight="1" x14ac:dyDescent="0.2">
      <c r="A36" s="28" t="s">
        <v>65</v>
      </c>
      <c r="B36" s="14">
        <v>15000</v>
      </c>
      <c r="C36" s="14"/>
      <c r="D36" s="14"/>
      <c r="E36" s="14"/>
      <c r="I36" s="9"/>
      <c r="K36" s="24">
        <v>8</v>
      </c>
      <c r="L36" s="39">
        <v>330744.17974241334</v>
      </c>
      <c r="Q36" s="50">
        <v>0.1</v>
      </c>
      <c r="R36" s="39">
        <f t="dataTable" ref="R36:R45" dt2D="0" dtr="0" r1="C14" ca="1"/>
        <v>196831.7695311514</v>
      </c>
      <c r="X36" s="24">
        <v>5.5</v>
      </c>
      <c r="Y36" s="39">
        <v>146116.71018551924</v>
      </c>
      <c r="AL36" s="114" t="s">
        <v>110</v>
      </c>
      <c r="AM36" s="24">
        <v>0</v>
      </c>
      <c r="AN36" s="39">
        <f t="dataTable" ref="AN36:AY56" dt2D="1" dtr="1" r1="C23" r2="AI13" ca="1"/>
        <v>32163.79557201518</v>
      </c>
      <c r="AO36" s="39">
        <v>32163.79557201518</v>
      </c>
      <c r="AP36" s="39">
        <v>32163.79557201518</v>
      </c>
      <c r="AQ36" s="39">
        <v>32163.79557201518</v>
      </c>
      <c r="AR36" s="39">
        <v>32163.79557201518</v>
      </c>
      <c r="AS36" s="39">
        <v>32163.79557201518</v>
      </c>
      <c r="AT36" s="39">
        <v>32163.79557201518</v>
      </c>
      <c r="AU36" s="39">
        <v>32163.79557201518</v>
      </c>
      <c r="AV36" s="39">
        <v>32163.79557201518</v>
      </c>
      <c r="AW36" s="39">
        <v>32163.79557201518</v>
      </c>
      <c r="AX36" s="39">
        <v>32163.79557201518</v>
      </c>
      <c r="AY36" s="39">
        <v>32163.79557201518</v>
      </c>
    </row>
    <row r="37" spans="1:51" ht="15.75" customHeight="1" x14ac:dyDescent="0.2">
      <c r="A37" s="28" t="s">
        <v>66</v>
      </c>
      <c r="B37" s="14">
        <f>500*27</f>
        <v>13500</v>
      </c>
      <c r="C37" s="14"/>
      <c r="D37" s="14"/>
      <c r="E37" s="14"/>
      <c r="I37" s="9"/>
      <c r="K37" s="24">
        <v>9</v>
      </c>
      <c r="L37" s="39">
        <v>392172.26298041746</v>
      </c>
      <c r="Q37" s="50">
        <v>0.2</v>
      </c>
      <c r="R37" s="39">
        <v>143500.10916957114</v>
      </c>
      <c r="X37" s="30">
        <v>6</v>
      </c>
      <c r="Y37" s="39">
        <v>143500.10916957114</v>
      </c>
      <c r="AL37" s="115"/>
      <c r="AM37" s="24">
        <v>20</v>
      </c>
      <c r="AN37" s="39">
        <v>68445.445147624094</v>
      </c>
      <c r="AO37" s="39">
        <v>62332.237600454268</v>
      </c>
      <c r="AP37" s="39">
        <v>64292.082369049102</v>
      </c>
      <c r="AQ37" s="39">
        <v>62276.783976114959</v>
      </c>
      <c r="AR37" s="39">
        <v>63417.438903436057</v>
      </c>
      <c r="AS37" s="39">
        <v>62222.13582859953</v>
      </c>
      <c r="AT37" s="39">
        <v>63011.908939250854</v>
      </c>
      <c r="AU37" s="39">
        <v>62168.320302997214</v>
      </c>
      <c r="AV37" s="39">
        <v>62763.337208451376</v>
      </c>
      <c r="AW37" s="39">
        <v>62115.362953152966</v>
      </c>
      <c r="AX37" s="39">
        <v>62586.607886054779</v>
      </c>
      <c r="AY37" s="39">
        <v>62063.287682865113</v>
      </c>
    </row>
    <row r="38" spans="1:51" ht="15.75" customHeight="1" x14ac:dyDescent="0.2">
      <c r="A38" s="28" t="s">
        <v>67</v>
      </c>
      <c r="B38" s="25">
        <f>100*eweCost</f>
        <v>30000</v>
      </c>
      <c r="C38" s="14"/>
      <c r="D38" s="14"/>
      <c r="E38" s="14"/>
      <c r="I38" s="9"/>
      <c r="K38" s="24">
        <v>10</v>
      </c>
      <c r="L38" s="39">
        <v>442826.63358237734</v>
      </c>
      <c r="Q38" s="50">
        <v>0.3</v>
      </c>
      <c r="R38" s="39">
        <v>89358.585632348899</v>
      </c>
      <c r="X38" s="24">
        <v>6.5</v>
      </c>
      <c r="Y38" s="39">
        <v>145428.6584202362</v>
      </c>
      <c r="AL38" s="115"/>
      <c r="AM38" s="24">
        <v>40</v>
      </c>
      <c r="AN38" s="39">
        <v>98133.985016106104</v>
      </c>
      <c r="AO38" s="39">
        <v>85907.569921766466</v>
      </c>
      <c r="AP38" s="39">
        <v>89827.259458956134</v>
      </c>
      <c r="AQ38" s="39">
        <v>85796.662673087732</v>
      </c>
      <c r="AR38" s="39">
        <v>88077.972527729988</v>
      </c>
      <c r="AS38" s="39">
        <v>85687.366378056991</v>
      </c>
      <c r="AT38" s="39">
        <v>87266.912599359581</v>
      </c>
      <c r="AU38" s="39">
        <v>85579.735326852213</v>
      </c>
      <c r="AV38" s="39">
        <v>86769.769137760624</v>
      </c>
      <c r="AW38" s="39">
        <v>85473.820627163746</v>
      </c>
      <c r="AX38" s="39">
        <v>86416.310492967386</v>
      </c>
      <c r="AY38" s="39">
        <v>85369.670086588128</v>
      </c>
    </row>
    <row r="39" spans="1:51" ht="15.75" customHeight="1" x14ac:dyDescent="0.2">
      <c r="A39" s="99" t="s">
        <v>68</v>
      </c>
      <c r="B39" s="16">
        <f>SUM(B27:B38)</f>
        <v>58500</v>
      </c>
      <c r="C39" s="102">
        <f t="shared" ref="C39:E39" si="0">SUM(C27:C37)</f>
        <v>400</v>
      </c>
      <c r="D39" s="102">
        <f t="shared" si="0"/>
        <v>150</v>
      </c>
      <c r="E39" s="15">
        <f t="shared" si="0"/>
        <v>70000</v>
      </c>
      <c r="I39" s="9"/>
      <c r="K39" s="24">
        <v>11</v>
      </c>
      <c r="L39" s="39">
        <v>489100.17450507137</v>
      </c>
      <c r="Q39" s="50">
        <v>0.4</v>
      </c>
      <c r="R39" s="39">
        <v>26309.927346307759</v>
      </c>
      <c r="X39" s="30">
        <v>7</v>
      </c>
      <c r="Y39" s="39">
        <v>143244.25422940531</v>
      </c>
      <c r="AL39" s="115"/>
      <c r="AM39" s="24">
        <v>60</v>
      </c>
      <c r="AN39" s="39">
        <v>127822.5248845882</v>
      </c>
      <c r="AO39" s="39">
        <v>109482.90224307877</v>
      </c>
      <c r="AP39" s="39">
        <v>115362.43654886325</v>
      </c>
      <c r="AQ39" s="39">
        <v>109316.54137006073</v>
      </c>
      <c r="AR39" s="39">
        <v>112738.50615202409</v>
      </c>
      <c r="AS39" s="39">
        <v>109152.59692751453</v>
      </c>
      <c r="AT39" s="39">
        <v>111521.91625946833</v>
      </c>
      <c r="AU39" s="39">
        <v>108991.15035070744</v>
      </c>
      <c r="AV39" s="39">
        <v>110776.20106706998</v>
      </c>
      <c r="AW39" s="39">
        <v>108832.27830117475</v>
      </c>
      <c r="AX39" s="39">
        <v>110246.01309988019</v>
      </c>
      <c r="AY39" s="39">
        <v>108676.05249031127</v>
      </c>
    </row>
    <row r="40" spans="1:51" ht="15.75" customHeight="1" x14ac:dyDescent="0.2">
      <c r="I40" s="9"/>
      <c r="K40" s="24">
        <v>12</v>
      </c>
      <c r="L40" s="39">
        <v>536120.46678882104</v>
      </c>
      <c r="Q40" s="50">
        <v>0.5</v>
      </c>
      <c r="R40" s="39">
        <v>-34008.289031312641</v>
      </c>
      <c r="X40" s="24">
        <v>7.5</v>
      </c>
      <c r="Y40" s="39">
        <v>144859.89900227706</v>
      </c>
      <c r="AL40" s="115"/>
      <c r="AM40" s="24">
        <v>80</v>
      </c>
      <c r="AN40" s="39">
        <v>157102.6017265449</v>
      </c>
      <c r="AO40" s="39">
        <v>132649.77153786563</v>
      </c>
      <c r="AP40" s="39">
        <v>140489.15061224494</v>
      </c>
      <c r="AQ40" s="39">
        <v>132427.95704050828</v>
      </c>
      <c r="AR40" s="39">
        <v>136990.5767497927</v>
      </c>
      <c r="AS40" s="39">
        <v>132209.36445044668</v>
      </c>
      <c r="AT40" s="39">
        <v>135368.45689305174</v>
      </c>
      <c r="AU40" s="39">
        <v>131994.10234803724</v>
      </c>
      <c r="AV40" s="39">
        <v>134374.16996985383</v>
      </c>
      <c r="AW40" s="39">
        <v>131782.27294866031</v>
      </c>
      <c r="AX40" s="39">
        <v>133667.2526802675</v>
      </c>
      <c r="AY40" s="39">
        <v>131573.97186750901</v>
      </c>
    </row>
    <row r="41" spans="1:51" ht="15.75" customHeight="1" x14ac:dyDescent="0.2">
      <c r="K41" s="24">
        <v>13</v>
      </c>
      <c r="L41" s="39">
        <v>583715.18319646013</v>
      </c>
      <c r="Q41" s="50">
        <v>0.6</v>
      </c>
      <c r="R41" s="39">
        <v>-104839.85545058447</v>
      </c>
      <c r="X41" s="30">
        <v>8</v>
      </c>
      <c r="Y41" s="39">
        <v>142993.02299315252</v>
      </c>
      <c r="AL41" s="115"/>
      <c r="AM41" s="24">
        <v>100</v>
      </c>
      <c r="AN41" s="39">
        <v>175410.8964933659</v>
      </c>
      <c r="AO41" s="39">
        <v>144844.85875751681</v>
      </c>
      <c r="AP41" s="39">
        <v>154644.08260049089</v>
      </c>
      <c r="AQ41" s="39">
        <v>144567.59063582003</v>
      </c>
      <c r="AR41" s="39">
        <v>150270.86527242564</v>
      </c>
      <c r="AS41" s="39">
        <v>144294.34989824309</v>
      </c>
      <c r="AT41" s="39">
        <v>148243.21545149945</v>
      </c>
      <c r="AU41" s="39">
        <v>144025.2722702313</v>
      </c>
      <c r="AV41" s="39">
        <v>147000.35679750206</v>
      </c>
      <c r="AW41" s="39">
        <v>143760.48552101004</v>
      </c>
      <c r="AX41" s="39">
        <v>146116.71018551924</v>
      </c>
      <c r="AY41" s="39">
        <v>143500.10916957114</v>
      </c>
    </row>
    <row r="42" spans="1:51" ht="15.75" customHeight="1" x14ac:dyDescent="0.2">
      <c r="A42" s="28" t="s">
        <v>69</v>
      </c>
      <c r="K42" s="24">
        <v>14</v>
      </c>
      <c r="L42" s="39">
        <v>631761.23284429801</v>
      </c>
      <c r="Q42" s="50">
        <v>0.7</v>
      </c>
      <c r="R42" s="39">
        <v>-193973.14996678082</v>
      </c>
      <c r="X42" s="24">
        <v>8.5</v>
      </c>
      <c r="Y42" s="39">
        <v>144370.07717308152</v>
      </c>
      <c r="AL42" s="115"/>
      <c r="AM42" s="24">
        <v>120</v>
      </c>
      <c r="AN42" s="39">
        <v>193719.19126018684</v>
      </c>
      <c r="AO42" s="39">
        <v>157039.94597716795</v>
      </c>
      <c r="AP42" s="39">
        <v>168799.0145887369</v>
      </c>
      <c r="AQ42" s="39">
        <v>156707.22423113181</v>
      </c>
      <c r="AR42" s="39">
        <v>163551.15379505855</v>
      </c>
      <c r="AS42" s="39">
        <v>156379.3353460395</v>
      </c>
      <c r="AT42" s="39">
        <v>161117.97400994709</v>
      </c>
      <c r="AU42" s="39">
        <v>156056.44219242525</v>
      </c>
      <c r="AV42" s="39">
        <v>159626.54362515023</v>
      </c>
      <c r="AW42" s="39">
        <v>155738.69809335985</v>
      </c>
      <c r="AX42" s="39">
        <v>158566.16769077088</v>
      </c>
      <c r="AY42" s="39">
        <v>155426.24647163306</v>
      </c>
    </row>
    <row r="43" spans="1:51" ht="15.75" customHeight="1" x14ac:dyDescent="0.2">
      <c r="A43" s="28" t="s">
        <v>70</v>
      </c>
      <c r="B43" s="28" t="s">
        <v>118</v>
      </c>
      <c r="C43" s="28" t="s">
        <v>71</v>
      </c>
      <c r="D43" s="28" t="s">
        <v>72</v>
      </c>
      <c r="K43" s="24">
        <v>15</v>
      </c>
      <c r="L43" s="39">
        <v>680168.34908429475</v>
      </c>
      <c r="Q43" s="50">
        <v>0.8</v>
      </c>
      <c r="R43" s="39">
        <v>-325488.1603062767</v>
      </c>
      <c r="X43" s="30">
        <v>9</v>
      </c>
      <c r="Y43" s="39">
        <v>142746.50885798704</v>
      </c>
      <c r="AL43" s="115"/>
      <c r="AM43" s="24">
        <v>140</v>
      </c>
      <c r="AN43" s="39">
        <v>212027.48602700766</v>
      </c>
      <c r="AO43" s="39">
        <v>169235.03319681899</v>
      </c>
      <c r="AP43" s="39">
        <v>182953.94657698277</v>
      </c>
      <c r="AQ43" s="39">
        <v>168846.85782644353</v>
      </c>
      <c r="AR43" s="39">
        <v>176831.44231769137</v>
      </c>
      <c r="AS43" s="39">
        <v>168464.3207938358</v>
      </c>
      <c r="AT43" s="39">
        <v>173992.73256839471</v>
      </c>
      <c r="AU43" s="39">
        <v>168087.61211461923</v>
      </c>
      <c r="AV43" s="39">
        <v>172252.73045279839</v>
      </c>
      <c r="AW43" s="39">
        <v>167716.91066570958</v>
      </c>
      <c r="AX43" s="39">
        <v>171015.62519602236</v>
      </c>
      <c r="AY43" s="39">
        <v>167352.38377369492</v>
      </c>
    </row>
    <row r="44" spans="1:51" ht="15.75" customHeight="1" x14ac:dyDescent="0.2">
      <c r="A44" s="28">
        <v>0</v>
      </c>
      <c r="B44" s="9">
        <f ca="1">OFFSET(Analysis!$B12,0,Attributes!A44)</f>
        <v>200</v>
      </c>
      <c r="C44" s="7">
        <f ca="1">OFFSET(Analysis!$B$40,0,Attributes!A44)</f>
        <v>-58500</v>
      </c>
      <c r="D44" s="27">
        <f ca="1">SUM(C44:C54)</f>
        <v>143500.10916957114</v>
      </c>
      <c r="K44" s="24">
        <v>16</v>
      </c>
      <c r="L44" s="44">
        <v>722215.07301262754</v>
      </c>
      <c r="Q44" s="50">
        <v>0.9</v>
      </c>
      <c r="R44" s="39">
        <v>-401712.97690054984</v>
      </c>
      <c r="X44" s="24">
        <v>9.5</v>
      </c>
      <c r="Y44" s="39">
        <v>143935.86116927056</v>
      </c>
      <c r="AL44" s="115"/>
      <c r="AM44" s="24">
        <v>160</v>
      </c>
      <c r="AN44" s="39">
        <v>230335.78079382857</v>
      </c>
      <c r="AO44" s="39">
        <v>181430.12041647013</v>
      </c>
      <c r="AP44" s="39">
        <v>197108.87856522869</v>
      </c>
      <c r="AQ44" s="39">
        <v>180986.49142175537</v>
      </c>
      <c r="AR44" s="39">
        <v>190111.73084032428</v>
      </c>
      <c r="AS44" s="39">
        <v>180549.30624163221</v>
      </c>
      <c r="AT44" s="39">
        <v>186867.4911268423</v>
      </c>
      <c r="AU44" s="39">
        <v>180118.78203681324</v>
      </c>
      <c r="AV44" s="39">
        <v>184878.91728044653</v>
      </c>
      <c r="AW44" s="39">
        <v>179695.1232380594</v>
      </c>
      <c r="AX44" s="39">
        <v>183465.08270127396</v>
      </c>
      <c r="AY44" s="39">
        <v>179278.5210757569</v>
      </c>
    </row>
    <row r="45" spans="1:51" ht="15.75" customHeight="1" x14ac:dyDescent="0.2">
      <c r="A45" s="28">
        <v>1</v>
      </c>
      <c r="B45" s="9">
        <f ca="1">OFFSET(Analysis!$B$12,0,Attributes!A45)</f>
        <v>334</v>
      </c>
      <c r="C45" s="7">
        <f ca="1">OFFSET(Analysis!$B$40,0,Attributes!A45)</f>
        <v>-65603.265647990833</v>
      </c>
      <c r="K45" s="24">
        <v>17</v>
      </c>
      <c r="L45" s="39">
        <v>756296.27990362281</v>
      </c>
      <c r="Q45" s="50">
        <v>1</v>
      </c>
      <c r="R45" s="39">
        <v>-452840.43686894549</v>
      </c>
      <c r="X45" s="30">
        <v>10</v>
      </c>
      <c r="Y45" s="39">
        <v>142504.79619221692</v>
      </c>
      <c r="AL45" s="115"/>
      <c r="AM45" s="24">
        <v>180</v>
      </c>
      <c r="AN45" s="39">
        <v>248644.07556064959</v>
      </c>
      <c r="AO45" s="39">
        <v>193625.20763612131</v>
      </c>
      <c r="AP45" s="39">
        <v>211263.81055347467</v>
      </c>
      <c r="AQ45" s="39">
        <v>193126.12501706718</v>
      </c>
      <c r="AR45" s="39">
        <v>203392.01936295725</v>
      </c>
      <c r="AS45" s="39">
        <v>192634.29168942865</v>
      </c>
      <c r="AT45" s="39">
        <v>199742.24968529001</v>
      </c>
      <c r="AU45" s="39">
        <v>192149.95195900727</v>
      </c>
      <c r="AV45" s="39">
        <v>197505.10410809482</v>
      </c>
      <c r="AW45" s="39">
        <v>191673.33581040913</v>
      </c>
      <c r="AX45" s="39">
        <v>195914.54020652559</v>
      </c>
      <c r="AY45" s="39">
        <v>191204.65837781891</v>
      </c>
    </row>
    <row r="46" spans="1:51" ht="15.75" customHeight="1" x14ac:dyDescent="0.2">
      <c r="A46" s="28">
        <v>2</v>
      </c>
      <c r="B46" s="9">
        <f ca="1">OFFSET(Analysis!$B$12,0,Attributes!A46)</f>
        <v>500</v>
      </c>
      <c r="C46" s="7">
        <f ca="1">OFFSET(Analysis!$B$40,0,Attributes!A46)</f>
        <v>-39840.211451468742</v>
      </c>
      <c r="K46" s="24">
        <v>18</v>
      </c>
      <c r="L46" s="39">
        <v>790725.54502858501</v>
      </c>
      <c r="AL46" s="115"/>
      <c r="AM46" s="24">
        <v>200</v>
      </c>
      <c r="AN46" s="39">
        <v>266736.10119254701</v>
      </c>
      <c r="AO46" s="39">
        <v>205604.02572084896</v>
      </c>
      <c r="AP46" s="39">
        <v>225202.47340679719</v>
      </c>
      <c r="AQ46" s="39">
        <v>205049.48947745547</v>
      </c>
      <c r="AR46" s="39">
        <v>216456.03875066663</v>
      </c>
      <c r="AS46" s="39">
        <v>204503.00800230153</v>
      </c>
      <c r="AT46" s="39">
        <v>212400.73910881419</v>
      </c>
      <c r="AU46" s="39">
        <v>203964.85274627784</v>
      </c>
      <c r="AV46" s="39">
        <v>209915.02180081941</v>
      </c>
      <c r="AW46" s="39">
        <v>203435.27924783548</v>
      </c>
      <c r="AX46" s="39">
        <v>208147.72857685373</v>
      </c>
      <c r="AY46" s="39">
        <v>202914.52654495739</v>
      </c>
    </row>
    <row r="47" spans="1:51" ht="15.75" customHeight="1" x14ac:dyDescent="0.2">
      <c r="A47" s="28">
        <v>3</v>
      </c>
      <c r="B47" s="9">
        <f ca="1">OFFSET(Analysis!$B$12,0,Attributes!A47)</f>
        <v>500</v>
      </c>
      <c r="C47" s="7">
        <f ca="1">OFFSET(Analysis!$B$40,0,Attributes!A47)</f>
        <v>44298.76543483018</v>
      </c>
      <c r="K47" s="24">
        <v>19</v>
      </c>
      <c r="L47" s="39">
        <v>825447.91182425572</v>
      </c>
      <c r="Q47" s="29" t="s">
        <v>30</v>
      </c>
      <c r="R47" s="29" t="s">
        <v>101</v>
      </c>
      <c r="AL47" s="115"/>
      <c r="AM47" s="24">
        <v>220</v>
      </c>
      <c r="AN47" s="39">
        <v>277821.00685292442</v>
      </c>
      <c r="AO47" s="39">
        <v>210575.72383405649</v>
      </c>
      <c r="AP47" s="39">
        <v>232134.01628859955</v>
      </c>
      <c r="AQ47" s="39">
        <v>209965.73396632363</v>
      </c>
      <c r="AR47" s="39">
        <v>222512.93816685592</v>
      </c>
      <c r="AS47" s="39">
        <v>209364.60434365444</v>
      </c>
      <c r="AT47" s="39">
        <v>218052.10856081828</v>
      </c>
      <c r="AU47" s="39">
        <v>208772.63356202832</v>
      </c>
      <c r="AV47" s="39">
        <v>215317.81952202404</v>
      </c>
      <c r="AW47" s="39">
        <v>208190.10271374168</v>
      </c>
      <c r="AX47" s="39">
        <v>213373.79697566168</v>
      </c>
      <c r="AY47" s="39">
        <v>207617.27474057578</v>
      </c>
    </row>
    <row r="48" spans="1:51" ht="15.75" customHeight="1" x14ac:dyDescent="0.2">
      <c r="A48" s="28">
        <v>4</v>
      </c>
      <c r="B48" s="9">
        <f ca="1">OFFSET(Analysis!$B$12,0,Attributes!A48)</f>
        <v>500</v>
      </c>
      <c r="C48" s="7">
        <f ca="1">OFFSET(Analysis!$B$40,0,Attributes!A48)</f>
        <v>41791.28814606621</v>
      </c>
      <c r="K48" s="24">
        <v>20</v>
      </c>
      <c r="L48" s="39">
        <v>860419.41504002945</v>
      </c>
      <c r="Q48" s="24"/>
      <c r="R48" s="39">
        <f>Analysis!M40</f>
        <v>143500.10916957114</v>
      </c>
      <c r="AL48" s="115"/>
      <c r="AM48" s="24">
        <v>240</v>
      </c>
      <c r="AN48" s="39">
        <v>288905.91251330177</v>
      </c>
      <c r="AO48" s="39">
        <v>215547.42194726408</v>
      </c>
      <c r="AP48" s="39">
        <v>239065.55917040192</v>
      </c>
      <c r="AQ48" s="39">
        <v>214881.97845519186</v>
      </c>
      <c r="AR48" s="39">
        <v>228569.83758304527</v>
      </c>
      <c r="AS48" s="39">
        <v>214226.20068500724</v>
      </c>
      <c r="AT48" s="39">
        <v>223703.47801282236</v>
      </c>
      <c r="AU48" s="39">
        <v>213580.41437777874</v>
      </c>
      <c r="AV48" s="39">
        <v>220720.61724322863</v>
      </c>
      <c r="AW48" s="39">
        <v>212944.92617964782</v>
      </c>
      <c r="AX48" s="39">
        <v>218599.86537446975</v>
      </c>
      <c r="AY48" s="39">
        <v>212320.02293619412</v>
      </c>
    </row>
    <row r="49" spans="1:51" ht="15.75" customHeight="1" x14ac:dyDescent="0.2">
      <c r="A49" s="28">
        <v>5</v>
      </c>
      <c r="B49" s="9">
        <f ca="1">OFFSET(Analysis!$B$12,0,Attributes!A49)</f>
        <v>500</v>
      </c>
      <c r="C49" s="7">
        <f ca="1">OFFSET(Analysis!$B$40,0,Attributes!A49)</f>
        <v>39425.743534024725</v>
      </c>
      <c r="L49" s="43"/>
      <c r="Q49" s="50">
        <v>0.01</v>
      </c>
      <c r="R49" s="39">
        <f t="dataTable" ref="R49:R67" dt2D="0" dtr="0" r1="C15" ca="1"/>
        <v>160629.41188176753</v>
      </c>
      <c r="AL49" s="115"/>
      <c r="AM49" s="24">
        <v>260</v>
      </c>
      <c r="AN49" s="39">
        <v>299990.818173679</v>
      </c>
      <c r="AO49" s="39">
        <v>220519.12006047156</v>
      </c>
      <c r="AP49" s="39">
        <v>245997.10205220422</v>
      </c>
      <c r="AQ49" s="39">
        <v>219798.22294405996</v>
      </c>
      <c r="AR49" s="39">
        <v>234626.73699923445</v>
      </c>
      <c r="AS49" s="39">
        <v>219087.79702635997</v>
      </c>
      <c r="AT49" s="39">
        <v>229354.84746482628</v>
      </c>
      <c r="AU49" s="39">
        <v>218388.19519352904</v>
      </c>
      <c r="AV49" s="39">
        <v>226123.41496443321</v>
      </c>
      <c r="AW49" s="39">
        <v>217699.74964555397</v>
      </c>
      <c r="AX49" s="39">
        <v>223825.93377327776</v>
      </c>
      <c r="AY49" s="39">
        <v>217022.77113181239</v>
      </c>
    </row>
    <row r="50" spans="1:51" ht="15.75" customHeight="1" x14ac:dyDescent="0.2">
      <c r="A50" s="28">
        <v>6</v>
      </c>
      <c r="B50" s="9">
        <f ca="1">OFFSET(Analysis!$B$12,0,Attributes!A50)</f>
        <v>500</v>
      </c>
      <c r="C50" s="7">
        <f ca="1">OFFSET(Analysis!$B$40,0,Attributes!A50)</f>
        <v>37194.097673608223</v>
      </c>
      <c r="K50" s="29" t="s">
        <v>14</v>
      </c>
      <c r="L50" s="49" t="s">
        <v>101</v>
      </c>
      <c r="Q50" s="50">
        <v>0.02</v>
      </c>
      <c r="R50" s="39">
        <v>152060.31054346953</v>
      </c>
      <c r="AL50" s="115"/>
      <c r="AM50" s="24">
        <v>280</v>
      </c>
      <c r="AN50" s="39">
        <v>311075.72383405647</v>
      </c>
      <c r="AO50" s="39">
        <v>225490.81817367914</v>
      </c>
      <c r="AP50" s="39">
        <v>252928.64493400665</v>
      </c>
      <c r="AQ50" s="39">
        <v>224714.4674329283</v>
      </c>
      <c r="AR50" s="39">
        <v>240683.63641542391</v>
      </c>
      <c r="AS50" s="39">
        <v>223949.39336771282</v>
      </c>
      <c r="AT50" s="39">
        <v>235006.21691683048</v>
      </c>
      <c r="AU50" s="39">
        <v>223195.97600927958</v>
      </c>
      <c r="AV50" s="39">
        <v>231526.2126856379</v>
      </c>
      <c r="AW50" s="39">
        <v>222454.57311146028</v>
      </c>
      <c r="AX50" s="39">
        <v>229052.00217208583</v>
      </c>
      <c r="AY50" s="39">
        <v>221725.51932743101</v>
      </c>
    </row>
    <row r="51" spans="1:51" ht="15.75" customHeight="1" x14ac:dyDescent="0.2">
      <c r="A51" s="28">
        <v>7</v>
      </c>
      <c r="B51" s="9">
        <f ca="1">OFFSET(Analysis!$B$12,0,Attributes!A51)</f>
        <v>500</v>
      </c>
      <c r="C51" s="7">
        <f ca="1">OFFSET(Analysis!$B$40,0,Attributes!A51)</f>
        <v>39404.633982123407</v>
      </c>
      <c r="K51" s="24"/>
      <c r="L51" s="39">
        <f>L28</f>
        <v>143500.10916957114</v>
      </c>
      <c r="Q51" s="50">
        <v>0.03</v>
      </c>
      <c r="R51" s="39">
        <v>143500.10916957114</v>
      </c>
      <c r="AL51" s="115"/>
      <c r="AM51" s="24">
        <v>300</v>
      </c>
      <c r="AN51" s="39">
        <v>322160.62949443382</v>
      </c>
      <c r="AO51" s="39">
        <v>230462.51628688668</v>
      </c>
      <c r="AP51" s="39">
        <v>259860.18781580901</v>
      </c>
      <c r="AQ51" s="39">
        <v>229630.71192179646</v>
      </c>
      <c r="AR51" s="39">
        <v>246740.53583161315</v>
      </c>
      <c r="AS51" s="39">
        <v>228810.98970906567</v>
      </c>
      <c r="AT51" s="39">
        <v>240657.58636883457</v>
      </c>
      <c r="AU51" s="39">
        <v>228003.75682503005</v>
      </c>
      <c r="AV51" s="39">
        <v>236929.01040684248</v>
      </c>
      <c r="AW51" s="39">
        <v>227209.39657736654</v>
      </c>
      <c r="AX51" s="39">
        <v>234278.07057089385</v>
      </c>
      <c r="AY51" s="39">
        <v>226428.26752304941</v>
      </c>
    </row>
    <row r="52" spans="1:51" ht="15.75" customHeight="1" x14ac:dyDescent="0.2">
      <c r="A52" s="28">
        <v>8</v>
      </c>
      <c r="B52" s="9">
        <f ca="1">OFFSET(Analysis!$B$12,0,Attributes!A52)</f>
        <v>500</v>
      </c>
      <c r="C52" s="7">
        <f ca="1">OFFSET(Analysis!$B$40,0,Attributes!A52)</f>
        <v>37174.183002003221</v>
      </c>
      <c r="K52" s="24">
        <v>100</v>
      </c>
      <c r="L52" s="39">
        <f t="dataTable" ref="L52:L72" dt2D="0" dtr="0" r1="C7" ca="1"/>
        <v>161120.97068612505</v>
      </c>
      <c r="Q52" s="50">
        <v>0.04</v>
      </c>
      <c r="R52" s="39">
        <v>134948.80776007334</v>
      </c>
      <c r="AL52" s="115"/>
      <c r="AM52" s="24">
        <v>320</v>
      </c>
      <c r="AN52" s="39">
        <v>333245.53515481116</v>
      </c>
      <c r="AO52" s="39">
        <v>235434.21440009426</v>
      </c>
      <c r="AP52" s="39">
        <v>266791.73069761135</v>
      </c>
      <c r="AQ52" s="39">
        <v>234546.95641066463</v>
      </c>
      <c r="AR52" s="39">
        <v>252797.4352478025</v>
      </c>
      <c r="AS52" s="39">
        <v>233672.58605041847</v>
      </c>
      <c r="AT52" s="39">
        <v>246308.95582083866</v>
      </c>
      <c r="AU52" s="39">
        <v>232811.53764078041</v>
      </c>
      <c r="AV52" s="39">
        <v>242331.80812804701</v>
      </c>
      <c r="AW52" s="39">
        <v>231964.22004327262</v>
      </c>
      <c r="AX52" s="39">
        <v>239504.13896970186</v>
      </c>
      <c r="AY52" s="39">
        <v>231131.0157186678</v>
      </c>
    </row>
    <row r="53" spans="1:51" ht="15.75" customHeight="1" x14ac:dyDescent="0.2">
      <c r="A53" s="28">
        <v>9</v>
      </c>
      <c r="B53" s="9">
        <f ca="1">OFFSET(Analysis!$B$12,0,Attributes!A53)</f>
        <v>500</v>
      </c>
      <c r="C53" s="7">
        <f ca="1">OFFSET(Analysis!$B$40,0,Attributes!A53)</f>
        <v>35069.98396415398</v>
      </c>
      <c r="K53" s="24">
        <v>120</v>
      </c>
      <c r="L53" s="39">
        <v>159946.24658502146</v>
      </c>
      <c r="Q53" s="50">
        <v>0.05</v>
      </c>
      <c r="R53" s="39">
        <v>126406.40631497529</v>
      </c>
      <c r="AL53" s="115"/>
      <c r="AM53" s="24">
        <v>340</v>
      </c>
      <c r="AN53" s="39">
        <v>344330.44081518851</v>
      </c>
      <c r="AO53" s="39">
        <v>240405.9125133018</v>
      </c>
      <c r="AP53" s="39">
        <v>273723.27357941371</v>
      </c>
      <c r="AQ53" s="39">
        <v>239463.20089953285</v>
      </c>
      <c r="AR53" s="39">
        <v>258854.33466399185</v>
      </c>
      <c r="AS53" s="39">
        <v>238534.18239177126</v>
      </c>
      <c r="AT53" s="39">
        <v>251960.32527284275</v>
      </c>
      <c r="AU53" s="39">
        <v>237619.31845653089</v>
      </c>
      <c r="AV53" s="39">
        <v>247734.60584925159</v>
      </c>
      <c r="AW53" s="39">
        <v>236719.04350917888</v>
      </c>
      <c r="AX53" s="39">
        <v>244730.20736850987</v>
      </c>
      <c r="AY53" s="39">
        <v>235833.76391428613</v>
      </c>
    </row>
    <row r="54" spans="1:51" ht="15.75" customHeight="1" x14ac:dyDescent="0.2">
      <c r="A54" s="28">
        <v>10</v>
      </c>
      <c r="B54" s="9">
        <f ca="1">OFFSET(Analysis!$B$12,0,Attributes!A54)</f>
        <v>500</v>
      </c>
      <c r="C54" s="7">
        <f ca="1">OFFSET(Analysis!$B$40,0,Attributes!A54)</f>
        <v>33084.890532220736</v>
      </c>
      <c r="K54" s="24">
        <v>140</v>
      </c>
      <c r="L54" s="39">
        <v>158771.52248391788</v>
      </c>
      <c r="Q54" s="50">
        <v>0.06</v>
      </c>
      <c r="R54" s="39">
        <v>117872.90483427784</v>
      </c>
      <c r="AL54" s="115"/>
      <c r="AM54" s="24">
        <v>360</v>
      </c>
      <c r="AN54" s="39">
        <v>355415.34647556581</v>
      </c>
      <c r="AO54" s="39">
        <v>245377.61062650927</v>
      </c>
      <c r="AP54" s="39">
        <v>280654.81646121602</v>
      </c>
      <c r="AQ54" s="39">
        <v>244379.44538840096</v>
      </c>
      <c r="AR54" s="39">
        <v>264911.23408018099</v>
      </c>
      <c r="AS54" s="39">
        <v>243395.778733124</v>
      </c>
      <c r="AT54" s="39">
        <v>257611.69472484666</v>
      </c>
      <c r="AU54" s="39">
        <v>242427.09927228125</v>
      </c>
      <c r="AV54" s="39">
        <v>253137.40357045617</v>
      </c>
      <c r="AW54" s="39">
        <v>241473.86697508491</v>
      </c>
      <c r="AX54" s="39">
        <v>249956.27576731783</v>
      </c>
      <c r="AY54" s="39">
        <v>240536.51210990446</v>
      </c>
    </row>
    <row r="55" spans="1:51" ht="15.75" customHeight="1" x14ac:dyDescent="0.2">
      <c r="K55" s="24">
        <v>160</v>
      </c>
      <c r="L55" s="39">
        <v>157596.79838281428</v>
      </c>
      <c r="Q55" s="50">
        <v>7.0000000000000007E-2</v>
      </c>
      <c r="R55" s="39">
        <v>109348.30331797997</v>
      </c>
      <c r="AL55" s="115"/>
      <c r="AM55" s="24">
        <v>380</v>
      </c>
      <c r="AN55" s="39">
        <v>366500.25213594316</v>
      </c>
      <c r="AO55" s="39">
        <v>250349.3087397168</v>
      </c>
      <c r="AP55" s="39">
        <v>287586.35934301838</v>
      </c>
      <c r="AQ55" s="39">
        <v>249295.68987726918</v>
      </c>
      <c r="AR55" s="39">
        <v>270968.13349637034</v>
      </c>
      <c r="AS55" s="39">
        <v>248257.37507447679</v>
      </c>
      <c r="AT55" s="39">
        <v>263263.06417685072</v>
      </c>
      <c r="AU55" s="39">
        <v>247234.88008803173</v>
      </c>
      <c r="AV55" s="39">
        <v>258540.20129166075</v>
      </c>
      <c r="AW55" s="39">
        <v>246228.69044099111</v>
      </c>
      <c r="AX55" s="39">
        <v>255182.34416612584</v>
      </c>
      <c r="AY55" s="39">
        <v>245239.26030552285</v>
      </c>
    </row>
    <row r="56" spans="1:51" ht="15.75" customHeight="1" x14ac:dyDescent="0.2">
      <c r="K56" s="24">
        <v>180</v>
      </c>
      <c r="L56" s="39">
        <v>156422.07428171069</v>
      </c>
      <c r="Q56" s="50">
        <v>0.08</v>
      </c>
      <c r="R56" s="39">
        <v>100832.6017660826</v>
      </c>
      <c r="AL56" s="116"/>
      <c r="AM56" s="24">
        <v>400</v>
      </c>
      <c r="AN56" s="39">
        <v>377585.15779632062</v>
      </c>
      <c r="AO56" s="39">
        <v>255321.00685292445</v>
      </c>
      <c r="AP56" s="39">
        <v>294517.90222482086</v>
      </c>
      <c r="AQ56" s="39">
        <v>254211.93436613746</v>
      </c>
      <c r="AR56" s="39">
        <v>277025.03291255969</v>
      </c>
      <c r="AS56" s="39">
        <v>253118.97141582964</v>
      </c>
      <c r="AT56" s="39">
        <v>268914.43362885487</v>
      </c>
      <c r="AU56" s="39">
        <v>252042.66090378215</v>
      </c>
      <c r="AV56" s="39">
        <v>263942.99901286542</v>
      </c>
      <c r="AW56" s="39">
        <v>250983.51390689742</v>
      </c>
      <c r="AX56" s="39">
        <v>260408.41256493391</v>
      </c>
      <c r="AY56" s="39">
        <v>249942.00850114124</v>
      </c>
    </row>
    <row r="57" spans="1:51" ht="15.75" customHeight="1" x14ac:dyDescent="0.2">
      <c r="K57" s="24">
        <v>200</v>
      </c>
      <c r="L57" s="39">
        <v>155247.35018060709</v>
      </c>
      <c r="Q57" s="50">
        <v>0.09</v>
      </c>
      <c r="R57" s="39">
        <v>92325.800178585079</v>
      </c>
    </row>
    <row r="58" spans="1:51" ht="15.75" customHeight="1" x14ac:dyDescent="0.2">
      <c r="K58" s="24">
        <v>220</v>
      </c>
      <c r="L58" s="39">
        <v>154072.62607950351</v>
      </c>
      <c r="Q58" s="50">
        <v>0.1</v>
      </c>
      <c r="R58" s="39">
        <v>83827.898555488166</v>
      </c>
    </row>
    <row r="59" spans="1:51" ht="15.75" customHeight="1" x14ac:dyDescent="0.2">
      <c r="K59" s="24">
        <v>240</v>
      </c>
      <c r="L59" s="39">
        <v>152897.9019783999</v>
      </c>
      <c r="Q59" s="50">
        <v>0.2</v>
      </c>
      <c r="R59" s="39">
        <v>-9078.8029458741221</v>
      </c>
    </row>
    <row r="60" spans="1:51" ht="15.75" customHeight="1" x14ac:dyDescent="0.2">
      <c r="K60" s="24">
        <v>260</v>
      </c>
      <c r="L60" s="39">
        <v>151723.17787729629</v>
      </c>
      <c r="Q60" s="50">
        <v>0.3</v>
      </c>
      <c r="R60" s="39">
        <v>-100175.28527301882</v>
      </c>
    </row>
    <row r="61" spans="1:51" ht="15.75" customHeight="1" x14ac:dyDescent="0.2">
      <c r="K61" s="24">
        <v>280</v>
      </c>
      <c r="L61" s="39">
        <v>150548.45377619271</v>
      </c>
      <c r="Q61" s="50">
        <v>0.4</v>
      </c>
      <c r="R61" s="39">
        <v>-194665.55626779987</v>
      </c>
    </row>
    <row r="62" spans="1:51" ht="15.75" customHeight="1" x14ac:dyDescent="0.2">
      <c r="K62" s="24">
        <v>300</v>
      </c>
      <c r="L62" s="39">
        <v>149373.7296750891</v>
      </c>
      <c r="Q62" s="50">
        <v>0.5</v>
      </c>
      <c r="R62" s="39">
        <v>-294681.97061889636</v>
      </c>
    </row>
    <row r="63" spans="1:51" ht="15.75" customHeight="1" x14ac:dyDescent="0.2">
      <c r="K63" s="24">
        <v>320</v>
      </c>
      <c r="L63" s="39">
        <v>148199.00557398552</v>
      </c>
      <c r="Q63" s="50">
        <v>0.6</v>
      </c>
      <c r="R63" s="39">
        <v>-420789.25447699759</v>
      </c>
    </row>
    <row r="64" spans="1:51" ht="15.75" customHeight="1" x14ac:dyDescent="0.2">
      <c r="K64" s="24">
        <v>340</v>
      </c>
      <c r="L64" s="39">
        <v>147024.28147288191</v>
      </c>
      <c r="Q64" s="50">
        <v>0.7</v>
      </c>
      <c r="R64" s="39">
        <v>-480495.40104877361</v>
      </c>
    </row>
    <row r="65" spans="1:54" ht="15.75" customHeight="1" thickBot="1" x14ac:dyDescent="0.25">
      <c r="K65" s="24">
        <v>360</v>
      </c>
      <c r="L65" s="39">
        <v>145849.55737177833</v>
      </c>
      <c r="Q65" s="50">
        <v>0.8</v>
      </c>
      <c r="R65" s="39">
        <v>-517158.02068429283</v>
      </c>
    </row>
    <row r="66" spans="1:54" ht="15.75" customHeight="1" thickBot="1" x14ac:dyDescent="0.25">
      <c r="K66" s="24">
        <v>380</v>
      </c>
      <c r="L66" s="39">
        <v>144674.83327067472</v>
      </c>
      <c r="Q66" s="50">
        <v>0.9</v>
      </c>
      <c r="R66" s="39">
        <v>-540794.97047876508</v>
      </c>
      <c r="AM66" s="38"/>
      <c r="AN66" s="38"/>
      <c r="AO66" s="38"/>
      <c r="AP66" s="69" t="s">
        <v>112</v>
      </c>
      <c r="AQ66" s="125" t="s">
        <v>110</v>
      </c>
      <c r="AR66" s="126"/>
      <c r="AS66" s="126"/>
      <c r="AT66" s="126"/>
      <c r="AU66" s="126"/>
      <c r="AV66" s="126"/>
      <c r="AW66" s="126"/>
      <c r="AX66" s="126"/>
      <c r="AY66" s="126"/>
      <c r="AZ66" s="126"/>
      <c r="BA66" s="126"/>
      <c r="BB66" s="127"/>
    </row>
    <row r="67" spans="1:54" ht="15.75" customHeight="1" thickBot="1" x14ac:dyDescent="0.25">
      <c r="K67" s="24">
        <v>400</v>
      </c>
      <c r="L67" s="39">
        <v>143500.10916957114</v>
      </c>
      <c r="Q67" s="50">
        <v>1</v>
      </c>
      <c r="R67" s="39">
        <v>-556088.92128558643</v>
      </c>
      <c r="AL67" s="72" t="s">
        <v>116</v>
      </c>
      <c r="AM67" s="67" t="s">
        <v>24</v>
      </c>
      <c r="AN67" s="68" t="s">
        <v>115</v>
      </c>
      <c r="AO67" s="68" t="s">
        <v>114</v>
      </c>
      <c r="AP67" s="70">
        <f>Analysis!M40</f>
        <v>143500.10916957114</v>
      </c>
      <c r="AQ67" s="89">
        <v>0</v>
      </c>
      <c r="AR67" s="90">
        <v>40</v>
      </c>
      <c r="AS67" s="90">
        <v>80</v>
      </c>
      <c r="AT67" s="90">
        <v>120</v>
      </c>
      <c r="AU67" s="90">
        <v>160</v>
      </c>
      <c r="AV67" s="90">
        <v>200</v>
      </c>
      <c r="AW67" s="90">
        <v>240</v>
      </c>
      <c r="AX67" s="90">
        <v>280</v>
      </c>
      <c r="AY67" s="90">
        <v>320</v>
      </c>
      <c r="AZ67" s="90">
        <v>360</v>
      </c>
      <c r="BA67" s="90">
        <v>400</v>
      </c>
      <c r="BB67" s="86"/>
    </row>
    <row r="68" spans="1:54" ht="15.75" customHeight="1" x14ac:dyDescent="0.2">
      <c r="K68" s="24">
        <v>420</v>
      </c>
      <c r="L68" s="39">
        <v>142325.38506846753</v>
      </c>
      <c r="AL68" s="118" t="s">
        <v>24</v>
      </c>
      <c r="AM68" s="71">
        <v>0.1</v>
      </c>
      <c r="AN68" s="73">
        <v>0.2</v>
      </c>
      <c r="AO68" s="73">
        <v>0.03</v>
      </c>
      <c r="AP68" s="63">
        <f>SUM(1,AM68/2,-AN68,-AO68)</f>
        <v>0.82000000000000006</v>
      </c>
      <c r="AQ68" s="81">
        <f t="dataTable" ref="AQ68:BA210" dt2D="1" dtr="1" r1="AI13" r2="C20" ca="1"/>
        <v>-546687.68583239394</v>
      </c>
      <c r="AR68" s="39">
        <v>-542756.56801412639</v>
      </c>
      <c r="AS68" s="39">
        <v>-538825.4501958586</v>
      </c>
      <c r="AT68" s="39">
        <v>-534894.33237759105</v>
      </c>
      <c r="AU68" s="39">
        <v>-530963.21455932327</v>
      </c>
      <c r="AV68" s="39">
        <v>-527109.67263592035</v>
      </c>
      <c r="AW68" s="39">
        <v>-528360.62459460855</v>
      </c>
      <c r="AX68" s="39">
        <v>-529611.57655329676</v>
      </c>
      <c r="AY68" s="39">
        <v>-530862.52851198497</v>
      </c>
      <c r="AZ68" s="39">
        <v>-532113.48047067318</v>
      </c>
      <c r="BA68" s="39">
        <v>-533364.43242936151</v>
      </c>
      <c r="BB68" s="87"/>
    </row>
    <row r="69" spans="1:54" ht="15.75" customHeight="1" x14ac:dyDescent="0.2">
      <c r="K69" s="24">
        <v>440</v>
      </c>
      <c r="L69" s="39">
        <v>141150.66096736395</v>
      </c>
      <c r="Q69" s="29" t="s">
        <v>33</v>
      </c>
      <c r="R69" s="29" t="s">
        <v>101</v>
      </c>
      <c r="AL69" s="119"/>
      <c r="AM69" s="63">
        <v>0.2</v>
      </c>
      <c r="AN69" s="73">
        <v>0.2</v>
      </c>
      <c r="AO69" s="73">
        <v>0.03</v>
      </c>
      <c r="AP69" s="63">
        <f t="shared" ref="AP69:AP132" si="1">SUM(1,AM69/2,-AN69,-AO69)</f>
        <v>0.87000000000000011</v>
      </c>
      <c r="AQ69" s="81">
        <v>-540942.44969938148</v>
      </c>
      <c r="AR69" s="39">
        <v>-534713.23742790869</v>
      </c>
      <c r="AS69" s="39">
        <v>-528484.02515643614</v>
      </c>
      <c r="AT69" s="39">
        <v>-522254.81288496323</v>
      </c>
      <c r="AU69" s="39">
        <v>-516025.6006134905</v>
      </c>
      <c r="AV69" s="39">
        <v>-509921.98850556847</v>
      </c>
      <c r="AW69" s="39">
        <v>-512082.86715926771</v>
      </c>
      <c r="AX69" s="39">
        <v>-514243.74581296695</v>
      </c>
      <c r="AY69" s="39">
        <v>-516404.62446666631</v>
      </c>
      <c r="AZ69" s="39">
        <v>-518565.50312036567</v>
      </c>
      <c r="BA69" s="39">
        <v>-520726.38177406491</v>
      </c>
      <c r="BB69" s="87"/>
    </row>
    <row r="70" spans="1:54" ht="15.75" customHeight="1" x14ac:dyDescent="0.2">
      <c r="K70" s="24">
        <v>460</v>
      </c>
      <c r="L70" s="39">
        <v>139975.93686626034</v>
      </c>
      <c r="Q70" s="24"/>
      <c r="R70" s="39">
        <f>Analysis!M40</f>
        <v>143500.10916957114</v>
      </c>
      <c r="AL70" s="119"/>
      <c r="AM70" s="65">
        <v>0.3</v>
      </c>
      <c r="AN70" s="73">
        <v>0.2</v>
      </c>
      <c r="AO70" s="73">
        <v>0.03</v>
      </c>
      <c r="AP70" s="63">
        <f t="shared" si="1"/>
        <v>0.91999999999999993</v>
      </c>
      <c r="AQ70" s="81">
        <v>-533782.39958975918</v>
      </c>
      <c r="AR70" s="39">
        <v>-524689.16727443761</v>
      </c>
      <c r="AS70" s="39">
        <v>-515595.93495911598</v>
      </c>
      <c r="AT70" s="39">
        <v>-506502.7026437943</v>
      </c>
      <c r="AU70" s="39">
        <v>-497409.47032847255</v>
      </c>
      <c r="AV70" s="39">
        <v>-488500.02082897164</v>
      </c>
      <c r="AW70" s="39">
        <v>-491683.48061046604</v>
      </c>
      <c r="AX70" s="39">
        <v>-494866.94039196044</v>
      </c>
      <c r="AY70" s="39">
        <v>-498050.40017345478</v>
      </c>
      <c r="AZ70" s="39">
        <v>-501233.85995494918</v>
      </c>
      <c r="BA70" s="39">
        <v>-504417.31973644358</v>
      </c>
      <c r="BB70" s="87"/>
    </row>
    <row r="71" spans="1:54" ht="15.75" customHeight="1" x14ac:dyDescent="0.2">
      <c r="K71" s="24">
        <v>480</v>
      </c>
      <c r="L71" s="39">
        <v>138801.21276515676</v>
      </c>
      <c r="Q71" s="24">
        <v>20</v>
      </c>
      <c r="R71" s="39">
        <f t="dataTable" ref="R71:R95" dt2D="0" dtr="0" r1="C16" ca="1"/>
        <v>201283.5106717796</v>
      </c>
      <c r="AL71" s="119"/>
      <c r="AM71" s="63">
        <v>0.4</v>
      </c>
      <c r="AN71" s="73">
        <v>0.2</v>
      </c>
      <c r="AO71" s="73">
        <v>0.03</v>
      </c>
      <c r="AP71" s="63">
        <f t="shared" si="1"/>
        <v>0.97</v>
      </c>
      <c r="AQ71" s="81">
        <v>-524865.15679702617</v>
      </c>
      <c r="AR71" s="39">
        <v>-512205.02736461139</v>
      </c>
      <c r="AS71" s="39">
        <v>-499544.89793219662</v>
      </c>
      <c r="AT71" s="39">
        <v>-486884.76849978167</v>
      </c>
      <c r="AU71" s="39">
        <v>-474224.63906736701</v>
      </c>
      <c r="AV71" s="39">
        <v>-461818.59227995429</v>
      </c>
      <c r="AW71" s="39">
        <v>-466131.18353368359</v>
      </c>
      <c r="AX71" s="39">
        <v>-470443.77478741284</v>
      </c>
      <c r="AY71" s="39">
        <v>-474756.36604114209</v>
      </c>
      <c r="AZ71" s="39">
        <v>-479068.95729487139</v>
      </c>
      <c r="BA71" s="39">
        <v>-483381.54854860064</v>
      </c>
      <c r="BB71" s="87"/>
    </row>
    <row r="72" spans="1:54" ht="15.75" customHeight="1" x14ac:dyDescent="0.2">
      <c r="K72" s="24">
        <v>500</v>
      </c>
      <c r="L72" s="39">
        <v>137626.48866405315</v>
      </c>
      <c r="Q72" s="24">
        <v>40</v>
      </c>
      <c r="R72" s="39">
        <v>197156.12485019321</v>
      </c>
      <c r="AL72" s="119"/>
      <c r="AM72" s="65">
        <v>0.5</v>
      </c>
      <c r="AN72" s="73">
        <v>0.2</v>
      </c>
      <c r="AO72" s="73">
        <v>0.03</v>
      </c>
      <c r="AP72" s="63">
        <f t="shared" si="1"/>
        <v>1.02</v>
      </c>
      <c r="AQ72" s="81">
        <v>-513785.24510057119</v>
      </c>
      <c r="AR72" s="39">
        <v>-496693.15098957455</v>
      </c>
      <c r="AS72" s="39">
        <v>-479601.05687857768</v>
      </c>
      <c r="AT72" s="39">
        <v>-462508.96276758087</v>
      </c>
      <c r="AU72" s="39">
        <v>-443408.21291752596</v>
      </c>
      <c r="AV72" s="39">
        <v>-430333.92846528493</v>
      </c>
      <c r="AW72" s="39">
        <v>-431418.12365980365</v>
      </c>
      <c r="AX72" s="39">
        <v>-439728.66013659036</v>
      </c>
      <c r="AY72" s="39">
        <v>-445261.25644690241</v>
      </c>
      <c r="AZ72" s="39">
        <v>-450793.85275721451</v>
      </c>
      <c r="BA72" s="39">
        <v>-456326.44906752667</v>
      </c>
      <c r="BB72" s="87"/>
    </row>
    <row r="73" spans="1:54" ht="15.75" customHeight="1" x14ac:dyDescent="0.2">
      <c r="Q73" s="24">
        <v>60</v>
      </c>
      <c r="R73" s="39">
        <v>193028.73902860691</v>
      </c>
      <c r="AL73" s="119"/>
      <c r="AM73" s="63">
        <v>0.6</v>
      </c>
      <c r="AN73" s="73">
        <v>0.2</v>
      </c>
      <c r="AO73" s="73">
        <v>0.03</v>
      </c>
      <c r="AP73" s="63">
        <f t="shared" si="1"/>
        <v>1.07</v>
      </c>
      <c r="AQ73" s="81">
        <v>-500070.0463293572</v>
      </c>
      <c r="AR73" s="39">
        <v>-477491.8727098747</v>
      </c>
      <c r="AS73" s="39">
        <v>-448011.89260405919</v>
      </c>
      <c r="AT73" s="39">
        <v>-422332.89826235798</v>
      </c>
      <c r="AU73" s="39">
        <v>-406077.21914276067</v>
      </c>
      <c r="AV73" s="39">
        <v>-398241.50203247741</v>
      </c>
      <c r="AW73" s="39">
        <v>-396079.22662370489</v>
      </c>
      <c r="AX73" s="39">
        <v>-396249.22499578795</v>
      </c>
      <c r="AY73" s="39">
        <v>-398841.73720674519</v>
      </c>
      <c r="AZ73" s="39">
        <v>-404678.15963751491</v>
      </c>
      <c r="BA73" s="39">
        <v>-414081.11896760575</v>
      </c>
      <c r="BB73" s="87"/>
    </row>
    <row r="74" spans="1:54" ht="15.75" customHeight="1" x14ac:dyDescent="0.2">
      <c r="A74" s="28"/>
      <c r="K74" s="29" t="s">
        <v>17</v>
      </c>
      <c r="L74" s="29" t="s">
        <v>101</v>
      </c>
      <c r="Q74" s="24">
        <v>80</v>
      </c>
      <c r="R74" s="39">
        <v>188901.35320702064</v>
      </c>
      <c r="AL74" s="119"/>
      <c r="AM74" s="65">
        <v>0.7</v>
      </c>
      <c r="AN74" s="73">
        <v>0.2</v>
      </c>
      <c r="AO74" s="73">
        <v>0.03</v>
      </c>
      <c r="AP74" s="63">
        <f t="shared" si="1"/>
        <v>1.1200000000000001</v>
      </c>
      <c r="AQ74" s="81">
        <v>-483178.117870141</v>
      </c>
      <c r="AR74" s="39">
        <v>-439022.83269307495</v>
      </c>
      <c r="AS74" s="39">
        <v>-406886.87164026726</v>
      </c>
      <c r="AT74" s="39">
        <v>-385559.15387038398</v>
      </c>
      <c r="AU74" s="39">
        <v>-372018.24566561432</v>
      </c>
      <c r="AV74" s="39">
        <v>-364276.03914305929</v>
      </c>
      <c r="AW74" s="39">
        <v>-361441.33036570117</v>
      </c>
      <c r="AX74" s="39">
        <v>-359399.22773400776</v>
      </c>
      <c r="AY74" s="39">
        <v>-358640.09627608827</v>
      </c>
      <c r="AZ74" s="39">
        <v>-360098.48069290485</v>
      </c>
      <c r="BA74" s="39">
        <v>-363054.4478728142</v>
      </c>
      <c r="BB74" s="87"/>
    </row>
    <row r="75" spans="1:54" ht="15.75" customHeight="1" x14ac:dyDescent="0.2">
      <c r="A75" s="28"/>
      <c r="B75" s="28"/>
      <c r="C75" s="28"/>
      <c r="D75" s="28"/>
      <c r="K75" s="24"/>
      <c r="L75" s="39">
        <f>L51</f>
        <v>143500.10916957114</v>
      </c>
      <c r="Q75" s="24">
        <v>100</v>
      </c>
      <c r="R75" s="39">
        <v>184773.96738543434</v>
      </c>
      <c r="AL75" s="119"/>
      <c r="AM75" s="63">
        <v>0.8</v>
      </c>
      <c r="AN75" s="73">
        <v>0.2</v>
      </c>
      <c r="AO75" s="73">
        <v>0.03</v>
      </c>
      <c r="AP75" s="63">
        <f t="shared" si="1"/>
        <v>1.17</v>
      </c>
      <c r="AQ75" s="81">
        <v>-442251.86906560848</v>
      </c>
      <c r="AR75" s="39">
        <v>-398184.32181015698</v>
      </c>
      <c r="AS75" s="39">
        <v>-369008.47824283107</v>
      </c>
      <c r="AT75" s="39">
        <v>-348943.99517577351</v>
      </c>
      <c r="AU75" s="39">
        <v>-336234.7281220787</v>
      </c>
      <c r="AV75" s="39">
        <v>-328257.93759711646</v>
      </c>
      <c r="AW75" s="39">
        <v>-325005.35040162381</v>
      </c>
      <c r="AX75" s="39">
        <v>-321752.76320613094</v>
      </c>
      <c r="AY75" s="39">
        <v>-319543.38376021927</v>
      </c>
      <c r="AZ75" s="39">
        <v>-318510.10477084195</v>
      </c>
      <c r="BA75" s="39">
        <v>-318228.91782175051</v>
      </c>
      <c r="BB75" s="87"/>
    </row>
    <row r="76" spans="1:54" ht="15.75" customHeight="1" x14ac:dyDescent="0.2">
      <c r="A76" s="28"/>
      <c r="B76" s="9"/>
      <c r="C76" s="7"/>
      <c r="D76" s="27"/>
      <c r="K76" s="24">
        <v>5</v>
      </c>
      <c r="L76" s="39">
        <f t="dataTable" ref="L76:L95" dt2D="0" dtr="0" r1="C8" ca="1"/>
        <v>207840.99667776862</v>
      </c>
      <c r="Q76" s="24">
        <v>120</v>
      </c>
      <c r="R76" s="39">
        <v>180646.58156384793</v>
      </c>
      <c r="AL76" s="119"/>
      <c r="AM76" s="65">
        <v>0.9</v>
      </c>
      <c r="AN76" s="73">
        <v>0.2</v>
      </c>
      <c r="AO76" s="73">
        <v>0.03</v>
      </c>
      <c r="AP76" s="63">
        <f t="shared" si="1"/>
        <v>1.22</v>
      </c>
      <c r="AQ76" s="81">
        <v>-401331.22946308734</v>
      </c>
      <c r="AR76" s="39">
        <v>-359119.78328052349</v>
      </c>
      <c r="AS76" s="39">
        <v>-331414.07197212387</v>
      </c>
      <c r="AT76" s="39">
        <v>-312168.6614508442</v>
      </c>
      <c r="AU76" s="39">
        <v>-299059.06434298283</v>
      </c>
      <c r="AV76" s="39">
        <v>-289993.3154986804</v>
      </c>
      <c r="AW76" s="39">
        <v>-286303.80586051248</v>
      </c>
      <c r="AX76" s="39">
        <v>-282614.29622234445</v>
      </c>
      <c r="AY76" s="39">
        <v>-278924.78658417659</v>
      </c>
      <c r="AZ76" s="39">
        <v>-276053.38911727618</v>
      </c>
      <c r="BA76" s="39">
        <v>-274664.38947614271</v>
      </c>
      <c r="BB76" s="87"/>
    </row>
    <row r="77" spans="1:54" ht="15.75" customHeight="1" x14ac:dyDescent="0.2">
      <c r="A77" s="28"/>
      <c r="B77" s="9"/>
      <c r="C77" s="7"/>
      <c r="K77" s="24">
        <v>10</v>
      </c>
      <c r="L77" s="39">
        <v>204454.63417733717</v>
      </c>
      <c r="Q77" s="24">
        <v>140</v>
      </c>
      <c r="R77" s="39">
        <v>176519.19574226165</v>
      </c>
      <c r="AL77" s="119"/>
      <c r="AM77" s="74">
        <v>1</v>
      </c>
      <c r="AN77" s="73">
        <v>0.2</v>
      </c>
      <c r="AO77" s="73">
        <v>0.03</v>
      </c>
      <c r="AP77" s="63">
        <f t="shared" si="1"/>
        <v>1.27</v>
      </c>
      <c r="AQ77" s="81">
        <v>-361984.8597073839</v>
      </c>
      <c r="AR77" s="39">
        <v>-319931.62018055731</v>
      </c>
      <c r="AS77" s="39">
        <v>-291702.82678628626</v>
      </c>
      <c r="AT77" s="39">
        <v>-272738.93308530521</v>
      </c>
      <c r="AU77" s="39">
        <v>-259503.38674173728</v>
      </c>
      <c r="AV77" s="39">
        <v>-249266.81547091814</v>
      </c>
      <c r="AW77" s="39">
        <v>-245114.31275168475</v>
      </c>
      <c r="AX77" s="39">
        <v>-240961.81003245135</v>
      </c>
      <c r="AY77" s="39">
        <v>-236809.30731321801</v>
      </c>
      <c r="AZ77" s="39">
        <v>-232656.80459398471</v>
      </c>
      <c r="BA77" s="39">
        <v>-228504.30187475146</v>
      </c>
      <c r="BB77" s="87"/>
    </row>
    <row r="78" spans="1:54" ht="15.75" customHeight="1" x14ac:dyDescent="0.2">
      <c r="A78" s="28"/>
      <c r="B78" s="9"/>
      <c r="C78" s="7"/>
      <c r="K78" s="24">
        <v>15</v>
      </c>
      <c r="L78" s="39">
        <v>201068.27167690577</v>
      </c>
      <c r="Q78" s="24">
        <v>160</v>
      </c>
      <c r="R78" s="39">
        <v>172391.80992067538</v>
      </c>
      <c r="AL78" s="119"/>
      <c r="AM78" s="65">
        <v>1.1000000000000001</v>
      </c>
      <c r="AN78" s="73">
        <v>0.2</v>
      </c>
      <c r="AO78" s="73">
        <v>0.03</v>
      </c>
      <c r="AP78" s="63">
        <f t="shared" si="1"/>
        <v>1.32</v>
      </c>
      <c r="AQ78" s="81">
        <v>-320606.00704342802</v>
      </c>
      <c r="AR78" s="39">
        <v>-279489.35115290887</v>
      </c>
      <c r="AS78" s="39">
        <v>-250650.12881691137</v>
      </c>
      <c r="AT78" s="39">
        <v>-230402.29915484012</v>
      </c>
      <c r="AU78" s="39">
        <v>-217329.70246688879</v>
      </c>
      <c r="AV78" s="39">
        <v>-205835.76559949893</v>
      </c>
      <c r="AW78" s="39">
        <v>-201189.00120844631</v>
      </c>
      <c r="AX78" s="39">
        <v>-196542.23681739357</v>
      </c>
      <c r="AY78" s="39">
        <v>-191895.47242634109</v>
      </c>
      <c r="AZ78" s="39">
        <v>-187248.70803528858</v>
      </c>
      <c r="BA78" s="39">
        <v>-182601.94364423602</v>
      </c>
      <c r="BB78" s="87"/>
    </row>
    <row r="79" spans="1:54" ht="15.75" customHeight="1" x14ac:dyDescent="0.2">
      <c r="A79" s="28"/>
      <c r="B79" s="9"/>
      <c r="C79" s="7"/>
      <c r="K79" s="24">
        <v>20</v>
      </c>
      <c r="L79" s="39">
        <v>197681.90917647429</v>
      </c>
      <c r="Q79" s="24">
        <v>180</v>
      </c>
      <c r="R79" s="39">
        <v>168264.42409908891</v>
      </c>
      <c r="AL79" s="119"/>
      <c r="AM79" s="63">
        <v>1.2</v>
      </c>
      <c r="AN79" s="73">
        <v>0.2</v>
      </c>
      <c r="AO79" s="73">
        <v>0.03</v>
      </c>
      <c r="AP79" s="63">
        <f t="shared" si="1"/>
        <v>1.37</v>
      </c>
      <c r="AQ79" s="81">
        <v>-280182.89291429316</v>
      </c>
      <c r="AR79" s="39">
        <v>-237257.03419531259</v>
      </c>
      <c r="AS79" s="39">
        <v>-207886.50669854862</v>
      </c>
      <c r="AT79" s="39">
        <v>-185231.78602235415</v>
      </c>
      <c r="AU79" s="39">
        <v>-172269.97064701605</v>
      </c>
      <c r="AV79" s="39">
        <v>-159424.69738232277</v>
      </c>
      <c r="AW79" s="39">
        <v>-154247.8949980716</v>
      </c>
      <c r="AX79" s="39">
        <v>-149071.09261382016</v>
      </c>
      <c r="AY79" s="39">
        <v>-143894.29022956878</v>
      </c>
      <c r="AZ79" s="39">
        <v>-138717.4878453174</v>
      </c>
      <c r="BA79" s="39">
        <v>-133540.68546106605</v>
      </c>
      <c r="BB79" s="87"/>
    </row>
    <row r="80" spans="1:54" ht="15.75" customHeight="1" x14ac:dyDescent="0.2">
      <c r="A80" s="28"/>
      <c r="B80" s="9"/>
      <c r="C80" s="7"/>
      <c r="K80" s="24">
        <v>25</v>
      </c>
      <c r="L80" s="39">
        <v>194295.54667604284</v>
      </c>
      <c r="Q80" s="24">
        <v>200</v>
      </c>
      <c r="R80" s="39">
        <v>164137.03827750267</v>
      </c>
      <c r="AL80" s="119"/>
      <c r="AM80" s="65">
        <v>1.3</v>
      </c>
      <c r="AN80" s="73">
        <v>0.2</v>
      </c>
      <c r="AO80" s="73">
        <v>0.03</v>
      </c>
      <c r="AP80" s="63">
        <f t="shared" si="1"/>
        <v>1.42</v>
      </c>
      <c r="AQ80" s="81">
        <v>-235245.59152020569</v>
      </c>
      <c r="AR80" s="39">
        <v>-191217.49779754865</v>
      </c>
      <c r="AS80" s="39">
        <v>-161850.26630818602</v>
      </c>
      <c r="AT80" s="39">
        <v>-138450.14259597342</v>
      </c>
      <c r="AU80" s="39">
        <v>-124019.81705937482</v>
      </c>
      <c r="AV80" s="39">
        <v>-109719.47954586397</v>
      </c>
      <c r="AW80" s="39">
        <v>-103972.35395154523</v>
      </c>
      <c r="AX80" s="39">
        <v>-98225.228357226282</v>
      </c>
      <c r="AY80" s="39">
        <v>-92478.10276290754</v>
      </c>
      <c r="AZ80" s="39">
        <v>-86730.977168588957</v>
      </c>
      <c r="BA80" s="39">
        <v>-80983.851574269967</v>
      </c>
      <c r="BB80" s="87"/>
    </row>
    <row r="81" spans="1:54" ht="15.75" customHeight="1" x14ac:dyDescent="0.2">
      <c r="A81" s="28"/>
      <c r="B81" s="9"/>
      <c r="C81" s="7"/>
      <c r="K81" s="24">
        <v>30</v>
      </c>
      <c r="L81" s="39">
        <v>190909.18417561139</v>
      </c>
      <c r="Q81" s="24">
        <v>220</v>
      </c>
      <c r="R81" s="39">
        <v>160009.65245591637</v>
      </c>
      <c r="AL81" s="119"/>
      <c r="AM81" s="63">
        <v>1.4</v>
      </c>
      <c r="AN81" s="73">
        <v>0.2</v>
      </c>
      <c r="AO81" s="73">
        <v>0.03</v>
      </c>
      <c r="AP81" s="63">
        <f t="shared" si="1"/>
        <v>1.47</v>
      </c>
      <c r="AQ81" s="81">
        <v>-188883.41470979192</v>
      </c>
      <c r="AR81" s="39">
        <v>-141587.64265815649</v>
      </c>
      <c r="AS81" s="39">
        <v>-112185.58733638372</v>
      </c>
      <c r="AT81" s="39">
        <v>-88247.132018908305</v>
      </c>
      <c r="AU81" s="39">
        <v>-72231.564696087516</v>
      </c>
      <c r="AV81" s="39">
        <v>-56360.501852593407</v>
      </c>
      <c r="AW81" s="39">
        <v>-49997.833748801109</v>
      </c>
      <c r="AX81" s="39">
        <v>-43635.165645008565</v>
      </c>
      <c r="AY81" s="39">
        <v>-37272.497541216224</v>
      </c>
      <c r="AZ81" s="39">
        <v>-30909.829437423854</v>
      </c>
      <c r="BA81" s="39">
        <v>-24547.161333631419</v>
      </c>
      <c r="BB81" s="87"/>
    </row>
    <row r="82" spans="1:54" ht="15.75" customHeight="1" x14ac:dyDescent="0.2">
      <c r="A82" s="28"/>
      <c r="B82" s="9"/>
      <c r="C82" s="7"/>
      <c r="K82" s="24">
        <v>35</v>
      </c>
      <c r="L82" s="39">
        <v>187522.82167517996</v>
      </c>
      <c r="Q82" s="24">
        <v>240</v>
      </c>
      <c r="R82" s="39">
        <v>155882.26663433001</v>
      </c>
      <c r="AL82" s="119"/>
      <c r="AM82" s="65">
        <v>1.5</v>
      </c>
      <c r="AN82" s="73">
        <v>0.2</v>
      </c>
      <c r="AO82" s="73">
        <v>0.03</v>
      </c>
      <c r="AP82" s="63">
        <f t="shared" si="1"/>
        <v>1.52</v>
      </c>
      <c r="AQ82" s="81">
        <v>-140920.50093992785</v>
      </c>
      <c r="AR82" s="39">
        <v>-91561.917643736975</v>
      </c>
      <c r="AS82" s="39">
        <v>-58482.660773094234</v>
      </c>
      <c r="AT82" s="39">
        <v>-34237.948689663121</v>
      </c>
      <c r="AU82" s="39">
        <v>-16506.083338222728</v>
      </c>
      <c r="AV82" s="39">
        <v>1065.5605773650805</v>
      </c>
      <c r="AW82" s="39">
        <v>8094.6340138648229</v>
      </c>
      <c r="AX82" s="39">
        <v>15123.707450364702</v>
      </c>
      <c r="AY82" s="39">
        <v>22152.780886864322</v>
      </c>
      <c r="AZ82" s="39">
        <v>29181.854323364059</v>
      </c>
      <c r="BA82" s="39">
        <v>36210.927759863713</v>
      </c>
      <c r="BB82" s="87"/>
    </row>
    <row r="83" spans="1:54" ht="15.75" customHeight="1" x14ac:dyDescent="0.2">
      <c r="A83" s="28"/>
      <c r="B83" s="9"/>
      <c r="C83" s="7"/>
      <c r="K83" s="24">
        <v>40</v>
      </c>
      <c r="L83" s="39">
        <v>184136.45917474851</v>
      </c>
      <c r="Q83" s="24">
        <v>260</v>
      </c>
      <c r="R83" s="39">
        <v>151754.88081274368</v>
      </c>
      <c r="AL83" s="119"/>
      <c r="AM83" s="63">
        <v>1.6</v>
      </c>
      <c r="AN83" s="73">
        <v>0.2</v>
      </c>
      <c r="AO83" s="73">
        <v>0.03</v>
      </c>
      <c r="AP83" s="63">
        <f t="shared" si="1"/>
        <v>1.57</v>
      </c>
      <c r="AQ83" s="81">
        <v>-88485.748155779162</v>
      </c>
      <c r="AR83" s="39">
        <v>-37405.634849237627</v>
      </c>
      <c r="AS83" s="39">
        <v>-268.16270278449156</v>
      </c>
      <c r="AT83" s="39">
        <v>24020.888333236857</v>
      </c>
      <c r="AU83" s="39">
        <v>43617.015842005188</v>
      </c>
      <c r="AV83" s="39">
        <v>63035.849921729765</v>
      </c>
      <c r="AW83" s="39">
        <v>70788.776370376596</v>
      </c>
      <c r="AX83" s="39">
        <v>78541.702819023383</v>
      </c>
      <c r="AY83" s="39">
        <v>86294.62926767001</v>
      </c>
      <c r="AZ83" s="39">
        <v>94047.555716316609</v>
      </c>
      <c r="BA83" s="39">
        <v>101800.48216496341</v>
      </c>
      <c r="BB83" s="87"/>
    </row>
    <row r="84" spans="1:54" ht="15.75" customHeight="1" x14ac:dyDescent="0.2">
      <c r="A84" s="28"/>
      <c r="B84" s="9"/>
      <c r="C84" s="7"/>
      <c r="K84" s="24">
        <v>45</v>
      </c>
      <c r="L84" s="39">
        <v>180750.09667431706</v>
      </c>
      <c r="Q84" s="24">
        <v>280</v>
      </c>
      <c r="R84" s="39">
        <v>147627.49499115738</v>
      </c>
      <c r="AL84" s="119"/>
      <c r="AM84" s="65">
        <v>1.7</v>
      </c>
      <c r="AN84" s="73">
        <v>0.2</v>
      </c>
      <c r="AO84" s="73">
        <v>0.03</v>
      </c>
      <c r="AP84" s="63">
        <f t="shared" si="1"/>
        <v>1.62</v>
      </c>
      <c r="AQ84" s="81">
        <v>-31011.56467749345</v>
      </c>
      <c r="AR84" s="39">
        <v>21378.668234971541</v>
      </c>
      <c r="AS84" s="39">
        <v>63006.904274570537</v>
      </c>
      <c r="AT84" s="39">
        <v>87043.010449560796</v>
      </c>
      <c r="AU84" s="39">
        <v>108671.35232783156</v>
      </c>
      <c r="AV84" s="39">
        <v>130103.79075548156</v>
      </c>
      <c r="AW84" s="39">
        <v>138645.78213226877</v>
      </c>
      <c r="AX84" s="39">
        <v>147187.7735090561</v>
      </c>
      <c r="AY84" s="39">
        <v>155729.76488584321</v>
      </c>
      <c r="AZ84" s="39">
        <v>164271.75626263037</v>
      </c>
      <c r="BA84" s="39">
        <v>172813.74763941765</v>
      </c>
      <c r="BB84" s="87"/>
    </row>
    <row r="85" spans="1:54" ht="15.75" customHeight="1" x14ac:dyDescent="0.2">
      <c r="A85" s="28"/>
      <c r="B85" s="9"/>
      <c r="C85" s="7"/>
      <c r="K85" s="24">
        <v>50</v>
      </c>
      <c r="L85" s="39">
        <v>177363.7341738856</v>
      </c>
      <c r="Q85" s="24">
        <v>300</v>
      </c>
      <c r="R85" s="39">
        <v>143500.10916957114</v>
      </c>
      <c r="AL85" s="119"/>
      <c r="AM85" s="63">
        <v>1.8</v>
      </c>
      <c r="AN85" s="73">
        <v>0.2</v>
      </c>
      <c r="AO85" s="73">
        <v>0.03</v>
      </c>
      <c r="AP85" s="63">
        <f t="shared" si="1"/>
        <v>1.67</v>
      </c>
      <c r="AQ85" s="81">
        <v>32163.79557201518</v>
      </c>
      <c r="AR85" s="39">
        <v>85369.670086588128</v>
      </c>
      <c r="AS85" s="39">
        <v>131573.97186750901</v>
      </c>
      <c r="AT85" s="39">
        <v>155426.24647163306</v>
      </c>
      <c r="AU85" s="39">
        <v>179278.5210757569</v>
      </c>
      <c r="AV85" s="39">
        <v>202914.52654495739</v>
      </c>
      <c r="AW85" s="39">
        <v>212320.02293619412</v>
      </c>
      <c r="AX85" s="39">
        <v>221725.51932743101</v>
      </c>
      <c r="AY85" s="39">
        <v>231131.0157186678</v>
      </c>
      <c r="AZ85" s="39">
        <v>240536.51210990446</v>
      </c>
      <c r="BA85" s="39">
        <v>249942.00850114124</v>
      </c>
      <c r="BB85" s="87"/>
    </row>
    <row r="86" spans="1:54" x14ac:dyDescent="0.2">
      <c r="A86" s="28"/>
      <c r="B86" s="9"/>
      <c r="C86" s="7"/>
      <c r="K86" s="24">
        <v>55</v>
      </c>
      <c r="L86" s="39">
        <v>173977.37167345412</v>
      </c>
      <c r="Q86" s="24">
        <v>320</v>
      </c>
      <c r="R86" s="39">
        <v>139372.72334798472</v>
      </c>
      <c r="AL86" s="119"/>
      <c r="AM86" s="65">
        <v>1.9</v>
      </c>
      <c r="AN86" s="73">
        <v>0.2</v>
      </c>
      <c r="AO86" s="73">
        <v>0.03</v>
      </c>
      <c r="AP86" s="63">
        <f t="shared" si="1"/>
        <v>1.72</v>
      </c>
      <c r="AQ86" s="81">
        <v>101816.23788034068</v>
      </c>
      <c r="AR86" s="39">
        <v>155243.80584777595</v>
      </c>
      <c r="AS86" s="39">
        <v>203573.56618424412</v>
      </c>
      <c r="AT86" s="39">
        <v>229869.96487321454</v>
      </c>
      <c r="AU86" s="39">
        <v>256166.36356218485</v>
      </c>
      <c r="AV86" s="39">
        <v>282224.11102754308</v>
      </c>
      <c r="AW86" s="39">
        <v>292578.6079792119</v>
      </c>
      <c r="AX86" s="39">
        <v>302933.10493088089</v>
      </c>
      <c r="AY86" s="39">
        <v>313287.60188254982</v>
      </c>
      <c r="AZ86" s="39">
        <v>323642.09883421869</v>
      </c>
      <c r="BA86" s="39">
        <v>333996.5957858875</v>
      </c>
      <c r="BB86" s="87"/>
    </row>
    <row r="87" spans="1:54" ht="15.75" customHeight="1" thickBot="1" x14ac:dyDescent="0.25">
      <c r="K87" s="24">
        <v>60</v>
      </c>
      <c r="L87" s="39">
        <v>170591.0091730227</v>
      </c>
      <c r="Q87" s="24">
        <v>340</v>
      </c>
      <c r="R87" s="39">
        <v>135245.33752639845</v>
      </c>
      <c r="AL87" s="120"/>
      <c r="AM87" s="76">
        <v>2</v>
      </c>
      <c r="AN87" s="77">
        <v>0.2</v>
      </c>
      <c r="AO87" s="77">
        <v>0.03</v>
      </c>
      <c r="AP87" s="64">
        <f t="shared" si="1"/>
        <v>1.77</v>
      </c>
      <c r="AQ87" s="82">
        <v>173424.0747688135</v>
      </c>
      <c r="AR87" s="83">
        <v>231795.79537238122</v>
      </c>
      <c r="AS87" s="83">
        <v>282201.4768649381</v>
      </c>
      <c r="AT87" s="83">
        <v>311196.595873799</v>
      </c>
      <c r="AU87" s="83">
        <v>340191.71488265978</v>
      </c>
      <c r="AV87" s="83">
        <v>368923.4691119839</v>
      </c>
      <c r="AW87" s="83">
        <v>380325.82084778324</v>
      </c>
      <c r="AX87" s="83">
        <v>391728.17258358246</v>
      </c>
      <c r="AY87" s="83">
        <v>403130.5243193818</v>
      </c>
      <c r="AZ87" s="83">
        <v>414532.87605518091</v>
      </c>
      <c r="BA87" s="83">
        <v>425935.22779098031</v>
      </c>
      <c r="BB87" s="88"/>
    </row>
    <row r="88" spans="1:54" ht="15.75" customHeight="1" x14ac:dyDescent="0.2">
      <c r="K88" s="24">
        <v>65</v>
      </c>
      <c r="L88" s="39">
        <v>167204.64667259128</v>
      </c>
      <c r="Q88" s="24">
        <v>360</v>
      </c>
      <c r="R88" s="39">
        <v>131117.95170481215</v>
      </c>
      <c r="AL88" s="124" t="s">
        <v>115</v>
      </c>
      <c r="AM88" s="65">
        <v>1.8</v>
      </c>
      <c r="AN88" s="73">
        <v>0</v>
      </c>
      <c r="AO88" s="73">
        <v>0.03</v>
      </c>
      <c r="AP88" s="65">
        <f t="shared" si="1"/>
        <v>1.8699999999999999</v>
      </c>
      <c r="AQ88" s="84">
        <v>335651.84846920118</v>
      </c>
      <c r="AR88" s="85">
        <v>408862.68336855795</v>
      </c>
      <c r="AS88" s="85">
        <v>463236.96210229764</v>
      </c>
      <c r="AT88" s="85">
        <v>498570.92165983922</v>
      </c>
      <c r="AU88" s="85">
        <v>533904.88121738145</v>
      </c>
      <c r="AV88" s="85">
        <v>568917.42806484969</v>
      </c>
      <c r="AW88" s="85">
        <v>582781.01858950197</v>
      </c>
      <c r="AX88" s="85">
        <v>596644.60911415482</v>
      </c>
      <c r="AY88" s="85">
        <v>610508.19963880745</v>
      </c>
      <c r="AZ88" s="85">
        <v>624371.79016345972</v>
      </c>
      <c r="BA88" s="85">
        <v>638235.38068811223</v>
      </c>
      <c r="BB88" s="87"/>
    </row>
    <row r="89" spans="1:54" ht="15.75" customHeight="1" x14ac:dyDescent="0.2">
      <c r="K89" s="24">
        <v>70</v>
      </c>
      <c r="L89" s="39">
        <v>163818.28417215982</v>
      </c>
      <c r="Q89" s="24">
        <v>380</v>
      </c>
      <c r="R89" s="39">
        <v>126990.5658832257</v>
      </c>
      <c r="AL89" s="119"/>
      <c r="AM89" s="63">
        <v>1.8</v>
      </c>
      <c r="AN89" s="75">
        <v>0.05</v>
      </c>
      <c r="AO89" s="75">
        <v>0.03</v>
      </c>
      <c r="AP89" s="63">
        <f t="shared" si="1"/>
        <v>1.8199999999999998</v>
      </c>
      <c r="AQ89" s="81">
        <v>250621.29451175081</v>
      </c>
      <c r="AR89" s="39">
        <v>315964.12314635544</v>
      </c>
      <c r="AS89" s="39">
        <v>368388.01614194526</v>
      </c>
      <c r="AT89" s="39">
        <v>400378.4172039504</v>
      </c>
      <c r="AU89" s="39">
        <v>432368.8182659559</v>
      </c>
      <c r="AV89" s="39">
        <v>464068.4252300057</v>
      </c>
      <c r="AW89" s="39">
        <v>476633.78054859699</v>
      </c>
      <c r="AX89" s="39">
        <v>489199.13586718839</v>
      </c>
      <c r="AY89" s="39">
        <v>501764.49118577939</v>
      </c>
      <c r="AZ89" s="39">
        <v>514329.84650437062</v>
      </c>
      <c r="BA89" s="39">
        <v>526895.20182296168</v>
      </c>
      <c r="BB89" s="87"/>
    </row>
    <row r="90" spans="1:54" ht="15.75" customHeight="1" x14ac:dyDescent="0.2">
      <c r="K90" s="24">
        <v>75</v>
      </c>
      <c r="L90" s="39">
        <v>160431.92167172837</v>
      </c>
      <c r="Q90" s="24">
        <v>400</v>
      </c>
      <c r="R90" s="39">
        <v>122863.18006163943</v>
      </c>
      <c r="AL90" s="119"/>
      <c r="AM90" s="63">
        <v>1.8</v>
      </c>
      <c r="AN90" s="75">
        <v>0.1</v>
      </c>
      <c r="AO90" s="75">
        <v>0.03</v>
      </c>
      <c r="AP90" s="63">
        <f t="shared" si="1"/>
        <v>1.7699999999999998</v>
      </c>
      <c r="AQ90" s="81">
        <v>173424.07476881321</v>
      </c>
      <c r="AR90" s="39">
        <v>231795.79537238085</v>
      </c>
      <c r="AS90" s="39">
        <v>282201.47686493769</v>
      </c>
      <c r="AT90" s="39">
        <v>311196.59587379877</v>
      </c>
      <c r="AU90" s="39">
        <v>340191.71488265949</v>
      </c>
      <c r="AV90" s="39">
        <v>368923.46911198337</v>
      </c>
      <c r="AW90" s="39">
        <v>380325.82084778271</v>
      </c>
      <c r="AX90" s="39">
        <v>391728.17258358205</v>
      </c>
      <c r="AY90" s="39">
        <v>403130.52431938116</v>
      </c>
      <c r="AZ90" s="39">
        <v>414532.8760551805</v>
      </c>
      <c r="BA90" s="39">
        <v>425935.22779097973</v>
      </c>
      <c r="BB90" s="87"/>
    </row>
    <row r="91" spans="1:54" ht="15.75" customHeight="1" x14ac:dyDescent="0.2">
      <c r="K91" s="24">
        <v>80</v>
      </c>
      <c r="L91" s="39">
        <v>157045.55917129692</v>
      </c>
      <c r="Q91" s="24">
        <v>420</v>
      </c>
      <c r="R91" s="39">
        <v>118735.79424005313</v>
      </c>
      <c r="AL91" s="119"/>
      <c r="AM91" s="63">
        <v>1.8</v>
      </c>
      <c r="AN91" s="75">
        <v>0.15</v>
      </c>
      <c r="AO91" s="75">
        <v>0.03</v>
      </c>
      <c r="AP91" s="63">
        <f t="shared" si="1"/>
        <v>1.72</v>
      </c>
      <c r="AQ91" s="81">
        <v>101816.23788034068</v>
      </c>
      <c r="AR91" s="39">
        <v>155243.80584777595</v>
      </c>
      <c r="AS91" s="39">
        <v>203573.56618424412</v>
      </c>
      <c r="AT91" s="39">
        <v>229869.96487321454</v>
      </c>
      <c r="AU91" s="39">
        <v>256166.36356218485</v>
      </c>
      <c r="AV91" s="39">
        <v>282224.11102754308</v>
      </c>
      <c r="AW91" s="39">
        <v>292578.6079792119</v>
      </c>
      <c r="AX91" s="39">
        <v>302933.10493088089</v>
      </c>
      <c r="AY91" s="39">
        <v>313287.60188254982</v>
      </c>
      <c r="AZ91" s="39">
        <v>323642.09883421869</v>
      </c>
      <c r="BA91" s="39">
        <v>333996.5957858875</v>
      </c>
      <c r="BB91" s="87"/>
    </row>
    <row r="92" spans="1:54" ht="15.75" customHeight="1" x14ac:dyDescent="0.2">
      <c r="K92" s="24">
        <v>85</v>
      </c>
      <c r="L92" s="39">
        <v>153659.19667086547</v>
      </c>
      <c r="Q92" s="24">
        <v>440</v>
      </c>
      <c r="R92" s="39">
        <v>114608.40841846689</v>
      </c>
      <c r="AL92" s="119"/>
      <c r="AM92" s="63">
        <v>1.8</v>
      </c>
      <c r="AN92" s="75">
        <v>0.2</v>
      </c>
      <c r="AO92" s="75">
        <v>0.03</v>
      </c>
      <c r="AP92" s="63">
        <f t="shared" si="1"/>
        <v>1.67</v>
      </c>
      <c r="AQ92" s="81">
        <v>32163.79557201518</v>
      </c>
      <c r="AR92" s="39">
        <v>85369.670086588128</v>
      </c>
      <c r="AS92" s="39">
        <v>131573.97186750901</v>
      </c>
      <c r="AT92" s="39">
        <v>155426.24647163306</v>
      </c>
      <c r="AU92" s="39">
        <v>179278.5210757569</v>
      </c>
      <c r="AV92" s="39">
        <v>202914.52654495739</v>
      </c>
      <c r="AW92" s="39">
        <v>212320.02293619412</v>
      </c>
      <c r="AX92" s="39">
        <v>221725.51932743101</v>
      </c>
      <c r="AY92" s="39">
        <v>231131.0157186678</v>
      </c>
      <c r="AZ92" s="39">
        <v>240536.51210990446</v>
      </c>
      <c r="BA92" s="39">
        <v>249942.00850114124</v>
      </c>
      <c r="BB92" s="87"/>
    </row>
    <row r="93" spans="1:54" x14ac:dyDescent="0.2">
      <c r="K93" s="24">
        <v>90</v>
      </c>
      <c r="L93" s="39">
        <v>150272.83417043401</v>
      </c>
      <c r="Q93" s="24">
        <v>460</v>
      </c>
      <c r="R93" s="39">
        <v>110481.02259688044</v>
      </c>
      <c r="AL93" s="119"/>
      <c r="AM93" s="63">
        <v>1.8</v>
      </c>
      <c r="AN93" s="75">
        <v>0.25</v>
      </c>
      <c r="AO93" s="75">
        <v>0.03</v>
      </c>
      <c r="AP93" s="63">
        <f t="shared" si="1"/>
        <v>1.6199999999999999</v>
      </c>
      <c r="AQ93" s="81">
        <v>-31011.564677493592</v>
      </c>
      <c r="AR93" s="39">
        <v>21378.668234971381</v>
      </c>
      <c r="AS93" s="39">
        <v>63006.904274570312</v>
      </c>
      <c r="AT93" s="39">
        <v>87043.010449560548</v>
      </c>
      <c r="AU93" s="39">
        <v>108671.35232783132</v>
      </c>
      <c r="AV93" s="39">
        <v>130103.79075548131</v>
      </c>
      <c r="AW93" s="39">
        <v>138645.78213226856</v>
      </c>
      <c r="AX93" s="39">
        <v>147187.77350905575</v>
      </c>
      <c r="AY93" s="39">
        <v>155729.76488584289</v>
      </c>
      <c r="AZ93" s="39">
        <v>164271.75626263005</v>
      </c>
      <c r="BA93" s="39">
        <v>172813.74763941724</v>
      </c>
      <c r="BB93" s="87"/>
    </row>
    <row r="94" spans="1:54" ht="15.75" customHeight="1" x14ac:dyDescent="0.2">
      <c r="K94" s="35">
        <v>95</v>
      </c>
      <c r="L94" s="57">
        <v>146886.47167000256</v>
      </c>
      <c r="Q94" s="24">
        <v>480</v>
      </c>
      <c r="R94" s="39">
        <v>106353.63677529414</v>
      </c>
      <c r="AL94" s="119"/>
      <c r="AM94" s="63">
        <v>1.8</v>
      </c>
      <c r="AN94" s="75">
        <v>0.3</v>
      </c>
      <c r="AO94" s="75">
        <v>0.03</v>
      </c>
      <c r="AP94" s="63">
        <f t="shared" si="1"/>
        <v>1.5699999999999998</v>
      </c>
      <c r="AQ94" s="81">
        <v>-88485.748155779496</v>
      </c>
      <c r="AR94" s="39">
        <v>-37405.634849237846</v>
      </c>
      <c r="AS94" s="39">
        <v>-268.16270278472803</v>
      </c>
      <c r="AT94" s="39">
        <v>24020.888333236526</v>
      </c>
      <c r="AU94" s="39">
        <v>43617.01584200489</v>
      </c>
      <c r="AV94" s="39">
        <v>63035.849921729554</v>
      </c>
      <c r="AW94" s="39">
        <v>70788.776370376174</v>
      </c>
      <c r="AX94" s="39">
        <v>78541.702819022961</v>
      </c>
      <c r="AY94" s="39">
        <v>86294.629267669792</v>
      </c>
      <c r="AZ94" s="39">
        <v>94047.555716316376</v>
      </c>
      <c r="BA94" s="39">
        <v>101800.48216496318</v>
      </c>
      <c r="BB94" s="87"/>
    </row>
    <row r="95" spans="1:54" ht="15.75" customHeight="1" x14ac:dyDescent="0.2">
      <c r="K95" s="24">
        <v>100</v>
      </c>
      <c r="L95" s="39">
        <v>143500.10916957114</v>
      </c>
      <c r="Q95" s="24">
        <v>500</v>
      </c>
      <c r="R95" s="39">
        <v>102226.25095370787</v>
      </c>
      <c r="AL95" s="119"/>
      <c r="AM95" s="63">
        <v>1.8</v>
      </c>
      <c r="AN95" s="75">
        <v>0.35</v>
      </c>
      <c r="AO95" s="75">
        <v>0.03</v>
      </c>
      <c r="AP95" s="63">
        <f t="shared" si="1"/>
        <v>1.5199999999999998</v>
      </c>
      <c r="AQ95" s="81">
        <v>-140920.50093992802</v>
      </c>
      <c r="AR95" s="39">
        <v>-91561.917643737092</v>
      </c>
      <c r="AS95" s="39">
        <v>-58482.660773094438</v>
      </c>
      <c r="AT95" s="39">
        <v>-34237.948689663412</v>
      </c>
      <c r="AU95" s="39">
        <v>-16506.083338223034</v>
      </c>
      <c r="AV95" s="39">
        <v>1065.5605773649368</v>
      </c>
      <c r="AW95" s="39">
        <v>8094.6340138645992</v>
      </c>
      <c r="AX95" s="39">
        <v>15123.707450364427</v>
      </c>
      <c r="AY95" s="39">
        <v>22152.780886864126</v>
      </c>
      <c r="AZ95" s="39">
        <v>29181.85432336371</v>
      </c>
      <c r="BA95" s="39">
        <v>36210.927759863422</v>
      </c>
      <c r="BB95" s="87"/>
    </row>
    <row r="96" spans="1:54" ht="15.75" customHeight="1" x14ac:dyDescent="0.2">
      <c r="L96" s="43"/>
      <c r="AL96" s="119"/>
      <c r="AM96" s="63">
        <v>1.8</v>
      </c>
      <c r="AN96" s="75">
        <v>0.4</v>
      </c>
      <c r="AO96" s="75">
        <v>0.03</v>
      </c>
      <c r="AP96" s="63">
        <f t="shared" si="1"/>
        <v>1.47</v>
      </c>
      <c r="AQ96" s="81">
        <v>-188883.41470979192</v>
      </c>
      <c r="AR96" s="39">
        <v>-141587.64265815649</v>
      </c>
      <c r="AS96" s="39">
        <v>-112185.58733638372</v>
      </c>
      <c r="AT96" s="39">
        <v>-88247.132018908305</v>
      </c>
      <c r="AU96" s="39">
        <v>-72231.564696087516</v>
      </c>
      <c r="AV96" s="39">
        <v>-56360.501852593407</v>
      </c>
      <c r="AW96" s="39">
        <v>-49997.833748801109</v>
      </c>
      <c r="AX96" s="39">
        <v>-43635.165645008565</v>
      </c>
      <c r="AY96" s="39">
        <v>-37272.497541216224</v>
      </c>
      <c r="AZ96" s="39">
        <v>-30909.829437423854</v>
      </c>
      <c r="BA96" s="39">
        <v>-24547.161333631419</v>
      </c>
      <c r="BB96" s="87"/>
    </row>
    <row r="97" spans="1:54" ht="15.75" customHeight="1" x14ac:dyDescent="0.2">
      <c r="Q97" s="29" t="s">
        <v>37</v>
      </c>
      <c r="R97" s="29" t="s">
        <v>101</v>
      </c>
      <c r="AL97" s="119"/>
      <c r="AM97" s="63">
        <v>1.8</v>
      </c>
      <c r="AN97" s="75">
        <v>0.45</v>
      </c>
      <c r="AO97" s="75">
        <v>0.03</v>
      </c>
      <c r="AP97" s="63">
        <f t="shared" si="1"/>
        <v>1.42</v>
      </c>
      <c r="AQ97" s="81">
        <v>-235245.59152020569</v>
      </c>
      <c r="AR97" s="39">
        <v>-191217.49779754865</v>
      </c>
      <c r="AS97" s="39">
        <v>-161850.26630818602</v>
      </c>
      <c r="AT97" s="39">
        <v>-138450.14259597342</v>
      </c>
      <c r="AU97" s="39">
        <v>-124019.81705937482</v>
      </c>
      <c r="AV97" s="39">
        <v>-109719.47954586397</v>
      </c>
      <c r="AW97" s="39">
        <v>-103972.35395154523</v>
      </c>
      <c r="AX97" s="39">
        <v>-98225.228357226282</v>
      </c>
      <c r="AY97" s="39">
        <v>-92478.10276290754</v>
      </c>
      <c r="AZ97" s="39">
        <v>-86730.977168588957</v>
      </c>
      <c r="BA97" s="39">
        <v>-80983.851574269967</v>
      </c>
      <c r="BB97" s="87"/>
    </row>
    <row r="98" spans="1:54" ht="15.75" customHeight="1" x14ac:dyDescent="0.2">
      <c r="Q98" s="24"/>
      <c r="R98" s="39">
        <f>Analysis!$M$40</f>
        <v>143500.10916957114</v>
      </c>
      <c r="AL98" s="119"/>
      <c r="AM98" s="63">
        <v>1.8</v>
      </c>
      <c r="AN98" s="75">
        <v>0.5</v>
      </c>
      <c r="AO98" s="75">
        <v>0.03</v>
      </c>
      <c r="AP98" s="63">
        <f t="shared" si="1"/>
        <v>1.3699999999999999</v>
      </c>
      <c r="AQ98" s="81">
        <v>-280182.89291429322</v>
      </c>
      <c r="AR98" s="39">
        <v>-237257.03419531276</v>
      </c>
      <c r="AS98" s="39">
        <v>-207886.50669854882</v>
      </c>
      <c r="AT98" s="39">
        <v>-185231.78602235432</v>
      </c>
      <c r="AU98" s="39">
        <v>-172269.97064701625</v>
      </c>
      <c r="AV98" s="39">
        <v>-159424.69738232312</v>
      </c>
      <c r="AW98" s="39">
        <v>-154247.8949980718</v>
      </c>
      <c r="AX98" s="39">
        <v>-149071.09261382042</v>
      </c>
      <c r="AY98" s="39">
        <v>-143894.29022956904</v>
      </c>
      <c r="AZ98" s="39">
        <v>-138717.48784531775</v>
      </c>
      <c r="BA98" s="39">
        <v>-133540.68546106643</v>
      </c>
      <c r="BB98" s="87"/>
    </row>
    <row r="99" spans="1:54" ht="15.75" customHeight="1" x14ac:dyDescent="0.2">
      <c r="Q99" s="24">
        <v>20</v>
      </c>
      <c r="R99" s="39">
        <f t="dataTable" ref="R99:R123" dt2D="0" dtr="0" r1="C17" ca="1"/>
        <v>-529101.93731970328</v>
      </c>
      <c r="AL99" s="119"/>
      <c r="AM99" s="63">
        <v>1.8</v>
      </c>
      <c r="AN99" s="75">
        <v>0.55000000000000004</v>
      </c>
      <c r="AO99" s="75">
        <v>0.03</v>
      </c>
      <c r="AP99" s="63">
        <f t="shared" si="1"/>
        <v>1.3199999999999998</v>
      </c>
      <c r="AQ99" s="81">
        <v>-320606.00704342802</v>
      </c>
      <c r="AR99" s="39">
        <v>-279489.35115290916</v>
      </c>
      <c r="AS99" s="39">
        <v>-250650.12881691151</v>
      </c>
      <c r="AT99" s="39">
        <v>-230402.29915484029</v>
      </c>
      <c r="AU99" s="39">
        <v>-217329.70246688899</v>
      </c>
      <c r="AV99" s="39">
        <v>-205835.76559949914</v>
      </c>
      <c r="AW99" s="39">
        <v>-201189.00120844657</v>
      </c>
      <c r="AX99" s="39">
        <v>-196542.23681739392</v>
      </c>
      <c r="AY99" s="39">
        <v>-191895.47242634126</v>
      </c>
      <c r="AZ99" s="39">
        <v>-187248.70803528876</v>
      </c>
      <c r="BA99" s="39">
        <v>-182601.94364423625</v>
      </c>
      <c r="BB99" s="87"/>
    </row>
    <row r="100" spans="1:54" ht="15.75" customHeight="1" x14ac:dyDescent="0.2">
      <c r="Q100" s="24">
        <v>40</v>
      </c>
      <c r="R100" s="39">
        <v>-470614.80284237495</v>
      </c>
      <c r="AL100" s="119"/>
      <c r="AM100" s="63">
        <v>1.8</v>
      </c>
      <c r="AN100" s="75">
        <v>0.6</v>
      </c>
      <c r="AO100" s="75">
        <v>0.03</v>
      </c>
      <c r="AP100" s="63">
        <f t="shared" si="1"/>
        <v>1.2699999999999998</v>
      </c>
      <c r="AQ100" s="81">
        <v>-361984.85970738408</v>
      </c>
      <c r="AR100" s="39">
        <v>-319931.62018055748</v>
      </c>
      <c r="AS100" s="39">
        <v>-291702.82678628649</v>
      </c>
      <c r="AT100" s="39">
        <v>-272738.93308530533</v>
      </c>
      <c r="AU100" s="39">
        <v>-259503.38674173743</v>
      </c>
      <c r="AV100" s="39">
        <v>-249266.81547091829</v>
      </c>
      <c r="AW100" s="39">
        <v>-245114.31275168501</v>
      </c>
      <c r="AX100" s="39">
        <v>-240961.81003245158</v>
      </c>
      <c r="AY100" s="39">
        <v>-236809.30731321822</v>
      </c>
      <c r="AZ100" s="39">
        <v>-232656.804593985</v>
      </c>
      <c r="BA100" s="39">
        <v>-228504.30187475169</v>
      </c>
      <c r="BB100" s="87"/>
    </row>
    <row r="101" spans="1:54" ht="15.75" customHeight="1" x14ac:dyDescent="0.2">
      <c r="Q101" s="24">
        <v>60</v>
      </c>
      <c r="R101" s="39">
        <v>-412127.66836504673</v>
      </c>
      <c r="AL101" s="119"/>
      <c r="AM101" s="63">
        <v>1.8</v>
      </c>
      <c r="AN101" s="75">
        <v>0.65</v>
      </c>
      <c r="AO101" s="75">
        <v>0.03</v>
      </c>
      <c r="AP101" s="63">
        <f t="shared" si="1"/>
        <v>1.22</v>
      </c>
      <c r="AQ101" s="81">
        <v>-401331.22946308734</v>
      </c>
      <c r="AR101" s="39">
        <v>-359119.78328052349</v>
      </c>
      <c r="AS101" s="39">
        <v>-331414.07197212387</v>
      </c>
      <c r="AT101" s="39">
        <v>-312168.6614508442</v>
      </c>
      <c r="AU101" s="39">
        <v>-299059.06434298283</v>
      </c>
      <c r="AV101" s="39">
        <v>-289993.3154986804</v>
      </c>
      <c r="AW101" s="39">
        <v>-286303.80586051248</v>
      </c>
      <c r="AX101" s="39">
        <v>-282614.29622234445</v>
      </c>
      <c r="AY101" s="39">
        <v>-278924.78658417659</v>
      </c>
      <c r="AZ101" s="39">
        <v>-276053.38911727618</v>
      </c>
      <c r="BA101" s="39">
        <v>-274664.38947614271</v>
      </c>
      <c r="BB101" s="87"/>
    </row>
    <row r="102" spans="1:54" ht="15.75" customHeight="1" x14ac:dyDescent="0.2">
      <c r="Q102" s="24">
        <v>80</v>
      </c>
      <c r="R102" s="39">
        <v>-353640.53388771857</v>
      </c>
      <c r="AL102" s="119"/>
      <c r="AM102" s="63">
        <v>1.8</v>
      </c>
      <c r="AN102" s="75">
        <v>0.7</v>
      </c>
      <c r="AO102" s="75">
        <v>0.03</v>
      </c>
      <c r="AP102" s="63">
        <f t="shared" si="1"/>
        <v>1.17</v>
      </c>
      <c r="AQ102" s="81">
        <v>-442251.86906560848</v>
      </c>
      <c r="AR102" s="39">
        <v>-398184.32181015698</v>
      </c>
      <c r="AS102" s="39">
        <v>-369008.47824283107</v>
      </c>
      <c r="AT102" s="39">
        <v>-348943.99517577351</v>
      </c>
      <c r="AU102" s="39">
        <v>-336234.7281220787</v>
      </c>
      <c r="AV102" s="39">
        <v>-328257.93759711646</v>
      </c>
      <c r="AW102" s="39">
        <v>-325005.35040162381</v>
      </c>
      <c r="AX102" s="39">
        <v>-321752.76320613094</v>
      </c>
      <c r="AY102" s="39">
        <v>-319543.38376021927</v>
      </c>
      <c r="AZ102" s="39">
        <v>-318510.10477084195</v>
      </c>
      <c r="BA102" s="39">
        <v>-318228.91782175051</v>
      </c>
      <c r="BB102" s="87"/>
    </row>
    <row r="103" spans="1:54" ht="15.75" customHeight="1" x14ac:dyDescent="0.2">
      <c r="Q103" s="24">
        <v>100</v>
      </c>
      <c r="R103" s="39">
        <v>-295153.3994103903</v>
      </c>
      <c r="AL103" s="119"/>
      <c r="AM103" s="63">
        <v>1.8</v>
      </c>
      <c r="AN103" s="75">
        <v>0.75</v>
      </c>
      <c r="AO103" s="75">
        <v>0.03</v>
      </c>
      <c r="AP103" s="63">
        <f t="shared" si="1"/>
        <v>1.1199999999999999</v>
      </c>
      <c r="AQ103" s="81">
        <v>-483178.117870141</v>
      </c>
      <c r="AR103" s="39">
        <v>-439022.83269307506</v>
      </c>
      <c r="AS103" s="39">
        <v>-406886.87164026732</v>
      </c>
      <c r="AT103" s="39">
        <v>-385559.15387038409</v>
      </c>
      <c r="AU103" s="39">
        <v>-372018.24566561432</v>
      </c>
      <c r="AV103" s="39">
        <v>-364276.03914305952</v>
      </c>
      <c r="AW103" s="39">
        <v>-361441.33036570146</v>
      </c>
      <c r="AX103" s="39">
        <v>-359399.22773400793</v>
      </c>
      <c r="AY103" s="39">
        <v>-358640.0962760885</v>
      </c>
      <c r="AZ103" s="39">
        <v>-360098.4806929052</v>
      </c>
      <c r="BA103" s="39">
        <v>-363054.44787281449</v>
      </c>
      <c r="BB103" s="87"/>
    </row>
    <row r="104" spans="1:54" ht="15.75" customHeight="1" x14ac:dyDescent="0.2">
      <c r="Q104" s="24">
        <v>120</v>
      </c>
      <c r="R104" s="39">
        <v>-236666.26493306214</v>
      </c>
      <c r="AL104" s="119"/>
      <c r="AM104" s="63">
        <v>1.8</v>
      </c>
      <c r="AN104" s="75">
        <v>0.8</v>
      </c>
      <c r="AO104" s="75">
        <v>0.03</v>
      </c>
      <c r="AP104" s="63">
        <f t="shared" si="1"/>
        <v>1.0699999999999998</v>
      </c>
      <c r="AQ104" s="81">
        <v>-500070.04632935725</v>
      </c>
      <c r="AR104" s="39">
        <v>-477491.87270987482</v>
      </c>
      <c r="AS104" s="39">
        <v>-448011.89260405931</v>
      </c>
      <c r="AT104" s="39">
        <v>-422332.8982623581</v>
      </c>
      <c r="AU104" s="39">
        <v>-406077.21914276091</v>
      </c>
      <c r="AV104" s="39">
        <v>-398241.50203247764</v>
      </c>
      <c r="AW104" s="39">
        <v>-396079.22662370501</v>
      </c>
      <c r="AX104" s="39">
        <v>-396249.22499578824</v>
      </c>
      <c r="AY104" s="39">
        <v>-398841.73720674543</v>
      </c>
      <c r="AZ104" s="39">
        <v>-404678.15963751514</v>
      </c>
      <c r="BA104" s="39">
        <v>-414081.1189676061</v>
      </c>
      <c r="BB104" s="87"/>
    </row>
    <row r="105" spans="1:54" ht="15.75" customHeight="1" x14ac:dyDescent="0.2">
      <c r="Q105" s="24">
        <v>140</v>
      </c>
      <c r="R105" s="39">
        <v>-178179.130455734</v>
      </c>
      <c r="AL105" s="119"/>
      <c r="AM105" s="63">
        <v>1.8</v>
      </c>
      <c r="AN105" s="75">
        <v>0.85</v>
      </c>
      <c r="AO105" s="75">
        <v>0.03</v>
      </c>
      <c r="AP105" s="63">
        <f t="shared" si="1"/>
        <v>1.0199999999999998</v>
      </c>
      <c r="AQ105" s="81">
        <v>-513785.24510057131</v>
      </c>
      <c r="AR105" s="39">
        <v>-496693.15098957467</v>
      </c>
      <c r="AS105" s="39">
        <v>-479601.05687857792</v>
      </c>
      <c r="AT105" s="39">
        <v>-462508.96276758087</v>
      </c>
      <c r="AU105" s="39">
        <v>-443408.21291752631</v>
      </c>
      <c r="AV105" s="39">
        <v>-430333.92846528516</v>
      </c>
      <c r="AW105" s="39">
        <v>-431418.12365980388</v>
      </c>
      <c r="AX105" s="39">
        <v>-439728.66013659042</v>
      </c>
      <c r="AY105" s="39">
        <v>-445261.25644690258</v>
      </c>
      <c r="AZ105" s="39">
        <v>-450793.85275721474</v>
      </c>
      <c r="BA105" s="39">
        <v>-456326.44906752685</v>
      </c>
      <c r="BB105" s="87"/>
    </row>
    <row r="106" spans="1:54" ht="15.75" customHeight="1" x14ac:dyDescent="0.2">
      <c r="Q106" s="24">
        <v>160</v>
      </c>
      <c r="R106" s="39">
        <v>-119691.99597840576</v>
      </c>
      <c r="AL106" s="119"/>
      <c r="AM106" s="63">
        <v>1.8</v>
      </c>
      <c r="AN106" s="75">
        <v>0.9</v>
      </c>
      <c r="AO106" s="75">
        <v>0.03</v>
      </c>
      <c r="AP106" s="63">
        <f t="shared" si="1"/>
        <v>0.96999999999999986</v>
      </c>
      <c r="AQ106" s="81">
        <v>-524865.15679702617</v>
      </c>
      <c r="AR106" s="39">
        <v>-512205.02736461139</v>
      </c>
      <c r="AS106" s="39">
        <v>-499544.89793219668</v>
      </c>
      <c r="AT106" s="39">
        <v>-486884.76849978173</v>
      </c>
      <c r="AU106" s="39">
        <v>-474224.63906736684</v>
      </c>
      <c r="AV106" s="39">
        <v>-461818.59227995435</v>
      </c>
      <c r="AW106" s="39">
        <v>-466131.18353368359</v>
      </c>
      <c r="AX106" s="39">
        <v>-470443.77478741278</v>
      </c>
      <c r="AY106" s="39">
        <v>-474756.36604114214</v>
      </c>
      <c r="AZ106" s="39">
        <v>-479068.95729487145</v>
      </c>
      <c r="BA106" s="39">
        <v>-483381.54854860075</v>
      </c>
      <c r="BB106" s="87"/>
    </row>
    <row r="107" spans="1:54" ht="15.75" customHeight="1" x14ac:dyDescent="0.2">
      <c r="Q107" s="24">
        <v>180</v>
      </c>
      <c r="R107" s="39">
        <v>-61204.861501077539</v>
      </c>
      <c r="AL107" s="119"/>
      <c r="AM107" s="63">
        <v>1.8</v>
      </c>
      <c r="AN107" s="75">
        <v>0.95</v>
      </c>
      <c r="AO107" s="75">
        <v>0.03</v>
      </c>
      <c r="AP107" s="63">
        <f t="shared" si="1"/>
        <v>0.91999999999999993</v>
      </c>
      <c r="AQ107" s="81">
        <v>-533782.39958975918</v>
      </c>
      <c r="AR107" s="39">
        <v>-524689.16727443761</v>
      </c>
      <c r="AS107" s="39">
        <v>-515595.93495911598</v>
      </c>
      <c r="AT107" s="39">
        <v>-506502.7026437943</v>
      </c>
      <c r="AU107" s="39">
        <v>-497409.47032847255</v>
      </c>
      <c r="AV107" s="39">
        <v>-488500.02082897164</v>
      </c>
      <c r="AW107" s="39">
        <v>-491683.48061046604</v>
      </c>
      <c r="AX107" s="39">
        <v>-494866.94039196044</v>
      </c>
      <c r="AY107" s="39">
        <v>-498050.40017345478</v>
      </c>
      <c r="AZ107" s="39">
        <v>-501233.85995494918</v>
      </c>
      <c r="BA107" s="39">
        <v>-504417.31973644358</v>
      </c>
      <c r="BB107" s="87"/>
    </row>
    <row r="108" spans="1:54" ht="15.75" customHeight="1" thickBot="1" x14ac:dyDescent="0.25">
      <c r="A108" s="26"/>
      <c r="B108" s="26"/>
      <c r="F108" s="26"/>
      <c r="Q108" s="24">
        <v>200</v>
      </c>
      <c r="R108" s="39">
        <v>-2717.727023749394</v>
      </c>
      <c r="AL108" s="120"/>
      <c r="AM108" s="64">
        <v>1.8</v>
      </c>
      <c r="AN108" s="77">
        <v>1</v>
      </c>
      <c r="AO108" s="77">
        <v>0.03</v>
      </c>
      <c r="AP108" s="64">
        <f t="shared" si="1"/>
        <v>0.86999999999999988</v>
      </c>
      <c r="AQ108" s="82">
        <v>-540942.44969938148</v>
      </c>
      <c r="AR108" s="83">
        <v>-534713.23742790881</v>
      </c>
      <c r="AS108" s="83">
        <v>-528484.02515643602</v>
      </c>
      <c r="AT108" s="83">
        <v>-522254.81288496329</v>
      </c>
      <c r="AU108" s="83">
        <v>-516025.60061349074</v>
      </c>
      <c r="AV108" s="83">
        <v>-509921.98850556853</v>
      </c>
      <c r="AW108" s="83">
        <v>-512082.86715926777</v>
      </c>
      <c r="AX108" s="83">
        <v>-514243.74581296713</v>
      </c>
      <c r="AY108" s="83">
        <v>-516404.62446666643</v>
      </c>
      <c r="AZ108" s="83">
        <v>-518565.50312036567</v>
      </c>
      <c r="BA108" s="83">
        <v>-520726.38177406508</v>
      </c>
      <c r="BB108" s="88"/>
    </row>
    <row r="109" spans="1:54" ht="15.75" customHeight="1" x14ac:dyDescent="0.2">
      <c r="A109" s="26"/>
      <c r="Q109" s="24">
        <v>220</v>
      </c>
      <c r="R109" s="39">
        <v>55769.407453578824</v>
      </c>
      <c r="AL109" s="121" t="s">
        <v>114</v>
      </c>
      <c r="AM109" s="65">
        <v>1.8</v>
      </c>
      <c r="AN109" s="73">
        <v>0.2</v>
      </c>
      <c r="AO109" s="79">
        <v>0.01</v>
      </c>
      <c r="AP109" s="65">
        <f t="shared" si="1"/>
        <v>1.69</v>
      </c>
      <c r="AQ109" s="95">
        <v>59199.703394480959</v>
      </c>
      <c r="AR109" s="96">
        <v>112571.74199065621</v>
      </c>
      <c r="AS109" s="96">
        <v>159631.71437937277</v>
      </c>
      <c r="AT109" s="96">
        <v>184433.43718570383</v>
      </c>
      <c r="AU109" s="96">
        <v>209235.15999203498</v>
      </c>
      <c r="AV109" s="96">
        <v>233811.91908283642</v>
      </c>
      <c r="AW109" s="96">
        <v>243586.06569177995</v>
      </c>
      <c r="AX109" s="96">
        <v>253360.21230072365</v>
      </c>
      <c r="AY109" s="96">
        <v>263134.35890966724</v>
      </c>
      <c r="AZ109" s="96">
        <v>272908.50551861082</v>
      </c>
      <c r="BA109" s="96">
        <v>282682.65212755441</v>
      </c>
      <c r="BB109" s="86"/>
    </row>
    <row r="110" spans="1:54" ht="15.75" customHeight="1" x14ac:dyDescent="0.2">
      <c r="C110" s="42"/>
      <c r="D110" s="42"/>
      <c r="Q110" s="24">
        <v>240</v>
      </c>
      <c r="R110" s="39">
        <v>114256.54193090704</v>
      </c>
      <c r="AL110" s="122"/>
      <c r="AM110" s="65">
        <v>1.8</v>
      </c>
      <c r="AN110" s="73">
        <v>0.2</v>
      </c>
      <c r="AO110" s="78">
        <v>0.02</v>
      </c>
      <c r="AP110" s="63">
        <f t="shared" si="1"/>
        <v>1.68</v>
      </c>
      <c r="AQ110" s="97">
        <v>45549.018626900754</v>
      </c>
      <c r="AR110" s="39">
        <v>98850.26411366745</v>
      </c>
      <c r="AS110" s="39">
        <v>145483.28089006079</v>
      </c>
      <c r="AT110" s="39">
        <v>169805.75841337306</v>
      </c>
      <c r="AU110" s="39">
        <v>194128.23593668517</v>
      </c>
      <c r="AV110" s="39">
        <v>218230.13843753579</v>
      </c>
      <c r="AW110" s="39">
        <v>227818.20446039879</v>
      </c>
      <c r="AX110" s="39">
        <v>237406.27048326193</v>
      </c>
      <c r="AY110" s="39">
        <v>246994.33650612491</v>
      </c>
      <c r="AZ110" s="39">
        <v>256582.40252898788</v>
      </c>
      <c r="BA110" s="39">
        <v>266170.46855185076</v>
      </c>
      <c r="BB110" s="87"/>
    </row>
    <row r="111" spans="1:54" ht="15.75" customHeight="1" x14ac:dyDescent="0.2">
      <c r="C111" s="43"/>
      <c r="D111" s="47"/>
      <c r="Q111" s="24">
        <v>260</v>
      </c>
      <c r="R111" s="39">
        <v>172743.67640823522</v>
      </c>
      <c r="AL111" s="122"/>
      <c r="AM111" s="65">
        <v>1.8</v>
      </c>
      <c r="AN111" s="73">
        <v>0.2</v>
      </c>
      <c r="AO111" s="79">
        <v>0.03</v>
      </c>
      <c r="AP111" s="63">
        <f t="shared" si="1"/>
        <v>1.67</v>
      </c>
      <c r="AQ111" s="97">
        <v>32163.79557201518</v>
      </c>
      <c r="AR111" s="39">
        <v>85369.670086588128</v>
      </c>
      <c r="AS111" s="39">
        <v>131573.97186750901</v>
      </c>
      <c r="AT111" s="39">
        <v>155426.24647163306</v>
      </c>
      <c r="AU111" s="39">
        <v>179278.5210757569</v>
      </c>
      <c r="AV111" s="39">
        <v>202914.52654495739</v>
      </c>
      <c r="AW111" s="39">
        <v>212320.02293619412</v>
      </c>
      <c r="AX111" s="39">
        <v>221725.51932743101</v>
      </c>
      <c r="AY111" s="39">
        <v>231131.0157186678</v>
      </c>
      <c r="AZ111" s="39">
        <v>240536.51210990446</v>
      </c>
      <c r="BA111" s="39">
        <v>249942.00850114124</v>
      </c>
      <c r="BB111" s="87"/>
    </row>
    <row r="112" spans="1:54" ht="15.75" customHeight="1" x14ac:dyDescent="0.2">
      <c r="C112" s="43"/>
      <c r="D112" s="47"/>
      <c r="Q112" s="24">
        <v>280</v>
      </c>
      <c r="R112" s="39">
        <v>231230.81088556343</v>
      </c>
      <c r="AL112" s="122"/>
      <c r="AM112" s="65">
        <v>1.8</v>
      </c>
      <c r="AN112" s="73">
        <v>0.2</v>
      </c>
      <c r="AO112" s="78">
        <v>0.04</v>
      </c>
      <c r="AP112" s="63">
        <f t="shared" si="1"/>
        <v>1.66</v>
      </c>
      <c r="AQ112" s="97">
        <v>19037.213636012661</v>
      </c>
      <c r="AR112" s="39">
        <v>72124.024979648064</v>
      </c>
      <c r="AS112" s="39">
        <v>117697.06028951403</v>
      </c>
      <c r="AT112" s="39">
        <v>141288.76223499415</v>
      </c>
      <c r="AU112" s="39">
        <v>164679.6227595408</v>
      </c>
      <c r="AV112" s="39">
        <v>187858.43955282302</v>
      </c>
      <c r="AW112" s="39">
        <v>197084.77882891244</v>
      </c>
      <c r="AX112" s="39">
        <v>206311.11810500207</v>
      </c>
      <c r="AY112" s="39">
        <v>215537.45738109152</v>
      </c>
      <c r="AZ112" s="39">
        <v>224763.796657181</v>
      </c>
      <c r="BA112" s="39">
        <v>233990.13593327062</v>
      </c>
      <c r="BB112" s="87"/>
    </row>
    <row r="113" spans="2:54" ht="15.75" customHeight="1" x14ac:dyDescent="0.2">
      <c r="C113" s="43"/>
      <c r="Q113" s="24">
        <v>300</v>
      </c>
      <c r="R113" s="39">
        <v>289717.94536289159</v>
      </c>
      <c r="AL113" s="122"/>
      <c r="AM113" s="65">
        <v>1.8</v>
      </c>
      <c r="AN113" s="73">
        <v>0.2</v>
      </c>
      <c r="AO113" s="79">
        <v>0.05</v>
      </c>
      <c r="AP113" s="63">
        <f t="shared" si="1"/>
        <v>1.65</v>
      </c>
      <c r="AQ113" s="97">
        <v>6162.6730262763631</v>
      </c>
      <c r="AR113" s="39">
        <v>59107.581861906576</v>
      </c>
      <c r="AS113" s="39">
        <v>103662.89432054495</v>
      </c>
      <c r="AT113" s="39">
        <v>127387.36213959966</v>
      </c>
      <c r="AU113" s="39">
        <v>150325.35328974636</v>
      </c>
      <c r="AV113" s="39">
        <v>173055.44786407176</v>
      </c>
      <c r="AW113" s="39">
        <v>182105.94774936873</v>
      </c>
      <c r="AX113" s="39">
        <v>191156.4476346657</v>
      </c>
      <c r="AY113" s="39">
        <v>200206.94751996256</v>
      </c>
      <c r="AZ113" s="39">
        <v>209257.44740525942</v>
      </c>
      <c r="BA113" s="39">
        <v>218307.94729055627</v>
      </c>
      <c r="BB113" s="87"/>
    </row>
    <row r="114" spans="2:54" ht="15.75" customHeight="1" x14ac:dyDescent="0.2">
      <c r="C114" s="43"/>
      <c r="Q114" s="24">
        <v>320</v>
      </c>
      <c r="R114" s="39">
        <v>348205.07984021981</v>
      </c>
      <c r="AL114" s="122"/>
      <c r="AM114" s="65">
        <v>1.8</v>
      </c>
      <c r="AN114" s="73">
        <v>0.2</v>
      </c>
      <c r="AO114" s="78">
        <v>0.06</v>
      </c>
      <c r="AP114" s="63">
        <f t="shared" si="1"/>
        <v>1.64</v>
      </c>
      <c r="AQ114" s="97">
        <v>-6466.2138471656799</v>
      </c>
      <c r="AR114" s="39">
        <v>46314.774707641212</v>
      </c>
      <c r="AS114" s="39">
        <v>89873.765273870697</v>
      </c>
      <c r="AT114" s="39">
        <v>113716.2907426781</v>
      </c>
      <c r="AU114" s="39">
        <v>136209.72204823082</v>
      </c>
      <c r="AV114" s="39">
        <v>158499.3278388101</v>
      </c>
      <c r="AW114" s="39">
        <v>167377.21474415457</v>
      </c>
      <c r="AX114" s="39">
        <v>176255.10164949912</v>
      </c>
      <c r="AY114" s="39">
        <v>185132.98855484353</v>
      </c>
      <c r="AZ114" s="39">
        <v>194010.87546018796</v>
      </c>
      <c r="BA114" s="39">
        <v>202888.76236553234</v>
      </c>
      <c r="BB114" s="87"/>
    </row>
    <row r="115" spans="2:54" ht="15.75" customHeight="1" x14ac:dyDescent="0.2">
      <c r="C115" s="43"/>
      <c r="Q115" s="24">
        <v>340</v>
      </c>
      <c r="R115" s="39">
        <v>406692.21431754797</v>
      </c>
      <c r="AL115" s="122"/>
      <c r="AM115" s="65">
        <v>1.8</v>
      </c>
      <c r="AN115" s="73">
        <v>0.2</v>
      </c>
      <c r="AO115" s="79">
        <v>7.0000000000000007E-2</v>
      </c>
      <c r="AP115" s="63">
        <f t="shared" si="1"/>
        <v>1.63</v>
      </c>
      <c r="AQ115" s="97">
        <v>-18855.630589477558</v>
      </c>
      <c r="AR115" s="39">
        <v>33740.211602280237</v>
      </c>
      <c r="AS115" s="39">
        <v>76323.697572258912</v>
      </c>
      <c r="AT115" s="39">
        <v>100269.97360036276</v>
      </c>
      <c r="AU115" s="39">
        <v>122326.92796759092</v>
      </c>
      <c r="AV115" s="39">
        <v>144184.05386140561</v>
      </c>
      <c r="AW115" s="39">
        <v>152892.46620461484</v>
      </c>
      <c r="AX115" s="39">
        <v>161600.8785478241</v>
      </c>
      <c r="AY115" s="39">
        <v>170309.29089103336</v>
      </c>
      <c r="AZ115" s="39">
        <v>179017.70323424245</v>
      </c>
      <c r="BA115" s="39">
        <v>187726.11557745177</v>
      </c>
      <c r="BB115" s="87"/>
    </row>
    <row r="116" spans="2:54" ht="15.75" customHeight="1" x14ac:dyDescent="0.2">
      <c r="C116" s="43"/>
      <c r="Q116" s="24">
        <v>360</v>
      </c>
      <c r="R116" s="39">
        <v>465179.34879487613</v>
      </c>
      <c r="AL116" s="122"/>
      <c r="AM116" s="65">
        <v>1.8</v>
      </c>
      <c r="AN116" s="73">
        <v>0.2</v>
      </c>
      <c r="AO116" s="78">
        <v>0.08</v>
      </c>
      <c r="AP116" s="63">
        <f t="shared" si="1"/>
        <v>1.6199999999999999</v>
      </c>
      <c r="AQ116" s="97">
        <v>-31011.564677493592</v>
      </c>
      <c r="AR116" s="39">
        <v>21378.668234971381</v>
      </c>
      <c r="AS116" s="39">
        <v>63006.904274570312</v>
      </c>
      <c r="AT116" s="39">
        <v>87043.010449560548</v>
      </c>
      <c r="AU116" s="39">
        <v>108671.35232783132</v>
      </c>
      <c r="AV116" s="39">
        <v>130103.79075548131</v>
      </c>
      <c r="AW116" s="39">
        <v>138645.78213226856</v>
      </c>
      <c r="AX116" s="39">
        <v>147187.77350905575</v>
      </c>
      <c r="AY116" s="39">
        <v>155729.76488584289</v>
      </c>
      <c r="AZ116" s="39">
        <v>164271.75626263005</v>
      </c>
      <c r="BA116" s="39">
        <v>172813.74763941724</v>
      </c>
      <c r="BB116" s="87"/>
    </row>
    <row r="117" spans="2:54" ht="15.75" customHeight="1" x14ac:dyDescent="0.2">
      <c r="Q117" s="24">
        <v>380</v>
      </c>
      <c r="R117" s="39">
        <v>523666.48327220441</v>
      </c>
      <c r="AL117" s="122"/>
      <c r="AM117" s="65">
        <v>1.8</v>
      </c>
      <c r="AN117" s="73">
        <v>0.2</v>
      </c>
      <c r="AO117" s="79">
        <v>0.09</v>
      </c>
      <c r="AP117" s="63">
        <f t="shared" si="1"/>
        <v>1.6099999999999999</v>
      </c>
      <c r="AQ117" s="97">
        <v>-42939.814973641085</v>
      </c>
      <c r="AR117" s="39">
        <v>9225.0816654862392</v>
      </c>
      <c r="AS117" s="39">
        <v>49917.779902775626</v>
      </c>
      <c r="AT117" s="39">
        <v>74030.168680125309</v>
      </c>
      <c r="AU117" s="39">
        <v>95237.55186400644</v>
      </c>
      <c r="AV117" s="39">
        <v>116252.88653036447</v>
      </c>
      <c r="AW117" s="39">
        <v>124631.42874369634</v>
      </c>
      <c r="AX117" s="39">
        <v>133009.97095702848</v>
      </c>
      <c r="AY117" s="39">
        <v>141388.51317036065</v>
      </c>
      <c r="AZ117" s="39">
        <v>149767.05538369244</v>
      </c>
      <c r="BA117" s="39">
        <v>158145.59759702467</v>
      </c>
      <c r="BB117" s="87"/>
    </row>
    <row r="118" spans="2:54" ht="15.75" customHeight="1" x14ac:dyDescent="0.2">
      <c r="B118" s="45"/>
      <c r="C118" s="28"/>
      <c r="Q118" s="24">
        <v>400</v>
      </c>
      <c r="R118" s="39">
        <v>582153.61774953257</v>
      </c>
      <c r="AL118" s="122"/>
      <c r="AM118" s="65">
        <v>1.8</v>
      </c>
      <c r="AN118" s="73">
        <v>0.2</v>
      </c>
      <c r="AO118" s="78">
        <v>0.1</v>
      </c>
      <c r="AP118" s="63">
        <f t="shared" si="1"/>
        <v>1.5999999999999999</v>
      </c>
      <c r="AQ118" s="97">
        <v>-54645.998915567441</v>
      </c>
      <c r="AR118" s="39">
        <v>-2725.4556462046094</v>
      </c>
      <c r="AS118" s="39">
        <v>37050.893580613003</v>
      </c>
      <c r="AT118" s="39">
        <v>61226.377084133128</v>
      </c>
      <c r="AU118" s="39">
        <v>82020.252170399137</v>
      </c>
      <c r="AV118" s="39">
        <v>102625.86544332892</v>
      </c>
      <c r="AW118" s="39">
        <v>110843.85139873359</v>
      </c>
      <c r="AX118" s="39">
        <v>119061.83735413851</v>
      </c>
      <c r="AY118" s="39">
        <v>127279.82330954322</v>
      </c>
      <c r="AZ118" s="39">
        <v>135497.80926494778</v>
      </c>
      <c r="BA118" s="39">
        <v>143715.79522035251</v>
      </c>
      <c r="BB118" s="87"/>
    </row>
    <row r="119" spans="2:54" ht="15.75" customHeight="1" x14ac:dyDescent="0.2">
      <c r="C119" s="42"/>
      <c r="Q119" s="24">
        <v>420</v>
      </c>
      <c r="R119" s="39">
        <v>640640.75222686073</v>
      </c>
      <c r="AL119" s="122"/>
      <c r="AM119" s="65">
        <v>1.8</v>
      </c>
      <c r="AN119" s="73">
        <v>0.2</v>
      </c>
      <c r="AO119" s="75">
        <v>0.15</v>
      </c>
      <c r="AP119" s="63">
        <f t="shared" si="1"/>
        <v>1.55</v>
      </c>
      <c r="AQ119" s="97">
        <v>-110030.67744497376</v>
      </c>
      <c r="AR119" s="39">
        <v>-59593.989892969301</v>
      </c>
      <c r="AS119" s="39">
        <v>-24128.629585547253</v>
      </c>
      <c r="AT119" s="39">
        <v>176.24408835445502</v>
      </c>
      <c r="AU119" s="39">
        <v>19007.707950768479</v>
      </c>
      <c r="AV119" s="39">
        <v>37668.880797974736</v>
      </c>
      <c r="AW119" s="39">
        <v>45124.904844516554</v>
      </c>
      <c r="AX119" s="39">
        <v>52580.928891058575</v>
      </c>
      <c r="AY119" s="39">
        <v>60036.952937600465</v>
      </c>
      <c r="AZ119" s="39">
        <v>67492.976984142151</v>
      </c>
      <c r="BA119" s="39">
        <v>74949.00103068407</v>
      </c>
      <c r="BB119" s="87"/>
    </row>
    <row r="120" spans="2:54" ht="15.75" customHeight="1" x14ac:dyDescent="0.2">
      <c r="C120" s="43"/>
      <c r="Q120" s="24">
        <v>440</v>
      </c>
      <c r="R120" s="39">
        <v>699127.886704189</v>
      </c>
      <c r="AL120" s="122"/>
      <c r="AM120" s="65">
        <v>1.8</v>
      </c>
      <c r="AN120" s="73">
        <v>0.2</v>
      </c>
      <c r="AO120" s="78">
        <v>0.2</v>
      </c>
      <c r="AP120" s="63">
        <f t="shared" si="1"/>
        <v>1.5</v>
      </c>
      <c r="AQ120" s="97">
        <v>-160613.27278778196</v>
      </c>
      <c r="AR120" s="39">
        <v>-112042.4244042635</v>
      </c>
      <c r="AS120" s="39">
        <v>-80477.162540764752</v>
      </c>
      <c r="AT120" s="39">
        <v>-56325.308057954724</v>
      </c>
      <c r="AU120" s="39">
        <v>-39296.708025082597</v>
      </c>
      <c r="AV120" s="39">
        <v>-22421.889279319475</v>
      </c>
      <c r="AW120" s="39">
        <v>-15665.879225329583</v>
      </c>
      <c r="AX120" s="39">
        <v>-8909.869171339742</v>
      </c>
      <c r="AY120" s="39">
        <v>-2153.8591173498935</v>
      </c>
      <c r="AZ120" s="39">
        <v>4602.1509366399532</v>
      </c>
      <c r="BA120" s="39">
        <v>11358.160990629516</v>
      </c>
      <c r="BB120" s="87"/>
    </row>
    <row r="121" spans="2:54" ht="15.75" customHeight="1" x14ac:dyDescent="0.2">
      <c r="C121" s="43"/>
      <c r="Q121" s="24">
        <v>460</v>
      </c>
      <c r="R121" s="39">
        <v>757615.02118151728</v>
      </c>
      <c r="AL121" s="122"/>
      <c r="AM121" s="65">
        <v>1.8</v>
      </c>
      <c r="AN121" s="73">
        <v>0.2</v>
      </c>
      <c r="AO121" s="75">
        <v>0.25</v>
      </c>
      <c r="AP121" s="63">
        <f t="shared" si="1"/>
        <v>1.45</v>
      </c>
      <c r="AQ121" s="97">
        <v>-206928.47672646132</v>
      </c>
      <c r="AR121" s="39">
        <v>-161579.93133591124</v>
      </c>
      <c r="AS121" s="39">
        <v>-132511.79060316112</v>
      </c>
      <c r="AT121" s="39">
        <v>-108762.32367845417</v>
      </c>
      <c r="AU121" s="39">
        <v>-93395.72393138436</v>
      </c>
      <c r="AV121" s="39">
        <v>-78167.685823175605</v>
      </c>
      <c r="AW121" s="39">
        <v>-72057.003552030015</v>
      </c>
      <c r="AX121" s="39">
        <v>-65946.321280884527</v>
      </c>
      <c r="AY121" s="39">
        <v>-59835.639009738945</v>
      </c>
      <c r="AZ121" s="39">
        <v>-53724.956738593537</v>
      </c>
      <c r="BA121" s="39">
        <v>-47614.274467448013</v>
      </c>
      <c r="BB121" s="87"/>
    </row>
    <row r="122" spans="2:54" ht="15.75" customHeight="1" x14ac:dyDescent="0.2">
      <c r="C122" s="43"/>
      <c r="Q122" s="24">
        <v>480</v>
      </c>
      <c r="R122" s="39">
        <v>816102.15565884544</v>
      </c>
      <c r="AL122" s="122"/>
      <c r="AM122" s="65">
        <v>1.8</v>
      </c>
      <c r="AN122" s="73">
        <v>0.2</v>
      </c>
      <c r="AO122" s="78">
        <v>0.3</v>
      </c>
      <c r="AP122" s="63">
        <f t="shared" si="1"/>
        <v>1.4</v>
      </c>
      <c r="AQ122" s="97">
        <v>-253798.88187440464</v>
      </c>
      <c r="AR122" s="39">
        <v>-210117.91769210159</v>
      </c>
      <c r="AS122" s="39">
        <v>-180679.12725115207</v>
      </c>
      <c r="AT122" s="39">
        <v>-157553.55927680377</v>
      </c>
      <c r="AU122" s="39">
        <v>-143723.92214563061</v>
      </c>
      <c r="AV122" s="39">
        <v>-130018.77270287259</v>
      </c>
      <c r="AW122" s="39">
        <v>-124504.91315784195</v>
      </c>
      <c r="AX122" s="39">
        <v>-118991.05361281108</v>
      </c>
      <c r="AY122" s="39">
        <v>-113477.19406778047</v>
      </c>
      <c r="AZ122" s="39">
        <v>-107963.33452274979</v>
      </c>
      <c r="BA122" s="39">
        <v>-102449.47497771913</v>
      </c>
      <c r="BB122" s="87"/>
    </row>
    <row r="123" spans="2:54" ht="15.75" customHeight="1" x14ac:dyDescent="0.2">
      <c r="C123" s="43"/>
      <c r="Q123" s="24">
        <v>500</v>
      </c>
      <c r="R123" s="39">
        <v>874589.29013617348</v>
      </c>
      <c r="AL123" s="122"/>
      <c r="AM123" s="65">
        <v>1.8</v>
      </c>
      <c r="AN123" s="73">
        <v>0.2</v>
      </c>
      <c r="AO123" s="75">
        <v>0.35</v>
      </c>
      <c r="AP123" s="63">
        <f t="shared" si="1"/>
        <v>1.35</v>
      </c>
      <c r="AQ123" s="97">
        <v>-296863.08795729029</v>
      </c>
      <c r="AR123" s="39">
        <v>-254583.29987811574</v>
      </c>
      <c r="AS123" s="39">
        <v>-225366.38105948523</v>
      </c>
      <c r="AT123" s="39">
        <v>-203484.53743612606</v>
      </c>
      <c r="AU123" s="39">
        <v>-190658.7784161288</v>
      </c>
      <c r="AV123" s="39">
        <v>-178365.89144073956</v>
      </c>
      <c r="AW123" s="39">
        <v>-173405.68012329744</v>
      </c>
      <c r="AX123" s="39">
        <v>-168445.46880585511</v>
      </c>
      <c r="AY123" s="39">
        <v>-163485.25748841299</v>
      </c>
      <c r="AZ123" s="39">
        <v>-158525.04617097092</v>
      </c>
      <c r="BA123" s="39">
        <v>-153564.83485352871</v>
      </c>
      <c r="BB123" s="87"/>
    </row>
    <row r="124" spans="2:54" ht="15.75" customHeight="1" x14ac:dyDescent="0.2">
      <c r="C124" s="43"/>
      <c r="AL124" s="122"/>
      <c r="AM124" s="65">
        <v>1.8</v>
      </c>
      <c r="AN124" s="73">
        <v>0.2</v>
      </c>
      <c r="AO124" s="78">
        <v>0.4</v>
      </c>
      <c r="AP124" s="63">
        <f t="shared" si="1"/>
        <v>1.2999999999999998</v>
      </c>
      <c r="AQ124" s="97">
        <v>-337478.85645620705</v>
      </c>
      <c r="AR124" s="39">
        <v>-295407.67607632477</v>
      </c>
      <c r="AS124" s="39">
        <v>-266909.89875293942</v>
      </c>
      <c r="AT124" s="39">
        <v>-247703.64063087141</v>
      </c>
      <c r="AU124" s="39">
        <v>-234529.74729351266</v>
      </c>
      <c r="AV124" s="39">
        <v>-223549.56182266361</v>
      </c>
      <c r="AW124" s="39">
        <v>-219104.54864047165</v>
      </c>
      <c r="AX124" s="39">
        <v>-214659.53545827948</v>
      </c>
      <c r="AY124" s="39">
        <v>-210214.52227608746</v>
      </c>
      <c r="AZ124" s="39">
        <v>-205769.50909389544</v>
      </c>
      <c r="BA124" s="39">
        <v>-201324.49591170356</v>
      </c>
      <c r="BB124" s="87"/>
    </row>
    <row r="125" spans="2:54" ht="15.75" customHeight="1" x14ac:dyDescent="0.2">
      <c r="C125" s="43"/>
      <c r="Q125" s="29" t="s">
        <v>41</v>
      </c>
      <c r="R125" s="29" t="s">
        <v>101</v>
      </c>
      <c r="AL125" s="122"/>
      <c r="AM125" s="65">
        <v>1.8</v>
      </c>
      <c r="AN125" s="73">
        <v>0.2</v>
      </c>
      <c r="AO125" s="75">
        <v>0.45</v>
      </c>
      <c r="AP125" s="63">
        <f t="shared" si="1"/>
        <v>1.25</v>
      </c>
      <c r="AQ125" s="97">
        <v>-377286.82621207595</v>
      </c>
      <c r="AR125" s="39">
        <v>-336121.88910691545</v>
      </c>
      <c r="AS125" s="39">
        <v>-307990.76113938953</v>
      </c>
      <c r="AT125" s="39">
        <v>-288844.60149343498</v>
      </c>
      <c r="AU125" s="39">
        <v>-275625.8833983767</v>
      </c>
      <c r="AV125" s="39">
        <v>-265867.69646696834</v>
      </c>
      <c r="AW125" s="39">
        <v>-261903.8772636287</v>
      </c>
      <c r="AX125" s="39">
        <v>-257940.05806028892</v>
      </c>
      <c r="AY125" s="39">
        <v>-253976.23885694938</v>
      </c>
      <c r="AZ125" s="39">
        <v>-250012.41965360969</v>
      </c>
      <c r="BA125" s="39">
        <v>-247347.93278308361</v>
      </c>
      <c r="BB125" s="87"/>
    </row>
    <row r="126" spans="2:54" ht="15.75" customHeight="1" x14ac:dyDescent="0.2">
      <c r="C126" s="43"/>
      <c r="Q126" s="24"/>
      <c r="R126" s="39">
        <f>Analysis!$M$40</f>
        <v>143500.10916957114</v>
      </c>
      <c r="AL126" s="122"/>
      <c r="AM126" s="65">
        <v>1.8</v>
      </c>
      <c r="AN126" s="73">
        <v>0.2</v>
      </c>
      <c r="AO126" s="78">
        <v>0.5</v>
      </c>
      <c r="AP126" s="63">
        <f t="shared" si="1"/>
        <v>1.2</v>
      </c>
      <c r="AQ126" s="97">
        <v>-416369.76660672529</v>
      </c>
      <c r="AR126" s="39">
        <v>-374646.63543717301</v>
      </c>
      <c r="AS126" s="39">
        <v>-346392.23154006974</v>
      </c>
      <c r="AT126" s="39">
        <v>-327184.54990426253</v>
      </c>
      <c r="AU126" s="39">
        <v>-314202.47417983488</v>
      </c>
      <c r="AV126" s="39">
        <v>-305581.97699260392</v>
      </c>
      <c r="AW126" s="39">
        <v>-302070.02808957623</v>
      </c>
      <c r="AX126" s="39">
        <v>-298558.07918654819</v>
      </c>
      <c r="AY126" s="39">
        <v>-295046.13028352056</v>
      </c>
      <c r="AZ126" s="39">
        <v>-293422.10085736372</v>
      </c>
      <c r="BA126" s="39">
        <v>-292185.16231343016</v>
      </c>
      <c r="BB126" s="87"/>
    </row>
    <row r="127" spans="2:54" ht="15.75" customHeight="1" x14ac:dyDescent="0.2">
      <c r="C127" s="43"/>
      <c r="Q127" s="24">
        <v>20</v>
      </c>
      <c r="R127" s="39">
        <f t="dataTable" ref="R127:R151" dt2D="0" dtr="0" r1="C18" ca="1"/>
        <v>-294159.21188347612</v>
      </c>
      <c r="AL127" s="122"/>
      <c r="AM127" s="65">
        <v>1.8</v>
      </c>
      <c r="AN127" s="73">
        <v>0.2</v>
      </c>
      <c r="AO127" s="75">
        <v>0.55000000000000004</v>
      </c>
      <c r="AP127" s="63">
        <f t="shared" si="1"/>
        <v>1.1499999999999999</v>
      </c>
      <c r="AQ127" s="97">
        <v>-457100.52245800279</v>
      </c>
      <c r="AR127" s="39">
        <v>-413914.16606160981</v>
      </c>
      <c r="AS127" s="39">
        <v>-384014.40850763948</v>
      </c>
      <c r="AT127" s="39">
        <v>-363839.27885125112</v>
      </c>
      <c r="AU127" s="39">
        <v>-350529.06159294711</v>
      </c>
      <c r="AV127" s="39">
        <v>-342923.49064404733</v>
      </c>
      <c r="AW127" s="39">
        <v>-339839.84869718819</v>
      </c>
      <c r="AX127" s="39">
        <v>-336756.20675032894</v>
      </c>
      <c r="AY127" s="39">
        <v>-335529.61262132006</v>
      </c>
      <c r="AZ127" s="39">
        <v>-334615.85808702983</v>
      </c>
      <c r="BA127" s="39">
        <v>-336137.76521343499</v>
      </c>
      <c r="BB127" s="87"/>
    </row>
    <row r="128" spans="2:54" ht="15.75" customHeight="1" x14ac:dyDescent="0.2">
      <c r="C128" s="43"/>
      <c r="Q128" s="24">
        <v>40</v>
      </c>
      <c r="R128" s="39">
        <v>-256101.87961799381</v>
      </c>
      <c r="AL128" s="122"/>
      <c r="AM128" s="65">
        <v>1.8</v>
      </c>
      <c r="AN128" s="73">
        <v>0.2</v>
      </c>
      <c r="AO128" s="78">
        <v>0.6</v>
      </c>
      <c r="AP128" s="63">
        <f t="shared" si="1"/>
        <v>1.1000000000000001</v>
      </c>
      <c r="AQ128" s="97">
        <v>-490353.58968061843</v>
      </c>
      <c r="AR128" s="39">
        <v>-454767.99981115526</v>
      </c>
      <c r="AS128" s="39">
        <v>-422501.84870826453</v>
      </c>
      <c r="AT128" s="39">
        <v>-399923.63704566873</v>
      </c>
      <c r="AU128" s="39">
        <v>-385860.75393197668</v>
      </c>
      <c r="AV128" s="39">
        <v>-378098.25364094513</v>
      </c>
      <c r="AW128" s="39">
        <v>-375427.57710490073</v>
      </c>
      <c r="AX128" s="39">
        <v>-374158.9552969042</v>
      </c>
      <c r="AY128" s="39">
        <v>-374677.37350462482</v>
      </c>
      <c r="AZ128" s="39">
        <v>-377156.49331712292</v>
      </c>
      <c r="BA128" s="39">
        <v>-382043.07766397751</v>
      </c>
      <c r="BB128" s="87"/>
    </row>
    <row r="129" spans="3:54" ht="15.75" customHeight="1" x14ac:dyDescent="0.2">
      <c r="C129" s="43"/>
      <c r="Q129" s="24">
        <v>60</v>
      </c>
      <c r="R129" s="39">
        <v>-218044.54735251141</v>
      </c>
      <c r="AL129" s="122"/>
      <c r="AM129" s="65">
        <v>1.8</v>
      </c>
      <c r="AN129" s="73">
        <v>0.2</v>
      </c>
      <c r="AO129" s="75">
        <v>0.65</v>
      </c>
      <c r="AP129" s="63">
        <f t="shared" si="1"/>
        <v>1.0499999999999998</v>
      </c>
      <c r="AQ129" s="97">
        <v>-505905.47241244017</v>
      </c>
      <c r="AR129" s="39">
        <v>-485661.46922619088</v>
      </c>
      <c r="AS129" s="39">
        <v>-465417.46603994159</v>
      </c>
      <c r="AT129" s="39">
        <v>-438582.36204528692</v>
      </c>
      <c r="AU129" s="39">
        <v>-419940.03555691557</v>
      </c>
      <c r="AV129" s="39">
        <v>-411293.45557759731</v>
      </c>
      <c r="AW129" s="39">
        <v>-409749.09362448548</v>
      </c>
      <c r="AX129" s="39">
        <v>-411488.30335028272</v>
      </c>
      <c r="AY129" s="39">
        <v>-416781.22403946472</v>
      </c>
      <c r="AZ129" s="39">
        <v>-425597.25406764616</v>
      </c>
      <c r="BA129" s="39">
        <v>-436568.62480216968</v>
      </c>
      <c r="BB129" s="87"/>
    </row>
    <row r="130" spans="3:54" ht="15.75" customHeight="1" x14ac:dyDescent="0.2">
      <c r="Q130" s="24">
        <v>80</v>
      </c>
      <c r="R130" s="39">
        <v>-179987.21508702898</v>
      </c>
      <c r="AL130" s="122"/>
      <c r="AM130" s="65">
        <v>1.8</v>
      </c>
      <c r="AN130" s="73">
        <v>0.2</v>
      </c>
      <c r="AO130" s="78">
        <v>0.7</v>
      </c>
      <c r="AP130" s="63">
        <f t="shared" si="1"/>
        <v>1</v>
      </c>
      <c r="AQ130" s="97">
        <v>-518505.44071341841</v>
      </c>
      <c r="AR130" s="39">
        <v>-503301.42484756059</v>
      </c>
      <c r="AS130" s="39">
        <v>-488097.4089817027</v>
      </c>
      <c r="AT130" s="39">
        <v>-472893.39311584464</v>
      </c>
      <c r="AU130" s="39">
        <v>-457689.37724998675</v>
      </c>
      <c r="AV130" s="39">
        <v>-442788.34323891904</v>
      </c>
      <c r="AW130" s="39">
        <v>-447823.51527303684</v>
      </c>
      <c r="AX130" s="39">
        <v>-452858.68730715459</v>
      </c>
      <c r="AY130" s="39">
        <v>-457893.8593412725</v>
      </c>
      <c r="AZ130" s="39">
        <v>-462929.03137539048</v>
      </c>
      <c r="BA130" s="39">
        <v>-467964.20340950828</v>
      </c>
      <c r="BB130" s="87"/>
    </row>
    <row r="131" spans="3:54" ht="15.75" customHeight="1" x14ac:dyDescent="0.2">
      <c r="Q131" s="24">
        <v>100</v>
      </c>
      <c r="R131" s="39">
        <v>-141929.88282154666</v>
      </c>
      <c r="AL131" s="122"/>
      <c r="AM131" s="65">
        <v>1.8</v>
      </c>
      <c r="AN131" s="73">
        <v>0.2</v>
      </c>
      <c r="AO131" s="75">
        <v>0.75</v>
      </c>
      <c r="AP131" s="63">
        <f t="shared" si="1"/>
        <v>0.95</v>
      </c>
      <c r="AQ131" s="97">
        <v>-528667.39814473479</v>
      </c>
      <c r="AR131" s="39">
        <v>-517528.16525140358</v>
      </c>
      <c r="AS131" s="39">
        <v>-506388.9323580722</v>
      </c>
      <c r="AT131" s="39">
        <v>-495249.69946474081</v>
      </c>
      <c r="AU131" s="39">
        <v>-484110.46657140937</v>
      </c>
      <c r="AV131" s="39">
        <v>-473195.60708155914</v>
      </c>
      <c r="AW131" s="39">
        <v>-477044.51754076802</v>
      </c>
      <c r="AX131" s="39">
        <v>-480893.42799997656</v>
      </c>
      <c r="AY131" s="39">
        <v>-484742.33845918521</v>
      </c>
      <c r="AZ131" s="39">
        <v>-488591.24891839398</v>
      </c>
      <c r="BA131" s="39">
        <v>-492440.15937760274</v>
      </c>
      <c r="BB131" s="87"/>
    </row>
    <row r="132" spans="3:54" ht="15.75" customHeight="1" x14ac:dyDescent="0.2">
      <c r="Q132" s="24">
        <v>120</v>
      </c>
      <c r="R132" s="39">
        <v>-103872.55055606434</v>
      </c>
      <c r="AL132" s="122"/>
      <c r="AM132" s="65">
        <v>1.8</v>
      </c>
      <c r="AN132" s="73">
        <v>0.2</v>
      </c>
      <c r="AO132" s="78">
        <v>0.8</v>
      </c>
      <c r="AP132" s="63">
        <f t="shared" si="1"/>
        <v>0.89999999999999991</v>
      </c>
      <c r="AQ132" s="97">
        <v>-536836.75053117797</v>
      </c>
      <c r="AR132" s="39">
        <v>-528965.25859242398</v>
      </c>
      <c r="AS132" s="39">
        <v>-521093.76665366988</v>
      </c>
      <c r="AT132" s="39">
        <v>-513222.2747149159</v>
      </c>
      <c r="AU132" s="39">
        <v>-505350.78277616174</v>
      </c>
      <c r="AV132" s="39">
        <v>-497638.46157326631</v>
      </c>
      <c r="AW132" s="39">
        <v>-500399.57478987414</v>
      </c>
      <c r="AX132" s="39">
        <v>-503160.68800648174</v>
      </c>
      <c r="AY132" s="39">
        <v>-505921.80122308945</v>
      </c>
      <c r="AZ132" s="39">
        <v>-508682.91443969717</v>
      </c>
      <c r="BA132" s="39">
        <v>-511444.02765630482</v>
      </c>
      <c r="BB132" s="87"/>
    </row>
    <row r="133" spans="3:54" ht="15.75" customHeight="1" x14ac:dyDescent="0.2">
      <c r="Q133" s="24">
        <v>140</v>
      </c>
      <c r="R133" s="39">
        <v>-65815.218290581935</v>
      </c>
      <c r="AL133" s="122"/>
      <c r="AM133" s="65">
        <v>1.8</v>
      </c>
      <c r="AN133" s="73">
        <v>0.2</v>
      </c>
      <c r="AO133" s="75">
        <v>0.85</v>
      </c>
      <c r="AP133" s="63">
        <f t="shared" ref="AP133:AP196" si="2">SUM(1,AM133/2,-AN133,-AO133)</f>
        <v>0.85</v>
      </c>
      <c r="AQ133" s="97">
        <v>-543393.14825116249</v>
      </c>
      <c r="AR133" s="39">
        <v>-538144.2154004022</v>
      </c>
      <c r="AS133" s="39">
        <v>-532895.28254964191</v>
      </c>
      <c r="AT133" s="39">
        <v>-527646.3496988815</v>
      </c>
      <c r="AU133" s="39">
        <v>-522397.41684812127</v>
      </c>
      <c r="AV133" s="39">
        <v>-517253.75710077648</v>
      </c>
      <c r="AW133" s="39">
        <v>-519037.06755817228</v>
      </c>
      <c r="AX133" s="39">
        <v>-520820.37801556778</v>
      </c>
      <c r="AY133" s="39">
        <v>-522603.68847296352</v>
      </c>
      <c r="AZ133" s="39">
        <v>-524386.99893035926</v>
      </c>
      <c r="BA133" s="39">
        <v>-526170.30938775488</v>
      </c>
      <c r="BB133" s="87"/>
    </row>
    <row r="134" spans="3:54" ht="15.75" customHeight="1" x14ac:dyDescent="0.2">
      <c r="Q134" s="24">
        <v>160</v>
      </c>
      <c r="R134" s="39">
        <v>-27757.8860250996</v>
      </c>
      <c r="AL134" s="122"/>
      <c r="AM134" s="65">
        <v>1.8</v>
      </c>
      <c r="AN134" s="73">
        <v>0.2</v>
      </c>
      <c r="AO134" s="78">
        <v>0.9</v>
      </c>
      <c r="AP134" s="63">
        <f t="shared" si="2"/>
        <v>0.79999999999999993</v>
      </c>
      <c r="AQ134" s="97">
        <v>-548655.22542841418</v>
      </c>
      <c r="AR134" s="39">
        <v>-545511.12344855466</v>
      </c>
      <c r="AS134" s="39">
        <v>-542367.02146869514</v>
      </c>
      <c r="AT134" s="39">
        <v>-539222.91948883538</v>
      </c>
      <c r="AU134" s="39">
        <v>-536078.81750897574</v>
      </c>
      <c r="AV134" s="39">
        <v>-532995.53280281718</v>
      </c>
      <c r="AW134" s="39">
        <v>-533914.02470618905</v>
      </c>
      <c r="AX134" s="39">
        <v>-534832.5166095607</v>
      </c>
      <c r="AY134" s="39">
        <v>-535751.00851293234</v>
      </c>
      <c r="AZ134" s="39">
        <v>-536669.50041630398</v>
      </c>
      <c r="BA134" s="39">
        <v>-537587.99231967563</v>
      </c>
      <c r="BB134" s="87"/>
    </row>
    <row r="135" spans="3:54" ht="15.75" customHeight="1" x14ac:dyDescent="0.2">
      <c r="Q135" s="24">
        <v>180</v>
      </c>
      <c r="R135" s="39">
        <v>10299.446240382826</v>
      </c>
      <c r="AL135" s="122"/>
      <c r="AM135" s="65">
        <v>1.8</v>
      </c>
      <c r="AN135" s="73">
        <v>0.2</v>
      </c>
      <c r="AO135" s="75">
        <v>0.95</v>
      </c>
      <c r="AP135" s="63">
        <f t="shared" si="2"/>
        <v>0.75</v>
      </c>
      <c r="AQ135" s="97">
        <v>-552886.55427282525</v>
      </c>
      <c r="AR135" s="39">
        <v>-551434.98383073008</v>
      </c>
      <c r="AS135" s="39">
        <v>-549983.41338863503</v>
      </c>
      <c r="AT135" s="39">
        <v>-548531.84294653963</v>
      </c>
      <c r="AU135" s="39">
        <v>-547080.27250444447</v>
      </c>
      <c r="AV135" s="39">
        <v>-545652.87937347859</v>
      </c>
      <c r="AW135" s="39">
        <v>-545816.35331481684</v>
      </c>
      <c r="AX135" s="39">
        <v>-545979.82725615497</v>
      </c>
      <c r="AY135" s="39">
        <v>-546143.30119749322</v>
      </c>
      <c r="AZ135" s="39">
        <v>-546306.77513883135</v>
      </c>
      <c r="BA135" s="39">
        <v>-546470.24908016971</v>
      </c>
      <c r="BB135" s="87"/>
    </row>
    <row r="136" spans="3:54" ht="15.75" customHeight="1" thickBot="1" x14ac:dyDescent="0.25">
      <c r="Q136" s="24">
        <v>200</v>
      </c>
      <c r="R136" s="39">
        <v>48356.778505865179</v>
      </c>
      <c r="AL136" s="123"/>
      <c r="AM136" s="64">
        <v>1.8</v>
      </c>
      <c r="AN136" s="77">
        <v>0.2</v>
      </c>
      <c r="AO136" s="80">
        <v>1</v>
      </c>
      <c r="AP136" s="64">
        <f t="shared" si="2"/>
        <v>0.7</v>
      </c>
      <c r="AQ136" s="98">
        <v>-556302.2008318248</v>
      </c>
      <c r="AR136" s="83">
        <v>-556216.88901332952</v>
      </c>
      <c r="AS136" s="83">
        <v>-556131.57719483413</v>
      </c>
      <c r="AT136" s="83">
        <v>-556046.26537633874</v>
      </c>
      <c r="AU136" s="83">
        <v>-555960.95355784334</v>
      </c>
      <c r="AV136" s="83">
        <v>-555869.59741161531</v>
      </c>
      <c r="AW136" s="83">
        <v>-555380.52450057713</v>
      </c>
      <c r="AX136" s="83">
        <v>-554891.45158953872</v>
      </c>
      <c r="AY136" s="83">
        <v>-554402.37867850042</v>
      </c>
      <c r="AZ136" s="83">
        <v>-553913.30576746212</v>
      </c>
      <c r="BA136" s="83">
        <v>-553424.23285642383</v>
      </c>
      <c r="BB136" s="88"/>
    </row>
    <row r="137" spans="3:54" ht="15.75" customHeight="1" x14ac:dyDescent="0.2">
      <c r="Q137" s="24">
        <v>220</v>
      </c>
      <c r="R137" s="39">
        <v>86414.110771347594</v>
      </c>
      <c r="AM137" s="65"/>
      <c r="AN137" s="66"/>
      <c r="AO137" s="66"/>
      <c r="AP137" s="65">
        <f t="shared" si="2"/>
        <v>1</v>
      </c>
      <c r="AQ137" s="59">
        <v>-518505.44071341841</v>
      </c>
      <c r="AR137" s="36">
        <v>-503301.42484756059</v>
      </c>
      <c r="AS137" s="36">
        <v>-488097.4089817027</v>
      </c>
      <c r="AT137" s="36">
        <v>-472893.39311584464</v>
      </c>
      <c r="AU137" s="36">
        <v>-457689.37724998675</v>
      </c>
      <c r="AV137" s="36">
        <v>-442788.34323891904</v>
      </c>
      <c r="AW137" s="36">
        <v>-447823.51527303684</v>
      </c>
      <c r="AX137" s="36">
        <v>-452858.68730715459</v>
      </c>
      <c r="AY137" s="36">
        <v>-457893.8593412725</v>
      </c>
      <c r="AZ137" s="36">
        <v>-462929.03137539048</v>
      </c>
      <c r="BA137" s="36">
        <v>-467964.20340950828</v>
      </c>
    </row>
    <row r="138" spans="3:54" ht="15.75" customHeight="1" x14ac:dyDescent="0.2">
      <c r="Q138" s="24">
        <v>240</v>
      </c>
      <c r="R138" s="39">
        <v>124471.44303682994</v>
      </c>
      <c r="AM138" s="63"/>
      <c r="AN138" s="61"/>
      <c r="AO138" s="61"/>
      <c r="AP138" s="63">
        <f t="shared" si="2"/>
        <v>1</v>
      </c>
      <c r="AQ138" s="60">
        <v>-518505.44071341841</v>
      </c>
      <c r="AR138" s="24">
        <v>-503301.42484756059</v>
      </c>
      <c r="AS138" s="24">
        <v>-488097.4089817027</v>
      </c>
      <c r="AT138" s="24">
        <v>-472893.39311584464</v>
      </c>
      <c r="AU138" s="24">
        <v>-457689.37724998675</v>
      </c>
      <c r="AV138" s="24">
        <v>-442788.34323891904</v>
      </c>
      <c r="AW138" s="24">
        <v>-447823.51527303684</v>
      </c>
      <c r="AX138" s="24">
        <v>-452858.68730715459</v>
      </c>
      <c r="AY138" s="24">
        <v>-457893.8593412725</v>
      </c>
      <c r="AZ138" s="24">
        <v>-462929.03137539048</v>
      </c>
      <c r="BA138" s="24">
        <v>-467964.20340950828</v>
      </c>
    </row>
    <row r="139" spans="3:54" ht="15.75" customHeight="1" x14ac:dyDescent="0.2">
      <c r="Q139" s="24">
        <v>260</v>
      </c>
      <c r="R139" s="39">
        <v>162528.77530231231</v>
      </c>
      <c r="AM139" s="63"/>
      <c r="AN139" s="61"/>
      <c r="AO139" s="61"/>
      <c r="AP139" s="63">
        <f t="shared" si="2"/>
        <v>1</v>
      </c>
      <c r="AQ139" s="60">
        <v>-518505.44071341841</v>
      </c>
      <c r="AR139" s="24">
        <v>-503301.42484756059</v>
      </c>
      <c r="AS139" s="24">
        <v>-488097.4089817027</v>
      </c>
      <c r="AT139" s="24">
        <v>-472893.39311584464</v>
      </c>
      <c r="AU139" s="24">
        <v>-457689.37724998675</v>
      </c>
      <c r="AV139" s="24">
        <v>-442788.34323891904</v>
      </c>
      <c r="AW139" s="24">
        <v>-447823.51527303684</v>
      </c>
      <c r="AX139" s="24">
        <v>-452858.68730715459</v>
      </c>
      <c r="AY139" s="24">
        <v>-457893.8593412725</v>
      </c>
      <c r="AZ139" s="24">
        <v>-462929.03137539048</v>
      </c>
      <c r="BA139" s="24">
        <v>-467964.20340950828</v>
      </c>
    </row>
    <row r="140" spans="3:54" ht="15.75" customHeight="1" x14ac:dyDescent="0.2">
      <c r="Q140" s="24">
        <v>280</v>
      </c>
      <c r="R140" s="39">
        <v>200586.10756779468</v>
      </c>
      <c r="AM140" s="63"/>
      <c r="AN140" s="61"/>
      <c r="AO140" s="61"/>
      <c r="AP140" s="63">
        <f t="shared" si="2"/>
        <v>1</v>
      </c>
      <c r="AQ140" s="60">
        <v>-518505.44071341841</v>
      </c>
      <c r="AR140" s="24">
        <v>-503301.42484756059</v>
      </c>
      <c r="AS140" s="24">
        <v>-488097.4089817027</v>
      </c>
      <c r="AT140" s="24">
        <v>-472893.39311584464</v>
      </c>
      <c r="AU140" s="24">
        <v>-457689.37724998675</v>
      </c>
      <c r="AV140" s="24">
        <v>-442788.34323891904</v>
      </c>
      <c r="AW140" s="24">
        <v>-447823.51527303684</v>
      </c>
      <c r="AX140" s="24">
        <v>-452858.68730715459</v>
      </c>
      <c r="AY140" s="24">
        <v>-457893.8593412725</v>
      </c>
      <c r="AZ140" s="24">
        <v>-462929.03137539048</v>
      </c>
      <c r="BA140" s="24">
        <v>-467964.20340950828</v>
      </c>
    </row>
    <row r="141" spans="3:54" ht="15.75" customHeight="1" x14ac:dyDescent="0.2">
      <c r="Q141" s="24">
        <v>300</v>
      </c>
      <c r="R141" s="39">
        <v>238643.43983327702</v>
      </c>
      <c r="AM141" s="63"/>
      <c r="AN141" s="61"/>
      <c r="AO141" s="61"/>
      <c r="AP141" s="63">
        <f t="shared" si="2"/>
        <v>1</v>
      </c>
      <c r="AQ141" s="60">
        <v>-518505.44071341841</v>
      </c>
      <c r="AR141" s="24">
        <v>-503301.42484756059</v>
      </c>
      <c r="AS141" s="24">
        <v>-488097.4089817027</v>
      </c>
      <c r="AT141" s="24">
        <v>-472893.39311584464</v>
      </c>
      <c r="AU141" s="24">
        <v>-457689.37724998675</v>
      </c>
      <c r="AV141" s="24">
        <v>-442788.34323891904</v>
      </c>
      <c r="AW141" s="24">
        <v>-447823.51527303684</v>
      </c>
      <c r="AX141" s="24">
        <v>-452858.68730715459</v>
      </c>
      <c r="AY141" s="24">
        <v>-457893.8593412725</v>
      </c>
      <c r="AZ141" s="24">
        <v>-462929.03137539048</v>
      </c>
      <c r="BA141" s="24">
        <v>-467964.20340950828</v>
      </c>
    </row>
    <row r="142" spans="3:54" ht="15.75" customHeight="1" x14ac:dyDescent="0.2">
      <c r="Q142" s="24">
        <v>320</v>
      </c>
      <c r="R142" s="39">
        <v>276700.77209875942</v>
      </c>
      <c r="AM142" s="63"/>
      <c r="AN142" s="61"/>
      <c r="AO142" s="61"/>
      <c r="AP142" s="63">
        <f t="shared" si="2"/>
        <v>1</v>
      </c>
      <c r="AQ142" s="60">
        <v>-518505.44071341841</v>
      </c>
      <c r="AR142" s="24">
        <v>-503301.42484756059</v>
      </c>
      <c r="AS142" s="24">
        <v>-488097.4089817027</v>
      </c>
      <c r="AT142" s="24">
        <v>-472893.39311584464</v>
      </c>
      <c r="AU142" s="24">
        <v>-457689.37724998675</v>
      </c>
      <c r="AV142" s="24">
        <v>-442788.34323891904</v>
      </c>
      <c r="AW142" s="24">
        <v>-447823.51527303684</v>
      </c>
      <c r="AX142" s="24">
        <v>-452858.68730715459</v>
      </c>
      <c r="AY142" s="24">
        <v>-457893.8593412725</v>
      </c>
      <c r="AZ142" s="24">
        <v>-462929.03137539048</v>
      </c>
      <c r="BA142" s="24">
        <v>-467964.20340950828</v>
      </c>
    </row>
    <row r="143" spans="3:54" ht="15.75" customHeight="1" x14ac:dyDescent="0.2">
      <c r="Q143" s="24">
        <v>340</v>
      </c>
      <c r="R143" s="39">
        <v>314758.10436424176</v>
      </c>
      <c r="AM143" s="63"/>
      <c r="AN143" s="61"/>
      <c r="AO143" s="61"/>
      <c r="AP143" s="63">
        <f t="shared" si="2"/>
        <v>1</v>
      </c>
      <c r="AQ143" s="60">
        <v>-518505.44071341841</v>
      </c>
      <c r="AR143" s="24">
        <v>-503301.42484756059</v>
      </c>
      <c r="AS143" s="24">
        <v>-488097.4089817027</v>
      </c>
      <c r="AT143" s="24">
        <v>-472893.39311584464</v>
      </c>
      <c r="AU143" s="24">
        <v>-457689.37724998675</v>
      </c>
      <c r="AV143" s="24">
        <v>-442788.34323891904</v>
      </c>
      <c r="AW143" s="24">
        <v>-447823.51527303684</v>
      </c>
      <c r="AX143" s="24">
        <v>-452858.68730715459</v>
      </c>
      <c r="AY143" s="24">
        <v>-457893.8593412725</v>
      </c>
      <c r="AZ143" s="24">
        <v>-462929.03137539048</v>
      </c>
      <c r="BA143" s="24">
        <v>-467964.20340950828</v>
      </c>
    </row>
    <row r="144" spans="3:54" ht="15.75" customHeight="1" x14ac:dyDescent="0.2">
      <c r="Q144" s="24">
        <v>360</v>
      </c>
      <c r="R144" s="39">
        <v>352815.43662972411</v>
      </c>
      <c r="AM144" s="63"/>
      <c r="AN144" s="61"/>
      <c r="AO144" s="61"/>
      <c r="AP144" s="63">
        <f t="shared" si="2"/>
        <v>1</v>
      </c>
      <c r="AQ144" s="60">
        <v>-518505.44071341841</v>
      </c>
      <c r="AR144" s="24">
        <v>-503301.42484756059</v>
      </c>
      <c r="AS144" s="24">
        <v>-488097.4089817027</v>
      </c>
      <c r="AT144" s="24">
        <v>-472893.39311584464</v>
      </c>
      <c r="AU144" s="24">
        <v>-457689.37724998675</v>
      </c>
      <c r="AV144" s="24">
        <v>-442788.34323891904</v>
      </c>
      <c r="AW144" s="24">
        <v>-447823.51527303684</v>
      </c>
      <c r="AX144" s="24">
        <v>-452858.68730715459</v>
      </c>
      <c r="AY144" s="24">
        <v>-457893.8593412725</v>
      </c>
      <c r="AZ144" s="24">
        <v>-462929.03137539048</v>
      </c>
      <c r="BA144" s="24">
        <v>-467964.20340950828</v>
      </c>
    </row>
    <row r="145" spans="17:53" ht="15.75" customHeight="1" x14ac:dyDescent="0.2">
      <c r="Q145" s="24">
        <v>380</v>
      </c>
      <c r="R145" s="39">
        <v>390872.76889520651</v>
      </c>
      <c r="AM145" s="63"/>
      <c r="AN145" s="61"/>
      <c r="AO145" s="61"/>
      <c r="AP145" s="63">
        <f t="shared" si="2"/>
        <v>1</v>
      </c>
      <c r="AQ145" s="60">
        <v>-518505.44071341841</v>
      </c>
      <c r="AR145" s="24">
        <v>-503301.42484756059</v>
      </c>
      <c r="AS145" s="24">
        <v>-488097.4089817027</v>
      </c>
      <c r="AT145" s="24">
        <v>-472893.39311584464</v>
      </c>
      <c r="AU145" s="24">
        <v>-457689.37724998675</v>
      </c>
      <c r="AV145" s="24">
        <v>-442788.34323891904</v>
      </c>
      <c r="AW145" s="24">
        <v>-447823.51527303684</v>
      </c>
      <c r="AX145" s="24">
        <v>-452858.68730715459</v>
      </c>
      <c r="AY145" s="24">
        <v>-457893.8593412725</v>
      </c>
      <c r="AZ145" s="24">
        <v>-462929.03137539048</v>
      </c>
      <c r="BA145" s="24">
        <v>-467964.20340950828</v>
      </c>
    </row>
    <row r="146" spans="17:53" ht="15.75" customHeight="1" x14ac:dyDescent="0.2">
      <c r="Q146" s="24">
        <v>400</v>
      </c>
      <c r="R146" s="39">
        <v>428930.10116068885</v>
      </c>
      <c r="AM146" s="63"/>
      <c r="AN146" s="61"/>
      <c r="AO146" s="61"/>
      <c r="AP146" s="63">
        <f t="shared" si="2"/>
        <v>1</v>
      </c>
      <c r="AQ146" s="60">
        <v>-518505.44071341841</v>
      </c>
      <c r="AR146" s="24">
        <v>-503301.42484756059</v>
      </c>
      <c r="AS146" s="24">
        <v>-488097.4089817027</v>
      </c>
      <c r="AT146" s="24">
        <v>-472893.39311584464</v>
      </c>
      <c r="AU146" s="24">
        <v>-457689.37724998675</v>
      </c>
      <c r="AV146" s="24">
        <v>-442788.34323891904</v>
      </c>
      <c r="AW146" s="24">
        <v>-447823.51527303684</v>
      </c>
      <c r="AX146" s="24">
        <v>-452858.68730715459</v>
      </c>
      <c r="AY146" s="24">
        <v>-457893.8593412725</v>
      </c>
      <c r="AZ146" s="24">
        <v>-462929.03137539048</v>
      </c>
      <c r="BA146" s="24">
        <v>-467964.20340950828</v>
      </c>
    </row>
    <row r="147" spans="17:53" ht="15.75" customHeight="1" x14ac:dyDescent="0.2">
      <c r="Q147" s="24">
        <v>420</v>
      </c>
      <c r="R147" s="39">
        <v>466987.43342617119</v>
      </c>
      <c r="AM147" s="63"/>
      <c r="AN147" s="61"/>
      <c r="AO147" s="61"/>
      <c r="AP147" s="63">
        <f t="shared" si="2"/>
        <v>1</v>
      </c>
      <c r="AQ147" s="60">
        <v>-518505.44071341841</v>
      </c>
      <c r="AR147" s="24">
        <v>-503301.42484756059</v>
      </c>
      <c r="AS147" s="24">
        <v>-488097.4089817027</v>
      </c>
      <c r="AT147" s="24">
        <v>-472893.39311584464</v>
      </c>
      <c r="AU147" s="24">
        <v>-457689.37724998675</v>
      </c>
      <c r="AV147" s="24">
        <v>-442788.34323891904</v>
      </c>
      <c r="AW147" s="24">
        <v>-447823.51527303684</v>
      </c>
      <c r="AX147" s="24">
        <v>-452858.68730715459</v>
      </c>
      <c r="AY147" s="24">
        <v>-457893.8593412725</v>
      </c>
      <c r="AZ147" s="24">
        <v>-462929.03137539048</v>
      </c>
      <c r="BA147" s="24">
        <v>-467964.20340950828</v>
      </c>
    </row>
    <row r="148" spans="17:53" ht="15.75" customHeight="1" x14ac:dyDescent="0.2">
      <c r="Q148" s="24">
        <v>440</v>
      </c>
      <c r="R148" s="39">
        <v>505044.76569165353</v>
      </c>
      <c r="AM148" s="63"/>
      <c r="AN148" s="61"/>
      <c r="AO148" s="61"/>
      <c r="AP148" s="63">
        <f t="shared" si="2"/>
        <v>1</v>
      </c>
      <c r="AQ148" s="60">
        <v>-518505.44071341841</v>
      </c>
      <c r="AR148" s="24">
        <v>-503301.42484756059</v>
      </c>
      <c r="AS148" s="24">
        <v>-488097.4089817027</v>
      </c>
      <c r="AT148" s="24">
        <v>-472893.39311584464</v>
      </c>
      <c r="AU148" s="24">
        <v>-457689.37724998675</v>
      </c>
      <c r="AV148" s="24">
        <v>-442788.34323891904</v>
      </c>
      <c r="AW148" s="24">
        <v>-447823.51527303684</v>
      </c>
      <c r="AX148" s="24">
        <v>-452858.68730715459</v>
      </c>
      <c r="AY148" s="24">
        <v>-457893.8593412725</v>
      </c>
      <c r="AZ148" s="24">
        <v>-462929.03137539048</v>
      </c>
      <c r="BA148" s="24">
        <v>-467964.20340950828</v>
      </c>
    </row>
    <row r="149" spans="17:53" ht="15.75" customHeight="1" x14ac:dyDescent="0.2">
      <c r="Q149" s="24">
        <v>460</v>
      </c>
      <c r="R149" s="39">
        <v>543102.09795713599</v>
      </c>
      <c r="AM149" s="63"/>
      <c r="AN149" s="61"/>
      <c r="AO149" s="61"/>
      <c r="AP149" s="63">
        <f t="shared" si="2"/>
        <v>1</v>
      </c>
      <c r="AQ149" s="60">
        <v>-518505.44071341841</v>
      </c>
      <c r="AR149" s="24">
        <v>-503301.42484756059</v>
      </c>
      <c r="AS149" s="24">
        <v>-488097.4089817027</v>
      </c>
      <c r="AT149" s="24">
        <v>-472893.39311584464</v>
      </c>
      <c r="AU149" s="24">
        <v>-457689.37724998675</v>
      </c>
      <c r="AV149" s="24">
        <v>-442788.34323891904</v>
      </c>
      <c r="AW149" s="24">
        <v>-447823.51527303684</v>
      </c>
      <c r="AX149" s="24">
        <v>-452858.68730715459</v>
      </c>
      <c r="AY149" s="24">
        <v>-457893.8593412725</v>
      </c>
      <c r="AZ149" s="24">
        <v>-462929.03137539048</v>
      </c>
      <c r="BA149" s="24">
        <v>-467964.20340950828</v>
      </c>
    </row>
    <row r="150" spans="17:53" ht="15.75" customHeight="1" x14ac:dyDescent="0.2">
      <c r="Q150" s="24">
        <v>480</v>
      </c>
      <c r="R150" s="39">
        <v>581159.43022261839</v>
      </c>
      <c r="AM150" s="63"/>
      <c r="AN150" s="61"/>
      <c r="AO150" s="61"/>
      <c r="AP150" s="63">
        <f t="shared" si="2"/>
        <v>1</v>
      </c>
      <c r="AQ150" s="60">
        <v>-518505.44071341841</v>
      </c>
      <c r="AR150" s="24">
        <v>-503301.42484756059</v>
      </c>
      <c r="AS150" s="24">
        <v>-488097.4089817027</v>
      </c>
      <c r="AT150" s="24">
        <v>-472893.39311584464</v>
      </c>
      <c r="AU150" s="24">
        <v>-457689.37724998675</v>
      </c>
      <c r="AV150" s="24">
        <v>-442788.34323891904</v>
      </c>
      <c r="AW150" s="24">
        <v>-447823.51527303684</v>
      </c>
      <c r="AX150" s="24">
        <v>-452858.68730715459</v>
      </c>
      <c r="AY150" s="24">
        <v>-457893.8593412725</v>
      </c>
      <c r="AZ150" s="24">
        <v>-462929.03137539048</v>
      </c>
      <c r="BA150" s="24">
        <v>-467964.20340950828</v>
      </c>
    </row>
    <row r="151" spans="17:53" ht="15.75" customHeight="1" x14ac:dyDescent="0.2">
      <c r="Q151" s="24">
        <v>500</v>
      </c>
      <c r="R151" s="39">
        <v>619216.76248810079</v>
      </c>
      <c r="AM151" s="63"/>
      <c r="AN151" s="61"/>
      <c r="AO151" s="61"/>
      <c r="AP151" s="63">
        <f t="shared" si="2"/>
        <v>1</v>
      </c>
      <c r="AQ151" s="60">
        <v>-518505.44071341841</v>
      </c>
      <c r="AR151" s="24">
        <v>-503301.42484756059</v>
      </c>
      <c r="AS151" s="24">
        <v>-488097.4089817027</v>
      </c>
      <c r="AT151" s="24">
        <v>-472893.39311584464</v>
      </c>
      <c r="AU151" s="24">
        <v>-457689.37724998675</v>
      </c>
      <c r="AV151" s="24">
        <v>-442788.34323891904</v>
      </c>
      <c r="AW151" s="24">
        <v>-447823.51527303684</v>
      </c>
      <c r="AX151" s="24">
        <v>-452858.68730715459</v>
      </c>
      <c r="AY151" s="24">
        <v>-457893.8593412725</v>
      </c>
      <c r="AZ151" s="24">
        <v>-462929.03137539048</v>
      </c>
      <c r="BA151" s="24">
        <v>-467964.20340950828</v>
      </c>
    </row>
    <row r="152" spans="17:53" ht="15.75" customHeight="1" x14ac:dyDescent="0.2">
      <c r="AM152" s="63"/>
      <c r="AN152" s="61"/>
      <c r="AO152" s="61"/>
      <c r="AP152" s="63">
        <f t="shared" si="2"/>
        <v>1</v>
      </c>
      <c r="AQ152" s="60">
        <v>-518505.44071341841</v>
      </c>
      <c r="AR152" s="24">
        <v>-503301.42484756059</v>
      </c>
      <c r="AS152" s="24">
        <v>-488097.4089817027</v>
      </c>
      <c r="AT152" s="24">
        <v>-472893.39311584464</v>
      </c>
      <c r="AU152" s="24">
        <v>-457689.37724998675</v>
      </c>
      <c r="AV152" s="24">
        <v>-442788.34323891904</v>
      </c>
      <c r="AW152" s="24">
        <v>-447823.51527303684</v>
      </c>
      <c r="AX152" s="24">
        <v>-452858.68730715459</v>
      </c>
      <c r="AY152" s="24">
        <v>-457893.8593412725</v>
      </c>
      <c r="AZ152" s="24">
        <v>-462929.03137539048</v>
      </c>
      <c r="BA152" s="24">
        <v>-467964.20340950828</v>
      </c>
    </row>
    <row r="153" spans="17:53" ht="15.75" customHeight="1" x14ac:dyDescent="0.2">
      <c r="Q153" s="29" t="s">
        <v>43</v>
      </c>
      <c r="R153" s="29" t="s">
        <v>101</v>
      </c>
      <c r="AM153" s="63"/>
      <c r="AN153" s="61"/>
      <c r="AO153" s="61"/>
      <c r="AP153" s="63">
        <f t="shared" si="2"/>
        <v>1</v>
      </c>
      <c r="AQ153" s="60">
        <v>-518505.44071341841</v>
      </c>
      <c r="AR153" s="24">
        <v>-503301.42484756059</v>
      </c>
      <c r="AS153" s="24">
        <v>-488097.4089817027</v>
      </c>
      <c r="AT153" s="24">
        <v>-472893.39311584464</v>
      </c>
      <c r="AU153" s="24">
        <v>-457689.37724998675</v>
      </c>
      <c r="AV153" s="24">
        <v>-442788.34323891904</v>
      </c>
      <c r="AW153" s="24">
        <v>-447823.51527303684</v>
      </c>
      <c r="AX153" s="24">
        <v>-452858.68730715459</v>
      </c>
      <c r="AY153" s="24">
        <v>-457893.8593412725</v>
      </c>
      <c r="AZ153" s="24">
        <v>-462929.03137539048</v>
      </c>
      <c r="BA153" s="24">
        <v>-467964.20340950828</v>
      </c>
    </row>
    <row r="154" spans="17:53" ht="15.75" customHeight="1" x14ac:dyDescent="0.2">
      <c r="Q154" s="24"/>
      <c r="R154" s="39">
        <f>Analysis!$M$40</f>
        <v>143500.10916957114</v>
      </c>
      <c r="AM154" s="63"/>
      <c r="AN154" s="61"/>
      <c r="AO154" s="61"/>
      <c r="AP154" s="63">
        <f t="shared" si="2"/>
        <v>1</v>
      </c>
      <c r="AQ154" s="60">
        <v>-518505.44071341841</v>
      </c>
      <c r="AR154" s="24">
        <v>-503301.42484756059</v>
      </c>
      <c r="AS154" s="24">
        <v>-488097.4089817027</v>
      </c>
      <c r="AT154" s="24">
        <v>-472893.39311584464</v>
      </c>
      <c r="AU154" s="24">
        <v>-457689.37724998675</v>
      </c>
      <c r="AV154" s="24">
        <v>-442788.34323891904</v>
      </c>
      <c r="AW154" s="24">
        <v>-447823.51527303684</v>
      </c>
      <c r="AX154" s="24">
        <v>-452858.68730715459</v>
      </c>
      <c r="AY154" s="24">
        <v>-457893.8593412725</v>
      </c>
      <c r="AZ154" s="24">
        <v>-462929.03137539048</v>
      </c>
      <c r="BA154" s="24">
        <v>-467964.20340950828</v>
      </c>
    </row>
    <row r="155" spans="17:53" ht="15.75" customHeight="1" x14ac:dyDescent="0.2">
      <c r="Q155" s="24">
        <v>20</v>
      </c>
      <c r="R155" s="39">
        <f t="dataTable" ref="R155:R179" dt2D="0" dtr="0" r1="C19" ca="1"/>
        <v>91511.545189723838</v>
      </c>
      <c r="AM155" s="63"/>
      <c r="AN155" s="61"/>
      <c r="AO155" s="61"/>
      <c r="AP155" s="63">
        <f t="shared" si="2"/>
        <v>1</v>
      </c>
      <c r="AQ155" s="60">
        <v>-518505.44071341841</v>
      </c>
      <c r="AR155" s="24">
        <v>-503301.42484756059</v>
      </c>
      <c r="AS155" s="24">
        <v>-488097.4089817027</v>
      </c>
      <c r="AT155" s="24">
        <v>-472893.39311584464</v>
      </c>
      <c r="AU155" s="24">
        <v>-457689.37724998675</v>
      </c>
      <c r="AV155" s="24">
        <v>-442788.34323891904</v>
      </c>
      <c r="AW155" s="24">
        <v>-447823.51527303684</v>
      </c>
      <c r="AX155" s="24">
        <v>-452858.68730715459</v>
      </c>
      <c r="AY155" s="24">
        <v>-457893.8593412725</v>
      </c>
      <c r="AZ155" s="24">
        <v>-462929.03137539048</v>
      </c>
      <c r="BA155" s="24">
        <v>-467964.20340950828</v>
      </c>
    </row>
    <row r="156" spans="17:53" ht="15.75" customHeight="1" x14ac:dyDescent="0.2">
      <c r="Q156" s="24">
        <v>40</v>
      </c>
      <c r="R156" s="39">
        <v>104508.68618468566</v>
      </c>
      <c r="AM156" s="63"/>
      <c r="AN156" s="61"/>
      <c r="AO156" s="61"/>
      <c r="AP156" s="63">
        <f t="shared" si="2"/>
        <v>1</v>
      </c>
      <c r="AQ156" s="60">
        <v>-518505.44071341841</v>
      </c>
      <c r="AR156" s="24">
        <v>-503301.42484756059</v>
      </c>
      <c r="AS156" s="24">
        <v>-488097.4089817027</v>
      </c>
      <c r="AT156" s="24">
        <v>-472893.39311584464</v>
      </c>
      <c r="AU156" s="24">
        <v>-457689.37724998675</v>
      </c>
      <c r="AV156" s="24">
        <v>-442788.34323891904</v>
      </c>
      <c r="AW156" s="24">
        <v>-447823.51527303684</v>
      </c>
      <c r="AX156" s="24">
        <v>-452858.68730715459</v>
      </c>
      <c r="AY156" s="24">
        <v>-457893.8593412725</v>
      </c>
      <c r="AZ156" s="24">
        <v>-462929.03137539048</v>
      </c>
      <c r="BA156" s="24">
        <v>-467964.20340950828</v>
      </c>
    </row>
    <row r="157" spans="17:53" ht="15.75" customHeight="1" x14ac:dyDescent="0.2">
      <c r="Q157" s="24">
        <v>60</v>
      </c>
      <c r="R157" s="39">
        <v>117505.82717964749</v>
      </c>
      <c r="AM157" s="63"/>
      <c r="AN157" s="61"/>
      <c r="AO157" s="61"/>
      <c r="AP157" s="63">
        <f t="shared" si="2"/>
        <v>1</v>
      </c>
      <c r="AQ157" s="60">
        <v>-518505.44071341841</v>
      </c>
      <c r="AR157" s="24">
        <v>-503301.42484756059</v>
      </c>
      <c r="AS157" s="24">
        <v>-488097.4089817027</v>
      </c>
      <c r="AT157" s="24">
        <v>-472893.39311584464</v>
      </c>
      <c r="AU157" s="24">
        <v>-457689.37724998675</v>
      </c>
      <c r="AV157" s="24">
        <v>-442788.34323891904</v>
      </c>
      <c r="AW157" s="24">
        <v>-447823.51527303684</v>
      </c>
      <c r="AX157" s="24">
        <v>-452858.68730715459</v>
      </c>
      <c r="AY157" s="24">
        <v>-457893.8593412725</v>
      </c>
      <c r="AZ157" s="24">
        <v>-462929.03137539048</v>
      </c>
      <c r="BA157" s="24">
        <v>-467964.20340950828</v>
      </c>
    </row>
    <row r="158" spans="17:53" ht="15.75" customHeight="1" x14ac:dyDescent="0.2">
      <c r="Q158" s="24">
        <v>80</v>
      </c>
      <c r="R158" s="39">
        <v>130502.96817460931</v>
      </c>
      <c r="AM158" s="63"/>
      <c r="AN158" s="61"/>
      <c r="AO158" s="61"/>
      <c r="AP158" s="63">
        <f t="shared" si="2"/>
        <v>1</v>
      </c>
      <c r="AQ158" s="60">
        <v>-518505.44071341841</v>
      </c>
      <c r="AR158" s="24">
        <v>-503301.42484756059</v>
      </c>
      <c r="AS158" s="24">
        <v>-488097.4089817027</v>
      </c>
      <c r="AT158" s="24">
        <v>-472893.39311584464</v>
      </c>
      <c r="AU158" s="24">
        <v>-457689.37724998675</v>
      </c>
      <c r="AV158" s="24">
        <v>-442788.34323891904</v>
      </c>
      <c r="AW158" s="24">
        <v>-447823.51527303684</v>
      </c>
      <c r="AX158" s="24">
        <v>-452858.68730715459</v>
      </c>
      <c r="AY158" s="24">
        <v>-457893.8593412725</v>
      </c>
      <c r="AZ158" s="24">
        <v>-462929.03137539048</v>
      </c>
      <c r="BA158" s="24">
        <v>-467964.20340950828</v>
      </c>
    </row>
    <row r="159" spans="17:53" ht="15.75" customHeight="1" x14ac:dyDescent="0.2">
      <c r="Q159" s="24">
        <v>100</v>
      </c>
      <c r="R159" s="39">
        <v>143500.10916957114</v>
      </c>
      <c r="AM159" s="63"/>
      <c r="AN159" s="61"/>
      <c r="AO159" s="61"/>
      <c r="AP159" s="63">
        <f t="shared" si="2"/>
        <v>1</v>
      </c>
      <c r="AQ159" s="60">
        <v>-518505.44071341841</v>
      </c>
      <c r="AR159" s="24">
        <v>-503301.42484756059</v>
      </c>
      <c r="AS159" s="24">
        <v>-488097.4089817027</v>
      </c>
      <c r="AT159" s="24">
        <v>-472893.39311584464</v>
      </c>
      <c r="AU159" s="24">
        <v>-457689.37724998675</v>
      </c>
      <c r="AV159" s="24">
        <v>-442788.34323891904</v>
      </c>
      <c r="AW159" s="24">
        <v>-447823.51527303684</v>
      </c>
      <c r="AX159" s="24">
        <v>-452858.68730715459</v>
      </c>
      <c r="AY159" s="24">
        <v>-457893.8593412725</v>
      </c>
      <c r="AZ159" s="24">
        <v>-462929.03137539048</v>
      </c>
      <c r="BA159" s="24">
        <v>-467964.20340950828</v>
      </c>
    </row>
    <row r="160" spans="17:53" ht="15.75" customHeight="1" x14ac:dyDescent="0.2">
      <c r="Q160" s="24">
        <v>120</v>
      </c>
      <c r="R160" s="39">
        <v>156497.25016453295</v>
      </c>
      <c r="AM160" s="63"/>
      <c r="AN160" s="61"/>
      <c r="AO160" s="61"/>
      <c r="AP160" s="63">
        <f t="shared" si="2"/>
        <v>1</v>
      </c>
      <c r="AQ160" s="60">
        <v>-518505.44071341841</v>
      </c>
      <c r="AR160" s="24">
        <v>-503301.42484756059</v>
      </c>
      <c r="AS160" s="24">
        <v>-488097.4089817027</v>
      </c>
      <c r="AT160" s="24">
        <v>-472893.39311584464</v>
      </c>
      <c r="AU160" s="24">
        <v>-457689.37724998675</v>
      </c>
      <c r="AV160" s="24">
        <v>-442788.34323891904</v>
      </c>
      <c r="AW160" s="24">
        <v>-447823.51527303684</v>
      </c>
      <c r="AX160" s="24">
        <v>-452858.68730715459</v>
      </c>
      <c r="AY160" s="24">
        <v>-457893.8593412725</v>
      </c>
      <c r="AZ160" s="24">
        <v>-462929.03137539048</v>
      </c>
      <c r="BA160" s="24">
        <v>-467964.20340950828</v>
      </c>
    </row>
    <row r="161" spans="17:53" ht="15.75" customHeight="1" x14ac:dyDescent="0.2">
      <c r="Q161" s="24">
        <v>140</v>
      </c>
      <c r="R161" s="39">
        <v>169494.39115949476</v>
      </c>
      <c r="AM161" s="63"/>
      <c r="AN161" s="61"/>
      <c r="AO161" s="61"/>
      <c r="AP161" s="63">
        <f t="shared" si="2"/>
        <v>1</v>
      </c>
      <c r="AQ161" s="60">
        <v>-518505.44071341841</v>
      </c>
      <c r="AR161" s="24">
        <v>-503301.42484756059</v>
      </c>
      <c r="AS161" s="24">
        <v>-488097.4089817027</v>
      </c>
      <c r="AT161" s="24">
        <v>-472893.39311584464</v>
      </c>
      <c r="AU161" s="24">
        <v>-457689.37724998675</v>
      </c>
      <c r="AV161" s="24">
        <v>-442788.34323891904</v>
      </c>
      <c r="AW161" s="24">
        <v>-447823.51527303684</v>
      </c>
      <c r="AX161" s="24">
        <v>-452858.68730715459</v>
      </c>
      <c r="AY161" s="24">
        <v>-457893.8593412725</v>
      </c>
      <c r="AZ161" s="24">
        <v>-462929.03137539048</v>
      </c>
      <c r="BA161" s="24">
        <v>-467964.20340950828</v>
      </c>
    </row>
    <row r="162" spans="17:53" ht="15.75" customHeight="1" x14ac:dyDescent="0.2">
      <c r="Q162" s="24">
        <v>160</v>
      </c>
      <c r="R162" s="39">
        <v>182491.5321544566</v>
      </c>
      <c r="AM162" s="63"/>
      <c r="AN162" s="61"/>
      <c r="AO162" s="61"/>
      <c r="AP162" s="63">
        <f t="shared" si="2"/>
        <v>1</v>
      </c>
      <c r="AQ162" s="60">
        <v>-518505.44071341841</v>
      </c>
      <c r="AR162" s="24">
        <v>-503301.42484756059</v>
      </c>
      <c r="AS162" s="24">
        <v>-488097.4089817027</v>
      </c>
      <c r="AT162" s="24">
        <v>-472893.39311584464</v>
      </c>
      <c r="AU162" s="24">
        <v>-457689.37724998675</v>
      </c>
      <c r="AV162" s="24">
        <v>-442788.34323891904</v>
      </c>
      <c r="AW162" s="24">
        <v>-447823.51527303684</v>
      </c>
      <c r="AX162" s="24">
        <v>-452858.68730715459</v>
      </c>
      <c r="AY162" s="24">
        <v>-457893.8593412725</v>
      </c>
      <c r="AZ162" s="24">
        <v>-462929.03137539048</v>
      </c>
      <c r="BA162" s="24">
        <v>-467964.20340950828</v>
      </c>
    </row>
    <row r="163" spans="17:53" ht="15.75" customHeight="1" x14ac:dyDescent="0.2">
      <c r="Q163" s="24">
        <v>180</v>
      </c>
      <c r="R163" s="39">
        <v>195488.67314941841</v>
      </c>
      <c r="AM163" s="63"/>
      <c r="AN163" s="61"/>
      <c r="AO163" s="61"/>
      <c r="AP163" s="63">
        <f t="shared" si="2"/>
        <v>1</v>
      </c>
      <c r="AQ163" s="60">
        <v>-518505.44071341841</v>
      </c>
      <c r="AR163" s="24">
        <v>-503301.42484756059</v>
      </c>
      <c r="AS163" s="24">
        <v>-488097.4089817027</v>
      </c>
      <c r="AT163" s="24">
        <v>-472893.39311584464</v>
      </c>
      <c r="AU163" s="24">
        <v>-457689.37724998675</v>
      </c>
      <c r="AV163" s="24">
        <v>-442788.34323891904</v>
      </c>
      <c r="AW163" s="24">
        <v>-447823.51527303684</v>
      </c>
      <c r="AX163" s="24">
        <v>-452858.68730715459</v>
      </c>
      <c r="AY163" s="24">
        <v>-457893.8593412725</v>
      </c>
      <c r="AZ163" s="24">
        <v>-462929.03137539048</v>
      </c>
      <c r="BA163" s="24">
        <v>-467964.20340950828</v>
      </c>
    </row>
    <row r="164" spans="17:53" ht="15.75" customHeight="1" x14ac:dyDescent="0.2">
      <c r="Q164" s="24">
        <v>200</v>
      </c>
      <c r="R164" s="39">
        <v>208485.81414438022</v>
      </c>
      <c r="AM164" s="63"/>
      <c r="AN164" s="61"/>
      <c r="AO164" s="61"/>
      <c r="AP164" s="63">
        <f t="shared" si="2"/>
        <v>1</v>
      </c>
      <c r="AQ164" s="60">
        <v>-518505.44071341841</v>
      </c>
      <c r="AR164" s="24">
        <v>-503301.42484756059</v>
      </c>
      <c r="AS164" s="24">
        <v>-488097.4089817027</v>
      </c>
      <c r="AT164" s="24">
        <v>-472893.39311584464</v>
      </c>
      <c r="AU164" s="24">
        <v>-457689.37724998675</v>
      </c>
      <c r="AV164" s="24">
        <v>-442788.34323891904</v>
      </c>
      <c r="AW164" s="24">
        <v>-447823.51527303684</v>
      </c>
      <c r="AX164" s="24">
        <v>-452858.68730715459</v>
      </c>
      <c r="AY164" s="24">
        <v>-457893.8593412725</v>
      </c>
      <c r="AZ164" s="24">
        <v>-462929.03137539048</v>
      </c>
      <c r="BA164" s="24">
        <v>-467964.20340950828</v>
      </c>
    </row>
    <row r="165" spans="17:53" ht="15.75" customHeight="1" x14ac:dyDescent="0.2">
      <c r="Q165" s="24">
        <v>220</v>
      </c>
      <c r="R165" s="39">
        <v>221482.95513934203</v>
      </c>
      <c r="AM165" s="63"/>
      <c r="AN165" s="61"/>
      <c r="AO165" s="61"/>
      <c r="AP165" s="63">
        <f t="shared" si="2"/>
        <v>1</v>
      </c>
      <c r="AQ165" s="60">
        <v>-518505.44071341841</v>
      </c>
      <c r="AR165" s="24">
        <v>-503301.42484756059</v>
      </c>
      <c r="AS165" s="24">
        <v>-488097.4089817027</v>
      </c>
      <c r="AT165" s="24">
        <v>-472893.39311584464</v>
      </c>
      <c r="AU165" s="24">
        <v>-457689.37724998675</v>
      </c>
      <c r="AV165" s="24">
        <v>-442788.34323891904</v>
      </c>
      <c r="AW165" s="24">
        <v>-447823.51527303684</v>
      </c>
      <c r="AX165" s="24">
        <v>-452858.68730715459</v>
      </c>
      <c r="AY165" s="24">
        <v>-457893.8593412725</v>
      </c>
      <c r="AZ165" s="24">
        <v>-462929.03137539048</v>
      </c>
      <c r="BA165" s="24">
        <v>-467964.20340950828</v>
      </c>
    </row>
    <row r="166" spans="17:53" ht="15.75" customHeight="1" x14ac:dyDescent="0.2">
      <c r="Q166" s="24">
        <v>240</v>
      </c>
      <c r="R166" s="39">
        <v>234480.09613430384</v>
      </c>
      <c r="AM166" s="63"/>
      <c r="AN166" s="61"/>
      <c r="AO166" s="61"/>
      <c r="AP166" s="63">
        <f t="shared" si="2"/>
        <v>1</v>
      </c>
      <c r="AQ166" s="60">
        <v>-518505.44071341841</v>
      </c>
      <c r="AR166" s="24">
        <v>-503301.42484756059</v>
      </c>
      <c r="AS166" s="24">
        <v>-488097.4089817027</v>
      </c>
      <c r="AT166" s="24">
        <v>-472893.39311584464</v>
      </c>
      <c r="AU166" s="24">
        <v>-457689.37724998675</v>
      </c>
      <c r="AV166" s="24">
        <v>-442788.34323891904</v>
      </c>
      <c r="AW166" s="24">
        <v>-447823.51527303684</v>
      </c>
      <c r="AX166" s="24">
        <v>-452858.68730715459</v>
      </c>
      <c r="AY166" s="24">
        <v>-457893.8593412725</v>
      </c>
      <c r="AZ166" s="24">
        <v>-462929.03137539048</v>
      </c>
      <c r="BA166" s="24">
        <v>-467964.20340950828</v>
      </c>
    </row>
    <row r="167" spans="17:53" ht="15.75" customHeight="1" x14ac:dyDescent="0.2">
      <c r="Q167" s="24">
        <v>260</v>
      </c>
      <c r="R167" s="39">
        <v>247477.23712926568</v>
      </c>
      <c r="AM167" s="63"/>
      <c r="AN167" s="61"/>
      <c r="AO167" s="61"/>
      <c r="AP167" s="63">
        <f t="shared" si="2"/>
        <v>1</v>
      </c>
      <c r="AQ167" s="60">
        <v>-518505.44071341841</v>
      </c>
      <c r="AR167" s="24">
        <v>-503301.42484756059</v>
      </c>
      <c r="AS167" s="24">
        <v>-488097.4089817027</v>
      </c>
      <c r="AT167" s="24">
        <v>-472893.39311584464</v>
      </c>
      <c r="AU167" s="24">
        <v>-457689.37724998675</v>
      </c>
      <c r="AV167" s="24">
        <v>-442788.34323891904</v>
      </c>
      <c r="AW167" s="24">
        <v>-447823.51527303684</v>
      </c>
      <c r="AX167" s="24">
        <v>-452858.68730715459</v>
      </c>
      <c r="AY167" s="24">
        <v>-457893.8593412725</v>
      </c>
      <c r="AZ167" s="24">
        <v>-462929.03137539048</v>
      </c>
      <c r="BA167" s="24">
        <v>-467964.20340950828</v>
      </c>
    </row>
    <row r="168" spans="17:53" ht="15.75" customHeight="1" x14ac:dyDescent="0.2">
      <c r="Q168" s="24">
        <v>280</v>
      </c>
      <c r="R168" s="39">
        <v>260474.37812422751</v>
      </c>
      <c r="AM168" s="63"/>
      <c r="AN168" s="61"/>
      <c r="AO168" s="61"/>
      <c r="AP168" s="63">
        <f t="shared" si="2"/>
        <v>1</v>
      </c>
      <c r="AQ168" s="60">
        <v>-518505.44071341841</v>
      </c>
      <c r="AR168" s="24">
        <v>-503301.42484756059</v>
      </c>
      <c r="AS168" s="24">
        <v>-488097.4089817027</v>
      </c>
      <c r="AT168" s="24">
        <v>-472893.39311584464</v>
      </c>
      <c r="AU168" s="24">
        <v>-457689.37724998675</v>
      </c>
      <c r="AV168" s="24">
        <v>-442788.34323891904</v>
      </c>
      <c r="AW168" s="24">
        <v>-447823.51527303684</v>
      </c>
      <c r="AX168" s="24">
        <v>-452858.68730715459</v>
      </c>
      <c r="AY168" s="24">
        <v>-457893.8593412725</v>
      </c>
      <c r="AZ168" s="24">
        <v>-462929.03137539048</v>
      </c>
      <c r="BA168" s="24">
        <v>-467964.20340950828</v>
      </c>
    </row>
    <row r="169" spans="17:53" ht="15.75" customHeight="1" x14ac:dyDescent="0.2">
      <c r="Q169" s="24">
        <v>300</v>
      </c>
      <c r="R169" s="39">
        <v>273471.5191191893</v>
      </c>
      <c r="AM169" s="63"/>
      <c r="AN169" s="61"/>
      <c r="AO169" s="61"/>
      <c r="AP169" s="63">
        <f t="shared" si="2"/>
        <v>1</v>
      </c>
      <c r="AQ169" s="60">
        <v>-518505.44071341841</v>
      </c>
      <c r="AR169" s="24">
        <v>-503301.42484756059</v>
      </c>
      <c r="AS169" s="24">
        <v>-488097.4089817027</v>
      </c>
      <c r="AT169" s="24">
        <v>-472893.39311584464</v>
      </c>
      <c r="AU169" s="24">
        <v>-457689.37724998675</v>
      </c>
      <c r="AV169" s="24">
        <v>-442788.34323891904</v>
      </c>
      <c r="AW169" s="24">
        <v>-447823.51527303684</v>
      </c>
      <c r="AX169" s="24">
        <v>-452858.68730715459</v>
      </c>
      <c r="AY169" s="24">
        <v>-457893.8593412725</v>
      </c>
      <c r="AZ169" s="24">
        <v>-462929.03137539048</v>
      </c>
      <c r="BA169" s="24">
        <v>-467964.20340950828</v>
      </c>
    </row>
    <row r="170" spans="17:53" ht="15.75" customHeight="1" x14ac:dyDescent="0.2">
      <c r="Q170" s="24">
        <v>320</v>
      </c>
      <c r="R170" s="39">
        <v>286468.66011415113</v>
      </c>
      <c r="AM170" s="63"/>
      <c r="AN170" s="61"/>
      <c r="AO170" s="61"/>
      <c r="AP170" s="63">
        <f t="shared" si="2"/>
        <v>1</v>
      </c>
      <c r="AQ170" s="60">
        <v>-518505.44071341841</v>
      </c>
      <c r="AR170" s="24">
        <v>-503301.42484756059</v>
      </c>
      <c r="AS170" s="24">
        <v>-488097.4089817027</v>
      </c>
      <c r="AT170" s="24">
        <v>-472893.39311584464</v>
      </c>
      <c r="AU170" s="24">
        <v>-457689.37724998675</v>
      </c>
      <c r="AV170" s="24">
        <v>-442788.34323891904</v>
      </c>
      <c r="AW170" s="24">
        <v>-447823.51527303684</v>
      </c>
      <c r="AX170" s="24">
        <v>-452858.68730715459</v>
      </c>
      <c r="AY170" s="24">
        <v>-457893.8593412725</v>
      </c>
      <c r="AZ170" s="24">
        <v>-462929.03137539048</v>
      </c>
      <c r="BA170" s="24">
        <v>-467964.20340950828</v>
      </c>
    </row>
    <row r="171" spans="17:53" ht="15.75" customHeight="1" x14ac:dyDescent="0.2">
      <c r="Q171" s="24">
        <v>340</v>
      </c>
      <c r="R171" s="39">
        <v>299465.80110911297</v>
      </c>
      <c r="AM171" s="63"/>
      <c r="AN171" s="61"/>
      <c r="AO171" s="61"/>
      <c r="AP171" s="63">
        <f t="shared" si="2"/>
        <v>1</v>
      </c>
      <c r="AQ171" s="60">
        <v>-518505.44071341841</v>
      </c>
      <c r="AR171" s="24">
        <v>-503301.42484756059</v>
      </c>
      <c r="AS171" s="24">
        <v>-488097.4089817027</v>
      </c>
      <c r="AT171" s="24">
        <v>-472893.39311584464</v>
      </c>
      <c r="AU171" s="24">
        <v>-457689.37724998675</v>
      </c>
      <c r="AV171" s="24">
        <v>-442788.34323891904</v>
      </c>
      <c r="AW171" s="24">
        <v>-447823.51527303684</v>
      </c>
      <c r="AX171" s="24">
        <v>-452858.68730715459</v>
      </c>
      <c r="AY171" s="24">
        <v>-457893.8593412725</v>
      </c>
      <c r="AZ171" s="24">
        <v>-462929.03137539048</v>
      </c>
      <c r="BA171" s="24">
        <v>-467964.20340950828</v>
      </c>
    </row>
    <row r="172" spans="17:53" ht="15.75" customHeight="1" x14ac:dyDescent="0.2">
      <c r="Q172" s="24">
        <v>360</v>
      </c>
      <c r="R172" s="39">
        <v>312462.94210407481</v>
      </c>
      <c r="AM172" s="63"/>
      <c r="AN172" s="61"/>
      <c r="AO172" s="61"/>
      <c r="AP172" s="63">
        <f t="shared" si="2"/>
        <v>1</v>
      </c>
      <c r="AQ172" s="60">
        <v>-518505.44071341841</v>
      </c>
      <c r="AR172" s="24">
        <v>-503301.42484756059</v>
      </c>
      <c r="AS172" s="24">
        <v>-488097.4089817027</v>
      </c>
      <c r="AT172" s="24">
        <v>-472893.39311584464</v>
      </c>
      <c r="AU172" s="24">
        <v>-457689.37724998675</v>
      </c>
      <c r="AV172" s="24">
        <v>-442788.34323891904</v>
      </c>
      <c r="AW172" s="24">
        <v>-447823.51527303684</v>
      </c>
      <c r="AX172" s="24">
        <v>-452858.68730715459</v>
      </c>
      <c r="AY172" s="24">
        <v>-457893.8593412725</v>
      </c>
      <c r="AZ172" s="24">
        <v>-462929.03137539048</v>
      </c>
      <c r="BA172" s="24">
        <v>-467964.20340950828</v>
      </c>
    </row>
    <row r="173" spans="17:53" ht="15.75" customHeight="1" x14ac:dyDescent="0.2">
      <c r="Q173" s="24">
        <v>380</v>
      </c>
      <c r="R173" s="39">
        <v>325460.08309903665</v>
      </c>
      <c r="AM173" s="63"/>
      <c r="AN173" s="61"/>
      <c r="AO173" s="61"/>
      <c r="AP173" s="63">
        <f t="shared" si="2"/>
        <v>1</v>
      </c>
      <c r="AQ173" s="60">
        <v>-518505.44071341841</v>
      </c>
      <c r="AR173" s="24">
        <v>-503301.42484756059</v>
      </c>
      <c r="AS173" s="24">
        <v>-488097.4089817027</v>
      </c>
      <c r="AT173" s="24">
        <v>-472893.39311584464</v>
      </c>
      <c r="AU173" s="24">
        <v>-457689.37724998675</v>
      </c>
      <c r="AV173" s="24">
        <v>-442788.34323891904</v>
      </c>
      <c r="AW173" s="24">
        <v>-447823.51527303684</v>
      </c>
      <c r="AX173" s="24">
        <v>-452858.68730715459</v>
      </c>
      <c r="AY173" s="24">
        <v>-457893.8593412725</v>
      </c>
      <c r="AZ173" s="24">
        <v>-462929.03137539048</v>
      </c>
      <c r="BA173" s="24">
        <v>-467964.20340950828</v>
      </c>
    </row>
    <row r="174" spans="17:53" ht="15.75" customHeight="1" x14ac:dyDescent="0.2">
      <c r="Q174" s="24">
        <v>400</v>
      </c>
      <c r="R174" s="39">
        <v>338457.22409399843</v>
      </c>
      <c r="AM174" s="63"/>
      <c r="AN174" s="61"/>
      <c r="AO174" s="61"/>
      <c r="AP174" s="63">
        <f t="shared" si="2"/>
        <v>1</v>
      </c>
      <c r="AQ174" s="60">
        <v>-518505.44071341841</v>
      </c>
      <c r="AR174" s="24">
        <v>-503301.42484756059</v>
      </c>
      <c r="AS174" s="24">
        <v>-488097.4089817027</v>
      </c>
      <c r="AT174" s="24">
        <v>-472893.39311584464</v>
      </c>
      <c r="AU174" s="24">
        <v>-457689.37724998675</v>
      </c>
      <c r="AV174" s="24">
        <v>-442788.34323891904</v>
      </c>
      <c r="AW174" s="24">
        <v>-447823.51527303684</v>
      </c>
      <c r="AX174" s="24">
        <v>-452858.68730715459</v>
      </c>
      <c r="AY174" s="24">
        <v>-457893.8593412725</v>
      </c>
      <c r="AZ174" s="24">
        <v>-462929.03137539048</v>
      </c>
      <c r="BA174" s="24">
        <v>-467964.20340950828</v>
      </c>
    </row>
    <row r="175" spans="17:53" ht="15.75" customHeight="1" x14ac:dyDescent="0.2">
      <c r="Q175" s="24">
        <v>420</v>
      </c>
      <c r="R175" s="39">
        <v>351454.36508896027</v>
      </c>
      <c r="AM175" s="63"/>
      <c r="AN175" s="61"/>
      <c r="AO175" s="61"/>
      <c r="AP175" s="63">
        <f t="shared" si="2"/>
        <v>1</v>
      </c>
      <c r="AQ175" s="60">
        <v>-518505.44071341841</v>
      </c>
      <c r="AR175" s="24">
        <v>-503301.42484756059</v>
      </c>
      <c r="AS175" s="24">
        <v>-488097.4089817027</v>
      </c>
      <c r="AT175" s="24">
        <v>-472893.39311584464</v>
      </c>
      <c r="AU175" s="24">
        <v>-457689.37724998675</v>
      </c>
      <c r="AV175" s="24">
        <v>-442788.34323891904</v>
      </c>
      <c r="AW175" s="24">
        <v>-447823.51527303684</v>
      </c>
      <c r="AX175" s="24">
        <v>-452858.68730715459</v>
      </c>
      <c r="AY175" s="24">
        <v>-457893.8593412725</v>
      </c>
      <c r="AZ175" s="24">
        <v>-462929.03137539048</v>
      </c>
      <c r="BA175" s="24">
        <v>-467964.20340950828</v>
      </c>
    </row>
    <row r="176" spans="17:53" ht="15.75" customHeight="1" x14ac:dyDescent="0.2">
      <c r="Q176" s="24">
        <v>440</v>
      </c>
      <c r="R176" s="39">
        <v>364451.50608392211</v>
      </c>
      <c r="AM176" s="63"/>
      <c r="AN176" s="61"/>
      <c r="AO176" s="61"/>
      <c r="AP176" s="63">
        <f t="shared" si="2"/>
        <v>1</v>
      </c>
      <c r="AQ176" s="60">
        <v>-518505.44071341841</v>
      </c>
      <c r="AR176" s="24">
        <v>-503301.42484756059</v>
      </c>
      <c r="AS176" s="24">
        <v>-488097.4089817027</v>
      </c>
      <c r="AT176" s="24">
        <v>-472893.39311584464</v>
      </c>
      <c r="AU176" s="24">
        <v>-457689.37724998675</v>
      </c>
      <c r="AV176" s="24">
        <v>-442788.34323891904</v>
      </c>
      <c r="AW176" s="24">
        <v>-447823.51527303684</v>
      </c>
      <c r="AX176" s="24">
        <v>-452858.68730715459</v>
      </c>
      <c r="AY176" s="24">
        <v>-457893.8593412725</v>
      </c>
      <c r="AZ176" s="24">
        <v>-462929.03137539048</v>
      </c>
      <c r="BA176" s="24">
        <v>-467964.20340950828</v>
      </c>
    </row>
    <row r="177" spans="17:53" ht="15.75" customHeight="1" x14ac:dyDescent="0.2">
      <c r="Q177" s="24">
        <v>460</v>
      </c>
      <c r="R177" s="39">
        <v>377448.64707888383</v>
      </c>
      <c r="AM177" s="63"/>
      <c r="AN177" s="61"/>
      <c r="AO177" s="61"/>
      <c r="AP177" s="63">
        <f t="shared" si="2"/>
        <v>1</v>
      </c>
      <c r="AQ177" s="60">
        <v>-518505.44071341841</v>
      </c>
      <c r="AR177" s="24">
        <v>-503301.42484756059</v>
      </c>
      <c r="AS177" s="24">
        <v>-488097.4089817027</v>
      </c>
      <c r="AT177" s="24">
        <v>-472893.39311584464</v>
      </c>
      <c r="AU177" s="24">
        <v>-457689.37724998675</v>
      </c>
      <c r="AV177" s="24">
        <v>-442788.34323891904</v>
      </c>
      <c r="AW177" s="24">
        <v>-447823.51527303684</v>
      </c>
      <c r="AX177" s="24">
        <v>-452858.68730715459</v>
      </c>
      <c r="AY177" s="24">
        <v>-457893.8593412725</v>
      </c>
      <c r="AZ177" s="24">
        <v>-462929.03137539048</v>
      </c>
      <c r="BA177" s="24">
        <v>-467964.20340950828</v>
      </c>
    </row>
    <row r="178" spans="17:53" ht="15.75" customHeight="1" x14ac:dyDescent="0.2">
      <c r="Q178" s="24">
        <v>480</v>
      </c>
      <c r="R178" s="39">
        <v>390445.78807384567</v>
      </c>
      <c r="AM178" s="63"/>
      <c r="AN178" s="61"/>
      <c r="AO178" s="61"/>
      <c r="AP178" s="63">
        <f t="shared" si="2"/>
        <v>1</v>
      </c>
      <c r="AQ178" s="60">
        <v>-518505.44071341841</v>
      </c>
      <c r="AR178" s="24">
        <v>-503301.42484756059</v>
      </c>
      <c r="AS178" s="24">
        <v>-488097.4089817027</v>
      </c>
      <c r="AT178" s="24">
        <v>-472893.39311584464</v>
      </c>
      <c r="AU178" s="24">
        <v>-457689.37724998675</v>
      </c>
      <c r="AV178" s="24">
        <v>-442788.34323891904</v>
      </c>
      <c r="AW178" s="24">
        <v>-447823.51527303684</v>
      </c>
      <c r="AX178" s="24">
        <v>-452858.68730715459</v>
      </c>
      <c r="AY178" s="24">
        <v>-457893.8593412725</v>
      </c>
      <c r="AZ178" s="24">
        <v>-462929.03137539048</v>
      </c>
      <c r="BA178" s="24">
        <v>-467964.20340950828</v>
      </c>
    </row>
    <row r="179" spans="17:53" ht="15.75" customHeight="1" x14ac:dyDescent="0.2">
      <c r="Q179" s="24">
        <v>500</v>
      </c>
      <c r="R179" s="39">
        <v>403442.92906880757</v>
      </c>
      <c r="AM179" s="63"/>
      <c r="AN179" s="61"/>
      <c r="AO179" s="61"/>
      <c r="AP179" s="63">
        <f t="shared" si="2"/>
        <v>1</v>
      </c>
      <c r="AQ179" s="60">
        <v>-518505.44071341841</v>
      </c>
      <c r="AR179" s="24">
        <v>-503301.42484756059</v>
      </c>
      <c r="AS179" s="24">
        <v>-488097.4089817027</v>
      </c>
      <c r="AT179" s="24">
        <v>-472893.39311584464</v>
      </c>
      <c r="AU179" s="24">
        <v>-457689.37724998675</v>
      </c>
      <c r="AV179" s="24">
        <v>-442788.34323891904</v>
      </c>
      <c r="AW179" s="24">
        <v>-447823.51527303684</v>
      </c>
      <c r="AX179" s="24">
        <v>-452858.68730715459</v>
      </c>
      <c r="AY179" s="24">
        <v>-457893.8593412725</v>
      </c>
      <c r="AZ179" s="24">
        <v>-462929.03137539048</v>
      </c>
      <c r="BA179" s="24">
        <v>-467964.20340950828</v>
      </c>
    </row>
    <row r="180" spans="17:53" ht="15.75" customHeight="1" x14ac:dyDescent="0.2">
      <c r="AM180" s="63"/>
      <c r="AN180" s="61"/>
      <c r="AO180" s="61"/>
      <c r="AP180" s="63">
        <f t="shared" si="2"/>
        <v>1</v>
      </c>
      <c r="AQ180" s="60">
        <v>-518505.44071341841</v>
      </c>
      <c r="AR180" s="24">
        <v>-503301.42484756059</v>
      </c>
      <c r="AS180" s="24">
        <v>-488097.4089817027</v>
      </c>
      <c r="AT180" s="24">
        <v>-472893.39311584464</v>
      </c>
      <c r="AU180" s="24">
        <v>-457689.37724998675</v>
      </c>
      <c r="AV180" s="24">
        <v>-442788.34323891904</v>
      </c>
      <c r="AW180" s="24">
        <v>-447823.51527303684</v>
      </c>
      <c r="AX180" s="24">
        <v>-452858.68730715459</v>
      </c>
      <c r="AY180" s="24">
        <v>-457893.8593412725</v>
      </c>
      <c r="AZ180" s="24">
        <v>-462929.03137539048</v>
      </c>
      <c r="BA180" s="24">
        <v>-467964.20340950828</v>
      </c>
    </row>
    <row r="181" spans="17:53" ht="15.75" customHeight="1" x14ac:dyDescent="0.2">
      <c r="AM181" s="63"/>
      <c r="AN181" s="61"/>
      <c r="AO181" s="61"/>
      <c r="AP181" s="63">
        <f t="shared" si="2"/>
        <v>1</v>
      </c>
      <c r="AQ181" s="60">
        <v>-518505.44071341841</v>
      </c>
      <c r="AR181" s="24">
        <v>-503301.42484756059</v>
      </c>
      <c r="AS181" s="24">
        <v>-488097.4089817027</v>
      </c>
      <c r="AT181" s="24">
        <v>-472893.39311584464</v>
      </c>
      <c r="AU181" s="24">
        <v>-457689.37724998675</v>
      </c>
      <c r="AV181" s="24">
        <v>-442788.34323891904</v>
      </c>
      <c r="AW181" s="24">
        <v>-447823.51527303684</v>
      </c>
      <c r="AX181" s="24">
        <v>-452858.68730715459</v>
      </c>
      <c r="AY181" s="24">
        <v>-457893.8593412725</v>
      </c>
      <c r="AZ181" s="24">
        <v>-462929.03137539048</v>
      </c>
      <c r="BA181" s="24">
        <v>-467964.20340950828</v>
      </c>
    </row>
    <row r="182" spans="17:53" ht="15.75" customHeight="1" x14ac:dyDescent="0.2">
      <c r="AM182" s="63"/>
      <c r="AN182" s="61"/>
      <c r="AO182" s="61"/>
      <c r="AP182" s="63">
        <f t="shared" si="2"/>
        <v>1</v>
      </c>
      <c r="AQ182" s="60">
        <v>-518505.44071341841</v>
      </c>
      <c r="AR182" s="24">
        <v>-503301.42484756059</v>
      </c>
      <c r="AS182" s="24">
        <v>-488097.4089817027</v>
      </c>
      <c r="AT182" s="24">
        <v>-472893.39311584464</v>
      </c>
      <c r="AU182" s="24">
        <v>-457689.37724998675</v>
      </c>
      <c r="AV182" s="24">
        <v>-442788.34323891904</v>
      </c>
      <c r="AW182" s="24">
        <v>-447823.51527303684</v>
      </c>
      <c r="AX182" s="24">
        <v>-452858.68730715459</v>
      </c>
      <c r="AY182" s="24">
        <v>-457893.8593412725</v>
      </c>
      <c r="AZ182" s="24">
        <v>-462929.03137539048</v>
      </c>
      <c r="BA182" s="24">
        <v>-467964.20340950828</v>
      </c>
    </row>
    <row r="183" spans="17:53" ht="15.75" customHeight="1" x14ac:dyDescent="0.2">
      <c r="AM183" s="63"/>
      <c r="AN183" s="61"/>
      <c r="AO183" s="61"/>
      <c r="AP183" s="63">
        <f t="shared" si="2"/>
        <v>1</v>
      </c>
      <c r="AQ183" s="60">
        <v>-518505.44071341841</v>
      </c>
      <c r="AR183" s="24">
        <v>-503301.42484756059</v>
      </c>
      <c r="AS183" s="24">
        <v>-488097.4089817027</v>
      </c>
      <c r="AT183" s="24">
        <v>-472893.39311584464</v>
      </c>
      <c r="AU183" s="24">
        <v>-457689.37724998675</v>
      </c>
      <c r="AV183" s="24">
        <v>-442788.34323891904</v>
      </c>
      <c r="AW183" s="24">
        <v>-447823.51527303684</v>
      </c>
      <c r="AX183" s="24">
        <v>-452858.68730715459</v>
      </c>
      <c r="AY183" s="24">
        <v>-457893.8593412725</v>
      </c>
      <c r="AZ183" s="24">
        <v>-462929.03137539048</v>
      </c>
      <c r="BA183" s="24">
        <v>-467964.20340950828</v>
      </c>
    </row>
    <row r="184" spans="17:53" ht="15.75" customHeight="1" x14ac:dyDescent="0.2">
      <c r="AM184" s="63"/>
      <c r="AN184" s="61"/>
      <c r="AO184" s="61"/>
      <c r="AP184" s="63">
        <f t="shared" si="2"/>
        <v>1</v>
      </c>
      <c r="AQ184" s="60">
        <v>-518505.44071341841</v>
      </c>
      <c r="AR184" s="24">
        <v>-503301.42484756059</v>
      </c>
      <c r="AS184" s="24">
        <v>-488097.4089817027</v>
      </c>
      <c r="AT184" s="24">
        <v>-472893.39311584464</v>
      </c>
      <c r="AU184" s="24">
        <v>-457689.37724998675</v>
      </c>
      <c r="AV184" s="24">
        <v>-442788.34323891904</v>
      </c>
      <c r="AW184" s="24">
        <v>-447823.51527303684</v>
      </c>
      <c r="AX184" s="24">
        <v>-452858.68730715459</v>
      </c>
      <c r="AY184" s="24">
        <v>-457893.8593412725</v>
      </c>
      <c r="AZ184" s="24">
        <v>-462929.03137539048</v>
      </c>
      <c r="BA184" s="24">
        <v>-467964.20340950828</v>
      </c>
    </row>
    <row r="185" spans="17:53" ht="15.75" customHeight="1" x14ac:dyDescent="0.2">
      <c r="AM185" s="63"/>
      <c r="AN185" s="61"/>
      <c r="AO185" s="61"/>
      <c r="AP185" s="63">
        <f t="shared" si="2"/>
        <v>1</v>
      </c>
      <c r="AQ185" s="60">
        <v>-518505.44071341841</v>
      </c>
      <c r="AR185" s="24">
        <v>-503301.42484756059</v>
      </c>
      <c r="AS185" s="24">
        <v>-488097.4089817027</v>
      </c>
      <c r="AT185" s="24">
        <v>-472893.39311584464</v>
      </c>
      <c r="AU185" s="24">
        <v>-457689.37724998675</v>
      </c>
      <c r="AV185" s="24">
        <v>-442788.34323891904</v>
      </c>
      <c r="AW185" s="24">
        <v>-447823.51527303684</v>
      </c>
      <c r="AX185" s="24">
        <v>-452858.68730715459</v>
      </c>
      <c r="AY185" s="24">
        <v>-457893.8593412725</v>
      </c>
      <c r="AZ185" s="24">
        <v>-462929.03137539048</v>
      </c>
      <c r="BA185" s="24">
        <v>-467964.20340950828</v>
      </c>
    </row>
    <row r="186" spans="17:53" ht="15.75" customHeight="1" x14ac:dyDescent="0.2">
      <c r="AM186" s="63"/>
      <c r="AN186" s="61"/>
      <c r="AO186" s="61"/>
      <c r="AP186" s="63">
        <f t="shared" si="2"/>
        <v>1</v>
      </c>
      <c r="AQ186" s="60">
        <v>-518505.44071341841</v>
      </c>
      <c r="AR186" s="24">
        <v>-503301.42484756059</v>
      </c>
      <c r="AS186" s="24">
        <v>-488097.4089817027</v>
      </c>
      <c r="AT186" s="24">
        <v>-472893.39311584464</v>
      </c>
      <c r="AU186" s="24">
        <v>-457689.37724998675</v>
      </c>
      <c r="AV186" s="24">
        <v>-442788.34323891904</v>
      </c>
      <c r="AW186" s="24">
        <v>-447823.51527303684</v>
      </c>
      <c r="AX186" s="24">
        <v>-452858.68730715459</v>
      </c>
      <c r="AY186" s="24">
        <v>-457893.8593412725</v>
      </c>
      <c r="AZ186" s="24">
        <v>-462929.03137539048</v>
      </c>
      <c r="BA186" s="24">
        <v>-467964.20340950828</v>
      </c>
    </row>
    <row r="187" spans="17:53" ht="15.75" customHeight="1" x14ac:dyDescent="0.2">
      <c r="AM187" s="63"/>
      <c r="AN187" s="61"/>
      <c r="AO187" s="61"/>
      <c r="AP187" s="63">
        <f t="shared" si="2"/>
        <v>1</v>
      </c>
      <c r="AQ187" s="60">
        <v>-518505.44071341841</v>
      </c>
      <c r="AR187" s="24">
        <v>-503301.42484756059</v>
      </c>
      <c r="AS187" s="24">
        <v>-488097.4089817027</v>
      </c>
      <c r="AT187" s="24">
        <v>-472893.39311584464</v>
      </c>
      <c r="AU187" s="24">
        <v>-457689.37724998675</v>
      </c>
      <c r="AV187" s="24">
        <v>-442788.34323891904</v>
      </c>
      <c r="AW187" s="24">
        <v>-447823.51527303684</v>
      </c>
      <c r="AX187" s="24">
        <v>-452858.68730715459</v>
      </c>
      <c r="AY187" s="24">
        <v>-457893.8593412725</v>
      </c>
      <c r="AZ187" s="24">
        <v>-462929.03137539048</v>
      </c>
      <c r="BA187" s="24">
        <v>-467964.20340950828</v>
      </c>
    </row>
    <row r="188" spans="17:53" ht="15.75" customHeight="1" x14ac:dyDescent="0.2">
      <c r="AM188" s="63"/>
      <c r="AN188" s="61"/>
      <c r="AO188" s="61"/>
      <c r="AP188" s="63">
        <f t="shared" si="2"/>
        <v>1</v>
      </c>
      <c r="AQ188" s="60">
        <v>-518505.44071341841</v>
      </c>
      <c r="AR188" s="24">
        <v>-503301.42484756059</v>
      </c>
      <c r="AS188" s="24">
        <v>-488097.4089817027</v>
      </c>
      <c r="AT188" s="24">
        <v>-472893.39311584464</v>
      </c>
      <c r="AU188" s="24">
        <v>-457689.37724998675</v>
      </c>
      <c r="AV188" s="24">
        <v>-442788.34323891904</v>
      </c>
      <c r="AW188" s="24">
        <v>-447823.51527303684</v>
      </c>
      <c r="AX188" s="24">
        <v>-452858.68730715459</v>
      </c>
      <c r="AY188" s="24">
        <v>-457893.8593412725</v>
      </c>
      <c r="AZ188" s="24">
        <v>-462929.03137539048</v>
      </c>
      <c r="BA188" s="24">
        <v>-467964.20340950828</v>
      </c>
    </row>
    <row r="189" spans="17:53" ht="15.75" customHeight="1" x14ac:dyDescent="0.2">
      <c r="AM189" s="63"/>
      <c r="AN189" s="61"/>
      <c r="AO189" s="61"/>
      <c r="AP189" s="63">
        <f t="shared" si="2"/>
        <v>1</v>
      </c>
      <c r="AQ189" s="60">
        <v>-518505.44071341841</v>
      </c>
      <c r="AR189" s="24">
        <v>-503301.42484756059</v>
      </c>
      <c r="AS189" s="24">
        <v>-488097.4089817027</v>
      </c>
      <c r="AT189" s="24">
        <v>-472893.39311584464</v>
      </c>
      <c r="AU189" s="24">
        <v>-457689.37724998675</v>
      </c>
      <c r="AV189" s="24">
        <v>-442788.34323891904</v>
      </c>
      <c r="AW189" s="24">
        <v>-447823.51527303684</v>
      </c>
      <c r="AX189" s="24">
        <v>-452858.68730715459</v>
      </c>
      <c r="AY189" s="24">
        <v>-457893.8593412725</v>
      </c>
      <c r="AZ189" s="24">
        <v>-462929.03137539048</v>
      </c>
      <c r="BA189" s="24">
        <v>-467964.20340950828</v>
      </c>
    </row>
    <row r="190" spans="17:53" ht="15.75" customHeight="1" x14ac:dyDescent="0.2">
      <c r="AM190" s="63"/>
      <c r="AN190" s="61"/>
      <c r="AO190" s="61"/>
      <c r="AP190" s="63">
        <f t="shared" si="2"/>
        <v>1</v>
      </c>
      <c r="AQ190" s="60">
        <v>-518505.44071341841</v>
      </c>
      <c r="AR190" s="24">
        <v>-503301.42484756059</v>
      </c>
      <c r="AS190" s="24">
        <v>-488097.4089817027</v>
      </c>
      <c r="AT190" s="24">
        <v>-472893.39311584464</v>
      </c>
      <c r="AU190" s="24">
        <v>-457689.37724998675</v>
      </c>
      <c r="AV190" s="24">
        <v>-442788.34323891904</v>
      </c>
      <c r="AW190" s="24">
        <v>-447823.51527303684</v>
      </c>
      <c r="AX190" s="24">
        <v>-452858.68730715459</v>
      </c>
      <c r="AY190" s="24">
        <v>-457893.8593412725</v>
      </c>
      <c r="AZ190" s="24">
        <v>-462929.03137539048</v>
      </c>
      <c r="BA190" s="24">
        <v>-467964.20340950828</v>
      </c>
    </row>
    <row r="191" spans="17:53" ht="15.75" customHeight="1" x14ac:dyDescent="0.2">
      <c r="AM191" s="63"/>
      <c r="AN191" s="61"/>
      <c r="AO191" s="61"/>
      <c r="AP191" s="63">
        <f t="shared" si="2"/>
        <v>1</v>
      </c>
      <c r="AQ191" s="60">
        <v>-518505.44071341841</v>
      </c>
      <c r="AR191" s="24">
        <v>-503301.42484756059</v>
      </c>
      <c r="AS191" s="24">
        <v>-488097.4089817027</v>
      </c>
      <c r="AT191" s="24">
        <v>-472893.39311584464</v>
      </c>
      <c r="AU191" s="24">
        <v>-457689.37724998675</v>
      </c>
      <c r="AV191" s="24">
        <v>-442788.34323891904</v>
      </c>
      <c r="AW191" s="24">
        <v>-447823.51527303684</v>
      </c>
      <c r="AX191" s="24">
        <v>-452858.68730715459</v>
      </c>
      <c r="AY191" s="24">
        <v>-457893.8593412725</v>
      </c>
      <c r="AZ191" s="24">
        <v>-462929.03137539048</v>
      </c>
      <c r="BA191" s="24">
        <v>-467964.20340950828</v>
      </c>
    </row>
    <row r="192" spans="17:53" ht="15.75" customHeight="1" x14ac:dyDescent="0.2">
      <c r="AM192" s="63"/>
      <c r="AN192" s="61"/>
      <c r="AO192" s="61"/>
      <c r="AP192" s="63">
        <f t="shared" si="2"/>
        <v>1</v>
      </c>
      <c r="AQ192" s="60">
        <v>-518505.44071341841</v>
      </c>
      <c r="AR192" s="24">
        <v>-503301.42484756059</v>
      </c>
      <c r="AS192" s="24">
        <v>-488097.4089817027</v>
      </c>
      <c r="AT192" s="24">
        <v>-472893.39311584464</v>
      </c>
      <c r="AU192" s="24">
        <v>-457689.37724998675</v>
      </c>
      <c r="AV192" s="24">
        <v>-442788.34323891904</v>
      </c>
      <c r="AW192" s="24">
        <v>-447823.51527303684</v>
      </c>
      <c r="AX192" s="24">
        <v>-452858.68730715459</v>
      </c>
      <c r="AY192" s="24">
        <v>-457893.8593412725</v>
      </c>
      <c r="AZ192" s="24">
        <v>-462929.03137539048</v>
      </c>
      <c r="BA192" s="24">
        <v>-467964.20340950828</v>
      </c>
    </row>
    <row r="193" spans="39:53" ht="15.75" customHeight="1" x14ac:dyDescent="0.2">
      <c r="AM193" s="63"/>
      <c r="AN193" s="61"/>
      <c r="AO193" s="61"/>
      <c r="AP193" s="63">
        <f t="shared" si="2"/>
        <v>1</v>
      </c>
      <c r="AQ193" s="60">
        <v>-518505.44071341841</v>
      </c>
      <c r="AR193" s="24">
        <v>-503301.42484756059</v>
      </c>
      <c r="AS193" s="24">
        <v>-488097.4089817027</v>
      </c>
      <c r="AT193" s="24">
        <v>-472893.39311584464</v>
      </c>
      <c r="AU193" s="24">
        <v>-457689.37724998675</v>
      </c>
      <c r="AV193" s="24">
        <v>-442788.34323891904</v>
      </c>
      <c r="AW193" s="24">
        <v>-447823.51527303684</v>
      </c>
      <c r="AX193" s="24">
        <v>-452858.68730715459</v>
      </c>
      <c r="AY193" s="24">
        <v>-457893.8593412725</v>
      </c>
      <c r="AZ193" s="24">
        <v>-462929.03137539048</v>
      </c>
      <c r="BA193" s="24">
        <v>-467964.20340950828</v>
      </c>
    </row>
    <row r="194" spans="39:53" ht="15.75" customHeight="1" x14ac:dyDescent="0.2">
      <c r="AM194" s="63"/>
      <c r="AN194" s="61"/>
      <c r="AO194" s="61"/>
      <c r="AP194" s="63">
        <f t="shared" si="2"/>
        <v>1</v>
      </c>
      <c r="AQ194" s="60">
        <v>-518505.44071341841</v>
      </c>
      <c r="AR194" s="24">
        <v>-503301.42484756059</v>
      </c>
      <c r="AS194" s="24">
        <v>-488097.4089817027</v>
      </c>
      <c r="AT194" s="24">
        <v>-472893.39311584464</v>
      </c>
      <c r="AU194" s="24">
        <v>-457689.37724998675</v>
      </c>
      <c r="AV194" s="24">
        <v>-442788.34323891904</v>
      </c>
      <c r="AW194" s="24">
        <v>-447823.51527303684</v>
      </c>
      <c r="AX194" s="24">
        <v>-452858.68730715459</v>
      </c>
      <c r="AY194" s="24">
        <v>-457893.8593412725</v>
      </c>
      <c r="AZ194" s="24">
        <v>-462929.03137539048</v>
      </c>
      <c r="BA194" s="24">
        <v>-467964.20340950828</v>
      </c>
    </row>
    <row r="195" spans="39:53" ht="15.75" customHeight="1" x14ac:dyDescent="0.2">
      <c r="AM195" s="63"/>
      <c r="AN195" s="61"/>
      <c r="AO195" s="61"/>
      <c r="AP195" s="63">
        <f t="shared" si="2"/>
        <v>1</v>
      </c>
      <c r="AQ195" s="60">
        <v>-518505.44071341841</v>
      </c>
      <c r="AR195" s="24">
        <v>-503301.42484756059</v>
      </c>
      <c r="AS195" s="24">
        <v>-488097.4089817027</v>
      </c>
      <c r="AT195" s="24">
        <v>-472893.39311584464</v>
      </c>
      <c r="AU195" s="24">
        <v>-457689.37724998675</v>
      </c>
      <c r="AV195" s="24">
        <v>-442788.34323891904</v>
      </c>
      <c r="AW195" s="24">
        <v>-447823.51527303684</v>
      </c>
      <c r="AX195" s="24">
        <v>-452858.68730715459</v>
      </c>
      <c r="AY195" s="24">
        <v>-457893.8593412725</v>
      </c>
      <c r="AZ195" s="24">
        <v>-462929.03137539048</v>
      </c>
      <c r="BA195" s="24">
        <v>-467964.20340950828</v>
      </c>
    </row>
    <row r="196" spans="39:53" ht="15.75" customHeight="1" x14ac:dyDescent="0.2">
      <c r="AM196" s="63"/>
      <c r="AN196" s="61"/>
      <c r="AO196" s="61"/>
      <c r="AP196" s="63">
        <f t="shared" si="2"/>
        <v>1</v>
      </c>
      <c r="AQ196" s="60">
        <v>-518505.44071341841</v>
      </c>
      <c r="AR196" s="24">
        <v>-503301.42484756059</v>
      </c>
      <c r="AS196" s="24">
        <v>-488097.4089817027</v>
      </c>
      <c r="AT196" s="24">
        <v>-472893.39311584464</v>
      </c>
      <c r="AU196" s="24">
        <v>-457689.37724998675</v>
      </c>
      <c r="AV196" s="24">
        <v>-442788.34323891904</v>
      </c>
      <c r="AW196" s="24">
        <v>-447823.51527303684</v>
      </c>
      <c r="AX196" s="24">
        <v>-452858.68730715459</v>
      </c>
      <c r="AY196" s="24">
        <v>-457893.8593412725</v>
      </c>
      <c r="AZ196" s="24">
        <v>-462929.03137539048</v>
      </c>
      <c r="BA196" s="24">
        <v>-467964.20340950828</v>
      </c>
    </row>
    <row r="197" spans="39:53" ht="15.75" customHeight="1" x14ac:dyDescent="0.2">
      <c r="AM197" s="63"/>
      <c r="AN197" s="61"/>
      <c r="AO197" s="61"/>
      <c r="AP197" s="63">
        <f t="shared" ref="AP197:AP210" si="3">SUM(1,AM197/2,-AN197,-AO197)</f>
        <v>1</v>
      </c>
      <c r="AQ197" s="60">
        <v>-518505.44071341841</v>
      </c>
      <c r="AR197" s="24">
        <v>-503301.42484756059</v>
      </c>
      <c r="AS197" s="24">
        <v>-488097.4089817027</v>
      </c>
      <c r="AT197" s="24">
        <v>-472893.39311584464</v>
      </c>
      <c r="AU197" s="24">
        <v>-457689.37724998675</v>
      </c>
      <c r="AV197" s="24">
        <v>-442788.34323891904</v>
      </c>
      <c r="AW197" s="24">
        <v>-447823.51527303684</v>
      </c>
      <c r="AX197" s="24">
        <v>-452858.68730715459</v>
      </c>
      <c r="AY197" s="24">
        <v>-457893.8593412725</v>
      </c>
      <c r="AZ197" s="24">
        <v>-462929.03137539048</v>
      </c>
      <c r="BA197" s="24">
        <v>-467964.20340950828</v>
      </c>
    </row>
    <row r="198" spans="39:53" ht="15.75" customHeight="1" x14ac:dyDescent="0.2">
      <c r="AM198" s="63"/>
      <c r="AN198" s="61"/>
      <c r="AO198" s="61"/>
      <c r="AP198" s="63">
        <f t="shared" si="3"/>
        <v>1</v>
      </c>
      <c r="AQ198" s="60">
        <v>-518505.44071341841</v>
      </c>
      <c r="AR198" s="24">
        <v>-503301.42484756059</v>
      </c>
      <c r="AS198" s="24">
        <v>-488097.4089817027</v>
      </c>
      <c r="AT198" s="24">
        <v>-472893.39311584464</v>
      </c>
      <c r="AU198" s="24">
        <v>-457689.37724998675</v>
      </c>
      <c r="AV198" s="24">
        <v>-442788.34323891904</v>
      </c>
      <c r="AW198" s="24">
        <v>-447823.51527303684</v>
      </c>
      <c r="AX198" s="24">
        <v>-452858.68730715459</v>
      </c>
      <c r="AY198" s="24">
        <v>-457893.8593412725</v>
      </c>
      <c r="AZ198" s="24">
        <v>-462929.03137539048</v>
      </c>
      <c r="BA198" s="24">
        <v>-467964.20340950828</v>
      </c>
    </row>
    <row r="199" spans="39:53" ht="15.75" customHeight="1" x14ac:dyDescent="0.2">
      <c r="AM199" s="63"/>
      <c r="AN199" s="61"/>
      <c r="AO199" s="61"/>
      <c r="AP199" s="63">
        <f t="shared" si="3"/>
        <v>1</v>
      </c>
      <c r="AQ199" s="60">
        <v>-518505.44071341841</v>
      </c>
      <c r="AR199" s="24">
        <v>-503301.42484756059</v>
      </c>
      <c r="AS199" s="24">
        <v>-488097.4089817027</v>
      </c>
      <c r="AT199" s="24">
        <v>-472893.39311584464</v>
      </c>
      <c r="AU199" s="24">
        <v>-457689.37724998675</v>
      </c>
      <c r="AV199" s="24">
        <v>-442788.34323891904</v>
      </c>
      <c r="AW199" s="24">
        <v>-447823.51527303684</v>
      </c>
      <c r="AX199" s="24">
        <v>-452858.68730715459</v>
      </c>
      <c r="AY199" s="24">
        <v>-457893.8593412725</v>
      </c>
      <c r="AZ199" s="24">
        <v>-462929.03137539048</v>
      </c>
      <c r="BA199" s="24">
        <v>-467964.20340950828</v>
      </c>
    </row>
    <row r="200" spans="39:53" ht="15.75" customHeight="1" x14ac:dyDescent="0.2">
      <c r="AM200" s="63"/>
      <c r="AN200" s="61"/>
      <c r="AO200" s="61"/>
      <c r="AP200" s="63">
        <f t="shared" si="3"/>
        <v>1</v>
      </c>
      <c r="AQ200" s="60">
        <v>-518505.44071341841</v>
      </c>
      <c r="AR200" s="24">
        <v>-503301.42484756059</v>
      </c>
      <c r="AS200" s="24">
        <v>-488097.4089817027</v>
      </c>
      <c r="AT200" s="24">
        <v>-472893.39311584464</v>
      </c>
      <c r="AU200" s="24">
        <v>-457689.37724998675</v>
      </c>
      <c r="AV200" s="24">
        <v>-442788.34323891904</v>
      </c>
      <c r="AW200" s="24">
        <v>-447823.51527303684</v>
      </c>
      <c r="AX200" s="24">
        <v>-452858.68730715459</v>
      </c>
      <c r="AY200" s="24">
        <v>-457893.8593412725</v>
      </c>
      <c r="AZ200" s="24">
        <v>-462929.03137539048</v>
      </c>
      <c r="BA200" s="24">
        <v>-467964.20340950828</v>
      </c>
    </row>
    <row r="201" spans="39:53" ht="15.75" customHeight="1" x14ac:dyDescent="0.2">
      <c r="AM201" s="63"/>
      <c r="AN201" s="61"/>
      <c r="AO201" s="61"/>
      <c r="AP201" s="63">
        <f t="shared" si="3"/>
        <v>1</v>
      </c>
      <c r="AQ201" s="60">
        <v>-518505.44071341841</v>
      </c>
      <c r="AR201" s="24">
        <v>-503301.42484756059</v>
      </c>
      <c r="AS201" s="24">
        <v>-488097.4089817027</v>
      </c>
      <c r="AT201" s="24">
        <v>-472893.39311584464</v>
      </c>
      <c r="AU201" s="24">
        <v>-457689.37724998675</v>
      </c>
      <c r="AV201" s="24">
        <v>-442788.34323891904</v>
      </c>
      <c r="AW201" s="24">
        <v>-447823.51527303684</v>
      </c>
      <c r="AX201" s="24">
        <v>-452858.68730715459</v>
      </c>
      <c r="AY201" s="24">
        <v>-457893.8593412725</v>
      </c>
      <c r="AZ201" s="24">
        <v>-462929.03137539048</v>
      </c>
      <c r="BA201" s="24">
        <v>-467964.20340950828</v>
      </c>
    </row>
    <row r="202" spans="39:53" ht="15.75" customHeight="1" x14ac:dyDescent="0.2">
      <c r="AM202" s="63"/>
      <c r="AN202" s="61"/>
      <c r="AO202" s="61"/>
      <c r="AP202" s="63">
        <f t="shared" si="3"/>
        <v>1</v>
      </c>
      <c r="AQ202" s="60">
        <v>-518505.44071341841</v>
      </c>
      <c r="AR202" s="24">
        <v>-503301.42484756059</v>
      </c>
      <c r="AS202" s="24">
        <v>-488097.4089817027</v>
      </c>
      <c r="AT202" s="24">
        <v>-472893.39311584464</v>
      </c>
      <c r="AU202" s="24">
        <v>-457689.37724998675</v>
      </c>
      <c r="AV202" s="24">
        <v>-442788.34323891904</v>
      </c>
      <c r="AW202" s="24">
        <v>-447823.51527303684</v>
      </c>
      <c r="AX202" s="24">
        <v>-452858.68730715459</v>
      </c>
      <c r="AY202" s="24">
        <v>-457893.8593412725</v>
      </c>
      <c r="AZ202" s="24">
        <v>-462929.03137539048</v>
      </c>
      <c r="BA202" s="24">
        <v>-467964.20340950828</v>
      </c>
    </row>
    <row r="203" spans="39:53" ht="15.75" customHeight="1" x14ac:dyDescent="0.2">
      <c r="AM203" s="63"/>
      <c r="AN203" s="61"/>
      <c r="AO203" s="61"/>
      <c r="AP203" s="63">
        <f t="shared" si="3"/>
        <v>1</v>
      </c>
      <c r="AQ203" s="60">
        <v>-518505.44071341841</v>
      </c>
      <c r="AR203" s="24">
        <v>-503301.42484756059</v>
      </c>
      <c r="AS203" s="24">
        <v>-488097.4089817027</v>
      </c>
      <c r="AT203" s="24">
        <v>-472893.39311584464</v>
      </c>
      <c r="AU203" s="24">
        <v>-457689.37724998675</v>
      </c>
      <c r="AV203" s="24">
        <v>-442788.34323891904</v>
      </c>
      <c r="AW203" s="24">
        <v>-447823.51527303684</v>
      </c>
      <c r="AX203" s="24">
        <v>-452858.68730715459</v>
      </c>
      <c r="AY203" s="24">
        <v>-457893.8593412725</v>
      </c>
      <c r="AZ203" s="24">
        <v>-462929.03137539048</v>
      </c>
      <c r="BA203" s="24">
        <v>-467964.20340950828</v>
      </c>
    </row>
    <row r="204" spans="39:53" ht="15.75" customHeight="1" x14ac:dyDescent="0.2">
      <c r="AM204" s="63"/>
      <c r="AN204" s="61"/>
      <c r="AO204" s="61"/>
      <c r="AP204" s="63">
        <f t="shared" si="3"/>
        <v>1</v>
      </c>
      <c r="AQ204" s="60">
        <v>-518505.44071341841</v>
      </c>
      <c r="AR204" s="24">
        <v>-503301.42484756059</v>
      </c>
      <c r="AS204" s="24">
        <v>-488097.4089817027</v>
      </c>
      <c r="AT204" s="24">
        <v>-472893.39311584464</v>
      </c>
      <c r="AU204" s="24">
        <v>-457689.37724998675</v>
      </c>
      <c r="AV204" s="24">
        <v>-442788.34323891904</v>
      </c>
      <c r="AW204" s="24">
        <v>-447823.51527303684</v>
      </c>
      <c r="AX204" s="24">
        <v>-452858.68730715459</v>
      </c>
      <c r="AY204" s="24">
        <v>-457893.8593412725</v>
      </c>
      <c r="AZ204" s="24">
        <v>-462929.03137539048</v>
      </c>
      <c r="BA204" s="24">
        <v>-467964.20340950828</v>
      </c>
    </row>
    <row r="205" spans="39:53" ht="15.75" customHeight="1" x14ac:dyDescent="0.2">
      <c r="AM205" s="63"/>
      <c r="AN205" s="61"/>
      <c r="AO205" s="61"/>
      <c r="AP205" s="63">
        <f t="shared" si="3"/>
        <v>1</v>
      </c>
      <c r="AQ205" s="60">
        <v>-518505.44071341841</v>
      </c>
      <c r="AR205" s="24">
        <v>-503301.42484756059</v>
      </c>
      <c r="AS205" s="24">
        <v>-488097.4089817027</v>
      </c>
      <c r="AT205" s="24">
        <v>-472893.39311584464</v>
      </c>
      <c r="AU205" s="24">
        <v>-457689.37724998675</v>
      </c>
      <c r="AV205" s="24">
        <v>-442788.34323891904</v>
      </c>
      <c r="AW205" s="24">
        <v>-447823.51527303684</v>
      </c>
      <c r="AX205" s="24">
        <v>-452858.68730715459</v>
      </c>
      <c r="AY205" s="24">
        <v>-457893.8593412725</v>
      </c>
      <c r="AZ205" s="24">
        <v>-462929.03137539048</v>
      </c>
      <c r="BA205" s="24">
        <v>-467964.20340950828</v>
      </c>
    </row>
    <row r="206" spans="39:53" ht="15.75" customHeight="1" x14ac:dyDescent="0.2">
      <c r="AM206" s="63"/>
      <c r="AN206" s="61"/>
      <c r="AO206" s="61"/>
      <c r="AP206" s="63">
        <f t="shared" si="3"/>
        <v>1</v>
      </c>
      <c r="AQ206" s="60">
        <v>-518505.44071341841</v>
      </c>
      <c r="AR206" s="24">
        <v>-503301.42484756059</v>
      </c>
      <c r="AS206" s="24">
        <v>-488097.4089817027</v>
      </c>
      <c r="AT206" s="24">
        <v>-472893.39311584464</v>
      </c>
      <c r="AU206" s="24">
        <v>-457689.37724998675</v>
      </c>
      <c r="AV206" s="24">
        <v>-442788.34323891904</v>
      </c>
      <c r="AW206" s="24">
        <v>-447823.51527303684</v>
      </c>
      <c r="AX206" s="24">
        <v>-452858.68730715459</v>
      </c>
      <c r="AY206" s="24">
        <v>-457893.8593412725</v>
      </c>
      <c r="AZ206" s="24">
        <v>-462929.03137539048</v>
      </c>
      <c r="BA206" s="24">
        <v>-467964.20340950828</v>
      </c>
    </row>
    <row r="207" spans="39:53" ht="15.75" customHeight="1" x14ac:dyDescent="0.2">
      <c r="AM207" s="63"/>
      <c r="AN207" s="61"/>
      <c r="AO207" s="61"/>
      <c r="AP207" s="63">
        <f t="shared" si="3"/>
        <v>1</v>
      </c>
      <c r="AQ207" s="60">
        <v>-518505.44071341841</v>
      </c>
      <c r="AR207" s="24">
        <v>-503301.42484756059</v>
      </c>
      <c r="AS207" s="24">
        <v>-488097.4089817027</v>
      </c>
      <c r="AT207" s="24">
        <v>-472893.39311584464</v>
      </c>
      <c r="AU207" s="24">
        <v>-457689.37724998675</v>
      </c>
      <c r="AV207" s="24">
        <v>-442788.34323891904</v>
      </c>
      <c r="AW207" s="24">
        <v>-447823.51527303684</v>
      </c>
      <c r="AX207" s="24">
        <v>-452858.68730715459</v>
      </c>
      <c r="AY207" s="24">
        <v>-457893.8593412725</v>
      </c>
      <c r="AZ207" s="24">
        <v>-462929.03137539048</v>
      </c>
      <c r="BA207" s="24">
        <v>-467964.20340950828</v>
      </c>
    </row>
    <row r="208" spans="39:53" ht="15.75" customHeight="1" x14ac:dyDescent="0.2">
      <c r="AM208" s="63"/>
      <c r="AN208" s="61"/>
      <c r="AO208" s="61"/>
      <c r="AP208" s="63">
        <f t="shared" si="3"/>
        <v>1</v>
      </c>
      <c r="AQ208" s="60">
        <v>-518505.44071341841</v>
      </c>
      <c r="AR208" s="24">
        <v>-503301.42484756059</v>
      </c>
      <c r="AS208" s="24">
        <v>-488097.4089817027</v>
      </c>
      <c r="AT208" s="24">
        <v>-472893.39311584464</v>
      </c>
      <c r="AU208" s="24">
        <v>-457689.37724998675</v>
      </c>
      <c r="AV208" s="24">
        <v>-442788.34323891904</v>
      </c>
      <c r="AW208" s="24">
        <v>-447823.51527303684</v>
      </c>
      <c r="AX208" s="24">
        <v>-452858.68730715459</v>
      </c>
      <c r="AY208" s="24">
        <v>-457893.8593412725</v>
      </c>
      <c r="AZ208" s="24">
        <v>-462929.03137539048</v>
      </c>
      <c r="BA208" s="24">
        <v>-467964.20340950828</v>
      </c>
    </row>
    <row r="209" spans="39:53" ht="15.75" customHeight="1" x14ac:dyDescent="0.2">
      <c r="AM209" s="63"/>
      <c r="AN209" s="61"/>
      <c r="AO209" s="61"/>
      <c r="AP209" s="63">
        <f t="shared" si="3"/>
        <v>1</v>
      </c>
      <c r="AQ209" s="60">
        <v>-518505.44071341841</v>
      </c>
      <c r="AR209" s="24">
        <v>-503301.42484756059</v>
      </c>
      <c r="AS209" s="24">
        <v>-488097.4089817027</v>
      </c>
      <c r="AT209" s="24">
        <v>-472893.39311584464</v>
      </c>
      <c r="AU209" s="24">
        <v>-457689.37724998675</v>
      </c>
      <c r="AV209" s="24">
        <v>-442788.34323891904</v>
      </c>
      <c r="AW209" s="24">
        <v>-447823.51527303684</v>
      </c>
      <c r="AX209" s="24">
        <v>-452858.68730715459</v>
      </c>
      <c r="AY209" s="24">
        <v>-457893.8593412725</v>
      </c>
      <c r="AZ209" s="24">
        <v>-462929.03137539048</v>
      </c>
      <c r="BA209" s="24">
        <v>-467964.20340950828</v>
      </c>
    </row>
    <row r="210" spans="39:53" ht="15.75" customHeight="1" thickBot="1" x14ac:dyDescent="0.25">
      <c r="AM210" s="64"/>
      <c r="AN210" s="62"/>
      <c r="AO210" s="62"/>
      <c r="AP210" s="63">
        <f t="shared" si="3"/>
        <v>1</v>
      </c>
      <c r="AQ210" s="60">
        <v>-518505.44071341841</v>
      </c>
      <c r="AR210" s="24">
        <v>-503301.42484756059</v>
      </c>
      <c r="AS210" s="24">
        <v>-488097.4089817027</v>
      </c>
      <c r="AT210" s="24">
        <v>-472893.39311584464</v>
      </c>
      <c r="AU210" s="24">
        <v>-457689.37724998675</v>
      </c>
      <c r="AV210" s="24">
        <v>-442788.34323891904</v>
      </c>
      <c r="AW210" s="24">
        <v>-447823.51527303684</v>
      </c>
      <c r="AX210" s="24">
        <v>-452858.68730715459</v>
      </c>
      <c r="AY210" s="24">
        <v>-457893.8593412725</v>
      </c>
      <c r="AZ210" s="24">
        <v>-462929.03137539048</v>
      </c>
      <c r="BA210" s="24">
        <v>-467964.20340950828</v>
      </c>
    </row>
    <row r="211" spans="39:53" ht="15.75" customHeight="1" x14ac:dyDescent="0.2"/>
    <row r="212" spans="39:53" ht="15.75" customHeight="1" x14ac:dyDescent="0.2"/>
    <row r="213" spans="39:53" ht="15.75" customHeight="1" x14ac:dyDescent="0.2"/>
    <row r="214" spans="39:53" ht="15.75" customHeight="1" x14ac:dyDescent="0.2"/>
    <row r="215" spans="39:53" ht="15.75" customHeight="1" x14ac:dyDescent="0.2"/>
    <row r="216" spans="39:53" ht="15.75" customHeight="1" x14ac:dyDescent="0.2"/>
    <row r="217" spans="39:53" ht="15.75" customHeight="1" x14ac:dyDescent="0.2"/>
    <row r="218" spans="39:53" ht="15.75" customHeight="1" x14ac:dyDescent="0.2"/>
    <row r="219" spans="39:53" ht="15.75" customHeight="1" x14ac:dyDescent="0.2"/>
    <row r="220" spans="39:53" ht="15.75" customHeight="1" x14ac:dyDescent="0.2"/>
    <row r="221" spans="39:53" ht="15.75" customHeight="1" x14ac:dyDescent="0.2"/>
    <row r="222" spans="39:53" ht="15.75" customHeight="1" x14ac:dyDescent="0.2"/>
    <row r="223" spans="39:53" ht="15.75" customHeight="1" x14ac:dyDescent="0.2"/>
    <row r="224" spans="39:53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</sheetData>
  <customSheetViews>
    <customSheetView guid="{973AB2A8-DE95-674A-9660-C127AC4E49C7}" scale="80" showGridLines="0" topLeftCell="A9">
      <selection activeCell="C14" sqref="C14"/>
      <pageMargins left="0.7" right="0.7" top="0.75" bottom="0.75" header="0" footer="0"/>
      <pageSetup orientation="portrait"/>
    </customSheetView>
    <customSheetView guid="{1E5AC243-FE64-B142-BAE0-84C821C97FE3}" scale="80" showGridLines="0">
      <selection activeCell="C14" sqref="C14"/>
      <pageMargins left="0.7" right="0.7" top="0.75" bottom="0.75" header="0" footer="0"/>
      <pageSetup orientation="portrait"/>
    </customSheetView>
  </customSheetViews>
  <mergeCells count="19">
    <mergeCell ref="AL68:AL87"/>
    <mergeCell ref="AL109:AL136"/>
    <mergeCell ref="AL88:AL108"/>
    <mergeCell ref="AQ66:BB66"/>
    <mergeCell ref="AL36:AL56"/>
    <mergeCell ref="AN34:AY34"/>
    <mergeCell ref="AN21:AY21"/>
    <mergeCell ref="AL23:AL32"/>
    <mergeCell ref="AE9:AF9"/>
    <mergeCell ref="AH12:AI12"/>
    <mergeCell ref="AL13:AL19"/>
    <mergeCell ref="AN11:AW11"/>
    <mergeCell ref="AN8:AT9"/>
    <mergeCell ref="J22:J28"/>
    <mergeCell ref="K1:L1"/>
    <mergeCell ref="Q9:R9"/>
    <mergeCell ref="K9:L9"/>
    <mergeCell ref="X9:Y9"/>
    <mergeCell ref="J12:J19"/>
  </mergeCells>
  <conditionalFormatting sqref="AN13:AW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23:AY3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36:AY5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68:AP210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{9525E855-90FB-674C-AC77-3B6371C36806}</x14:id>
        </ext>
      </extLst>
    </cfRule>
  </conditionalFormatting>
  <conditionalFormatting sqref="AQ68:BA21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E7" r:id="rId1" xr:uid="{00000000-0004-0000-0000-000000000000}"/>
    <hyperlink ref="F16" r:id="rId2" xr:uid="{00000000-0004-0000-0000-000001000000}"/>
    <hyperlink ref="E17" r:id="rId3" xr:uid="{00000000-0004-0000-0000-000002000000}"/>
    <hyperlink ref="F17" r:id="rId4" xr:uid="{00000000-0004-0000-0000-000003000000}"/>
  </hyperlinks>
  <pageMargins left="0.7" right="0.7" top="0.75" bottom="0.75" header="0" footer="0"/>
  <pageSetup orientation="portrait"/>
  <drawing r:id="rId5"/>
  <legacyDrawing r:id="rId6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525E855-90FB-674C-AC77-3B6371C3680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AP68:AP210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4BFEFF9-92A9-2A40-9207-A87E8A06065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Attributes!AQ68:BA68</xm:f>
              <xm:sqref>BB68</xm:sqref>
            </x14:sparkline>
            <x14:sparkline>
              <xm:f>Attributes!AQ69:BA69</xm:f>
              <xm:sqref>BB69</xm:sqref>
            </x14:sparkline>
            <x14:sparkline>
              <xm:f>Attributes!AQ70:BA70</xm:f>
              <xm:sqref>BB70</xm:sqref>
            </x14:sparkline>
            <x14:sparkline>
              <xm:f>Attributes!AQ71:BA71</xm:f>
              <xm:sqref>BB71</xm:sqref>
            </x14:sparkline>
            <x14:sparkline>
              <xm:f>Attributes!AQ72:BA72</xm:f>
              <xm:sqref>BB72</xm:sqref>
            </x14:sparkline>
            <x14:sparkline>
              <xm:f>Attributes!AQ73:BA73</xm:f>
              <xm:sqref>BB73</xm:sqref>
            </x14:sparkline>
            <x14:sparkline>
              <xm:f>Attributes!AQ74:BA74</xm:f>
              <xm:sqref>BB74</xm:sqref>
            </x14:sparkline>
            <x14:sparkline>
              <xm:f>Attributes!AQ75:BA75</xm:f>
              <xm:sqref>BB75</xm:sqref>
            </x14:sparkline>
            <x14:sparkline>
              <xm:f>Attributes!AQ76:BA76</xm:f>
              <xm:sqref>BB76</xm:sqref>
            </x14:sparkline>
            <x14:sparkline>
              <xm:f>Attributes!AQ77:BA77</xm:f>
              <xm:sqref>BB77</xm:sqref>
            </x14:sparkline>
            <x14:sparkline>
              <xm:f>Attributes!AQ78:BA78</xm:f>
              <xm:sqref>BB78</xm:sqref>
            </x14:sparkline>
            <x14:sparkline>
              <xm:f>Attributes!AQ79:BA79</xm:f>
              <xm:sqref>BB79</xm:sqref>
            </x14:sparkline>
            <x14:sparkline>
              <xm:f>Attributes!AQ80:BA80</xm:f>
              <xm:sqref>BB80</xm:sqref>
            </x14:sparkline>
            <x14:sparkline>
              <xm:f>Attributes!AQ81:BA81</xm:f>
              <xm:sqref>BB81</xm:sqref>
            </x14:sparkline>
            <x14:sparkline>
              <xm:f>Attributes!AQ82:BA82</xm:f>
              <xm:sqref>BB82</xm:sqref>
            </x14:sparkline>
            <x14:sparkline>
              <xm:f>Attributes!AQ83:BA83</xm:f>
              <xm:sqref>BB83</xm:sqref>
            </x14:sparkline>
            <x14:sparkline>
              <xm:f>Attributes!AQ84:BA84</xm:f>
              <xm:sqref>BB84</xm:sqref>
            </x14:sparkline>
            <x14:sparkline>
              <xm:f>Attributes!AQ85:BA85</xm:f>
              <xm:sqref>BB85</xm:sqref>
            </x14:sparkline>
            <x14:sparkline>
              <xm:f>Attributes!AQ86:BA86</xm:f>
              <xm:sqref>BB86</xm:sqref>
            </x14:sparkline>
            <x14:sparkline>
              <xm:f>Attributes!AQ87:BA87</xm:f>
              <xm:sqref>BB87</xm:sqref>
            </x14:sparkline>
            <x14:sparkline>
              <xm:f>Attributes!AQ88:BA88</xm:f>
              <xm:sqref>BB88</xm:sqref>
            </x14:sparkline>
            <x14:sparkline>
              <xm:f>Attributes!AQ89:BA89</xm:f>
              <xm:sqref>BB89</xm:sqref>
            </x14:sparkline>
            <x14:sparkline>
              <xm:f>Attributes!AQ90:BA90</xm:f>
              <xm:sqref>BB90</xm:sqref>
            </x14:sparkline>
            <x14:sparkline>
              <xm:f>Attributes!AQ91:BA91</xm:f>
              <xm:sqref>BB91</xm:sqref>
            </x14:sparkline>
            <x14:sparkline>
              <xm:f>Attributes!AQ92:BA92</xm:f>
              <xm:sqref>BB92</xm:sqref>
            </x14:sparkline>
            <x14:sparkline>
              <xm:f>Attributes!AQ93:BA93</xm:f>
              <xm:sqref>BB93</xm:sqref>
            </x14:sparkline>
            <x14:sparkline>
              <xm:f>Attributes!AQ94:BA94</xm:f>
              <xm:sqref>BB94</xm:sqref>
            </x14:sparkline>
            <x14:sparkline>
              <xm:f>Attributes!AQ95:BA95</xm:f>
              <xm:sqref>BB95</xm:sqref>
            </x14:sparkline>
            <x14:sparkline>
              <xm:f>Attributes!AQ96:BA96</xm:f>
              <xm:sqref>BB96</xm:sqref>
            </x14:sparkline>
            <x14:sparkline>
              <xm:f>Attributes!AQ97:BA97</xm:f>
              <xm:sqref>BB97</xm:sqref>
            </x14:sparkline>
            <x14:sparkline>
              <xm:f>Attributes!AQ98:BA98</xm:f>
              <xm:sqref>BB98</xm:sqref>
            </x14:sparkline>
            <x14:sparkline>
              <xm:f>Attributes!AQ99:BA99</xm:f>
              <xm:sqref>BB99</xm:sqref>
            </x14:sparkline>
            <x14:sparkline>
              <xm:f>Attributes!AQ100:BA100</xm:f>
              <xm:sqref>BB100</xm:sqref>
            </x14:sparkline>
            <x14:sparkline>
              <xm:f>Attributes!AQ101:BA101</xm:f>
              <xm:sqref>BB101</xm:sqref>
            </x14:sparkline>
            <x14:sparkline>
              <xm:f>Attributes!AQ102:BA102</xm:f>
              <xm:sqref>BB102</xm:sqref>
            </x14:sparkline>
            <x14:sparkline>
              <xm:f>Attributes!AQ103:BA103</xm:f>
              <xm:sqref>BB103</xm:sqref>
            </x14:sparkline>
            <x14:sparkline>
              <xm:f>Attributes!AQ104:BA104</xm:f>
              <xm:sqref>BB104</xm:sqref>
            </x14:sparkline>
            <x14:sparkline>
              <xm:f>Attributes!AQ105:BA105</xm:f>
              <xm:sqref>BB105</xm:sqref>
            </x14:sparkline>
            <x14:sparkline>
              <xm:f>Attributes!AQ106:BA106</xm:f>
              <xm:sqref>BB106</xm:sqref>
            </x14:sparkline>
            <x14:sparkline>
              <xm:f>Attributes!AQ107:BA107</xm:f>
              <xm:sqref>BB107</xm:sqref>
            </x14:sparkline>
            <x14:sparkline>
              <xm:f>Attributes!AQ108:BA108</xm:f>
              <xm:sqref>BB108</xm:sqref>
            </x14:sparkline>
            <x14:sparkline>
              <xm:f>Attributes!AQ109:BA109</xm:f>
              <xm:sqref>BB109</xm:sqref>
            </x14:sparkline>
            <x14:sparkline>
              <xm:f>Attributes!AQ110:BA110</xm:f>
              <xm:sqref>BB110</xm:sqref>
            </x14:sparkline>
            <x14:sparkline>
              <xm:f>Attributes!AQ111:BA111</xm:f>
              <xm:sqref>BB111</xm:sqref>
            </x14:sparkline>
            <x14:sparkline>
              <xm:f>Attributes!AQ112:BA112</xm:f>
              <xm:sqref>BB112</xm:sqref>
            </x14:sparkline>
            <x14:sparkline>
              <xm:f>Attributes!AQ113:BA113</xm:f>
              <xm:sqref>BB113</xm:sqref>
            </x14:sparkline>
            <x14:sparkline>
              <xm:f>Attributes!AQ114:BA114</xm:f>
              <xm:sqref>BB114</xm:sqref>
            </x14:sparkline>
            <x14:sparkline>
              <xm:f>Attributes!AQ115:BA115</xm:f>
              <xm:sqref>BB115</xm:sqref>
            </x14:sparkline>
            <x14:sparkline>
              <xm:f>Attributes!AQ116:BA116</xm:f>
              <xm:sqref>BB116</xm:sqref>
            </x14:sparkline>
            <x14:sparkline>
              <xm:f>Attributes!AQ117:BA117</xm:f>
              <xm:sqref>BB117</xm:sqref>
            </x14:sparkline>
            <x14:sparkline>
              <xm:f>Attributes!AQ118:BA118</xm:f>
              <xm:sqref>BB118</xm:sqref>
            </x14:sparkline>
            <x14:sparkline>
              <xm:f>Attributes!AQ119:BA119</xm:f>
              <xm:sqref>BB119</xm:sqref>
            </x14:sparkline>
            <x14:sparkline>
              <xm:f>Attributes!AQ120:BA120</xm:f>
              <xm:sqref>BB120</xm:sqref>
            </x14:sparkline>
            <x14:sparkline>
              <xm:f>Attributes!AQ121:BA121</xm:f>
              <xm:sqref>BB121</xm:sqref>
            </x14:sparkline>
            <x14:sparkline>
              <xm:f>Attributes!AQ122:BA122</xm:f>
              <xm:sqref>BB122</xm:sqref>
            </x14:sparkline>
            <x14:sparkline>
              <xm:f>Attributes!AQ123:BA123</xm:f>
              <xm:sqref>BB123</xm:sqref>
            </x14:sparkline>
            <x14:sparkline>
              <xm:f>Attributes!AQ124:BA124</xm:f>
              <xm:sqref>BB124</xm:sqref>
            </x14:sparkline>
            <x14:sparkline>
              <xm:f>Attributes!AQ125:BA125</xm:f>
              <xm:sqref>BB125</xm:sqref>
            </x14:sparkline>
            <x14:sparkline>
              <xm:f>Attributes!AQ126:BA126</xm:f>
              <xm:sqref>BB126</xm:sqref>
            </x14:sparkline>
            <x14:sparkline>
              <xm:f>Attributes!AQ127:BA127</xm:f>
              <xm:sqref>BB127</xm:sqref>
            </x14:sparkline>
            <x14:sparkline>
              <xm:f>Attributes!AQ128:BA128</xm:f>
              <xm:sqref>BB128</xm:sqref>
            </x14:sparkline>
            <x14:sparkline>
              <xm:f>Attributes!AQ129:BA129</xm:f>
              <xm:sqref>BB129</xm:sqref>
            </x14:sparkline>
            <x14:sparkline>
              <xm:f>Attributes!AQ130:BA130</xm:f>
              <xm:sqref>BB130</xm:sqref>
            </x14:sparkline>
            <x14:sparkline>
              <xm:f>Attributes!AQ131:BA131</xm:f>
              <xm:sqref>BB131</xm:sqref>
            </x14:sparkline>
            <x14:sparkline>
              <xm:f>Attributes!AQ132:BA132</xm:f>
              <xm:sqref>BB132</xm:sqref>
            </x14:sparkline>
            <x14:sparkline>
              <xm:f>Attributes!AQ133:BA133</xm:f>
              <xm:sqref>BB133</xm:sqref>
            </x14:sparkline>
            <x14:sparkline>
              <xm:f>Attributes!AQ134:BA134</xm:f>
              <xm:sqref>BB134</xm:sqref>
            </x14:sparkline>
            <x14:sparkline>
              <xm:f>Attributes!AQ135:BA135</xm:f>
              <xm:sqref>BB135</xm:sqref>
            </x14:sparkline>
            <x14:sparkline>
              <xm:f>Attributes!AQ136:BA136</xm:f>
              <xm:sqref>BB136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"/>
  <sheetViews>
    <sheetView tabSelected="1" zoomScale="89" workbookViewId="0">
      <selection activeCell="G20" sqref="G20"/>
    </sheetView>
  </sheetViews>
  <sheetFormatPr baseColWidth="10" defaultColWidth="14.5" defaultRowHeight="15" customHeight="1" x14ac:dyDescent="0.2"/>
  <cols>
    <col min="1" max="1" width="22.1640625" customWidth="1"/>
    <col min="2" max="2" width="13.83203125" customWidth="1"/>
    <col min="3" max="3" width="11.6640625" customWidth="1"/>
    <col min="4" max="4" width="11.83203125" customWidth="1"/>
    <col min="5" max="5" width="12" customWidth="1"/>
    <col min="6" max="13" width="11.5" customWidth="1"/>
    <col min="14" max="14" width="14.33203125" customWidth="1"/>
    <col min="15" max="26" width="11.5" customWidth="1"/>
  </cols>
  <sheetData>
    <row r="1" spans="1:14" ht="21" x14ac:dyDescent="0.25">
      <c r="A1" s="17" t="s">
        <v>76</v>
      </c>
    </row>
    <row r="2" spans="1:14" ht="21" x14ac:dyDescent="0.25">
      <c r="A2" s="17"/>
    </row>
    <row r="3" spans="1:14" ht="19" x14ac:dyDescent="0.25">
      <c r="A3" s="1" t="s">
        <v>77</v>
      </c>
      <c r="B3" s="2"/>
      <c r="C3" s="2" t="s">
        <v>78</v>
      </c>
      <c r="D3" s="2"/>
      <c r="E3" s="2"/>
      <c r="F3" s="2"/>
      <c r="G3" s="2"/>
      <c r="H3" s="2"/>
      <c r="I3" s="2"/>
      <c r="J3" s="2"/>
      <c r="K3" s="2"/>
      <c r="L3" s="2"/>
    </row>
    <row r="4" spans="1:14" x14ac:dyDescent="0.2">
      <c r="B4" s="2">
        <v>0</v>
      </c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  <c r="K4" s="2">
        <v>9</v>
      </c>
      <c r="L4" s="2">
        <v>10</v>
      </c>
    </row>
    <row r="5" spans="1:14" ht="16" x14ac:dyDescent="0.2">
      <c r="A5" s="2" t="s">
        <v>79</v>
      </c>
      <c r="C5" s="18">
        <f>B12</f>
        <v>200</v>
      </c>
      <c r="D5" s="19">
        <f t="shared" ref="D5:L5" si="0">C12</f>
        <v>334</v>
      </c>
      <c r="E5" s="19">
        <f t="shared" si="0"/>
        <v>500</v>
      </c>
      <c r="F5" s="19">
        <f t="shared" si="0"/>
        <v>500</v>
      </c>
      <c r="G5" s="19">
        <f t="shared" si="0"/>
        <v>500</v>
      </c>
      <c r="H5" s="19">
        <f t="shared" si="0"/>
        <v>500</v>
      </c>
      <c r="I5" s="19">
        <f t="shared" si="0"/>
        <v>500</v>
      </c>
      <c r="J5" s="19">
        <f t="shared" si="0"/>
        <v>500</v>
      </c>
      <c r="K5" s="19">
        <f t="shared" si="0"/>
        <v>500</v>
      </c>
      <c r="L5" s="19">
        <f t="shared" si="0"/>
        <v>500</v>
      </c>
      <c r="N5" s="28"/>
    </row>
    <row r="6" spans="1:14" ht="16" x14ac:dyDescent="0.2">
      <c r="A6" s="28" t="s">
        <v>80</v>
      </c>
      <c r="C6" s="20">
        <f t="shared" ref="C6:L6" si="1">C5*repro/2</f>
        <v>180</v>
      </c>
      <c r="D6" s="20">
        <f t="shared" si="1"/>
        <v>300.60000000000002</v>
      </c>
      <c r="E6" s="20">
        <f t="shared" si="1"/>
        <v>450</v>
      </c>
      <c r="F6" s="20">
        <f t="shared" si="1"/>
        <v>450</v>
      </c>
      <c r="G6" s="20">
        <f t="shared" si="1"/>
        <v>450</v>
      </c>
      <c r="H6" s="20">
        <f t="shared" si="1"/>
        <v>450</v>
      </c>
      <c r="I6" s="20">
        <f t="shared" si="1"/>
        <v>450</v>
      </c>
      <c r="J6" s="20">
        <f t="shared" si="1"/>
        <v>450</v>
      </c>
      <c r="K6" s="20">
        <f t="shared" si="1"/>
        <v>450</v>
      </c>
      <c r="L6" s="20">
        <f t="shared" si="1"/>
        <v>450</v>
      </c>
      <c r="N6" s="28"/>
    </row>
    <row r="7" spans="1:14" ht="16" x14ac:dyDescent="0.2">
      <c r="A7" s="103" t="s">
        <v>81</v>
      </c>
      <c r="C7" s="20">
        <f t="shared" ref="C7:L7" si="2">C5*repro/2</f>
        <v>180</v>
      </c>
      <c r="D7" s="20">
        <f t="shared" si="2"/>
        <v>300.60000000000002</v>
      </c>
      <c r="E7" s="20">
        <f t="shared" si="2"/>
        <v>450</v>
      </c>
      <c r="F7" s="20">
        <f t="shared" si="2"/>
        <v>450</v>
      </c>
      <c r="G7" s="20">
        <f t="shared" si="2"/>
        <v>450</v>
      </c>
      <c r="H7" s="20">
        <f t="shared" si="2"/>
        <v>450</v>
      </c>
      <c r="I7" s="20">
        <f t="shared" si="2"/>
        <v>450</v>
      </c>
      <c r="J7" s="20">
        <f t="shared" si="2"/>
        <v>450</v>
      </c>
      <c r="K7" s="20">
        <f t="shared" si="2"/>
        <v>450</v>
      </c>
      <c r="L7" s="20">
        <f t="shared" si="2"/>
        <v>450</v>
      </c>
      <c r="N7" s="28"/>
    </row>
    <row r="8" spans="1:14" ht="16" x14ac:dyDescent="0.2">
      <c r="A8" s="28" t="s">
        <v>82</v>
      </c>
      <c r="C8" s="20">
        <f t="shared" ref="C8:L8" si="3">C5*death</f>
        <v>6</v>
      </c>
      <c r="D8" s="20">
        <f t="shared" si="3"/>
        <v>10.02</v>
      </c>
      <c r="E8" s="20">
        <f t="shared" si="3"/>
        <v>15</v>
      </c>
      <c r="F8" s="20">
        <f t="shared" si="3"/>
        <v>15</v>
      </c>
      <c r="G8" s="20">
        <f t="shared" si="3"/>
        <v>15</v>
      </c>
      <c r="H8" s="20">
        <f t="shared" si="3"/>
        <v>15</v>
      </c>
      <c r="I8" s="20">
        <f t="shared" si="3"/>
        <v>15</v>
      </c>
      <c r="J8" s="20">
        <f t="shared" si="3"/>
        <v>15</v>
      </c>
      <c r="K8" s="20">
        <f t="shared" si="3"/>
        <v>15</v>
      </c>
      <c r="L8" s="20">
        <f t="shared" si="3"/>
        <v>15</v>
      </c>
    </row>
    <row r="9" spans="1:14" ht="16" x14ac:dyDescent="0.2">
      <c r="A9" s="28" t="s">
        <v>83</v>
      </c>
      <c r="C9" s="20">
        <f t="shared" ref="C9:L9" si="4">cull*C5</f>
        <v>40</v>
      </c>
      <c r="D9" s="20">
        <f t="shared" si="4"/>
        <v>66.8</v>
      </c>
      <c r="E9" s="20">
        <f t="shared" si="4"/>
        <v>100</v>
      </c>
      <c r="F9" s="20">
        <f t="shared" si="4"/>
        <v>100</v>
      </c>
      <c r="G9" s="20">
        <f t="shared" si="4"/>
        <v>100</v>
      </c>
      <c r="H9" s="20">
        <f t="shared" si="4"/>
        <v>100</v>
      </c>
      <c r="I9" s="20">
        <f t="shared" si="4"/>
        <v>100</v>
      </c>
      <c r="J9" s="20">
        <f t="shared" si="4"/>
        <v>100</v>
      </c>
      <c r="K9" s="20">
        <f t="shared" si="4"/>
        <v>100</v>
      </c>
      <c r="L9" s="20">
        <f t="shared" si="4"/>
        <v>100</v>
      </c>
    </row>
    <row r="10" spans="1:14" ht="16" x14ac:dyDescent="0.2">
      <c r="A10" s="28" t="s">
        <v>84</v>
      </c>
      <c r="C10" s="20">
        <f t="shared" ref="C10:L10" si="5">C8+C9</f>
        <v>46</v>
      </c>
      <c r="D10" s="20">
        <f t="shared" si="5"/>
        <v>76.819999999999993</v>
      </c>
      <c r="E10" s="20">
        <f t="shared" si="5"/>
        <v>115</v>
      </c>
      <c r="F10" s="20">
        <f t="shared" si="5"/>
        <v>115</v>
      </c>
      <c r="G10" s="20">
        <f t="shared" si="5"/>
        <v>115</v>
      </c>
      <c r="H10" s="20">
        <f t="shared" si="5"/>
        <v>115</v>
      </c>
      <c r="I10" s="20">
        <f t="shared" si="5"/>
        <v>115</v>
      </c>
      <c r="J10" s="20">
        <f t="shared" si="5"/>
        <v>115</v>
      </c>
      <c r="K10" s="20">
        <f t="shared" si="5"/>
        <v>115</v>
      </c>
      <c r="L10" s="20">
        <f t="shared" si="5"/>
        <v>115</v>
      </c>
    </row>
    <row r="11" spans="1:14" ht="16" x14ac:dyDescent="0.2">
      <c r="A11" s="103" t="s">
        <v>85</v>
      </c>
      <c r="C11" s="20">
        <f t="shared" ref="C11:L11" si="6">MAX(0,C5+C6-C10-maxflock)</f>
        <v>0</v>
      </c>
      <c r="D11" s="20">
        <f t="shared" si="6"/>
        <v>57.779999999999973</v>
      </c>
      <c r="E11" s="20">
        <f t="shared" si="6"/>
        <v>335</v>
      </c>
      <c r="F11" s="20">
        <f t="shared" si="6"/>
        <v>335</v>
      </c>
      <c r="G11" s="20">
        <f t="shared" si="6"/>
        <v>335</v>
      </c>
      <c r="H11" s="20">
        <f t="shared" si="6"/>
        <v>335</v>
      </c>
      <c r="I11" s="20">
        <f t="shared" si="6"/>
        <v>335</v>
      </c>
      <c r="J11" s="20">
        <f t="shared" si="6"/>
        <v>335</v>
      </c>
      <c r="K11" s="20">
        <f t="shared" si="6"/>
        <v>335</v>
      </c>
      <c r="L11" s="20">
        <f t="shared" si="6"/>
        <v>335</v>
      </c>
    </row>
    <row r="12" spans="1:14" ht="16" x14ac:dyDescent="0.2">
      <c r="A12" s="2" t="s">
        <v>86</v>
      </c>
      <c r="B12" s="18">
        <f>beginFlock+Attributes!AI13</f>
        <v>200</v>
      </c>
      <c r="C12" s="21">
        <f t="shared" ref="C12:L12" si="7">C5*growthRate-C11</f>
        <v>334</v>
      </c>
      <c r="D12" s="21">
        <f t="shared" si="7"/>
        <v>500</v>
      </c>
      <c r="E12" s="21">
        <f t="shared" si="7"/>
        <v>500</v>
      </c>
      <c r="F12" s="21">
        <f t="shared" si="7"/>
        <v>500</v>
      </c>
      <c r="G12" s="21">
        <f t="shared" si="7"/>
        <v>500</v>
      </c>
      <c r="H12" s="21">
        <f t="shared" si="7"/>
        <v>500</v>
      </c>
      <c r="I12" s="21">
        <f t="shared" si="7"/>
        <v>500</v>
      </c>
      <c r="J12" s="21">
        <f t="shared" si="7"/>
        <v>500</v>
      </c>
      <c r="K12" s="21">
        <f t="shared" si="7"/>
        <v>500</v>
      </c>
      <c r="L12" s="21">
        <f t="shared" si="7"/>
        <v>500</v>
      </c>
    </row>
    <row r="14" spans="1:14" ht="19" x14ac:dyDescent="0.25">
      <c r="A14" s="1" t="s">
        <v>87</v>
      </c>
      <c r="B14" s="2"/>
      <c r="C14" s="2" t="s">
        <v>78</v>
      </c>
      <c r="D14" s="2"/>
      <c r="E14" s="2"/>
      <c r="F14" s="2"/>
      <c r="G14" s="2"/>
      <c r="H14" s="2"/>
      <c r="I14" s="2"/>
      <c r="J14" s="2"/>
      <c r="K14" s="2"/>
      <c r="L14" s="2"/>
    </row>
    <row r="15" spans="1:14" x14ac:dyDescent="0.2">
      <c r="B15" s="2" t="s">
        <v>88</v>
      </c>
      <c r="C15" s="2">
        <v>1</v>
      </c>
      <c r="D15" s="2">
        <v>2</v>
      </c>
      <c r="E15" s="2">
        <v>3</v>
      </c>
      <c r="F15" s="2">
        <v>4</v>
      </c>
      <c r="G15" s="2">
        <v>5</v>
      </c>
      <c r="H15" s="2">
        <v>6</v>
      </c>
      <c r="I15" s="2">
        <v>7</v>
      </c>
      <c r="J15" s="2">
        <v>8</v>
      </c>
      <c r="K15" s="2">
        <v>9</v>
      </c>
      <c r="L15" s="2">
        <v>10</v>
      </c>
    </row>
    <row r="16" spans="1:14" ht="16" x14ac:dyDescent="0.2">
      <c r="A16" s="99" t="s">
        <v>53</v>
      </c>
      <c r="B16" s="22">
        <f>Attributes!C39</f>
        <v>400</v>
      </c>
      <c r="C16" s="15">
        <f>acres*Analysis!$B16</f>
        <v>40000</v>
      </c>
      <c r="D16" s="15">
        <f>acres*Analysis!$B16</f>
        <v>40000</v>
      </c>
      <c r="E16" s="15">
        <f>acres*Analysis!$B16</f>
        <v>40000</v>
      </c>
      <c r="F16" s="15">
        <f>acres*Analysis!$B16</f>
        <v>40000</v>
      </c>
      <c r="G16" s="15">
        <f>acres*Analysis!$B16</f>
        <v>40000</v>
      </c>
      <c r="H16" s="15">
        <f>acres*Analysis!$B16</f>
        <v>40000</v>
      </c>
      <c r="I16" s="15">
        <f>acres*Analysis!$B16</f>
        <v>40000</v>
      </c>
      <c r="J16" s="15">
        <f>acres*Analysis!$B16</f>
        <v>40000</v>
      </c>
      <c r="K16" s="15">
        <f>acres*Analysis!$B16</f>
        <v>40000</v>
      </c>
      <c r="L16" s="15">
        <f>acres*Analysis!$B16</f>
        <v>40000</v>
      </c>
    </row>
    <row r="17" spans="1:12" ht="16" x14ac:dyDescent="0.2">
      <c r="A17" s="99" t="s">
        <v>89</v>
      </c>
      <c r="B17" s="22">
        <f>Attributes!D39</f>
        <v>150</v>
      </c>
      <c r="C17" s="15">
        <f t="shared" ref="C17:L17" si="8">$B17*(C5+C12)/2</f>
        <v>40050</v>
      </c>
      <c r="D17" s="15">
        <f t="shared" si="8"/>
        <v>62550</v>
      </c>
      <c r="E17" s="15">
        <f>$B17*(E5+E12)/2</f>
        <v>75000</v>
      </c>
      <c r="F17" s="15">
        <f t="shared" si="8"/>
        <v>75000</v>
      </c>
      <c r="G17" s="15">
        <f t="shared" si="8"/>
        <v>75000</v>
      </c>
      <c r="H17" s="15">
        <f t="shared" si="8"/>
        <v>75000</v>
      </c>
      <c r="I17" s="15">
        <f t="shared" si="8"/>
        <v>75000</v>
      </c>
      <c r="J17" s="15">
        <f t="shared" si="8"/>
        <v>75000</v>
      </c>
      <c r="K17" s="15">
        <f t="shared" si="8"/>
        <v>75000</v>
      </c>
      <c r="L17" s="15">
        <f t="shared" si="8"/>
        <v>75000</v>
      </c>
    </row>
    <row r="18" spans="1:12" ht="16" x14ac:dyDescent="0.2">
      <c r="A18" s="28" t="s">
        <v>90</v>
      </c>
      <c r="B18" s="22">
        <f>Attributes!E39</f>
        <v>70000</v>
      </c>
      <c r="C18" s="31">
        <f t="shared" ref="C18:L18" si="9">B18</f>
        <v>70000</v>
      </c>
      <c r="D18" s="31">
        <f t="shared" si="9"/>
        <v>70000</v>
      </c>
      <c r="E18" s="31">
        <f t="shared" si="9"/>
        <v>70000</v>
      </c>
      <c r="F18" s="31">
        <f t="shared" si="9"/>
        <v>70000</v>
      </c>
      <c r="G18" s="31">
        <f t="shared" si="9"/>
        <v>70000</v>
      </c>
      <c r="H18" s="31">
        <f t="shared" si="9"/>
        <v>70000</v>
      </c>
      <c r="I18" s="31">
        <f t="shared" si="9"/>
        <v>70000</v>
      </c>
      <c r="J18" s="31">
        <f t="shared" si="9"/>
        <v>70000</v>
      </c>
      <c r="K18" s="31">
        <f t="shared" si="9"/>
        <v>70000</v>
      </c>
      <c r="L18" s="31">
        <f t="shared" si="9"/>
        <v>70000</v>
      </c>
    </row>
    <row r="19" spans="1:12" ht="16" x14ac:dyDescent="0.2">
      <c r="A19" s="28" t="s">
        <v>91</v>
      </c>
      <c r="B19" s="23"/>
      <c r="C19" s="33">
        <f>- IF(C15&lt;=loanYears,PMT(intRate,loanYears,Attributes!AI14),0)</f>
        <v>6489.4615868702949</v>
      </c>
      <c r="D19" s="33">
        <f>- IF(D15&lt;=loanYears,PMT(intRate,loanYears,Attributes!$AI$14),0)</f>
        <v>6489.4615868702949</v>
      </c>
      <c r="E19" s="33">
        <f>- IF(E15&lt;=loanYears,PMT(intRate,loanYears,Attributes!$AI$14),0)</f>
        <v>6489.4615868702949</v>
      </c>
      <c r="F19" s="33">
        <f>- IF(F15&lt;=loanYears,PMT(intRate,loanYears,Attributes!$AI$14),0)</f>
        <v>6489.4615868702949</v>
      </c>
      <c r="G19" s="33">
        <f>- IF(G15&lt;=loanYears,PMT(intRate,loanYears,Attributes!$AI$14),0)</f>
        <v>6489.4615868702949</v>
      </c>
      <c r="H19" s="33">
        <f>- IF(H15&lt;=loanYears,PMT(intRate,loanYears,Attributes!$AI$14),0)</f>
        <v>6489.4615868702949</v>
      </c>
      <c r="I19" s="33">
        <f>- IF(I15&lt;=loanYears,PMT(intRate,loanYears,Attributes!$AI$14),0)</f>
        <v>0</v>
      </c>
      <c r="J19" s="33">
        <f>- IF(J15&lt;=loanYears,PMT(intRate,loanYears,Attributes!$AI$14),0)</f>
        <v>0</v>
      </c>
      <c r="K19" s="33">
        <f>- IF(K15&lt;=loanYears,PMT(intRate,loanYears,Attributes!$AI$14),0)</f>
        <v>0</v>
      </c>
      <c r="L19" s="33">
        <f>- IF(L15&lt;=loanYears,PMT(intRate,loanYears,Attributes!$AI$14),0)</f>
        <v>0</v>
      </c>
    </row>
    <row r="20" spans="1:12" ht="16" x14ac:dyDescent="0.2">
      <c r="A20" s="28" t="s">
        <v>68</v>
      </c>
      <c r="B20" s="7"/>
      <c r="C20" s="32">
        <f t="shared" ref="C20:L20" si="10">SUM(C16:C19)</f>
        <v>156539.46158687028</v>
      </c>
      <c r="D20" s="32">
        <f t="shared" si="10"/>
        <v>179039.46158687028</v>
      </c>
      <c r="E20" s="32">
        <f t="shared" si="10"/>
        <v>191489.46158687028</v>
      </c>
      <c r="F20" s="32">
        <f t="shared" si="10"/>
        <v>191489.46158687028</v>
      </c>
      <c r="G20" s="32">
        <f t="shared" si="10"/>
        <v>191489.46158687028</v>
      </c>
      <c r="H20" s="32">
        <f t="shared" si="10"/>
        <v>191489.46158687028</v>
      </c>
      <c r="I20" s="32">
        <f t="shared" si="10"/>
        <v>185000</v>
      </c>
      <c r="J20" s="32">
        <f t="shared" si="10"/>
        <v>185000</v>
      </c>
      <c r="K20" s="32">
        <f t="shared" si="10"/>
        <v>185000</v>
      </c>
      <c r="L20" s="32">
        <f t="shared" si="10"/>
        <v>185000</v>
      </c>
    </row>
    <row r="21" spans="1:12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ht="15.75" customHeight="1" x14ac:dyDescent="0.25">
      <c r="A22" s="1" t="s">
        <v>92</v>
      </c>
      <c r="B22" s="2"/>
      <c r="C22" s="2" t="s">
        <v>78</v>
      </c>
      <c r="D22" s="2"/>
      <c r="E22" s="2"/>
      <c r="F22" s="2"/>
      <c r="G22" s="2"/>
      <c r="H22" s="2"/>
      <c r="I22" s="2"/>
      <c r="J22" s="2"/>
      <c r="K22" s="2"/>
      <c r="L22" s="2"/>
    </row>
    <row r="23" spans="1:12" ht="15.75" customHeight="1" x14ac:dyDescent="0.2">
      <c r="B23" s="2" t="s">
        <v>93</v>
      </c>
      <c r="C23" s="2">
        <v>1</v>
      </c>
      <c r="D23" s="2">
        <v>2</v>
      </c>
      <c r="E23" s="2">
        <v>3</v>
      </c>
      <c r="F23" s="2">
        <v>4</v>
      </c>
      <c r="G23" s="2">
        <v>5</v>
      </c>
      <c r="H23" s="2">
        <v>6</v>
      </c>
      <c r="I23" s="2">
        <v>7</v>
      </c>
      <c r="J23" s="2">
        <v>8</v>
      </c>
      <c r="K23" s="2">
        <v>9</v>
      </c>
      <c r="L23" s="2">
        <v>10</v>
      </c>
    </row>
    <row r="24" spans="1:12" ht="15.75" customHeight="1" x14ac:dyDescent="0.2">
      <c r="A24" s="28" t="s">
        <v>94</v>
      </c>
      <c r="C24" s="15">
        <f t="shared" ref="C24:L24" si="11">acres*revperacre</f>
        <v>38000</v>
      </c>
      <c r="D24" s="15">
        <f t="shared" si="11"/>
        <v>38000</v>
      </c>
      <c r="E24" s="15">
        <f t="shared" si="11"/>
        <v>38000</v>
      </c>
      <c r="F24" s="15">
        <f t="shared" si="11"/>
        <v>38000</v>
      </c>
      <c r="G24" s="15">
        <f t="shared" si="11"/>
        <v>38000</v>
      </c>
      <c r="H24" s="15">
        <f t="shared" si="11"/>
        <v>38000</v>
      </c>
      <c r="I24" s="15">
        <f t="shared" si="11"/>
        <v>38000</v>
      </c>
      <c r="J24" s="15">
        <f t="shared" si="11"/>
        <v>38000</v>
      </c>
      <c r="K24" s="15">
        <f t="shared" si="11"/>
        <v>38000</v>
      </c>
      <c r="L24" s="15">
        <f t="shared" si="11"/>
        <v>38000</v>
      </c>
    </row>
    <row r="25" spans="1:12" ht="15.75" customHeight="1" x14ac:dyDescent="0.2">
      <c r="A25" s="103" t="s">
        <v>95</v>
      </c>
      <c r="C25" s="15">
        <f t="shared" ref="C25:L25" si="12">revRamLamb*C7</f>
        <v>45000</v>
      </c>
      <c r="D25" s="15">
        <f>revRamLamb*D7</f>
        <v>75150</v>
      </c>
      <c r="E25" s="15">
        <f t="shared" si="12"/>
        <v>112500</v>
      </c>
      <c r="F25" s="15">
        <f t="shared" si="12"/>
        <v>112500</v>
      </c>
      <c r="G25" s="15">
        <f t="shared" si="12"/>
        <v>112500</v>
      </c>
      <c r="H25" s="15">
        <f t="shared" si="12"/>
        <v>112500</v>
      </c>
      <c r="I25" s="15">
        <f t="shared" si="12"/>
        <v>112500</v>
      </c>
      <c r="J25" s="15">
        <f t="shared" si="12"/>
        <v>112500</v>
      </c>
      <c r="K25" s="15">
        <f t="shared" si="12"/>
        <v>112500</v>
      </c>
      <c r="L25" s="15">
        <f t="shared" si="12"/>
        <v>112500</v>
      </c>
    </row>
    <row r="26" spans="1:12" ht="15.75" customHeight="1" x14ac:dyDescent="0.2">
      <c r="A26" s="28" t="s">
        <v>96</v>
      </c>
      <c r="C26" s="15">
        <f t="shared" ref="C26:L26" si="13">revCull*C9</f>
        <v>4000</v>
      </c>
      <c r="D26" s="15">
        <f t="shared" si="13"/>
        <v>6680</v>
      </c>
      <c r="E26" s="15">
        <f t="shared" si="13"/>
        <v>10000</v>
      </c>
      <c r="F26" s="15">
        <f t="shared" si="13"/>
        <v>10000</v>
      </c>
      <c r="G26" s="15">
        <f t="shared" si="13"/>
        <v>10000</v>
      </c>
      <c r="H26" s="15">
        <f t="shared" si="13"/>
        <v>10000</v>
      </c>
      <c r="I26" s="15">
        <f t="shared" si="13"/>
        <v>10000</v>
      </c>
      <c r="J26" s="15">
        <f t="shared" si="13"/>
        <v>10000</v>
      </c>
      <c r="K26" s="15">
        <f t="shared" si="13"/>
        <v>10000</v>
      </c>
      <c r="L26" s="15">
        <f t="shared" si="13"/>
        <v>10000</v>
      </c>
    </row>
    <row r="27" spans="1:12" ht="15.75" customHeight="1" x14ac:dyDescent="0.2">
      <c r="A27" s="103" t="s">
        <v>97</v>
      </c>
      <c r="C27" s="15">
        <f t="shared" ref="C27:L27" si="14">revEweLamb*C11</f>
        <v>0</v>
      </c>
      <c r="D27" s="15">
        <f t="shared" si="14"/>
        <v>14444.999999999993</v>
      </c>
      <c r="E27" s="15">
        <f t="shared" si="14"/>
        <v>83750</v>
      </c>
      <c r="F27" s="15">
        <f t="shared" si="14"/>
        <v>83750</v>
      </c>
      <c r="G27" s="15">
        <f t="shared" si="14"/>
        <v>83750</v>
      </c>
      <c r="H27" s="15">
        <f t="shared" si="14"/>
        <v>83750</v>
      </c>
      <c r="I27" s="15">
        <f t="shared" si="14"/>
        <v>83750</v>
      </c>
      <c r="J27" s="15">
        <f t="shared" si="14"/>
        <v>83750</v>
      </c>
      <c r="K27" s="15">
        <f t="shared" si="14"/>
        <v>83750</v>
      </c>
      <c r="L27" s="15">
        <f t="shared" si="14"/>
        <v>83750</v>
      </c>
    </row>
    <row r="28" spans="1:12" ht="15.75" customHeight="1" x14ac:dyDescent="0.2">
      <c r="A28" s="28" t="s">
        <v>68</v>
      </c>
      <c r="C28" s="16">
        <f t="shared" ref="C28:L28" si="15">SUM(C24:C27)</f>
        <v>87000</v>
      </c>
      <c r="D28" s="16">
        <f t="shared" si="15"/>
        <v>134275</v>
      </c>
      <c r="E28" s="16">
        <f t="shared" si="15"/>
        <v>244250</v>
      </c>
      <c r="F28" s="16">
        <f t="shared" si="15"/>
        <v>244250</v>
      </c>
      <c r="G28" s="16">
        <f t="shared" si="15"/>
        <v>244250</v>
      </c>
      <c r="H28" s="16">
        <f t="shared" si="15"/>
        <v>244250</v>
      </c>
      <c r="I28" s="16">
        <f t="shared" si="15"/>
        <v>244250</v>
      </c>
      <c r="J28" s="16">
        <f t="shared" si="15"/>
        <v>244250</v>
      </c>
      <c r="K28" s="16">
        <f t="shared" si="15"/>
        <v>244250</v>
      </c>
      <c r="L28" s="16">
        <f t="shared" si="15"/>
        <v>244250</v>
      </c>
    </row>
    <row r="29" spans="1:12" ht="15.75" customHeight="1" x14ac:dyDescent="0.2"/>
    <row r="30" spans="1:12" ht="15.75" customHeight="1" x14ac:dyDescent="0.25">
      <c r="A30" s="1" t="s">
        <v>98</v>
      </c>
      <c r="B30" s="2" t="s">
        <v>78</v>
      </c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15.75" customHeight="1" x14ac:dyDescent="0.2">
      <c r="B31" s="2" t="s">
        <v>99</v>
      </c>
      <c r="C31" s="2">
        <v>1</v>
      </c>
      <c r="D31" s="2">
        <v>2</v>
      </c>
      <c r="E31" s="2">
        <v>3</v>
      </c>
      <c r="F31" s="2">
        <v>4</v>
      </c>
      <c r="G31" s="2">
        <v>5</v>
      </c>
      <c r="H31" s="2">
        <v>6</v>
      </c>
      <c r="I31" s="2">
        <v>7</v>
      </c>
      <c r="J31" s="2">
        <v>8</v>
      </c>
      <c r="K31" s="2">
        <v>9</v>
      </c>
      <c r="L31" s="2">
        <v>10</v>
      </c>
    </row>
    <row r="32" spans="1:12" ht="15.75" customHeight="1" x14ac:dyDescent="0.2">
      <c r="A32" s="28" t="s">
        <v>68</v>
      </c>
      <c r="B32" s="16">
        <f>Attributes!B39*-1</f>
        <v>-58500</v>
      </c>
      <c r="C32" s="16">
        <f>C28-C20</f>
        <v>-69539.461586870282</v>
      </c>
      <c r="D32" s="16">
        <f>D28-D20</f>
        <v>-44764.461586870282</v>
      </c>
      <c r="E32" s="16">
        <f t="shared" ref="E32:L32" si="16">E28-E20</f>
        <v>52760.538413129718</v>
      </c>
      <c r="F32" s="16">
        <f t="shared" si="16"/>
        <v>52760.538413129718</v>
      </c>
      <c r="G32" s="16">
        <f t="shared" si="16"/>
        <v>52760.538413129718</v>
      </c>
      <c r="H32" s="16">
        <f t="shared" si="16"/>
        <v>52760.538413129718</v>
      </c>
      <c r="I32" s="16">
        <f t="shared" si="16"/>
        <v>59250</v>
      </c>
      <c r="J32" s="16">
        <f t="shared" si="16"/>
        <v>59250</v>
      </c>
      <c r="K32" s="16">
        <f t="shared" si="16"/>
        <v>59250</v>
      </c>
      <c r="L32" s="16">
        <f t="shared" si="16"/>
        <v>59250</v>
      </c>
    </row>
    <row r="33" spans="1:13" ht="15.75" customHeight="1" x14ac:dyDescent="0.2"/>
    <row r="34" spans="1:13" ht="15.75" customHeight="1" x14ac:dyDescent="0.2"/>
    <row r="35" spans="1:13" ht="15.75" customHeight="1" x14ac:dyDescent="0.2"/>
    <row r="36" spans="1:13" ht="15.75" customHeight="1" x14ac:dyDescent="0.2"/>
    <row r="37" spans="1:13" ht="15.75" customHeight="1" x14ac:dyDescent="0.2"/>
    <row r="38" spans="1:13" ht="15.75" customHeight="1" x14ac:dyDescent="0.25">
      <c r="A38" s="1" t="s">
        <v>71</v>
      </c>
      <c r="B38" s="26" t="s">
        <v>70</v>
      </c>
    </row>
    <row r="39" spans="1:13" ht="15.75" customHeight="1" x14ac:dyDescent="0.2">
      <c r="B39" s="2">
        <v>0</v>
      </c>
      <c r="C39" s="2">
        <v>1</v>
      </c>
      <c r="D39" s="2">
        <v>2</v>
      </c>
      <c r="E39" s="2">
        <v>3</v>
      </c>
      <c r="F39" s="2">
        <v>4</v>
      </c>
      <c r="G39" s="2">
        <v>5</v>
      </c>
      <c r="H39" s="2">
        <v>6</v>
      </c>
      <c r="I39" s="2">
        <v>7</v>
      </c>
      <c r="J39" s="2">
        <v>8</v>
      </c>
      <c r="K39" s="2">
        <v>9</v>
      </c>
      <c r="L39" s="2">
        <v>10</v>
      </c>
      <c r="M39" s="38" t="s">
        <v>68</v>
      </c>
    </row>
    <row r="40" spans="1:13" ht="15.75" customHeight="1" x14ac:dyDescent="0.2">
      <c r="A40" s="28" t="s">
        <v>100</v>
      </c>
      <c r="B40" s="16">
        <f>B32</f>
        <v>-58500</v>
      </c>
      <c r="C40" s="16">
        <f t="shared" ref="C40:L40" si="17">C32/(1+discRate)^C39</f>
        <v>-65603.265647990833</v>
      </c>
      <c r="D40" s="16">
        <f t="shared" si="17"/>
        <v>-39840.211451468742</v>
      </c>
      <c r="E40" s="16">
        <f t="shared" si="17"/>
        <v>44298.76543483018</v>
      </c>
      <c r="F40" s="16">
        <f t="shared" si="17"/>
        <v>41791.28814606621</v>
      </c>
      <c r="G40" s="16">
        <f t="shared" si="17"/>
        <v>39425.743534024725</v>
      </c>
      <c r="H40" s="16">
        <f t="shared" si="17"/>
        <v>37194.097673608223</v>
      </c>
      <c r="I40" s="16">
        <f t="shared" si="17"/>
        <v>39404.633982123407</v>
      </c>
      <c r="J40" s="16">
        <f t="shared" si="17"/>
        <v>37174.183002003221</v>
      </c>
      <c r="K40" s="16">
        <f t="shared" si="17"/>
        <v>35069.98396415398</v>
      </c>
      <c r="L40" s="16">
        <f t="shared" si="17"/>
        <v>33084.890532220736</v>
      </c>
      <c r="M40" s="16">
        <f>SUM(B40:L40)</f>
        <v>143500.10916957114</v>
      </c>
    </row>
    <row r="41" spans="1:13" ht="15.75" customHeight="1" x14ac:dyDescent="0.2"/>
    <row r="42" spans="1:13" ht="15.75" customHeight="1" x14ac:dyDescent="0.2"/>
    <row r="43" spans="1:13" ht="15.75" customHeight="1" x14ac:dyDescent="0.2"/>
    <row r="44" spans="1:13" ht="15.75" customHeight="1" x14ac:dyDescent="0.2">
      <c r="B44" s="28"/>
    </row>
    <row r="45" spans="1:13" ht="15.75" customHeight="1" x14ac:dyDescent="0.2"/>
    <row r="46" spans="1:13" ht="15.75" customHeight="1" x14ac:dyDescent="0.2"/>
    <row r="47" spans="1:13" ht="15.75" customHeight="1" x14ac:dyDescent="0.2"/>
    <row r="48" spans="1:13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customSheetViews>
    <customSheetView guid="{973AB2A8-DE95-674A-9660-C127AC4E49C7}" showGridLines="0">
      <selection activeCell="D26" sqref="D26"/>
      <pageMargins left="0.7" right="0.7" top="0.75" bottom="0.75" header="0" footer="0"/>
      <pageSetup orientation="landscape"/>
    </customSheetView>
    <customSheetView guid="{1E5AC243-FE64-B142-BAE0-84C821C97FE3}" showGridLines="0">
      <selection activeCell="D26" sqref="D26"/>
      <pageMargins left="0.7" right="0.7" top="0.75" bottom="0.75" header="0" footer="0"/>
      <pageSetup orientation="landscape"/>
    </customSheetView>
  </customSheetViews>
  <pageMargins left="0.7" right="0.7" top="0.75" bottom="0.75" header="0" footer="0"/>
  <pageSetup orientation="landscape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408C2ABA590944A822F61EDA070D30" ma:contentTypeVersion="2" ma:contentTypeDescription="Create a new document." ma:contentTypeScope="" ma:versionID="9af8f220d10378bfabd8e2de86dc7bd0">
  <xsd:schema xmlns:xsd="http://www.w3.org/2001/XMLSchema" xmlns:xs="http://www.w3.org/2001/XMLSchema" xmlns:p="http://schemas.microsoft.com/office/2006/metadata/properties" xmlns:ns3="832b156d-aa1b-400f-b455-900ca4664739" targetNamespace="http://schemas.microsoft.com/office/2006/metadata/properties" ma:root="true" ma:fieldsID="0b6d12b7897be953b43ae6aee4ba163d" ns3:_="">
    <xsd:import namespace="832b156d-aa1b-400f-b455-900ca466473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2b156d-aa1b-400f-b455-900ca4664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0E8441-6EEB-49E9-BBF9-38CB2C9EEC0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3A72A3-3C67-495F-8102-424B4629495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11ED805-D6A9-4FC0-A6AF-582BD61610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2b156d-aa1b-400f-b455-900ca46647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18</vt:i4>
      </vt:variant>
    </vt:vector>
  </HeadingPairs>
  <TitlesOfParts>
    <vt:vector size="20" baseType="lpstr">
      <vt:lpstr>Attributes</vt:lpstr>
      <vt:lpstr>Analysis</vt:lpstr>
      <vt:lpstr>acres</vt:lpstr>
      <vt:lpstr>beginFlock</vt:lpstr>
      <vt:lpstr>cull</vt:lpstr>
      <vt:lpstr>death</vt:lpstr>
      <vt:lpstr>discRate</vt:lpstr>
      <vt:lpstr>eweCost</vt:lpstr>
      <vt:lpstr>growthRate</vt:lpstr>
      <vt:lpstr>intRate</vt:lpstr>
      <vt:lpstr>loanYears</vt:lpstr>
      <vt:lpstr>maxflock</vt:lpstr>
      <vt:lpstr>mowMax</vt:lpstr>
      <vt:lpstr>mowNoSheep</vt:lpstr>
      <vt:lpstr>repro</vt:lpstr>
      <vt:lpstr>revCull</vt:lpstr>
      <vt:lpstr>revEweLamb</vt:lpstr>
      <vt:lpstr>revperacre</vt:lpstr>
      <vt:lpstr>revRamLamb</vt:lpstr>
      <vt:lpstr>sheepperacre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Vince Slaugh</dc:creator>
  <cp:keywords/>
  <dc:description/>
  <cp:lastModifiedBy>Rithvik Duggireddy</cp:lastModifiedBy>
  <cp:revision/>
  <dcterms:created xsi:type="dcterms:W3CDTF">2023-06-14T16:35:58Z</dcterms:created>
  <dcterms:modified xsi:type="dcterms:W3CDTF">2023-12-01T14:52:08Z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0x010100FA408C2ABA590944A822F61EDA070D30</vt:lpwstr>
  </property>
</Properties>
</file>