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hvikduggireddy/Desktop/ORIE 4999/Solar Grazing/ORIE-Solar-Grazing/"/>
    </mc:Choice>
  </mc:AlternateContent>
  <xr:revisionPtr revIDLastSave="0" documentId="13_ncr:1_{AE59281D-A7C7-C445-B0BD-C739C7338B63}" xr6:coauthVersionLast="47" xr6:coauthVersionMax="47" xr10:uidLastSave="{00000000-0000-0000-0000-000000000000}"/>
  <bookViews>
    <workbookView xWindow="0" yWindow="1020" windowWidth="28800" windowHeight="15820" activeTab="1" xr2:uid="{B454289A-0104-4CEF-A65C-127A64012321}"/>
  </bookViews>
  <sheets>
    <sheet name="Attributes" sheetId="1" r:id="rId1"/>
    <sheet name="Analysis" sheetId="2" r:id="rId2"/>
  </sheets>
  <definedNames>
    <definedName name="acres">Attributes!$C$4</definedName>
    <definedName name="beginFlock">Attributes!$C$11</definedName>
    <definedName name="cull">Attributes!$C$14</definedName>
    <definedName name="death">Attributes!$C$15</definedName>
    <definedName name="eweCost">Attributes!$C$16</definedName>
    <definedName name="intRate">Attributes!$C$22</definedName>
    <definedName name="loanYears">Attributes!$C$23</definedName>
    <definedName name="maxflock">Attributes!$C$12</definedName>
    <definedName name="mowMax">Attributes!$C$8</definedName>
    <definedName name="mowNoSheep">Attributes!$C$7</definedName>
    <definedName name="repro">Attributes!$C$13</definedName>
    <definedName name="revCull">Attributes!$C$19</definedName>
    <definedName name="revEweLamb">Attributes!$C$18</definedName>
    <definedName name="revperacre">Attributes!$C$5</definedName>
    <definedName name="revRamLamb">Attributes!$C$17</definedName>
    <definedName name="sheepperacre">Attributes!$C$6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43" i="1" s="1"/>
  <c r="I40" i="2"/>
  <c r="J40" i="2"/>
  <c r="K40" i="2"/>
  <c r="L40" i="2"/>
  <c r="C5" i="2"/>
  <c r="D23" i="2" l="1"/>
  <c r="E23" i="2"/>
  <c r="F23" i="2"/>
  <c r="G23" i="2"/>
  <c r="H23" i="2"/>
  <c r="I23" i="2"/>
  <c r="J23" i="2"/>
  <c r="K23" i="2"/>
  <c r="L23" i="2"/>
  <c r="C23" i="2"/>
  <c r="C7" i="2"/>
  <c r="C24" i="2" s="1"/>
  <c r="C6" i="2"/>
  <c r="C9" i="2"/>
  <c r="C25" i="2" s="1"/>
  <c r="C8" i="2"/>
  <c r="C38" i="1"/>
  <c r="B16" i="2" s="1"/>
  <c r="E16" i="2" s="1"/>
  <c r="C12" i="1"/>
  <c r="B37" i="1"/>
  <c r="B38" i="1" s="1"/>
  <c r="B31" i="2" s="1"/>
  <c r="E30" i="1"/>
  <c r="B41" i="2" l="1"/>
  <c r="D43" i="1" s="1"/>
  <c r="C43" i="1"/>
  <c r="D27" i="1"/>
  <c r="D38" i="1" s="1"/>
  <c r="B17" i="2" s="1"/>
  <c r="E38" i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B35" i="2"/>
  <c r="B36" i="2" s="1"/>
  <c r="C10" i="2"/>
  <c r="C11" i="2" s="1"/>
  <c r="C26" i="2" s="1"/>
  <c r="D16" i="2"/>
  <c r="L16" i="2"/>
  <c r="H16" i="2"/>
  <c r="K16" i="2"/>
  <c r="G16" i="2"/>
  <c r="J16" i="2"/>
  <c r="F16" i="2"/>
  <c r="C16" i="2"/>
  <c r="I16" i="2"/>
  <c r="F40" i="2" l="1"/>
  <c r="D40" i="2"/>
  <c r="E40" i="2"/>
  <c r="G40" i="2"/>
  <c r="H40" i="2"/>
  <c r="C40" i="2"/>
  <c r="C12" i="2"/>
  <c r="C27" i="2"/>
  <c r="D5" i="2" l="1"/>
  <c r="D7" i="2" s="1"/>
  <c r="D24" i="2" s="1"/>
  <c r="B44" i="1"/>
  <c r="C17" i="2"/>
  <c r="C19" i="2" s="1"/>
  <c r="C31" i="2" s="1"/>
  <c r="C44" i="1" s="1"/>
  <c r="D9" i="2"/>
  <c r="D25" i="2" s="1"/>
  <c r="D6" i="2"/>
  <c r="D8" i="2" l="1"/>
  <c r="D10" i="2" s="1"/>
  <c r="D11" i="2" s="1"/>
  <c r="D26" i="2" s="1"/>
  <c r="D12" i="2" l="1"/>
  <c r="B45" i="1" s="1"/>
  <c r="D27" i="2"/>
  <c r="D17" i="2" l="1"/>
  <c r="D19" i="2" s="1"/>
  <c r="D31" i="2" s="1"/>
  <c r="C45" i="1" s="1"/>
  <c r="E5" i="2"/>
  <c r="E6" i="2" l="1"/>
  <c r="E8" i="2"/>
  <c r="E9" i="2"/>
  <c r="E25" i="2" s="1"/>
  <c r="E7" i="2"/>
  <c r="E24" i="2" s="1"/>
  <c r="E10" i="2" l="1"/>
  <c r="E11" i="2" s="1"/>
  <c r="E26" i="2" l="1"/>
  <c r="E27" i="2" s="1"/>
  <c r="E12" i="2"/>
  <c r="F5" i="2" l="1"/>
  <c r="F7" i="2" s="1"/>
  <c r="F24" i="2" s="1"/>
  <c r="B46" i="1"/>
  <c r="E17" i="2"/>
  <c r="E19" i="2" s="1"/>
  <c r="E31" i="2" s="1"/>
  <c r="C46" i="1" s="1"/>
  <c r="F9" i="2"/>
  <c r="F25" i="2" s="1"/>
  <c r="F8" i="2" l="1"/>
  <c r="F10" i="2" s="1"/>
  <c r="F6" i="2"/>
  <c r="F11" i="2" l="1"/>
  <c r="F12" i="2" s="1"/>
  <c r="F26" i="2" l="1"/>
  <c r="F27" i="2" s="1"/>
  <c r="F17" i="2"/>
  <c r="F19" i="2" s="1"/>
  <c r="B47" i="1"/>
  <c r="G5" i="2"/>
  <c r="G9" i="2" s="1"/>
  <c r="G25" i="2" s="1"/>
  <c r="F31" i="2" l="1"/>
  <c r="C47" i="1" s="1"/>
  <c r="G7" i="2"/>
  <c r="G24" i="2" s="1"/>
  <c r="G6" i="2"/>
  <c r="G8" i="2"/>
  <c r="G10" i="2" s="1"/>
  <c r="G11" i="2" l="1"/>
  <c r="G26" i="2" l="1"/>
  <c r="G27" i="2" s="1"/>
  <c r="G12" i="2"/>
  <c r="H5" i="2" l="1"/>
  <c r="H8" i="2" s="1"/>
  <c r="B48" i="1"/>
  <c r="G17" i="2"/>
  <c r="G19" i="2" s="1"/>
  <c r="G31" i="2" s="1"/>
  <c r="C48" i="1" s="1"/>
  <c r="H9" i="2" l="1"/>
  <c r="H25" i="2" s="1"/>
  <c r="H6" i="2"/>
  <c r="H7" i="2"/>
  <c r="H24" i="2" s="1"/>
  <c r="H10" i="2" l="1"/>
  <c r="H11" i="2" s="1"/>
  <c r="H26" i="2" s="1"/>
  <c r="H27" i="2" s="1"/>
  <c r="H12" i="2"/>
  <c r="B49" i="1" s="1"/>
  <c r="H17" i="2" l="1"/>
  <c r="H19" i="2" s="1"/>
  <c r="H31" i="2" s="1"/>
  <c r="C49" i="1" s="1"/>
  <c r="I5" i="2"/>
  <c r="I6" i="2" s="1"/>
  <c r="I7" i="2" l="1"/>
  <c r="I24" i="2" s="1"/>
  <c r="I8" i="2"/>
  <c r="I9" i="2"/>
  <c r="I25" i="2" s="1"/>
  <c r="I10" i="2" l="1"/>
  <c r="I11" i="2" s="1"/>
  <c r="I12" i="2" s="1"/>
  <c r="I26" i="2" l="1"/>
  <c r="I27" i="2" s="1"/>
  <c r="J5" i="2"/>
  <c r="J7" i="2" s="1"/>
  <c r="J24" i="2" s="1"/>
  <c r="B50" i="1"/>
  <c r="I17" i="2"/>
  <c r="I19" i="2" s="1"/>
  <c r="J9" i="2" l="1"/>
  <c r="J25" i="2" s="1"/>
  <c r="I31" i="2"/>
  <c r="C50" i="1" s="1"/>
  <c r="J6" i="2"/>
  <c r="J8" i="2"/>
  <c r="J10" i="2" l="1"/>
  <c r="J11" i="2"/>
  <c r="J26" i="2" s="1"/>
  <c r="J27" i="2" s="1"/>
  <c r="J12" i="2" l="1"/>
  <c r="B51" i="1" s="1"/>
  <c r="K5" i="2" l="1"/>
  <c r="K6" i="2" s="1"/>
  <c r="J17" i="2"/>
  <c r="J19" i="2" s="1"/>
  <c r="J31" i="2" s="1"/>
  <c r="C51" i="1" s="1"/>
  <c r="K9" i="2"/>
  <c r="K25" i="2" s="1"/>
  <c r="K8" i="2" l="1"/>
  <c r="K10" i="2" s="1"/>
  <c r="K11" i="2" s="1"/>
  <c r="K26" i="2" s="1"/>
  <c r="K27" i="2" s="1"/>
  <c r="K7" i="2"/>
  <c r="K24" i="2" s="1"/>
  <c r="K12" i="2" l="1"/>
  <c r="B52" i="1" s="1"/>
  <c r="K17" i="2" l="1"/>
  <c r="K19" i="2" s="1"/>
  <c r="K31" i="2" s="1"/>
  <c r="C52" i="1" s="1"/>
  <c r="L5" i="2"/>
  <c r="L7" i="2" s="1"/>
  <c r="L24" i="2" s="1"/>
  <c r="L9" i="2" l="1"/>
  <c r="L25" i="2" s="1"/>
  <c r="L8" i="2"/>
  <c r="L10" i="2" s="1"/>
  <c r="L6" i="2"/>
  <c r="L11" i="2" l="1"/>
  <c r="L12" i="2" s="1"/>
  <c r="L26" i="2" l="1"/>
  <c r="L27" i="2" s="1"/>
  <c r="L17" i="2"/>
  <c r="L19" i="2" s="1"/>
  <c r="L31" i="2" s="1"/>
  <c r="B53" i="1"/>
  <c r="B37" i="2" l="1"/>
  <c r="C53" i="1"/>
  <c r="H41" i="2" l="1"/>
  <c r="D49" i="1" s="1"/>
  <c r="C41" i="2"/>
  <c r="D44" i="1" s="1"/>
  <c r="G41" i="2"/>
  <c r="D48" i="1" s="1"/>
  <c r="F41" i="2"/>
  <c r="D47" i="1" s="1"/>
  <c r="J41" i="2"/>
  <c r="D51" i="1" s="1"/>
  <c r="L41" i="2"/>
  <c r="D53" i="1" s="1"/>
  <c r="K41" i="2"/>
  <c r="D52" i="1" s="1"/>
  <c r="E41" i="2"/>
  <c r="D46" i="1" s="1"/>
  <c r="I41" i="2"/>
  <c r="D50" i="1" s="1"/>
  <c r="D41" i="2"/>
  <c r="D45" i="1" s="1"/>
</calcChain>
</file>

<file path=xl/sharedStrings.xml><?xml version="1.0" encoding="utf-8"?>
<sst xmlns="http://schemas.openxmlformats.org/spreadsheetml/2006/main" count="111" uniqueCount="103">
  <si>
    <t>Item</t>
  </si>
  <si>
    <t>Total</t>
  </si>
  <si>
    <t>Annual Revenue</t>
  </si>
  <si>
    <t>Site Attributes</t>
  </si>
  <si>
    <t>Acres</t>
  </si>
  <si>
    <t>Annual Revenue per Acre</t>
  </si>
  <si>
    <t>acres</t>
  </si>
  <si>
    <t>revperacre</t>
  </si>
  <si>
    <t>Reproduction Rate</t>
  </si>
  <si>
    <t>repro</t>
  </si>
  <si>
    <t>Mowing Fee</t>
  </si>
  <si>
    <t>Mowing</t>
  </si>
  <si>
    <t>Insurance</t>
  </si>
  <si>
    <t>Transportation</t>
  </si>
  <si>
    <t>Water Hauling</t>
  </si>
  <si>
    <t>Vet care</t>
  </si>
  <si>
    <t>Minerals</t>
  </si>
  <si>
    <t>Overwintering</t>
  </si>
  <si>
    <t>Guard dogs</t>
  </si>
  <si>
    <t>Catchment Systems</t>
  </si>
  <si>
    <t>Upfront</t>
  </si>
  <si>
    <t>Per Head per year</t>
  </si>
  <si>
    <t>Fixed per Year per Acre</t>
  </si>
  <si>
    <t>Fixed per year</t>
  </si>
  <si>
    <t>Year</t>
  </si>
  <si>
    <t>Annual Profit</t>
  </si>
  <si>
    <t>cull</t>
  </si>
  <si>
    <t>death</t>
  </si>
  <si>
    <t>eweCost</t>
  </si>
  <si>
    <t>Deaths</t>
  </si>
  <si>
    <t>Culled</t>
  </si>
  <si>
    <t>Replacements Needed</t>
  </si>
  <si>
    <t>Ewes Culled</t>
  </si>
  <si>
    <t>Ewe Lambs to Sell</t>
  </si>
  <si>
    <t>Sheep per Acre</t>
  </si>
  <si>
    <t>sheepperacre</t>
  </si>
  <si>
    <t>Maximum Flock Size</t>
  </si>
  <si>
    <t>maxflock</t>
  </si>
  <si>
    <t>Interest Rate</t>
  </si>
  <si>
    <t>Annual Costs</t>
  </si>
  <si>
    <t>Amount</t>
  </si>
  <si>
    <t>Flock Dynamics</t>
  </si>
  <si>
    <t>Sheep at Year Start</t>
  </si>
  <si>
    <t xml:space="preserve">Year </t>
  </si>
  <si>
    <t>Sheep at Year End</t>
  </si>
  <si>
    <t>Ewe Lambs</t>
  </si>
  <si>
    <t>Ram Lambs</t>
  </si>
  <si>
    <t>Ram Lambs Sales</t>
  </si>
  <si>
    <t>Ewe Lambs Sales</t>
  </si>
  <si>
    <t>Price per Head</t>
  </si>
  <si>
    <t>0 (Upfront Costs)</t>
  </si>
  <si>
    <t xml:space="preserve">Ewes to Acquire </t>
  </si>
  <si>
    <t>Total to Borrow</t>
  </si>
  <si>
    <t>Payment</t>
  </si>
  <si>
    <t>Adjusted Profit</t>
  </si>
  <si>
    <t>Alternative: Buying All Sheep in Year 0</t>
  </si>
  <si>
    <t>Mowing cost per acre  (0 sheep)</t>
  </si>
  <si>
    <t>Mowing cost per acre (max sheep)</t>
  </si>
  <si>
    <t>mowMax</t>
  </si>
  <si>
    <t>Parameters for Solar Grazing Analysis</t>
  </si>
  <si>
    <t>Flock Attributes</t>
  </si>
  <si>
    <t>Value</t>
  </si>
  <si>
    <t>Variable</t>
  </si>
  <si>
    <t>Profit with Max Sheep</t>
  </si>
  <si>
    <t>Costs</t>
  </si>
  <si>
    <t>Per Head per Year</t>
  </si>
  <si>
    <t>Fixed per Year</t>
  </si>
  <si>
    <t>Annual Death Rate</t>
  </si>
  <si>
    <t>Annual Cull Rate</t>
  </si>
  <si>
    <t>Cost per Ewe</t>
  </si>
  <si>
    <t>Beginning Flock Size</t>
  </si>
  <si>
    <t>beginFlock</t>
  </si>
  <si>
    <t>Revenue per Ram Lamb</t>
  </si>
  <si>
    <t>Revenue per Ewe Lamb</t>
  </si>
  <si>
    <t>Revenue per Ewe Culled</t>
  </si>
  <si>
    <t>Financial Parameters</t>
  </si>
  <si>
    <t>intRate</t>
  </si>
  <si>
    <t>loanYears</t>
  </si>
  <si>
    <t>Loan Duration (Years)</t>
  </si>
  <si>
    <t>revRamLamb</t>
  </si>
  <si>
    <t>revEweLamb</t>
  </si>
  <si>
    <t>revCull</t>
  </si>
  <si>
    <t>Outputs</t>
  </si>
  <si>
    <t>Flock Size (no loan)</t>
  </si>
  <si>
    <t>No Loan</t>
  </si>
  <si>
    <t>With Loan</t>
  </si>
  <si>
    <t>mowNoSheep</t>
  </si>
  <si>
    <t>Spreadsheet developed by:</t>
  </si>
  <si>
    <t>Vincent W. Slaugh</t>
  </si>
  <si>
    <t>Assistant Professor of Service Operations Management</t>
  </si>
  <si>
    <t>SC Johnson College of Business, Cornell University</t>
  </si>
  <si>
    <t>Caleb Scott</t>
  </si>
  <si>
    <t>vslaugh@cornell.edu</t>
  </si>
  <si>
    <t>President, United Agrivoltaics North America LLC</t>
  </si>
  <si>
    <t>www.scottscape.net</t>
  </si>
  <si>
    <t>Vice President, American Solar Grazing Association</t>
  </si>
  <si>
    <t>caleb@scottscape.net</t>
  </si>
  <si>
    <t>Solar Grazing Analysis</t>
  </si>
  <si>
    <t>1-833-FARMSUM</t>
  </si>
  <si>
    <t>www.unitedagrivoltaics.com/</t>
  </si>
  <si>
    <t>Staffing</t>
  </si>
  <si>
    <t>Miscellaneous Costs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</si>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</sst>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2" borderId="1" applyNumberFormat="0" applyAlignment="0" applyProtection="0"/>
    <xf numFmtId="0" fontId="7" fillId="3" borderId="2" applyNumberFormat="0" applyAlignment="0" applyProtection="0"/>
    <xf numFmtId="0" fontId="8" fillId="3" borderId="1" applyNumberFormat="0" applyAlignment="0" applyProtection="0"/>
    <xf numFmtId="0" fontId="9" fillId="0" borderId="3" applyNumberFormat="0" applyFill="0" applyAlignment="0" applyProtection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8" fontId="0" fillId="0" borderId="0" xfId="0" applyNumberFormat="1"/>
    <xf numFmtId="164" fontId="5" fillId="0" borderId="0" xfId="0" applyNumberFormat="1" applyFont="1"/>
    <xf numFmtId="0" fontId="10" fillId="0" borderId="0" xfId="0" applyFont="1"/>
    <xf numFmtId="164" fontId="9" fillId="0" borderId="3" xfId="5" applyNumberFormat="1"/>
    <xf numFmtId="1" fontId="8" fillId="3" borderId="1" xfId="4" applyNumberFormat="1"/>
    <xf numFmtId="1" fontId="7" fillId="3" borderId="2" xfId="3" applyNumberFormat="1"/>
    <xf numFmtId="1" fontId="9" fillId="0" borderId="3" xfId="5" applyNumberFormat="1" applyFill="1"/>
    <xf numFmtId="164" fontId="8" fillId="3" borderId="1" xfId="4" applyNumberFormat="1"/>
    <xf numFmtId="164" fontId="7" fillId="3" borderId="2" xfId="3" applyNumberFormat="1"/>
    <xf numFmtId="0" fontId="8" fillId="3" borderId="1" xfId="4"/>
    <xf numFmtId="9" fontId="6" fillId="2" borderId="1" xfId="2" applyNumberFormat="1"/>
    <xf numFmtId="0" fontId="6" fillId="2" borderId="1" xfId="2"/>
    <xf numFmtId="164" fontId="8" fillId="3" borderId="1" xfId="1" applyNumberFormat="1" applyFont="1" applyFill="1" applyBorder="1"/>
    <xf numFmtId="6" fontId="6" fillId="2" borderId="1" xfId="2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6" fillId="2" borderId="1" xfId="2" applyNumberFormat="1"/>
    <xf numFmtId="164" fontId="6" fillId="2" borderId="1" xfId="1" applyNumberFormat="1" applyFont="1" applyFill="1" applyBorder="1"/>
    <xf numFmtId="164" fontId="6" fillId="2" borderId="1" xfId="2" applyNumberFormat="1" applyAlignment="1">
      <alignment horizontal="left"/>
    </xf>
    <xf numFmtId="164" fontId="9" fillId="0" borderId="3" xfId="1" applyNumberFormat="1" applyFont="1" applyBorder="1"/>
    <xf numFmtId="0" fontId="9" fillId="0" borderId="3" xfId="5"/>
    <xf numFmtId="0" fontId="14" fillId="0" borderId="0" xfId="6"/>
  </cellXfs>
  <cellStyles count="7">
    <cellStyle name="Calculation" xfId="4" builtinId="22"/>
    <cellStyle name="Currency" xfId="1" builtinId="4"/>
    <cellStyle name="Hyperlink" xfId="6" builtinId="8"/>
    <cellStyle name="Input" xfId="2" builtinId="20"/>
    <cellStyle name="Linked Cell" xfId="5" builtinId="24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Profit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Attributes!$C$42</c:f>
              <c:strCache>
                <c:ptCount val="1"/>
                <c:pt idx="0">
                  <c:v>No Loan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Attributes!$A$43:$A$53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Attributes!$C$43:$C$53</c:f>
              <c:numCache>
                <c:formatCode>_("$"* #,##0_);_("$"* \(#,##0\);_("$"* "-"??_);_(@_)</c:formatCode>
                <c:ptCount val="11"/>
                <c:pt idx="0">
                  <c:v>-28500</c:v>
                </c:pt>
                <c:pt idx="1">
                  <c:v>-65923</c:v>
                </c:pt>
                <c:pt idx="2">
                  <c:v>-61851.41</c:v>
                </c:pt>
                <c:pt idx="3">
                  <c:v>-55051.854700000011</c:v>
                </c:pt>
                <c:pt idx="4">
                  <c:v>44920.429049999977</c:v>
                </c:pt>
                <c:pt idx="5">
                  <c:v>65250</c:v>
                </c:pt>
                <c:pt idx="6">
                  <c:v>65250</c:v>
                </c:pt>
                <c:pt idx="7">
                  <c:v>65250</c:v>
                </c:pt>
                <c:pt idx="8">
                  <c:v>65250</c:v>
                </c:pt>
                <c:pt idx="9">
                  <c:v>65250</c:v>
                </c:pt>
                <c:pt idx="10">
                  <c:v>65250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E44F-8089-31E3BA08D9E3}"/>
            </c:ext>
          </c:extLst>
        </c:ser>
        <c:ser>
          <c:idx val="1"/>
          <c:order val="1"/>
          <c:tx>
            <c:strRef>
              <c:f>Attributes!$D$42</c:f>
              <c:strCache>
                <c:ptCount val="1"/>
                <c:pt idx="0">
                  <c:v>With Loan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Attributes!$A$43:$A$53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Attributes!$D$43:$D$53</c:f>
              <c:numCache>
                <c:formatCode>_("$"* #,##0_);_("$"* \(#,##0\);_("$"* "-"??_);_(@_)</c:formatCode>
                <c:ptCount val="11"/>
                <c:pt idx="0">
                  <c:v>-28500</c:v>
                </c:pt>
                <c:pt idx="1">
                  <c:v>39292.15365251882</c:v>
                </c:pt>
                <c:pt idx="2">
                  <c:v>39292.15365251882</c:v>
                </c:pt>
                <c:pt idx="3">
                  <c:v>39292.15365251882</c:v>
                </c:pt>
                <c:pt idx="4">
                  <c:v>39292.15365251882</c:v>
                </c:pt>
                <c:pt idx="5">
                  <c:v>39292.15365251882</c:v>
                </c:pt>
                <c:pt idx="6">
                  <c:v>39292.15365251882</c:v>
                </c:pt>
                <c:pt idx="7">
                  <c:v>65250</c:v>
                </c:pt>
                <c:pt idx="8">
                  <c:v>65250</c:v>
                </c:pt>
                <c:pt idx="9">
                  <c:v>65250</c:v>
                </c:pt>
                <c:pt idx="10">
                  <c:v>65250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E44F-8089-31E3BA08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35631"/>
        <c:axId val="29682271"/>
      </c:barChart>
      <c:catAx>
        <c:axId val="2993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271"/>
        <c:crosses val="autoZero"/>
        <c:auto val="1"/>
        <c:lblAlgn val="ctr"/>
        <c:lblOffset val="100"/>
        <c:noMultiLvlLbl val="0"/>
      </c:catAx>
      <c:valAx>
        <c:axId val="29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Flock Size</a:t>
            </a:r>
            <a:r>
              <a:rPr lang="en-US" baseline="0"/>
              <a:t> by Year (without loan)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Attributes!$B$42</c:f>
              <c:strCache>
                <c:ptCount val="1"/>
                <c:pt idx="0">
                  <c:v>Flock Size (no loan)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Attributes!$A$43:$A$53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Attributes!$B$43:$B$53</c:f>
              <c:numCache>
                <c:formatCode>0</c:formatCode>
                <c:ptCount val="11"/>
                <c:pt idx="0">
                  <c:v>100</c:v>
                </c:pt>
                <c:pt idx="1">
                  <c:v>167</c:v>
                </c:pt>
                <c:pt idx="2">
                  <c:v>278.89000000000004</c:v>
                </c:pt>
                <c:pt idx="3">
                  <c:v>465.74630000000002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1-E44F-8089-31E3BA08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35631"/>
        <c:axId val="29682271"/>
      </c:lineChart>
      <c:catAx>
        <c:axId val="2993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2271"/>
        <c:crosses val="autoZero"/>
        <c:auto val="1"/>
        <c:lblAlgn val="ctr"/>
        <c:lblOffset val="100"/>
        <c:noMultiLvlLbl val="0"/>
      </c:catAx>
      <c:valAx>
        <c:axId val="29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152400</xdr:rowOff>
    </xdr:from>
    <xdr:to>
      <xdr:col>3</xdr:col>
      <xdr:colOff>133350</xdr:colOff>
      <xdr:row>55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3210-4910-AE0D-E316-E2F3BE76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</xdr:colOff>
      <xdr:row>39</xdr:row>
      <xdr:rowOff>0</xdr:rowOff>
    </xdr:from>
    <xdr:to>
      <xdr:col>8</xdr:col>
      <xdr:colOff>114300</xdr:colOff>
      <xdr:row>55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4AC410-FF36-94EB-E2C9-270ACA743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14288</xdr:colOff>
      <xdr:row>7</xdr:row>
      <xdr:rowOff>138112</xdr:rowOff>
    </xdr:from>
    <xdr:to>
      <xdr:col>6</xdr:col>
      <xdr:colOff>471488</xdr:colOff>
      <xdr:row>11</xdr:row>
      <xdr:rowOff>5134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D7A834-C9C7-4A17-8C9E-604D68437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2138" y="1528762"/>
          <a:ext cx="2476500" cy="629022"/>
        </a:xfrm>
        <a:prstGeom prst="rect">
          <a:avLst/>
        </a:prstGeom>
      </xdr:spPr>
    </xdr:pic>
    <xdr:clientData/>
  </xdr:twoCellAnchor>
  <xdr:twoCellAnchor editAs="oneCell">
    <xdr:from>
      <xdr:col>3</xdr:col>
      <xdr:colOff>1017588</xdr:colOff>
      <xdr:row>17</xdr:row>
      <xdr:rowOff>180976</xdr:rowOff>
    </xdr:from>
    <xdr:to>
      <xdr:col>4</xdr:col>
      <xdr:colOff>1327151</xdr:colOff>
      <xdr:row>23</xdr:row>
      <xdr:rowOff>172698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B63949-451E-4DF7-B747-11F13246A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1688" y="3622676"/>
          <a:ext cx="1477963" cy="1185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ottscape.net/" TargetMode="External"/><Relationship Id="rId2" Type="http://schemas.openxmlformats.org/officeDocument/2006/relationships/hyperlink" Target="mailto:vslaugh@cornell.edu" TargetMode="External"/><Relationship Id="rId1" Type="http://schemas.openxmlformats.org/officeDocument/2006/relationships/hyperlink" Target="mailto:caleb@scottscape.ne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unitedagrivoltaic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5E14-E214-46E9-AC97-0CF7FB5A9235}">
  <dimension ref="A1:V53"/>
  <sheetViews>
    <sheetView showGridLines="0" zoomScaleNormal="100" workbookViewId="0">
      <selection activeCell="D27" sqref="D27"/>
    </sheetView>
  </sheetViews>
  <sheetFormatPr baseColWidth="10" defaultColWidth="8.83203125" defaultRowHeight="15" x14ac:dyDescent="0.2"/>
  <cols>
    <col min="1" max="1" width="28" customWidth="1"/>
    <col min="2" max="2" width="14" bestFit="1" customWidth="1"/>
    <col min="3" max="3" width="21.83203125" bestFit="1" customWidth="1"/>
    <col min="4" max="4" width="15.33203125" bestFit="1" customWidth="1"/>
    <col min="5" max="5" width="19.5" customWidth="1"/>
    <col min="10" max="12" width="12.5" bestFit="1" customWidth="1"/>
    <col min="15" max="15" width="12.33203125" bestFit="1" customWidth="1"/>
    <col min="16" max="16" width="12.5" bestFit="1" customWidth="1"/>
    <col min="17" max="18" width="11.5" bestFit="1" customWidth="1"/>
    <col min="20" max="20" width="16.33203125" bestFit="1" customWidth="1"/>
    <col min="22" max="22" width="11.1640625" bestFit="1" customWidth="1"/>
  </cols>
  <sheetData>
    <row r="1" spans="1:22" ht="19" x14ac:dyDescent="0.25">
      <c r="A1" s="2" t="s">
        <v>59</v>
      </c>
      <c r="Q1" s="8"/>
    </row>
    <row r="2" spans="1:22" x14ac:dyDescent="0.2">
      <c r="E2" s="1" t="s">
        <v>87</v>
      </c>
    </row>
    <row r="3" spans="1:22" x14ac:dyDescent="0.2">
      <c r="A3" s="1" t="s">
        <v>3</v>
      </c>
      <c r="B3" s="1" t="s">
        <v>62</v>
      </c>
      <c r="C3" s="1" t="s">
        <v>61</v>
      </c>
      <c r="D3" s="1"/>
      <c r="R3" s="3"/>
      <c r="V3" s="3"/>
    </row>
    <row r="4" spans="1:22" ht="16" x14ac:dyDescent="0.2">
      <c r="A4" t="s">
        <v>4</v>
      </c>
      <c r="B4" s="23" t="s">
        <v>6</v>
      </c>
      <c r="C4" s="20">
        <v>100</v>
      </c>
      <c r="E4" s="1" t="s">
        <v>88</v>
      </c>
    </row>
    <row r="5" spans="1:22" ht="16" x14ac:dyDescent="0.2">
      <c r="A5" t="s">
        <v>5</v>
      </c>
      <c r="B5" s="25" t="s">
        <v>7</v>
      </c>
      <c r="C5" s="22">
        <v>380</v>
      </c>
      <c r="E5" t="s">
        <v>89</v>
      </c>
      <c r="O5" s="5"/>
      <c r="P5" s="9"/>
      <c r="Q5" s="5"/>
      <c r="R5" s="3"/>
      <c r="T5" s="9"/>
      <c r="U5" s="10"/>
      <c r="V5" s="9"/>
    </row>
    <row r="6" spans="1:22" ht="16" x14ac:dyDescent="0.2">
      <c r="A6" t="s">
        <v>34</v>
      </c>
      <c r="B6" s="23" t="s">
        <v>35</v>
      </c>
      <c r="C6" s="20">
        <v>5</v>
      </c>
      <c r="E6" t="s">
        <v>90</v>
      </c>
      <c r="O6" s="5"/>
      <c r="P6" s="9"/>
      <c r="Q6" s="5"/>
      <c r="R6" s="3"/>
      <c r="T6" s="9"/>
      <c r="U6" s="5"/>
      <c r="V6" s="9"/>
    </row>
    <row r="7" spans="1:22" ht="16" x14ac:dyDescent="0.2">
      <c r="A7" t="s">
        <v>56</v>
      </c>
      <c r="B7" s="23" t="s">
        <v>86</v>
      </c>
      <c r="C7" s="22">
        <v>400</v>
      </c>
      <c r="E7" s="31" t="s">
        <v>92</v>
      </c>
      <c r="J7" s="6"/>
      <c r="O7" s="5"/>
      <c r="P7" s="9"/>
      <c r="Q7" s="5"/>
      <c r="R7" s="3"/>
      <c r="T7" s="9"/>
      <c r="U7" s="5"/>
      <c r="V7" s="9"/>
    </row>
    <row r="8" spans="1:22" ht="16" x14ac:dyDescent="0.2">
      <c r="A8" t="s">
        <v>57</v>
      </c>
      <c r="B8" s="23" t="s">
        <v>58</v>
      </c>
      <c r="C8" s="22">
        <v>40</v>
      </c>
      <c r="J8" s="6"/>
      <c r="O8" s="5"/>
      <c r="P8" s="9"/>
      <c r="Q8" s="5"/>
      <c r="R8" s="3"/>
      <c r="T8" s="9"/>
      <c r="U8" s="5"/>
      <c r="V8" s="9"/>
    </row>
    <row r="9" spans="1:22" x14ac:dyDescent="0.2">
      <c r="B9" s="23"/>
      <c r="J9" s="6"/>
      <c r="O9" s="5"/>
      <c r="P9" s="9"/>
      <c r="Q9" s="5"/>
      <c r="R9" s="3"/>
      <c r="T9" s="9"/>
      <c r="U9" s="5"/>
      <c r="V9" s="9"/>
    </row>
    <row r="10" spans="1:22" x14ac:dyDescent="0.2">
      <c r="A10" s="1" t="s">
        <v>60</v>
      </c>
      <c r="B10" s="24"/>
      <c r="J10" s="6"/>
      <c r="O10" s="5"/>
      <c r="P10" s="9"/>
      <c r="Q10" s="5"/>
      <c r="R10" s="3"/>
      <c r="T10" s="9"/>
      <c r="U10" s="5"/>
      <c r="V10" s="9"/>
    </row>
    <row r="11" spans="1:22" ht="16" x14ac:dyDescent="0.2">
      <c r="A11" t="s">
        <v>70</v>
      </c>
      <c r="B11" s="24" t="s">
        <v>71</v>
      </c>
      <c r="C11" s="20">
        <v>100</v>
      </c>
      <c r="J11" s="6"/>
      <c r="O11" s="5"/>
      <c r="P11" s="9"/>
      <c r="Q11" s="5"/>
      <c r="R11" s="3"/>
      <c r="T11" s="9"/>
      <c r="U11" s="5"/>
      <c r="V11" s="9"/>
    </row>
    <row r="12" spans="1:22" ht="16" x14ac:dyDescent="0.2">
      <c r="A12" t="s">
        <v>36</v>
      </c>
      <c r="B12" s="23" t="s">
        <v>37</v>
      </c>
      <c r="C12" s="18">
        <f>acres*sheepperacre</f>
        <v>500</v>
      </c>
      <c r="J12" s="6"/>
      <c r="O12" s="5"/>
      <c r="P12" s="9"/>
      <c r="Q12" s="5"/>
      <c r="R12" s="3"/>
      <c r="T12" s="9"/>
      <c r="U12" s="5"/>
      <c r="V12" s="9"/>
    </row>
    <row r="13" spans="1:22" ht="16" x14ac:dyDescent="0.2">
      <c r="A13" t="s">
        <v>8</v>
      </c>
      <c r="B13" s="23" t="s">
        <v>9</v>
      </c>
      <c r="C13" s="20">
        <v>1.8</v>
      </c>
      <c r="E13" s="1" t="s">
        <v>91</v>
      </c>
      <c r="J13" s="6"/>
      <c r="O13" s="5"/>
      <c r="P13" s="9"/>
      <c r="Q13" s="5"/>
      <c r="R13" s="3"/>
      <c r="T13" s="9"/>
      <c r="U13" s="5"/>
      <c r="V13" s="9"/>
    </row>
    <row r="14" spans="1:22" ht="16" x14ac:dyDescent="0.2">
      <c r="A14" t="s">
        <v>68</v>
      </c>
      <c r="B14" s="23" t="s">
        <v>26</v>
      </c>
      <c r="C14" s="19">
        <v>0.2</v>
      </c>
      <c r="E14" t="s">
        <v>93</v>
      </c>
      <c r="J14" s="6"/>
      <c r="O14" s="5"/>
      <c r="P14" s="9"/>
      <c r="Q14" s="5"/>
      <c r="R14" s="3"/>
      <c r="T14" s="9"/>
      <c r="U14" s="5"/>
      <c r="V14" s="9"/>
    </row>
    <row r="15" spans="1:22" ht="16" x14ac:dyDescent="0.2">
      <c r="A15" t="s">
        <v>67</v>
      </c>
      <c r="B15" s="23" t="s">
        <v>27</v>
      </c>
      <c r="C15" s="19">
        <v>0.03</v>
      </c>
      <c r="E15" t="s">
        <v>95</v>
      </c>
      <c r="J15" s="6"/>
      <c r="P15" s="9"/>
    </row>
    <row r="16" spans="1:22" ht="16" x14ac:dyDescent="0.2">
      <c r="A16" t="s">
        <v>69</v>
      </c>
      <c r="B16" s="23" t="s">
        <v>28</v>
      </c>
      <c r="C16" s="22">
        <v>300</v>
      </c>
      <c r="E16" t="s">
        <v>98</v>
      </c>
      <c r="F16" s="31" t="s">
        <v>99</v>
      </c>
      <c r="H16" s="6"/>
      <c r="O16" s="8"/>
      <c r="Q16" s="9"/>
    </row>
    <row r="17" spans="1:17" ht="16" x14ac:dyDescent="0.2">
      <c r="A17" t="s">
        <v>72</v>
      </c>
      <c r="B17" s="23" t="s">
        <v>79</v>
      </c>
      <c r="C17" s="28">
        <v>250</v>
      </c>
      <c r="E17" s="31" t="s">
        <v>96</v>
      </c>
      <c r="F17" s="31" t="s">
        <v>94</v>
      </c>
      <c r="J17" s="6"/>
      <c r="O17" s="8"/>
      <c r="Q17" s="9"/>
    </row>
    <row r="18" spans="1:17" ht="16" x14ac:dyDescent="0.2">
      <c r="A18" t="s">
        <v>73</v>
      </c>
      <c r="B18" s="23" t="s">
        <v>80</v>
      </c>
      <c r="C18" s="26">
        <v>250</v>
      </c>
      <c r="J18" s="6"/>
      <c r="O18" s="8"/>
      <c r="Q18" s="9"/>
    </row>
    <row r="19" spans="1:17" ht="16" x14ac:dyDescent="0.2">
      <c r="A19" t="s">
        <v>74</v>
      </c>
      <c r="B19" s="23" t="s">
        <v>81</v>
      </c>
      <c r="C19" s="26">
        <v>100</v>
      </c>
      <c r="J19" s="6"/>
      <c r="O19" s="8"/>
      <c r="Q19" s="9"/>
    </row>
    <row r="20" spans="1:17" x14ac:dyDescent="0.2">
      <c r="B20" s="23"/>
      <c r="J20" s="6"/>
      <c r="O20" s="8"/>
      <c r="Q20" s="9"/>
    </row>
    <row r="21" spans="1:17" x14ac:dyDescent="0.2">
      <c r="A21" s="1" t="s">
        <v>75</v>
      </c>
      <c r="B21" s="23"/>
      <c r="J21" s="6"/>
      <c r="O21" s="8"/>
      <c r="Q21" s="9"/>
    </row>
    <row r="22" spans="1:17" ht="16" x14ac:dyDescent="0.2">
      <c r="A22" t="s">
        <v>38</v>
      </c>
      <c r="B22" s="23" t="s">
        <v>76</v>
      </c>
      <c r="C22" s="19">
        <v>0.08</v>
      </c>
      <c r="J22" s="6"/>
      <c r="O22" s="8"/>
      <c r="Q22" s="9"/>
    </row>
    <row r="23" spans="1:17" ht="16" x14ac:dyDescent="0.2">
      <c r="A23" t="s">
        <v>78</v>
      </c>
      <c r="B23" s="23" t="s">
        <v>77</v>
      </c>
      <c r="C23" s="20">
        <v>6</v>
      </c>
      <c r="J23" s="6"/>
      <c r="O23" s="8"/>
      <c r="Q23" s="9"/>
    </row>
    <row r="24" spans="1:17" x14ac:dyDescent="0.2">
      <c r="B24" s="4"/>
      <c r="C24" s="3"/>
      <c r="J24" s="6"/>
      <c r="O24" s="8"/>
      <c r="Q24" s="9"/>
    </row>
    <row r="25" spans="1:17" x14ac:dyDescent="0.2">
      <c r="A25" s="1" t="s">
        <v>64</v>
      </c>
      <c r="J25" s="6"/>
      <c r="O25" s="8"/>
      <c r="Q25" s="9"/>
    </row>
    <row r="26" spans="1:17" x14ac:dyDescent="0.2">
      <c r="A26" s="1" t="s">
        <v>0</v>
      </c>
      <c r="B26" s="1" t="s">
        <v>20</v>
      </c>
      <c r="C26" s="1" t="s">
        <v>22</v>
      </c>
      <c r="D26" s="1" t="s">
        <v>65</v>
      </c>
      <c r="E26" s="1" t="s">
        <v>66</v>
      </c>
      <c r="J26" s="6"/>
      <c r="O26" s="8"/>
      <c r="Q26" s="9"/>
    </row>
    <row r="27" spans="1:17" ht="16" x14ac:dyDescent="0.2">
      <c r="A27" t="s">
        <v>11</v>
      </c>
      <c r="B27" s="27"/>
      <c r="C27" s="21">
        <v>400</v>
      </c>
      <c r="D27" s="21">
        <f>-1*(mowNoSheep-mowMax)*acres/maxflock</f>
        <v>-72</v>
      </c>
      <c r="E27" s="27"/>
      <c r="O27" s="8"/>
      <c r="Q27" s="9"/>
    </row>
    <row r="28" spans="1:17" ht="16" x14ac:dyDescent="0.2">
      <c r="A28" t="s">
        <v>12</v>
      </c>
      <c r="B28" s="27"/>
      <c r="C28" s="27"/>
      <c r="D28" s="27"/>
      <c r="E28" s="27">
        <v>14000</v>
      </c>
      <c r="O28" s="8"/>
      <c r="Q28" s="9"/>
    </row>
    <row r="29" spans="1:17" ht="16" x14ac:dyDescent="0.2">
      <c r="A29" t="s">
        <v>13</v>
      </c>
      <c r="B29" s="27"/>
      <c r="C29" s="27"/>
      <c r="D29" s="27">
        <v>15</v>
      </c>
      <c r="E29" s="27"/>
    </row>
    <row r="30" spans="1:17" ht="16" x14ac:dyDescent="0.2">
      <c r="A30" t="s">
        <v>14</v>
      </c>
      <c r="B30" s="27"/>
      <c r="C30" s="27"/>
      <c r="D30" s="27"/>
      <c r="E30" s="27">
        <f>200*27</f>
        <v>5400</v>
      </c>
    </row>
    <row r="31" spans="1:17" ht="16" x14ac:dyDescent="0.2">
      <c r="A31" t="s">
        <v>15</v>
      </c>
      <c r="B31" s="27"/>
      <c r="C31" s="27"/>
      <c r="D31" s="27">
        <v>10</v>
      </c>
      <c r="E31" s="27"/>
    </row>
    <row r="32" spans="1:17" ht="16" x14ac:dyDescent="0.2">
      <c r="A32" t="s">
        <v>16</v>
      </c>
      <c r="B32" s="27"/>
      <c r="C32" s="27"/>
      <c r="D32" s="27">
        <v>25</v>
      </c>
      <c r="E32" s="27"/>
      <c r="J32" s="7"/>
      <c r="K32" s="3"/>
      <c r="L32" s="7"/>
    </row>
    <row r="33" spans="1:12" ht="16" x14ac:dyDescent="0.2">
      <c r="A33" t="s">
        <v>17</v>
      </c>
      <c r="B33" s="27"/>
      <c r="C33" s="27"/>
      <c r="D33" s="27">
        <v>110</v>
      </c>
      <c r="E33" s="27"/>
      <c r="J33" s="5"/>
      <c r="K33" s="5"/>
      <c r="L33" s="5"/>
    </row>
    <row r="34" spans="1:12" ht="16" x14ac:dyDescent="0.2">
      <c r="A34" t="s">
        <v>100</v>
      </c>
      <c r="B34" s="27"/>
      <c r="C34" s="27"/>
      <c r="D34" s="27">
        <v>50</v>
      </c>
      <c r="E34" s="27">
        <v>50000</v>
      </c>
      <c r="I34" s="6"/>
      <c r="J34" s="5"/>
      <c r="K34" s="5"/>
      <c r="L34" s="5"/>
    </row>
    <row r="35" spans="1:12" ht="16" x14ac:dyDescent="0.2">
      <c r="A35" t="s">
        <v>18</v>
      </c>
      <c r="B35" s="27"/>
      <c r="C35" s="27"/>
      <c r="D35" s="27"/>
      <c r="E35" s="27">
        <v>600</v>
      </c>
      <c r="I35" s="6"/>
      <c r="J35" s="5"/>
      <c r="K35" s="5"/>
      <c r="L35" s="5"/>
    </row>
    <row r="36" spans="1:12" ht="16" x14ac:dyDescent="0.2">
      <c r="A36" t="s">
        <v>19</v>
      </c>
      <c r="B36" s="27">
        <v>15000</v>
      </c>
      <c r="C36" s="27"/>
      <c r="D36" s="27"/>
      <c r="E36" s="27"/>
      <c r="I36" s="6"/>
      <c r="J36" s="5"/>
      <c r="K36" s="5"/>
      <c r="L36" s="5"/>
    </row>
    <row r="37" spans="1:12" ht="16" x14ac:dyDescent="0.2">
      <c r="A37" t="s">
        <v>101</v>
      </c>
      <c r="B37" s="27">
        <f>500*27</f>
        <v>13500</v>
      </c>
      <c r="C37" s="27"/>
      <c r="D37" s="27"/>
      <c r="E37" s="27"/>
      <c r="I37" s="6"/>
      <c r="J37" s="5"/>
      <c r="K37" s="5"/>
      <c r="L37" s="5"/>
    </row>
    <row r="38" spans="1:12" ht="16" x14ac:dyDescent="0.2">
      <c r="A38" t="s">
        <v>1</v>
      </c>
      <c r="B38" s="17">
        <f>SUM(B27:B37)</f>
        <v>28500</v>
      </c>
      <c r="C38" s="16">
        <f>SUM(C27:C37)</f>
        <v>400</v>
      </c>
      <c r="D38" s="16">
        <f t="shared" ref="D38:E38" si="0">SUM(D27:D37)</f>
        <v>138</v>
      </c>
      <c r="E38" s="16">
        <f t="shared" si="0"/>
        <v>70000</v>
      </c>
      <c r="I38" s="6"/>
      <c r="J38" s="5"/>
      <c r="K38" s="5"/>
      <c r="L38" s="5"/>
    </row>
    <row r="39" spans="1:12" x14ac:dyDescent="0.2">
      <c r="I39" s="6"/>
      <c r="J39" s="5"/>
      <c r="K39" s="5"/>
      <c r="L39" s="5"/>
    </row>
    <row r="41" spans="1:12" x14ac:dyDescent="0.2">
      <c r="A41" t="s">
        <v>82</v>
      </c>
    </row>
    <row r="42" spans="1:12" x14ac:dyDescent="0.2">
      <c r="A42" t="s">
        <v>24</v>
      </c>
      <c r="B42" t="s">
        <v>83</v>
      </c>
      <c r="C42" t="s">
        <v>84</v>
      </c>
      <c r="D42" t="s">
        <v>85</v>
      </c>
    </row>
    <row r="43" spans="1:12" x14ac:dyDescent="0.2">
      <c r="A43">
        <v>0</v>
      </c>
      <c r="B43" s="6">
        <f ca="1">OFFSET(Analysis!$B$12,0,Attributes!A43)</f>
        <v>100</v>
      </c>
      <c r="C43" s="5">
        <f ca="1">OFFSET(Analysis!$B$31,0,Attributes!A43)</f>
        <v>-28500</v>
      </c>
      <c r="D43" s="5">
        <f ca="1">OFFSET(Analysis!$B$41,0,Attributes!A43)</f>
        <v>-28500</v>
      </c>
    </row>
    <row r="44" spans="1:12" x14ac:dyDescent="0.2">
      <c r="A44">
        <v>1</v>
      </c>
      <c r="B44" s="6">
        <f ca="1">OFFSET(Analysis!$B$12,0,Attributes!A44)</f>
        <v>167</v>
      </c>
      <c r="C44" s="5">
        <f ca="1">OFFSET(Analysis!$B$31,0,Attributes!A44)</f>
        <v>-65923</v>
      </c>
      <c r="D44" s="5">
        <f ca="1">OFFSET(Analysis!$B$41,0,Attributes!A44)</f>
        <v>39292.15365251882</v>
      </c>
    </row>
    <row r="45" spans="1:12" x14ac:dyDescent="0.2">
      <c r="A45">
        <v>2</v>
      </c>
      <c r="B45" s="6">
        <f ca="1">OFFSET(Analysis!$B$12,0,Attributes!A45)</f>
        <v>278.89000000000004</v>
      </c>
      <c r="C45" s="5">
        <f ca="1">OFFSET(Analysis!$B$31,0,Attributes!A45)</f>
        <v>-61851.41</v>
      </c>
      <c r="D45" s="5">
        <f ca="1">OFFSET(Analysis!$B$41,0,Attributes!A45)</f>
        <v>39292.15365251882</v>
      </c>
    </row>
    <row r="46" spans="1:12" x14ac:dyDescent="0.2">
      <c r="A46">
        <v>3</v>
      </c>
      <c r="B46" s="6">
        <f ca="1">OFFSET(Analysis!$B$12,0,Attributes!A46)</f>
        <v>465.74630000000002</v>
      </c>
      <c r="C46" s="5">
        <f ca="1">OFFSET(Analysis!$B$31,0,Attributes!A46)</f>
        <v>-55051.854700000011</v>
      </c>
      <c r="D46" s="5">
        <f ca="1">OFFSET(Analysis!$B$41,0,Attributes!A46)</f>
        <v>39292.15365251882</v>
      </c>
    </row>
    <row r="47" spans="1:12" x14ac:dyDescent="0.2">
      <c r="A47">
        <v>4</v>
      </c>
      <c r="B47" s="6">
        <f ca="1">OFFSET(Analysis!$B$12,0,Attributes!A47)</f>
        <v>500</v>
      </c>
      <c r="C47" s="5">
        <f ca="1">OFFSET(Analysis!$B$31,0,Attributes!A47)</f>
        <v>44920.429049999977</v>
      </c>
      <c r="D47" s="5">
        <f ca="1">OFFSET(Analysis!$B$41,0,Attributes!A47)</f>
        <v>39292.15365251882</v>
      </c>
    </row>
    <row r="48" spans="1:12" x14ac:dyDescent="0.2">
      <c r="A48">
        <v>5</v>
      </c>
      <c r="B48" s="6">
        <f ca="1">OFFSET(Analysis!$B$12,0,Attributes!A48)</f>
        <v>500</v>
      </c>
      <c r="C48" s="5">
        <f ca="1">OFFSET(Analysis!$B$31,0,Attributes!A48)</f>
        <v>65250</v>
      </c>
      <c r="D48" s="5">
        <f ca="1">OFFSET(Analysis!$B$41,0,Attributes!A48)</f>
        <v>39292.15365251882</v>
      </c>
    </row>
    <row r="49" spans="1:4" x14ac:dyDescent="0.2">
      <c r="A49">
        <v>6</v>
      </c>
      <c r="B49" s="6">
        <f ca="1">OFFSET(Analysis!$B$12,0,Attributes!A49)</f>
        <v>500</v>
      </c>
      <c r="C49" s="5">
        <f ca="1">OFFSET(Analysis!$B$31,0,Attributes!A49)</f>
        <v>65250</v>
      </c>
      <c r="D49" s="5">
        <f ca="1">OFFSET(Analysis!$B$41,0,Attributes!A49)</f>
        <v>39292.15365251882</v>
      </c>
    </row>
    <row r="50" spans="1:4" x14ac:dyDescent="0.2">
      <c r="A50">
        <v>7</v>
      </c>
      <c r="B50" s="6">
        <f ca="1">OFFSET(Analysis!$B$12,0,Attributes!A50)</f>
        <v>500</v>
      </c>
      <c r="C50" s="5">
        <f ca="1">OFFSET(Analysis!$B$31,0,Attributes!A50)</f>
        <v>65250</v>
      </c>
      <c r="D50" s="5">
        <f ca="1">OFFSET(Analysis!$B$41,0,Attributes!A50)</f>
        <v>65250</v>
      </c>
    </row>
    <row r="51" spans="1:4" x14ac:dyDescent="0.2">
      <c r="A51">
        <v>8</v>
      </c>
      <c r="B51" s="6">
        <f ca="1">OFFSET(Analysis!$B$12,0,Attributes!A51)</f>
        <v>500</v>
      </c>
      <c r="C51" s="5">
        <f ca="1">OFFSET(Analysis!$B$31,0,Attributes!A51)</f>
        <v>65250</v>
      </c>
      <c r="D51" s="5">
        <f ca="1">OFFSET(Analysis!$B$41,0,Attributes!A51)</f>
        <v>65250</v>
      </c>
    </row>
    <row r="52" spans="1:4" x14ac:dyDescent="0.2">
      <c r="A52">
        <v>9</v>
      </c>
      <c r="B52" s="6">
        <f ca="1">OFFSET(Analysis!$B$12,0,Attributes!A52)</f>
        <v>500</v>
      </c>
      <c r="C52" s="5">
        <f ca="1">OFFSET(Analysis!$B$31,0,Attributes!A52)</f>
        <v>65250</v>
      </c>
      <c r="D52" s="5">
        <f ca="1">OFFSET(Analysis!$B$41,0,Attributes!A52)</f>
        <v>65250</v>
      </c>
    </row>
    <row r="53" spans="1:4" x14ac:dyDescent="0.2">
      <c r="A53">
        <v>10</v>
      </c>
      <c r="B53" s="6">
        <f ca="1">OFFSET(Analysis!$B$12,0,Attributes!A53)</f>
        <v>500</v>
      </c>
      <c r="C53" s="5">
        <f ca="1">OFFSET(Analysis!$B$31,0,Attributes!A53)</f>
        <v>65250</v>
      </c>
      <c r="D53" s="5">
        <f ca="1">OFFSET(Analysis!$B$41,0,Attributes!A53)</f>
        <v>65250</v>
      </c>
    </row>
  </sheetData>
  <hyperlinks>
    <hyperlink ref="E17" r:id="rId1" display="mailto:caleb@scottscape.net" xr:uid="{E0B40B36-367A-4525-A302-381E0B749E44}"/>
    <hyperlink ref="E7" r:id="rId2" xr:uid="{64B5C68F-712B-4B88-809F-5D833D56A8F6}"/>
    <hyperlink ref="F17" r:id="rId3" xr:uid="{1767B640-9207-1A4B-B65C-EB6EE60161CC}"/>
    <hyperlink ref="F16" r:id="rId4" xr:uid="{33702EDA-8D96-0D4F-9C41-10D1E74DD73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2514-436C-BC4A-9C8F-6AE668582089}">
  <dimension ref="A1:R41"/>
  <sheetViews>
    <sheetView showGridLines="0" tabSelected="1" workbookViewId="0">
      <selection activeCell="N20" sqref="N20"/>
    </sheetView>
  </sheetViews>
  <sheetFormatPr baseColWidth="10" defaultColWidth="11.5" defaultRowHeight="15" x14ac:dyDescent="0.2"/>
  <cols>
    <col min="1" max="1" width="18.1640625" bestFit="1" customWidth="1"/>
    <col min="2" max="2" width="13.83203125" bestFit="1" customWidth="1"/>
    <col min="3" max="3" width="11.1640625" bestFit="1" customWidth="1"/>
  </cols>
  <sheetData>
    <row r="1" spans="1:18" ht="21" x14ac:dyDescent="0.25">
      <c r="A1" s="11" t="s">
        <v>97</v>
      </c>
    </row>
    <row r="2" spans="1:18" ht="21" x14ac:dyDescent="0.25">
      <c r="A2" s="11"/>
    </row>
    <row r="3" spans="1:18" ht="19" x14ac:dyDescent="0.25">
      <c r="A3" s="2" t="s">
        <v>41</v>
      </c>
      <c r="B3" s="1"/>
      <c r="C3" s="1" t="s">
        <v>43</v>
      </c>
      <c r="D3" s="1"/>
      <c r="E3" s="1"/>
      <c r="F3" s="1"/>
      <c r="G3" s="1"/>
      <c r="H3" s="1"/>
      <c r="I3" s="1"/>
      <c r="J3" s="1"/>
      <c r="K3" s="1"/>
      <c r="L3" s="1"/>
    </row>
    <row r="4" spans="1:18" x14ac:dyDescent="0.2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</row>
    <row r="5" spans="1:18" ht="17" thickBot="1" x14ac:dyDescent="0.25">
      <c r="A5" s="1" t="s">
        <v>42</v>
      </c>
      <c r="C5" s="30">
        <f>beginFlock</f>
        <v>100</v>
      </c>
      <c r="D5" s="15">
        <f>C12</f>
        <v>167</v>
      </c>
      <c r="E5" s="15">
        <f t="shared" ref="E5:L5" si="0">D12</f>
        <v>278.89000000000004</v>
      </c>
      <c r="F5" s="15">
        <f t="shared" si="0"/>
        <v>465.74630000000002</v>
      </c>
      <c r="G5" s="15">
        <f t="shared" si="0"/>
        <v>500</v>
      </c>
      <c r="H5" s="15">
        <f t="shared" si="0"/>
        <v>500</v>
      </c>
      <c r="I5" s="15">
        <f t="shared" si="0"/>
        <v>500</v>
      </c>
      <c r="J5" s="15">
        <f t="shared" si="0"/>
        <v>500</v>
      </c>
      <c r="K5" s="15">
        <f t="shared" si="0"/>
        <v>500</v>
      </c>
      <c r="L5" s="15">
        <f t="shared" si="0"/>
        <v>500</v>
      </c>
    </row>
    <row r="6" spans="1:18" ht="17" thickTop="1" x14ac:dyDescent="0.2">
      <c r="A6" t="s">
        <v>45</v>
      </c>
      <c r="C6" s="13">
        <f t="shared" ref="C6:L6" si="1">C5*repro/2</f>
        <v>90</v>
      </c>
      <c r="D6" s="13">
        <f t="shared" si="1"/>
        <v>150.30000000000001</v>
      </c>
      <c r="E6" s="13">
        <f t="shared" si="1"/>
        <v>251.00100000000003</v>
      </c>
      <c r="F6" s="13">
        <f t="shared" si="1"/>
        <v>419.17167000000001</v>
      </c>
      <c r="G6" s="13">
        <f t="shared" si="1"/>
        <v>450</v>
      </c>
      <c r="H6" s="13">
        <f t="shared" si="1"/>
        <v>450</v>
      </c>
      <c r="I6" s="13">
        <f t="shared" si="1"/>
        <v>450</v>
      </c>
      <c r="J6" s="13">
        <f t="shared" si="1"/>
        <v>450</v>
      </c>
      <c r="K6" s="13">
        <f t="shared" si="1"/>
        <v>450</v>
      </c>
      <c r="L6" s="13">
        <f t="shared" si="1"/>
        <v>450</v>
      </c>
      <c r="R6" t="s">
        <v>102</v>
      </c>
    </row>
    <row r="7" spans="1:18" ht="16" x14ac:dyDescent="0.2">
      <c r="A7" t="s">
        <v>46</v>
      </c>
      <c r="C7" s="13">
        <f t="shared" ref="C7:L7" si="2">C5*repro/2</f>
        <v>90</v>
      </c>
      <c r="D7" s="13">
        <f t="shared" si="2"/>
        <v>150.30000000000001</v>
      </c>
      <c r="E7" s="13">
        <f t="shared" si="2"/>
        <v>251.00100000000003</v>
      </c>
      <c r="F7" s="13">
        <f t="shared" si="2"/>
        <v>419.17167000000001</v>
      </c>
      <c r="G7" s="13">
        <f t="shared" si="2"/>
        <v>450</v>
      </c>
      <c r="H7" s="13">
        <f t="shared" si="2"/>
        <v>450</v>
      </c>
      <c r="I7" s="13">
        <f t="shared" si="2"/>
        <v>450</v>
      </c>
      <c r="J7" s="13">
        <f t="shared" si="2"/>
        <v>450</v>
      </c>
      <c r="K7" s="13">
        <f t="shared" si="2"/>
        <v>450</v>
      </c>
      <c r="L7" s="13">
        <f t="shared" si="2"/>
        <v>450</v>
      </c>
    </row>
    <row r="8" spans="1:18" ht="16" x14ac:dyDescent="0.2">
      <c r="A8" t="s">
        <v>29</v>
      </c>
      <c r="C8" s="13">
        <f t="shared" ref="C8:L8" si="3">C5*death</f>
        <v>3</v>
      </c>
      <c r="D8" s="13">
        <f t="shared" si="3"/>
        <v>5.01</v>
      </c>
      <c r="E8" s="13">
        <f t="shared" si="3"/>
        <v>8.3667000000000016</v>
      </c>
      <c r="F8" s="13">
        <f t="shared" si="3"/>
        <v>13.972389</v>
      </c>
      <c r="G8" s="13">
        <f t="shared" si="3"/>
        <v>15</v>
      </c>
      <c r="H8" s="13">
        <f t="shared" si="3"/>
        <v>15</v>
      </c>
      <c r="I8" s="13">
        <f t="shared" si="3"/>
        <v>15</v>
      </c>
      <c r="J8" s="13">
        <f t="shared" si="3"/>
        <v>15</v>
      </c>
      <c r="K8" s="13">
        <f t="shared" si="3"/>
        <v>15</v>
      </c>
      <c r="L8" s="13">
        <f t="shared" si="3"/>
        <v>15</v>
      </c>
    </row>
    <row r="9" spans="1:18" ht="16" x14ac:dyDescent="0.2">
      <c r="A9" t="s">
        <v>30</v>
      </c>
      <c r="C9" s="13">
        <f t="shared" ref="C9:L9" si="4">cull*C5</f>
        <v>20</v>
      </c>
      <c r="D9" s="13">
        <f t="shared" si="4"/>
        <v>33.4</v>
      </c>
      <c r="E9" s="13">
        <f t="shared" si="4"/>
        <v>55.778000000000013</v>
      </c>
      <c r="F9" s="13">
        <f t="shared" si="4"/>
        <v>93.149260000000012</v>
      </c>
      <c r="G9" s="13">
        <f t="shared" si="4"/>
        <v>100</v>
      </c>
      <c r="H9" s="13">
        <f t="shared" si="4"/>
        <v>100</v>
      </c>
      <c r="I9" s="13">
        <f t="shared" si="4"/>
        <v>100</v>
      </c>
      <c r="J9" s="13">
        <f t="shared" si="4"/>
        <v>100</v>
      </c>
      <c r="K9" s="13">
        <f t="shared" si="4"/>
        <v>100</v>
      </c>
      <c r="L9" s="13">
        <f t="shared" si="4"/>
        <v>100</v>
      </c>
    </row>
    <row r="10" spans="1:18" ht="16" x14ac:dyDescent="0.2">
      <c r="A10" t="s">
        <v>31</v>
      </c>
      <c r="C10" s="13">
        <f>C8+C9</f>
        <v>23</v>
      </c>
      <c r="D10" s="13">
        <f>D8+D9</f>
        <v>38.409999999999997</v>
      </c>
      <c r="E10" s="13">
        <f t="shared" ref="E10:L10" si="5">E8+E9</f>
        <v>64.144700000000014</v>
      </c>
      <c r="F10" s="13">
        <f t="shared" si="5"/>
        <v>107.12164900000002</v>
      </c>
      <c r="G10" s="13">
        <f t="shared" si="5"/>
        <v>115</v>
      </c>
      <c r="H10" s="13">
        <f t="shared" si="5"/>
        <v>115</v>
      </c>
      <c r="I10" s="13">
        <f t="shared" si="5"/>
        <v>115</v>
      </c>
      <c r="J10" s="13">
        <f t="shared" si="5"/>
        <v>115</v>
      </c>
      <c r="K10" s="13">
        <f t="shared" si="5"/>
        <v>115</v>
      </c>
      <c r="L10" s="13">
        <f t="shared" si="5"/>
        <v>115</v>
      </c>
    </row>
    <row r="11" spans="1:18" ht="16" x14ac:dyDescent="0.2">
      <c r="A11" t="s">
        <v>33</v>
      </c>
      <c r="C11" s="13">
        <f t="shared" ref="C11:L11" si="6">MAX(0,C5+C6-C10-maxflock)</f>
        <v>0</v>
      </c>
      <c r="D11" s="13">
        <f t="shared" si="6"/>
        <v>0</v>
      </c>
      <c r="E11" s="13">
        <f t="shared" si="6"/>
        <v>0</v>
      </c>
      <c r="F11" s="13">
        <f t="shared" si="6"/>
        <v>277.79632099999992</v>
      </c>
      <c r="G11" s="13">
        <f t="shared" si="6"/>
        <v>335</v>
      </c>
      <c r="H11" s="13">
        <f t="shared" si="6"/>
        <v>335</v>
      </c>
      <c r="I11" s="13">
        <f t="shared" si="6"/>
        <v>335</v>
      </c>
      <c r="J11" s="13">
        <f t="shared" si="6"/>
        <v>335</v>
      </c>
      <c r="K11" s="13">
        <f t="shared" si="6"/>
        <v>335</v>
      </c>
      <c r="L11" s="13">
        <f t="shared" si="6"/>
        <v>335</v>
      </c>
    </row>
    <row r="12" spans="1:18" ht="17" thickBot="1" x14ac:dyDescent="0.25">
      <c r="A12" s="1" t="s">
        <v>44</v>
      </c>
      <c r="B12" s="30">
        <f>beginFlock</f>
        <v>100</v>
      </c>
      <c r="C12" s="14">
        <f>C5+C6-C8-C9-C11</f>
        <v>167</v>
      </c>
      <c r="D12" s="14">
        <f>D5+D6-D8-D9-D11</f>
        <v>278.89000000000004</v>
      </c>
      <c r="E12" s="14">
        <f t="shared" ref="E12:L12" si="7">E5+E6-E8-E9-E11</f>
        <v>465.74630000000002</v>
      </c>
      <c r="F12" s="14">
        <f>F5+F6-F8-F9-F11</f>
        <v>500</v>
      </c>
      <c r="G12" s="14">
        <f t="shared" si="7"/>
        <v>500</v>
      </c>
      <c r="H12" s="14">
        <f t="shared" si="7"/>
        <v>500</v>
      </c>
      <c r="I12" s="14">
        <f t="shared" si="7"/>
        <v>500</v>
      </c>
      <c r="J12" s="14">
        <f t="shared" si="7"/>
        <v>500</v>
      </c>
      <c r="K12" s="14">
        <f t="shared" si="7"/>
        <v>500</v>
      </c>
      <c r="L12" s="14">
        <f t="shared" si="7"/>
        <v>500</v>
      </c>
    </row>
    <row r="13" spans="1:18" ht="16" thickTop="1" x14ac:dyDescent="0.2"/>
    <row r="14" spans="1:18" ht="19" x14ac:dyDescent="0.25">
      <c r="A14" s="2" t="s">
        <v>39</v>
      </c>
      <c r="B14" s="1"/>
      <c r="C14" s="1" t="s">
        <v>43</v>
      </c>
      <c r="D14" s="1"/>
      <c r="E14" s="1"/>
      <c r="F14" s="1"/>
      <c r="G14" s="1"/>
      <c r="H14" s="1"/>
      <c r="I14" s="1"/>
      <c r="J14" s="1"/>
      <c r="K14" s="1"/>
      <c r="L14" s="1"/>
    </row>
    <row r="15" spans="1:18" x14ac:dyDescent="0.2">
      <c r="B15" s="1" t="s">
        <v>40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</row>
    <row r="16" spans="1:18" ht="17" thickBot="1" x14ac:dyDescent="0.25">
      <c r="A16" t="s">
        <v>22</v>
      </c>
      <c r="B16" s="12">
        <f>Attributes!C38</f>
        <v>400</v>
      </c>
      <c r="C16" s="16">
        <f>acres*Analysis!$B16</f>
        <v>40000</v>
      </c>
      <c r="D16" s="16">
        <f>acres*Analysis!$B16</f>
        <v>40000</v>
      </c>
      <c r="E16" s="16">
        <f>acres*Analysis!$B16</f>
        <v>40000</v>
      </c>
      <c r="F16" s="16">
        <f>acres*Analysis!$B16</f>
        <v>40000</v>
      </c>
      <c r="G16" s="16">
        <f>acres*Analysis!$B16</f>
        <v>40000</v>
      </c>
      <c r="H16" s="16">
        <f>acres*Analysis!$B16</f>
        <v>40000</v>
      </c>
      <c r="I16" s="16">
        <f>acres*Analysis!$B16</f>
        <v>40000</v>
      </c>
      <c r="J16" s="16">
        <f>acres*Analysis!$B16</f>
        <v>40000</v>
      </c>
      <c r="K16" s="16">
        <f>acres*Analysis!$B16</f>
        <v>40000</v>
      </c>
      <c r="L16" s="16">
        <f>acres*Analysis!$B16</f>
        <v>40000</v>
      </c>
    </row>
    <row r="17" spans="1:12" ht="18" thickTop="1" thickBot="1" x14ac:dyDescent="0.25">
      <c r="A17" t="s">
        <v>21</v>
      </c>
      <c r="B17" s="12">
        <f>Attributes!D38</f>
        <v>138</v>
      </c>
      <c r="C17" s="16">
        <f t="shared" ref="C17:L17" si="8">$B17*(C5+C12)/2</f>
        <v>18423</v>
      </c>
      <c r="D17" s="16">
        <f t="shared" si="8"/>
        <v>30766.410000000003</v>
      </c>
      <c r="E17" s="16">
        <f t="shared" si="8"/>
        <v>51379.904700000006</v>
      </c>
      <c r="F17" s="16">
        <f t="shared" si="8"/>
        <v>66636.494699999996</v>
      </c>
      <c r="G17" s="16">
        <f t="shared" si="8"/>
        <v>69000</v>
      </c>
      <c r="H17" s="16">
        <f t="shared" si="8"/>
        <v>69000</v>
      </c>
      <c r="I17" s="16">
        <f t="shared" si="8"/>
        <v>69000</v>
      </c>
      <c r="J17" s="16">
        <f t="shared" si="8"/>
        <v>69000</v>
      </c>
      <c r="K17" s="16">
        <f t="shared" si="8"/>
        <v>69000</v>
      </c>
      <c r="L17" s="16">
        <f t="shared" si="8"/>
        <v>69000</v>
      </c>
    </row>
    <row r="18" spans="1:12" ht="18" thickTop="1" thickBot="1" x14ac:dyDescent="0.25">
      <c r="A18" t="s">
        <v>23</v>
      </c>
      <c r="B18" s="12">
        <f>Attributes!E38</f>
        <v>70000</v>
      </c>
      <c r="C18" s="16">
        <f>B18</f>
        <v>70000</v>
      </c>
      <c r="D18" s="16">
        <f t="shared" ref="D18:L18" si="9">C18</f>
        <v>70000</v>
      </c>
      <c r="E18" s="16">
        <f t="shared" si="9"/>
        <v>70000</v>
      </c>
      <c r="F18" s="16">
        <f t="shared" si="9"/>
        <v>70000</v>
      </c>
      <c r="G18" s="16">
        <f t="shared" si="9"/>
        <v>70000</v>
      </c>
      <c r="H18" s="16">
        <f t="shared" si="9"/>
        <v>70000</v>
      </c>
      <c r="I18" s="16">
        <f t="shared" si="9"/>
        <v>70000</v>
      </c>
      <c r="J18" s="16">
        <f t="shared" si="9"/>
        <v>70000</v>
      </c>
      <c r="K18" s="16">
        <f t="shared" si="9"/>
        <v>70000</v>
      </c>
      <c r="L18" s="16">
        <f t="shared" si="9"/>
        <v>70000</v>
      </c>
    </row>
    <row r="19" spans="1:12" ht="17" thickTop="1" x14ac:dyDescent="0.2">
      <c r="A19" t="s">
        <v>1</v>
      </c>
      <c r="B19" s="7"/>
      <c r="C19" s="17">
        <f t="shared" ref="C19:L19" si="10">SUM(C16:C18)</f>
        <v>128423</v>
      </c>
      <c r="D19" s="17">
        <f t="shared" si="10"/>
        <v>140766.41</v>
      </c>
      <c r="E19" s="17">
        <f t="shared" si="10"/>
        <v>161379.90470000001</v>
      </c>
      <c r="F19" s="17">
        <f t="shared" si="10"/>
        <v>176636.49469999998</v>
      </c>
      <c r="G19" s="17">
        <f t="shared" si="10"/>
        <v>179000</v>
      </c>
      <c r="H19" s="17">
        <f t="shared" si="10"/>
        <v>179000</v>
      </c>
      <c r="I19" s="17">
        <f t="shared" si="10"/>
        <v>179000</v>
      </c>
      <c r="J19" s="17">
        <f t="shared" si="10"/>
        <v>179000</v>
      </c>
      <c r="K19" s="17">
        <f t="shared" si="10"/>
        <v>179000</v>
      </c>
      <c r="L19" s="17">
        <f t="shared" si="10"/>
        <v>179000</v>
      </c>
    </row>
    <row r="20" spans="1:12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ht="19" x14ac:dyDescent="0.25">
      <c r="A21" s="2" t="s">
        <v>2</v>
      </c>
      <c r="B21" s="1"/>
      <c r="C21" s="1" t="s">
        <v>43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B22" s="1" t="s">
        <v>49</v>
      </c>
      <c r="C22" s="1">
        <v>1</v>
      </c>
      <c r="D22" s="1">
        <v>2</v>
      </c>
      <c r="E22" s="1">
        <v>3</v>
      </c>
      <c r="F22" s="1">
        <v>4</v>
      </c>
      <c r="G22" s="1">
        <v>5</v>
      </c>
      <c r="H22" s="1">
        <v>6</v>
      </c>
      <c r="I22" s="1">
        <v>7</v>
      </c>
      <c r="J22" s="1">
        <v>8</v>
      </c>
      <c r="K22" s="1">
        <v>9</v>
      </c>
      <c r="L22" s="1">
        <v>10</v>
      </c>
    </row>
    <row r="23" spans="1:12" ht="16" x14ac:dyDescent="0.2">
      <c r="A23" t="s">
        <v>10</v>
      </c>
      <c r="C23" s="16">
        <f t="shared" ref="C23:L23" si="11">acres*revperacre</f>
        <v>38000</v>
      </c>
      <c r="D23" s="16">
        <f t="shared" si="11"/>
        <v>38000</v>
      </c>
      <c r="E23" s="16">
        <f t="shared" si="11"/>
        <v>38000</v>
      </c>
      <c r="F23" s="16">
        <f t="shared" si="11"/>
        <v>38000</v>
      </c>
      <c r="G23" s="16">
        <f t="shared" si="11"/>
        <v>38000</v>
      </c>
      <c r="H23" s="16">
        <f t="shared" si="11"/>
        <v>38000</v>
      </c>
      <c r="I23" s="16">
        <f t="shared" si="11"/>
        <v>38000</v>
      </c>
      <c r="J23" s="16">
        <f t="shared" si="11"/>
        <v>38000</v>
      </c>
      <c r="K23" s="16">
        <f t="shared" si="11"/>
        <v>38000</v>
      </c>
      <c r="L23" s="16">
        <f t="shared" si="11"/>
        <v>38000</v>
      </c>
    </row>
    <row r="24" spans="1:12" ht="16" x14ac:dyDescent="0.2">
      <c r="A24" t="s">
        <v>47</v>
      </c>
      <c r="C24" s="16">
        <f t="shared" ref="C24:L24" si="12">revRamLamb*C7</f>
        <v>22500</v>
      </c>
      <c r="D24" s="16">
        <f t="shared" si="12"/>
        <v>37575</v>
      </c>
      <c r="E24" s="16">
        <f t="shared" si="12"/>
        <v>62750.250000000007</v>
      </c>
      <c r="F24" s="16">
        <f t="shared" si="12"/>
        <v>104792.9175</v>
      </c>
      <c r="G24" s="16">
        <f t="shared" si="12"/>
        <v>112500</v>
      </c>
      <c r="H24" s="16">
        <f t="shared" si="12"/>
        <v>112500</v>
      </c>
      <c r="I24" s="16">
        <f t="shared" si="12"/>
        <v>112500</v>
      </c>
      <c r="J24" s="16">
        <f t="shared" si="12"/>
        <v>112500</v>
      </c>
      <c r="K24" s="16">
        <f t="shared" si="12"/>
        <v>112500</v>
      </c>
      <c r="L24" s="16">
        <f t="shared" si="12"/>
        <v>112500</v>
      </c>
    </row>
    <row r="25" spans="1:12" ht="16" x14ac:dyDescent="0.2">
      <c r="A25" t="s">
        <v>32</v>
      </c>
      <c r="C25" s="16">
        <f t="shared" ref="C25:L25" si="13">revCull*C9</f>
        <v>2000</v>
      </c>
      <c r="D25" s="16">
        <f t="shared" si="13"/>
        <v>3340</v>
      </c>
      <c r="E25" s="16">
        <f t="shared" si="13"/>
        <v>5577.8000000000011</v>
      </c>
      <c r="F25" s="16">
        <f t="shared" si="13"/>
        <v>9314.9260000000013</v>
      </c>
      <c r="G25" s="16">
        <f t="shared" si="13"/>
        <v>10000</v>
      </c>
      <c r="H25" s="16">
        <f t="shared" si="13"/>
        <v>10000</v>
      </c>
      <c r="I25" s="16">
        <f t="shared" si="13"/>
        <v>10000</v>
      </c>
      <c r="J25" s="16">
        <f t="shared" si="13"/>
        <v>10000</v>
      </c>
      <c r="K25" s="16">
        <f t="shared" si="13"/>
        <v>10000</v>
      </c>
      <c r="L25" s="16">
        <f t="shared" si="13"/>
        <v>10000</v>
      </c>
    </row>
    <row r="26" spans="1:12" ht="16" x14ac:dyDescent="0.2">
      <c r="A26" t="s">
        <v>48</v>
      </c>
      <c r="C26" s="16">
        <f t="shared" ref="C26:L26" si="14">revEweLamb*C11</f>
        <v>0</v>
      </c>
      <c r="D26" s="16">
        <f t="shared" si="14"/>
        <v>0</v>
      </c>
      <c r="E26" s="16">
        <f t="shared" si="14"/>
        <v>0</v>
      </c>
      <c r="F26" s="16">
        <f t="shared" si="14"/>
        <v>69449.080249999985</v>
      </c>
      <c r="G26" s="16">
        <f t="shared" si="14"/>
        <v>83750</v>
      </c>
      <c r="H26" s="16">
        <f t="shared" si="14"/>
        <v>83750</v>
      </c>
      <c r="I26" s="16">
        <f t="shared" si="14"/>
        <v>83750</v>
      </c>
      <c r="J26" s="16">
        <f t="shared" si="14"/>
        <v>83750</v>
      </c>
      <c r="K26" s="16">
        <f t="shared" si="14"/>
        <v>83750</v>
      </c>
      <c r="L26" s="16">
        <f t="shared" si="14"/>
        <v>83750</v>
      </c>
    </row>
    <row r="27" spans="1:12" ht="16" x14ac:dyDescent="0.2">
      <c r="A27" t="s">
        <v>1</v>
      </c>
      <c r="C27" s="17">
        <f>SUM(C23:C26)</f>
        <v>62500</v>
      </c>
      <c r="D27" s="17">
        <f t="shared" ref="D27:L27" si="15">SUM(D23:D26)</f>
        <v>78915</v>
      </c>
      <c r="E27" s="17">
        <f t="shared" si="15"/>
        <v>106328.05</v>
      </c>
      <c r="F27" s="17">
        <f t="shared" si="15"/>
        <v>221556.92374999996</v>
      </c>
      <c r="G27" s="17">
        <f t="shared" si="15"/>
        <v>244250</v>
      </c>
      <c r="H27" s="17">
        <f t="shared" si="15"/>
        <v>244250</v>
      </c>
      <c r="I27" s="17">
        <f t="shared" si="15"/>
        <v>244250</v>
      </c>
      <c r="J27" s="17">
        <f t="shared" si="15"/>
        <v>244250</v>
      </c>
      <c r="K27" s="17">
        <f t="shared" si="15"/>
        <v>244250</v>
      </c>
      <c r="L27" s="17">
        <f t="shared" si="15"/>
        <v>244250</v>
      </c>
    </row>
    <row r="29" spans="1:12" ht="19" x14ac:dyDescent="0.25">
      <c r="A29" s="2" t="s">
        <v>25</v>
      </c>
      <c r="B29" s="1" t="s">
        <v>43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B30" s="1" t="s">
        <v>50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</row>
    <row r="31" spans="1:12" ht="16" x14ac:dyDescent="0.2">
      <c r="A31" t="s">
        <v>1</v>
      </c>
      <c r="B31" s="17">
        <f>Attributes!B38*-1</f>
        <v>-28500</v>
      </c>
      <c r="C31" s="17">
        <f>C27-C19</f>
        <v>-65923</v>
      </c>
      <c r="D31" s="17">
        <f t="shared" ref="D31:L31" si="16">D27-D19</f>
        <v>-61851.41</v>
      </c>
      <c r="E31" s="17">
        <f t="shared" si="16"/>
        <v>-55051.854700000011</v>
      </c>
      <c r="F31" s="17">
        <f t="shared" si="16"/>
        <v>44920.429049999977</v>
      </c>
      <c r="G31" s="17">
        <f t="shared" si="16"/>
        <v>65250</v>
      </c>
      <c r="H31" s="17">
        <f t="shared" si="16"/>
        <v>65250</v>
      </c>
      <c r="I31" s="17">
        <f t="shared" si="16"/>
        <v>65250</v>
      </c>
      <c r="J31" s="17">
        <f t="shared" si="16"/>
        <v>65250</v>
      </c>
      <c r="K31" s="17">
        <f t="shared" si="16"/>
        <v>65250</v>
      </c>
      <c r="L31" s="17">
        <f t="shared" si="16"/>
        <v>65250</v>
      </c>
    </row>
    <row r="33" spans="1:12" ht="19" x14ac:dyDescent="0.25">
      <c r="A33" s="2" t="s">
        <v>55</v>
      </c>
    </row>
    <row r="35" spans="1:12" ht="16" x14ac:dyDescent="0.2">
      <c r="A35" t="s">
        <v>51</v>
      </c>
      <c r="B35" s="13">
        <f>maxflock-C5</f>
        <v>400</v>
      </c>
    </row>
    <row r="36" spans="1:12" ht="16" x14ac:dyDescent="0.2">
      <c r="A36" t="s">
        <v>52</v>
      </c>
      <c r="B36" s="21">
        <f>B35*eweCost</f>
        <v>120000</v>
      </c>
    </row>
    <row r="37" spans="1:12" ht="17" thickBot="1" x14ac:dyDescent="0.25">
      <c r="A37" t="s">
        <v>63</v>
      </c>
      <c r="B37" s="29">
        <f>L31</f>
        <v>65250</v>
      </c>
    </row>
    <row r="38" spans="1:12" ht="16" thickTop="1" x14ac:dyDescent="0.2"/>
    <row r="39" spans="1:12" x14ac:dyDescent="0.2">
      <c r="B39" s="1" t="s">
        <v>24</v>
      </c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</row>
    <row r="40" spans="1:12" ht="16" x14ac:dyDescent="0.2">
      <c r="A40" t="s">
        <v>53</v>
      </c>
      <c r="C40" s="16">
        <f t="shared" ref="C40:L40" si="17">IF(C39&lt;=loanYears,PMT(intRate,loanYears,$B$36),0)</f>
        <v>-25957.84634748118</v>
      </c>
      <c r="D40" s="16">
        <f t="shared" si="17"/>
        <v>-25957.84634748118</v>
      </c>
      <c r="E40" s="16">
        <f t="shared" si="17"/>
        <v>-25957.84634748118</v>
      </c>
      <c r="F40" s="16">
        <f t="shared" si="17"/>
        <v>-25957.84634748118</v>
      </c>
      <c r="G40" s="16">
        <f t="shared" si="17"/>
        <v>-25957.84634748118</v>
      </c>
      <c r="H40" s="16">
        <f t="shared" si="17"/>
        <v>-25957.84634748118</v>
      </c>
      <c r="I40" s="16">
        <f t="shared" si="17"/>
        <v>0</v>
      </c>
      <c r="J40" s="16">
        <f t="shared" si="17"/>
        <v>0</v>
      </c>
      <c r="K40" s="16">
        <f t="shared" si="17"/>
        <v>0</v>
      </c>
      <c r="L40" s="16">
        <f t="shared" si="17"/>
        <v>0</v>
      </c>
    </row>
    <row r="41" spans="1:12" ht="16" x14ac:dyDescent="0.2">
      <c r="A41" t="s">
        <v>54</v>
      </c>
      <c r="B41" s="17">
        <f>B31+B40</f>
        <v>-28500</v>
      </c>
      <c r="C41" s="17">
        <f>$B$37+C40</f>
        <v>39292.15365251882</v>
      </c>
      <c r="D41" s="17">
        <f t="shared" ref="D41:L41" si="18">$B$37+D40</f>
        <v>39292.15365251882</v>
      </c>
      <c r="E41" s="17">
        <f t="shared" si="18"/>
        <v>39292.15365251882</v>
      </c>
      <c r="F41" s="17">
        <f t="shared" si="18"/>
        <v>39292.15365251882</v>
      </c>
      <c r="G41" s="17">
        <f t="shared" si="18"/>
        <v>39292.15365251882</v>
      </c>
      <c r="H41" s="17">
        <f t="shared" si="18"/>
        <v>39292.15365251882</v>
      </c>
      <c r="I41" s="17">
        <f t="shared" si="18"/>
        <v>65250</v>
      </c>
      <c r="J41" s="17">
        <f t="shared" si="18"/>
        <v>65250</v>
      </c>
      <c r="K41" s="17">
        <f t="shared" si="18"/>
        <v>65250</v>
      </c>
      <c r="L41" s="17">
        <f t="shared" si="18"/>
        <v>65250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Attributes</vt:lpstr>
      <vt:lpstr>Analysis</vt:lpstr>
      <vt:lpstr>acres</vt:lpstr>
      <vt:lpstr>beginFlock</vt:lpstr>
      <vt:lpstr>cull</vt:lpstr>
      <vt:lpstr>death</vt:lpstr>
      <vt:lpstr>eweCost</vt:lpstr>
      <vt:lpstr>intRate</vt:lpstr>
      <vt:lpstr>loanYears</vt:lpstr>
      <vt:lpstr>maxflock</vt:lpstr>
      <vt:lpstr>mowMax</vt:lpstr>
      <vt:lpstr>mowNoSheep</vt:lpstr>
      <vt:lpstr>repro</vt:lpstr>
      <vt:lpstr>revCull</vt:lpstr>
      <vt:lpstr>revEweLamb</vt:lpstr>
      <vt:lpstr>revperacre</vt:lpstr>
      <vt:lpstr>revRamLamb</vt:lpstr>
      <vt:lpstr>sheepperacre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Slaugh</dc:creator>
  <cp:lastModifiedBy>Rithvik Duggireddy</cp:lastModifiedBy>
  <dcterms:created xsi:type="dcterms:W3CDTF">2023-06-14T16:35:58Z</dcterms:created>
  <dcterms:modified xsi:type="dcterms:W3CDTF">2023-12-01T14:52:12Z</dcterms:modified>
</cp:coreProperties>
</file>