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80" activeTab="1"/>
  </bookViews>
  <sheets>
    <sheet name="Tasas mortalidad" sheetId="3" r:id="rId1"/>
    <sheet name="Fecundidad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4" l="1"/>
  <c r="J36" i="4"/>
  <c r="K37" i="4"/>
  <c r="K31" i="4"/>
  <c r="K32" i="4"/>
  <c r="K33" i="4"/>
  <c r="K34" i="4"/>
  <c r="K35" i="4"/>
  <c r="K36" i="4"/>
  <c r="K30" i="4"/>
  <c r="J31" i="4"/>
  <c r="J32" i="4"/>
  <c r="J33" i="4"/>
  <c r="J34" i="4"/>
  <c r="J35" i="4"/>
  <c r="J30" i="4"/>
  <c r="I31" i="4"/>
  <c r="I32" i="4"/>
  <c r="I33" i="4"/>
  <c r="I34" i="4"/>
  <c r="I35" i="4"/>
  <c r="I36" i="4"/>
  <c r="K25" i="4"/>
  <c r="I25" i="4"/>
  <c r="J25" i="4"/>
  <c r="J19" i="4"/>
  <c r="J20" i="4"/>
  <c r="J21" i="4"/>
  <c r="J22" i="4"/>
  <c r="J23" i="4"/>
  <c r="J24" i="4"/>
  <c r="J18" i="4"/>
  <c r="H20" i="4"/>
  <c r="H21" i="4"/>
  <c r="H22" i="4"/>
  <c r="H23" i="4"/>
  <c r="H24" i="4"/>
  <c r="H19" i="4"/>
  <c r="H18" i="4"/>
  <c r="I11" i="4"/>
  <c r="I5" i="4"/>
  <c r="I6" i="4"/>
  <c r="I7" i="4"/>
  <c r="I8" i="4"/>
  <c r="I9" i="4"/>
  <c r="I10" i="4"/>
  <c r="I4" i="4"/>
  <c r="H11" i="4"/>
  <c r="H5" i="4"/>
  <c r="H6" i="4"/>
  <c r="H7" i="4"/>
  <c r="H8" i="4"/>
  <c r="H9" i="4"/>
  <c r="H10" i="4"/>
  <c r="H4" i="4"/>
  <c r="E13" i="4"/>
  <c r="E11" i="4"/>
  <c r="E5" i="4"/>
  <c r="E6" i="4"/>
  <c r="E7" i="4"/>
  <c r="E8" i="4"/>
  <c r="E9" i="4"/>
  <c r="E10" i="4"/>
  <c r="E4" i="4"/>
  <c r="C13" i="4"/>
  <c r="D11" i="4"/>
  <c r="V28" i="3"/>
  <c r="U28" i="3"/>
  <c r="C11" i="4"/>
  <c r="B11" i="4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R46" i="3"/>
  <c r="R30" i="3"/>
  <c r="R29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7" i="3"/>
  <c r="L30" i="3"/>
  <c r="U5" i="3"/>
  <c r="W5" i="3"/>
  <c r="U6" i="3"/>
  <c r="W6" i="3"/>
  <c r="U7" i="3"/>
  <c r="W7" i="3"/>
  <c r="U8" i="3"/>
  <c r="W8" i="3"/>
  <c r="U9" i="3"/>
  <c r="W9" i="3"/>
  <c r="U10" i="3"/>
  <c r="W10" i="3"/>
  <c r="U11" i="3"/>
  <c r="W11" i="3"/>
  <c r="U12" i="3"/>
  <c r="W12" i="3"/>
  <c r="U13" i="3"/>
  <c r="W13" i="3"/>
  <c r="U14" i="3"/>
  <c r="W14" i="3"/>
  <c r="U15" i="3"/>
  <c r="W15" i="3"/>
  <c r="U16" i="3"/>
  <c r="W16" i="3"/>
  <c r="U17" i="3"/>
  <c r="W17" i="3"/>
  <c r="U18" i="3"/>
  <c r="W18" i="3"/>
  <c r="U19" i="3"/>
  <c r="W19" i="3"/>
  <c r="U20" i="3"/>
  <c r="W20" i="3"/>
  <c r="U21" i="3"/>
  <c r="W21" i="3"/>
  <c r="U22" i="3"/>
  <c r="W22" i="3"/>
  <c r="U23" i="3"/>
  <c r="W23" i="3"/>
  <c r="W2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V23" i="3"/>
  <c r="X23" i="3"/>
  <c r="X24" i="3"/>
  <c r="B24" i="3"/>
  <c r="C24" i="3"/>
  <c r="D24" i="3"/>
  <c r="E24" i="3"/>
  <c r="W25" i="3"/>
  <c r="C29" i="3"/>
  <c r="E29" i="3"/>
  <c r="K29" i="3"/>
  <c r="I30" i="3"/>
  <c r="C30" i="3"/>
  <c r="E30" i="3"/>
  <c r="K30" i="3"/>
  <c r="I31" i="3"/>
  <c r="C31" i="3"/>
  <c r="E31" i="3"/>
  <c r="K31" i="3"/>
  <c r="I32" i="3"/>
  <c r="C32" i="3"/>
  <c r="E32" i="3"/>
  <c r="K32" i="3"/>
  <c r="I33" i="3"/>
  <c r="C33" i="3"/>
  <c r="E33" i="3"/>
  <c r="K33" i="3"/>
  <c r="I34" i="3"/>
  <c r="C34" i="3"/>
  <c r="E34" i="3"/>
  <c r="K34" i="3"/>
  <c r="I35" i="3"/>
  <c r="C35" i="3"/>
  <c r="E35" i="3"/>
  <c r="K35" i="3"/>
  <c r="I36" i="3"/>
  <c r="C36" i="3"/>
  <c r="E36" i="3"/>
  <c r="K36" i="3"/>
  <c r="I37" i="3"/>
  <c r="C37" i="3"/>
  <c r="E37" i="3"/>
  <c r="K37" i="3"/>
  <c r="I38" i="3"/>
  <c r="C38" i="3"/>
  <c r="E38" i="3"/>
  <c r="K38" i="3"/>
  <c r="I39" i="3"/>
  <c r="C39" i="3"/>
  <c r="E39" i="3"/>
  <c r="K39" i="3"/>
  <c r="I40" i="3"/>
  <c r="C40" i="3"/>
  <c r="E40" i="3"/>
  <c r="K40" i="3"/>
  <c r="I41" i="3"/>
  <c r="C41" i="3"/>
  <c r="E41" i="3"/>
  <c r="K41" i="3"/>
  <c r="I42" i="3"/>
  <c r="C42" i="3"/>
  <c r="E42" i="3"/>
  <c r="K42" i="3"/>
  <c r="I43" i="3"/>
  <c r="C43" i="3"/>
  <c r="E43" i="3"/>
  <c r="K43" i="3"/>
  <c r="I44" i="3"/>
  <c r="C44" i="3"/>
  <c r="E44" i="3"/>
  <c r="K44" i="3"/>
  <c r="I45" i="3"/>
  <c r="C45" i="3"/>
  <c r="E45" i="3"/>
  <c r="K45" i="3"/>
  <c r="I46" i="3"/>
  <c r="C46" i="3"/>
  <c r="E46" i="3"/>
  <c r="K46" i="3"/>
  <c r="I47" i="3"/>
  <c r="C47" i="3"/>
  <c r="M47" i="3"/>
  <c r="O47" i="3"/>
  <c r="Q47" i="3"/>
  <c r="G47" i="3"/>
  <c r="B29" i="3"/>
  <c r="D29" i="3"/>
  <c r="J29" i="3"/>
  <c r="H30" i="3"/>
  <c r="B30" i="3"/>
  <c r="D30" i="3"/>
  <c r="J30" i="3"/>
  <c r="H31" i="3"/>
  <c r="B31" i="3"/>
  <c r="D31" i="3"/>
  <c r="J31" i="3"/>
  <c r="H32" i="3"/>
  <c r="B32" i="3"/>
  <c r="D32" i="3"/>
  <c r="J32" i="3"/>
  <c r="H33" i="3"/>
  <c r="B33" i="3"/>
  <c r="D33" i="3"/>
  <c r="J33" i="3"/>
  <c r="H34" i="3"/>
  <c r="B34" i="3"/>
  <c r="D34" i="3"/>
  <c r="J34" i="3"/>
  <c r="H35" i="3"/>
  <c r="B35" i="3"/>
  <c r="D35" i="3"/>
  <c r="J35" i="3"/>
  <c r="H36" i="3"/>
  <c r="B36" i="3"/>
  <c r="D36" i="3"/>
  <c r="J36" i="3"/>
  <c r="H37" i="3"/>
  <c r="B37" i="3"/>
  <c r="D37" i="3"/>
  <c r="J37" i="3"/>
  <c r="H38" i="3"/>
  <c r="B38" i="3"/>
  <c r="D38" i="3"/>
  <c r="J38" i="3"/>
  <c r="H39" i="3"/>
  <c r="B39" i="3"/>
  <c r="D39" i="3"/>
  <c r="J39" i="3"/>
  <c r="H40" i="3"/>
  <c r="B40" i="3"/>
  <c r="D40" i="3"/>
  <c r="J40" i="3"/>
  <c r="H41" i="3"/>
  <c r="B41" i="3"/>
  <c r="D41" i="3"/>
  <c r="J41" i="3"/>
  <c r="H42" i="3"/>
  <c r="B42" i="3"/>
  <c r="D42" i="3"/>
  <c r="J42" i="3"/>
  <c r="H43" i="3"/>
  <c r="B43" i="3"/>
  <c r="D43" i="3"/>
  <c r="J43" i="3"/>
  <c r="H44" i="3"/>
  <c r="B44" i="3"/>
  <c r="D44" i="3"/>
  <c r="J44" i="3"/>
  <c r="H45" i="3"/>
  <c r="B45" i="3"/>
  <c r="D45" i="3"/>
  <c r="J45" i="3"/>
  <c r="H46" i="3"/>
  <c r="B46" i="3"/>
  <c r="D46" i="3"/>
  <c r="J46" i="3"/>
  <c r="H47" i="3"/>
  <c r="B47" i="3"/>
  <c r="L47" i="3"/>
  <c r="N47" i="3"/>
  <c r="P47" i="3"/>
  <c r="F47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N30" i="3"/>
  <c r="P30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O30" i="3"/>
  <c r="Q30" i="3"/>
  <c r="N31" i="3"/>
  <c r="P31" i="3"/>
  <c r="O31" i="3"/>
  <c r="Q31" i="3"/>
  <c r="N32" i="3"/>
  <c r="P32" i="3"/>
  <c r="O32" i="3"/>
  <c r="Q32" i="3"/>
  <c r="N33" i="3"/>
  <c r="P33" i="3"/>
  <c r="O33" i="3"/>
  <c r="Q33" i="3"/>
  <c r="N34" i="3"/>
  <c r="P34" i="3"/>
  <c r="O34" i="3"/>
  <c r="Q34" i="3"/>
  <c r="N35" i="3"/>
  <c r="P35" i="3"/>
  <c r="O35" i="3"/>
  <c r="Q35" i="3"/>
  <c r="N36" i="3"/>
  <c r="P36" i="3"/>
  <c r="O36" i="3"/>
  <c r="Q36" i="3"/>
  <c r="N37" i="3"/>
  <c r="P37" i="3"/>
  <c r="O37" i="3"/>
  <c r="Q37" i="3"/>
  <c r="N38" i="3"/>
  <c r="P38" i="3"/>
  <c r="O38" i="3"/>
  <c r="Q38" i="3"/>
  <c r="N39" i="3"/>
  <c r="P39" i="3"/>
  <c r="O39" i="3"/>
  <c r="Q39" i="3"/>
  <c r="N40" i="3"/>
  <c r="P40" i="3"/>
  <c r="O40" i="3"/>
  <c r="Q40" i="3"/>
  <c r="N41" i="3"/>
  <c r="P41" i="3"/>
  <c r="O41" i="3"/>
  <c r="Q41" i="3"/>
  <c r="N42" i="3"/>
  <c r="P42" i="3"/>
  <c r="O42" i="3"/>
  <c r="Q42" i="3"/>
  <c r="N43" i="3"/>
  <c r="P43" i="3"/>
  <c r="O43" i="3"/>
  <c r="Q43" i="3"/>
  <c r="N44" i="3"/>
  <c r="P44" i="3"/>
  <c r="O44" i="3"/>
  <c r="Q44" i="3"/>
  <c r="N45" i="3"/>
  <c r="P45" i="3"/>
  <c r="O45" i="3"/>
  <c r="Q45" i="3"/>
  <c r="N46" i="3"/>
  <c r="P46" i="3"/>
  <c r="O46" i="3"/>
  <c r="Q46" i="3"/>
  <c r="M29" i="3"/>
  <c r="O29" i="3"/>
  <c r="Q29" i="3"/>
  <c r="L29" i="3"/>
  <c r="N29" i="3"/>
  <c r="P29" i="3"/>
  <c r="J47" i="3"/>
  <c r="K47" i="3"/>
  <c r="R24" i="3"/>
  <c r="Q24" i="3"/>
  <c r="M24" i="3"/>
  <c r="N24" i="3"/>
  <c r="O24" i="3"/>
  <c r="P24" i="3"/>
  <c r="S24" i="3"/>
  <c r="F24" i="3"/>
  <c r="G24" i="3"/>
  <c r="H24" i="3"/>
  <c r="T5" i="3"/>
  <c r="S5" i="3"/>
  <c r="I5" i="3"/>
  <c r="H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5" i="3"/>
  <c r="J5" i="3"/>
</calcChain>
</file>

<file path=xl/sharedStrings.xml><?xml version="1.0" encoding="utf-8"?>
<sst xmlns="http://schemas.openxmlformats.org/spreadsheetml/2006/main" count="147" uniqueCount="51">
  <si>
    <t>Hombres</t>
  </si>
  <si>
    <t>Mujeres</t>
  </si>
  <si>
    <t>ALICANTE</t>
  </si>
  <si>
    <t>ESPAÑA</t>
  </si>
  <si>
    <t>menos de 1</t>
  </si>
  <si>
    <t>1 a 4</t>
  </si>
  <si>
    <t>5 a 9</t>
  </si>
  <si>
    <t>10 a 14</t>
  </si>
  <si>
    <t>15 a 19</t>
  </si>
  <si>
    <t>20 a 24</t>
  </si>
  <si>
    <t xml:space="preserve">25 a 29 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</si>
  <si>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</si>
  <si>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</si>
  <si>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</si>
  <si>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</si>
  <si>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</si>
  <si>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</si>
  <si>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</si>
  <si>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</si>
  <si>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</si>
  <si>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</si>
  <si>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</si>
  <si>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y mas</t>
  </si>
  <si>
    <t>Hombres 2015</t>
  </si>
  <si>
    <t>Mujeres 2015</t>
  </si>
  <si>
    <t>Hombres 2016</t>
  </si>
  <si>
    <t>Mujeres 2016</t>
  </si>
  <si>
    <t>DEFUNCIONES</t>
  </si>
  <si>
    <t>POBLACION</t>
  </si>
  <si>
    <t>Tasa Especifica Mortalidad</t>
  </si>
  <si>
    <t>Tasa Bruta</t>
  </si>
  <si>
    <t>Estandarización</t>
  </si>
  <si>
    <t>qx</t>
  </si>
  <si>
    <t>Tasa est</t>
  </si>
  <si>
    <t>lx</t>
  </si>
  <si>
    <t>dx</t>
  </si>
  <si>
    <t>mx</t>
  </si>
  <si>
    <t>ax</t>
  </si>
  <si>
    <t>Lx</t>
  </si>
  <si>
    <t>Tx</t>
  </si>
  <si>
    <t>ex</t>
  </si>
  <si>
    <t>Zx</t>
  </si>
  <si>
    <t>Nacimientos 2015</t>
  </si>
  <si>
    <t>Edad</t>
  </si>
  <si>
    <t>Total</t>
  </si>
  <si>
    <t>TGF</t>
  </si>
  <si>
    <t>Tasa específica</t>
  </si>
  <si>
    <t>Nacimientos reducidos</t>
  </si>
  <si>
    <t>Edad media</t>
  </si>
  <si>
    <t>Nacimientos femeninos</t>
  </si>
  <si>
    <t>N Medio de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</si>
</sst>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#,##0.0000000"/>
    <numFmt numFmtId="165" formatCode="_ * #,##0.000000_ ;_ * \-#,##0.000000_ ;_ * &quot;-&quot;??_ ;_ @_ "/>
    <numFmt numFmtId="166" formatCode="_ * #,##0.00000000_ ;_ * \-#,##0.00000000_ ;_ * &quot;-&quot;??_ ;_ @_ "/>
    <numFmt numFmtId="167" formatCode="_ * #,##0_ ;_ * \-#,##0_ ;_ * &quot;-&quot;??_ ;_ @_ "/>
    <numFmt numFmtId="168" formatCode="_ * #,##0.00000000_ ;_ * \-#,##0.00000000_ ;_ * &quot;-&quot;????????_ ;_ @_ "/>
    <numFmt numFmtId="169" formatCode="_ * #,##0.0_ ;_ * \-#,##0.0_ ;_ * &quot;-&quot;??_ ;_ @_ "/>
    <numFmt numFmtId="170" formatCode="_ * #,##0_ ;_ * \-#,##0_ ;_ * &quot;-&quot;????????_ ;_ @_ "/>
    <numFmt numFmtId="171" formatCode="_ * #,##0_ ;_ * \-#,##0_ ;_ * &quot;-&quot;??????_ ;_ @_ "/>
    <numFmt numFmtId="172" formatCode="_ * #,##0_ ;_ * \-#,##0_ ;_ * &quot;-&quot;?_ ;_ @_ "/>
    <numFmt numFmtId="177" formatCode="_ * #,##0.0000_ ;_ * \-#,##0.0000_ ;_ * &quot;-&quot;??????_ ;_ @_ "/>
    <numFmt numFmtId="179" formatCode="_ * #,##0.0000000_ ;_ * \-#,##0.0000000_ ;_ * &quot;-&quot;??????_ ;_ @_ "/>
  </numFmts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5" fontId="0" fillId="0" borderId="2" xfId="69" applyNumberFormat="1" applyFont="1" applyFill="1" applyBorder="1"/>
    <xf numFmtId="165" fontId="0" fillId="0" borderId="2" xfId="69" applyNumberFormat="1" applyFont="1" applyBorder="1"/>
    <xf numFmtId="166" fontId="0" fillId="0" borderId="0" xfId="69" applyNumberFormat="1" applyFont="1"/>
    <xf numFmtId="167" fontId="0" fillId="0" borderId="2" xfId="69" applyNumberFormat="1" applyFont="1" applyBorder="1"/>
    <xf numFmtId="167" fontId="0" fillId="0" borderId="0" xfId="0" applyNumberFormat="1"/>
    <xf numFmtId="165" fontId="0" fillId="0" borderId="1" xfId="69" applyNumberFormat="1" applyFont="1" applyFill="1" applyBorder="1"/>
    <xf numFmtId="167" fontId="0" fillId="0" borderId="0" xfId="69" applyNumberFormat="1" applyFont="1"/>
    <xf numFmtId="168" fontId="0" fillId="0" borderId="0" xfId="0" applyNumberFormat="1"/>
    <xf numFmtId="169" fontId="0" fillId="0" borderId="0" xfId="69" applyNumberFormat="1" applyFont="1"/>
    <xf numFmtId="165" fontId="0" fillId="0" borderId="0" xfId="69" applyNumberFormat="1" applyFon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69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77" fontId="0" fillId="0" borderId="0" xfId="0" applyNumberFormat="1"/>
    <xf numFmtId="179" fontId="0" fillId="0" borderId="0" xfId="0" applyNumberFormat="1"/>
  </cellXfs>
  <cellStyles count="22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Millares" xfId="69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H1" workbookViewId="0">
      <selection activeCell="V28" sqref="U28:V28"/>
    </sheetView>
  </sheetViews>
  <sheetFormatPr baseColWidth="10" defaultRowHeight="14" x14ac:dyDescent="0"/>
  <cols>
    <col min="2" max="5" width="11" bestFit="1" customWidth="1"/>
    <col min="6" max="6" width="10.6640625" customWidth="1"/>
    <col min="10" max="11" width="10.83203125" customWidth="1"/>
    <col min="12" max="13" width="11.33203125" customWidth="1"/>
    <col min="14" max="14" width="12.5" customWidth="1"/>
    <col min="21" max="23" width="11" bestFit="1" customWidth="1"/>
    <col min="24" max="24" width="12.1640625" bestFit="1" customWidth="1"/>
  </cols>
  <sheetData>
    <row r="2" spans="1:24">
      <c r="B2" s="26" t="s">
        <v>3</v>
      </c>
      <c r="C2" s="26"/>
      <c r="D2" s="26"/>
      <c r="E2" s="26"/>
      <c r="F2" s="26"/>
      <c r="G2" s="26"/>
      <c r="H2" s="4"/>
      <c r="I2" s="4"/>
      <c r="J2" s="4"/>
      <c r="K2" s="4"/>
      <c r="L2" s="4"/>
      <c r="M2" s="26" t="s">
        <v>2</v>
      </c>
      <c r="N2" s="26"/>
      <c r="O2" s="26"/>
      <c r="P2" s="26"/>
      <c r="Q2" s="26"/>
      <c r="R2" s="26"/>
      <c r="S2" s="6"/>
      <c r="T2" s="6"/>
    </row>
    <row r="3" spans="1:24">
      <c r="B3" s="26" t="s">
        <v>28</v>
      </c>
      <c r="C3" s="26"/>
      <c r="D3" s="26"/>
      <c r="E3" s="26"/>
      <c r="F3" s="26" t="s">
        <v>27</v>
      </c>
      <c r="G3" s="26"/>
      <c r="H3" s="5" t="s">
        <v>30</v>
      </c>
      <c r="I3" s="5"/>
      <c r="J3" s="22" t="s">
        <v>29</v>
      </c>
      <c r="K3" s="23"/>
      <c r="L3" s="4"/>
      <c r="M3" s="26" t="s">
        <v>28</v>
      </c>
      <c r="N3" s="26"/>
      <c r="O3" s="26"/>
      <c r="P3" s="26"/>
      <c r="Q3" s="26" t="s">
        <v>27</v>
      </c>
      <c r="R3" s="26"/>
      <c r="S3" s="5" t="s">
        <v>30</v>
      </c>
      <c r="T3" s="5"/>
      <c r="U3" s="22" t="s">
        <v>29</v>
      </c>
      <c r="V3" s="23"/>
      <c r="W3" s="24" t="s">
        <v>31</v>
      </c>
      <c r="X3" s="24"/>
    </row>
    <row r="4" spans="1:24">
      <c r="B4" s="2" t="s">
        <v>23</v>
      </c>
      <c r="C4" s="2" t="s">
        <v>24</v>
      </c>
      <c r="D4" s="2" t="s">
        <v>25</v>
      </c>
      <c r="E4" s="2" t="s">
        <v>26</v>
      </c>
      <c r="F4" s="2" t="s">
        <v>0</v>
      </c>
      <c r="G4" s="2" t="s">
        <v>1</v>
      </c>
      <c r="H4" s="2" t="s">
        <v>0</v>
      </c>
      <c r="I4" s="2" t="s">
        <v>1</v>
      </c>
      <c r="J4" s="2" t="s">
        <v>0</v>
      </c>
      <c r="K4" s="2" t="s">
        <v>1</v>
      </c>
      <c r="L4" s="2"/>
      <c r="M4" s="2" t="s">
        <v>23</v>
      </c>
      <c r="N4" s="2" t="s">
        <v>24</v>
      </c>
      <c r="O4" s="2" t="s">
        <v>25</v>
      </c>
      <c r="P4" s="2" t="s">
        <v>26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0</v>
      </c>
      <c r="V4" s="2" t="s">
        <v>1</v>
      </c>
      <c r="W4" s="8" t="s">
        <v>0</v>
      </c>
      <c r="X4" s="8" t="s">
        <v>1</v>
      </c>
    </row>
    <row r="5" spans="1:24">
      <c r="A5" t="s">
        <v>4</v>
      </c>
      <c r="B5" s="3">
        <v>220124</v>
      </c>
      <c r="C5" s="3">
        <v>206335</v>
      </c>
      <c r="D5" s="3">
        <v>215948</v>
      </c>
      <c r="E5" s="3">
        <v>203447</v>
      </c>
      <c r="F5" s="2">
        <v>634</v>
      </c>
      <c r="G5" s="2">
        <v>505</v>
      </c>
      <c r="H5" s="2">
        <f>2000*F24/(B24+D24)</f>
        <v>9.3482834111652089</v>
      </c>
      <c r="I5" s="2">
        <f>2000*G24/(C24+E24)</f>
        <v>8.8557567814828406</v>
      </c>
      <c r="J5" s="9">
        <f>2000*F5/(B5+D5)</f>
        <v>2.907776697426113</v>
      </c>
      <c r="K5" s="9">
        <f>2000*G5/(C5+E5)</f>
        <v>2.4647251465413316</v>
      </c>
      <c r="L5" s="2"/>
      <c r="M5" s="3">
        <v>8209</v>
      </c>
      <c r="N5" s="3">
        <v>7829</v>
      </c>
      <c r="O5" s="3">
        <v>8324</v>
      </c>
      <c r="P5" s="3">
        <v>7663</v>
      </c>
      <c r="Q5" s="2">
        <v>25</v>
      </c>
      <c r="R5" s="2">
        <v>13</v>
      </c>
      <c r="S5" s="2">
        <f>2000*Q24/(M24+O24)</f>
        <v>9.0739663091743026</v>
      </c>
      <c r="T5" s="2">
        <f>2000*R24/(N24+P24)</f>
        <v>8.1398649399763201</v>
      </c>
      <c r="U5" s="9">
        <f>2000*Q5/(M5+O5)</f>
        <v>3.0242545212605094</v>
      </c>
      <c r="V5" s="9">
        <f>2000*R5/(N5+P5)</f>
        <v>1.6782855667441261</v>
      </c>
      <c r="W5" s="11">
        <f>+(U5/1000)*(B5+D5)/2</f>
        <v>659.39635879755645</v>
      </c>
      <c r="X5" s="11">
        <f>+(V5/1000)*(C5+E5)/2</f>
        <v>343.86560805577074</v>
      </c>
    </row>
    <row r="6" spans="1:24">
      <c r="A6" t="s">
        <v>5</v>
      </c>
      <c r="B6" s="3">
        <v>943094</v>
      </c>
      <c r="C6" s="3">
        <v>887140</v>
      </c>
      <c r="D6" s="3">
        <v>919116</v>
      </c>
      <c r="E6" s="3">
        <v>864251</v>
      </c>
      <c r="F6" s="2">
        <v>130</v>
      </c>
      <c r="G6" s="2">
        <v>91</v>
      </c>
      <c r="H6" s="2"/>
      <c r="I6" s="2"/>
      <c r="J6" s="9">
        <f t="shared" ref="J6:J23" si="0">2000*F6/(B6+D6)</f>
        <v>0.13961905477899914</v>
      </c>
      <c r="K6" s="9">
        <f t="shared" ref="K6:K23" si="1">2000*G6/(C6+E6)</f>
        <v>0.10391740051193595</v>
      </c>
      <c r="L6" s="2"/>
      <c r="M6" s="3">
        <v>35682</v>
      </c>
      <c r="N6" s="3">
        <v>33253</v>
      </c>
      <c r="O6" s="3">
        <v>34838</v>
      </c>
      <c r="P6" s="3">
        <v>32755</v>
      </c>
      <c r="Q6" s="2">
        <v>1</v>
      </c>
      <c r="R6" s="2">
        <v>7</v>
      </c>
      <c r="S6" s="2"/>
      <c r="T6" s="2"/>
      <c r="U6" s="9">
        <f t="shared" ref="U6:U23" si="2">2000*Q6/(M6+O6)</f>
        <v>2.8360748723766309E-2</v>
      </c>
      <c r="V6" s="9">
        <f t="shared" ref="V6:V23" si="3">2000*R6/(N6+P6)</f>
        <v>0.2120955035753242</v>
      </c>
      <c r="W6" s="11">
        <f t="shared" ref="W6:W23" si="4">+(U6/1000)*(B6+D6)/2</f>
        <v>26.40683494044243</v>
      </c>
      <c r="X6" s="11">
        <f t="shared" ref="X6:X23" si="5">+(V6/1000)*(C6+E6)/2</f>
        <v>185.73107805114532</v>
      </c>
    </row>
    <row r="7" spans="1:24">
      <c r="A7" t="s">
        <v>6</v>
      </c>
      <c r="B7" s="3">
        <v>1281689</v>
      </c>
      <c r="C7" s="3">
        <v>1202688</v>
      </c>
      <c r="D7" s="3">
        <v>1278835</v>
      </c>
      <c r="E7" s="3">
        <v>1198369</v>
      </c>
      <c r="F7" s="2">
        <v>120</v>
      </c>
      <c r="G7" s="2">
        <v>85</v>
      </c>
      <c r="H7" s="2"/>
      <c r="I7" s="2"/>
      <c r="J7" s="9">
        <f t="shared" si="0"/>
        <v>9.3730814473912377E-2</v>
      </c>
      <c r="K7" s="9">
        <f t="shared" si="1"/>
        <v>7.0802150886047271E-2</v>
      </c>
      <c r="L7" s="2"/>
      <c r="M7" s="3">
        <v>50463</v>
      </c>
      <c r="N7" s="3">
        <v>47405</v>
      </c>
      <c r="O7" s="3">
        <v>50369</v>
      </c>
      <c r="P7" s="3">
        <v>47094</v>
      </c>
      <c r="Q7" s="2">
        <v>2</v>
      </c>
      <c r="R7" s="2">
        <v>0</v>
      </c>
      <c r="S7" s="2"/>
      <c r="T7" s="2"/>
      <c r="U7" s="9">
        <f t="shared" si="2"/>
        <v>3.9669946048873375E-2</v>
      </c>
      <c r="V7" s="9">
        <f>2000*R7/(N7+P7)</f>
        <v>0</v>
      </c>
      <c r="W7" s="11">
        <f t="shared" si="4"/>
        <v>50.78792446842273</v>
      </c>
      <c r="X7" s="11">
        <f t="shared" si="5"/>
        <v>0</v>
      </c>
    </row>
    <row r="8" spans="1:24">
      <c r="A8" t="s">
        <v>7</v>
      </c>
      <c r="B8" s="3">
        <v>1187484</v>
      </c>
      <c r="C8" s="3">
        <v>1120525</v>
      </c>
      <c r="D8" s="3">
        <v>1205603</v>
      </c>
      <c r="E8" s="3">
        <v>1139833</v>
      </c>
      <c r="F8" s="2">
        <v>113</v>
      </c>
      <c r="G8" s="2">
        <v>90</v>
      </c>
      <c r="H8" s="2"/>
      <c r="I8" s="2"/>
      <c r="J8" s="9">
        <f t="shared" si="0"/>
        <v>9.4438689441712728E-2</v>
      </c>
      <c r="K8" s="9">
        <f t="shared" si="1"/>
        <v>7.9633403204271189E-2</v>
      </c>
      <c r="L8" s="2"/>
      <c r="M8" s="3">
        <v>47851</v>
      </c>
      <c r="N8" s="3">
        <v>44445</v>
      </c>
      <c r="O8" s="3">
        <v>48236</v>
      </c>
      <c r="P8" s="3">
        <v>45222</v>
      </c>
      <c r="Q8" s="2">
        <v>4</v>
      </c>
      <c r="R8" s="2">
        <v>2</v>
      </c>
      <c r="S8" s="2"/>
      <c r="T8" s="2"/>
      <c r="U8" s="9">
        <f t="shared" si="2"/>
        <v>8.3257880878786938E-2</v>
      </c>
      <c r="V8" s="9">
        <f t="shared" si="3"/>
        <v>4.4609499592938313E-2</v>
      </c>
      <c r="W8" s="11">
        <f t="shared" si="4"/>
        <v>99.621676189286802</v>
      </c>
      <c r="X8" s="11">
        <f t="shared" si="5"/>
        <v>50.416719640447432</v>
      </c>
    </row>
    <row r="9" spans="1:24">
      <c r="A9" t="s">
        <v>8</v>
      </c>
      <c r="B9" s="3">
        <v>1107970</v>
      </c>
      <c r="C9" s="3">
        <v>1045326</v>
      </c>
      <c r="D9" s="3">
        <v>1125439</v>
      </c>
      <c r="E9" s="3">
        <v>1060190</v>
      </c>
      <c r="F9" s="2">
        <v>278</v>
      </c>
      <c r="G9" s="2">
        <v>116</v>
      </c>
      <c r="H9" s="2"/>
      <c r="I9" s="2"/>
      <c r="J9" s="9">
        <f t="shared" si="0"/>
        <v>0.24894678941474668</v>
      </c>
      <c r="K9" s="9">
        <f t="shared" si="1"/>
        <v>0.11018676656933503</v>
      </c>
      <c r="L9" s="2"/>
      <c r="M9" s="3">
        <v>44480</v>
      </c>
      <c r="N9" s="3">
        <v>42056</v>
      </c>
      <c r="O9" s="3">
        <v>45103</v>
      </c>
      <c r="P9" s="3">
        <v>42341</v>
      </c>
      <c r="Q9" s="2">
        <v>13</v>
      </c>
      <c r="R9" s="2">
        <v>3</v>
      </c>
      <c r="S9" s="2"/>
      <c r="T9" s="2"/>
      <c r="U9" s="9">
        <f t="shared" si="2"/>
        <v>0.29023363807865332</v>
      </c>
      <c r="V9" s="9">
        <f t="shared" si="3"/>
        <v>7.1092574380605941E-2</v>
      </c>
      <c r="W9" s="11">
        <f t="shared" si="4"/>
        <v>324.10520969380354</v>
      </c>
      <c r="X9" s="11">
        <f t="shared" si="5"/>
        <v>74.843276419777951</v>
      </c>
    </row>
    <row r="10" spans="1:24">
      <c r="A10" t="s">
        <v>9</v>
      </c>
      <c r="B10" s="3">
        <v>1181542</v>
      </c>
      <c r="C10" s="3">
        <v>1137758</v>
      </c>
      <c r="D10" s="3">
        <v>1163627</v>
      </c>
      <c r="E10" s="3">
        <v>1117005</v>
      </c>
      <c r="F10" s="2">
        <v>407</v>
      </c>
      <c r="G10" s="2">
        <v>173</v>
      </c>
      <c r="H10" s="2"/>
      <c r="I10" s="2"/>
      <c r="J10" s="9">
        <f t="shared" si="0"/>
        <v>0.34709652054926532</v>
      </c>
      <c r="K10" s="9">
        <f t="shared" si="1"/>
        <v>0.15345293496478343</v>
      </c>
      <c r="L10" s="2"/>
      <c r="M10" s="3">
        <v>47148</v>
      </c>
      <c r="N10" s="3">
        <v>45067</v>
      </c>
      <c r="O10" s="3">
        <v>46133</v>
      </c>
      <c r="P10" s="3">
        <v>44091</v>
      </c>
      <c r="Q10" s="2">
        <v>13</v>
      </c>
      <c r="R10" s="2">
        <v>3</v>
      </c>
      <c r="S10" s="2"/>
      <c r="T10" s="2"/>
      <c r="U10" s="9">
        <f t="shared" si="2"/>
        <v>0.27872771518315625</v>
      </c>
      <c r="V10" s="9">
        <f t="shared" si="3"/>
        <v>6.7296260571120925E-2</v>
      </c>
      <c r="W10" s="11">
        <f t="shared" si="4"/>
        <v>326.83179854418364</v>
      </c>
      <c r="X10" s="11">
        <f t="shared" si="5"/>
        <v>75.868559187061166</v>
      </c>
    </row>
    <row r="11" spans="1:24">
      <c r="A11" t="s">
        <v>10</v>
      </c>
      <c r="B11" s="3">
        <v>1321886</v>
      </c>
      <c r="C11" s="3">
        <v>1318454</v>
      </c>
      <c r="D11" s="3">
        <v>1284350</v>
      </c>
      <c r="E11" s="3">
        <v>1279815</v>
      </c>
      <c r="F11" s="2">
        <v>578</v>
      </c>
      <c r="G11" s="2">
        <v>222</v>
      </c>
      <c r="H11" s="2"/>
      <c r="I11" s="2"/>
      <c r="J11" s="9">
        <f t="shared" si="0"/>
        <v>0.44355154329845803</v>
      </c>
      <c r="K11" s="9">
        <f t="shared" si="1"/>
        <v>0.17088299941230103</v>
      </c>
      <c r="L11" s="2"/>
      <c r="M11" s="3">
        <v>51985</v>
      </c>
      <c r="N11" s="3">
        <v>51500</v>
      </c>
      <c r="O11" s="3">
        <v>50966</v>
      </c>
      <c r="P11" s="3">
        <v>50118</v>
      </c>
      <c r="Q11" s="2">
        <v>15</v>
      </c>
      <c r="R11" s="2">
        <v>5</v>
      </c>
      <c r="S11" s="2"/>
      <c r="T11" s="2"/>
      <c r="U11" s="9">
        <f t="shared" si="2"/>
        <v>0.29140076347000027</v>
      </c>
      <c r="V11" s="9">
        <f t="shared" si="3"/>
        <v>9.8407762404298452E-2</v>
      </c>
      <c r="W11" s="11">
        <f t="shared" si="4"/>
        <v>379.72958009149977</v>
      </c>
      <c r="X11" s="11">
        <f t="shared" si="5"/>
        <v>127.84491920722706</v>
      </c>
    </row>
    <row r="12" spans="1:24">
      <c r="A12" t="s">
        <v>11</v>
      </c>
      <c r="B12" s="3">
        <v>1642804</v>
      </c>
      <c r="C12" s="3">
        <v>1627061</v>
      </c>
      <c r="D12" s="3">
        <v>1551405</v>
      </c>
      <c r="E12" s="3">
        <v>1548999</v>
      </c>
      <c r="F12" s="2">
        <v>823</v>
      </c>
      <c r="G12" s="2">
        <v>364</v>
      </c>
      <c r="H12" s="2"/>
      <c r="I12" s="2"/>
      <c r="J12" s="9">
        <f t="shared" si="0"/>
        <v>0.51530754562397141</v>
      </c>
      <c r="K12" s="9">
        <f t="shared" si="1"/>
        <v>0.22921481332216645</v>
      </c>
      <c r="L12" s="2"/>
      <c r="M12" s="3">
        <v>63813</v>
      </c>
      <c r="N12" s="3">
        <v>62717</v>
      </c>
      <c r="O12" s="3">
        <v>60398</v>
      </c>
      <c r="P12" s="3">
        <v>59780</v>
      </c>
      <c r="Q12" s="2">
        <v>32</v>
      </c>
      <c r="R12" s="2">
        <v>14</v>
      </c>
      <c r="S12" s="2"/>
      <c r="T12" s="2"/>
      <c r="U12" s="9">
        <f t="shared" si="2"/>
        <v>0.51525227234302917</v>
      </c>
      <c r="V12" s="9">
        <f t="shared" si="3"/>
        <v>0.22857702637615615</v>
      </c>
      <c r="W12" s="11">
        <f t="shared" si="4"/>
        <v>822.91172279427747</v>
      </c>
      <c r="X12" s="11">
        <f t="shared" si="5"/>
        <v>362.98717519612728</v>
      </c>
    </row>
    <row r="13" spans="1:24">
      <c r="A13" t="s">
        <v>12</v>
      </c>
      <c r="B13" s="3">
        <v>2011298</v>
      </c>
      <c r="C13" s="3">
        <v>1938493</v>
      </c>
      <c r="D13" s="3">
        <v>1951416</v>
      </c>
      <c r="E13" s="3">
        <v>1897603</v>
      </c>
      <c r="F13" s="3">
        <v>1446</v>
      </c>
      <c r="G13" s="2">
        <v>743</v>
      </c>
      <c r="H13" s="2"/>
      <c r="I13" s="2"/>
      <c r="J13" s="9">
        <f t="shared" si="0"/>
        <v>0.72980285733464489</v>
      </c>
      <c r="K13" s="9">
        <f t="shared" si="1"/>
        <v>0.38737299587914381</v>
      </c>
      <c r="L13" s="2"/>
      <c r="M13" s="3">
        <v>79194</v>
      </c>
      <c r="N13" s="3">
        <v>74128</v>
      </c>
      <c r="O13" s="3">
        <v>77279</v>
      </c>
      <c r="P13" s="3">
        <v>73325</v>
      </c>
      <c r="Q13" s="2">
        <v>47</v>
      </c>
      <c r="R13" s="2">
        <v>25</v>
      </c>
      <c r="S13" s="2"/>
      <c r="T13" s="2"/>
      <c r="U13" s="9">
        <f t="shared" si="2"/>
        <v>0.60074262013254687</v>
      </c>
      <c r="V13" s="9">
        <f t="shared" si="3"/>
        <v>0.33909110021498373</v>
      </c>
      <c r="W13" s="11">
        <f t="shared" si="4"/>
        <v>1190.2855955979628</v>
      </c>
      <c r="X13" s="11">
        <f t="shared" si="5"/>
        <v>650.39300658514912</v>
      </c>
    </row>
    <row r="14" spans="1:24">
      <c r="A14" t="s">
        <v>13</v>
      </c>
      <c r="B14" s="3">
        <v>1982454</v>
      </c>
      <c r="C14" s="3">
        <v>1907214</v>
      </c>
      <c r="D14" s="3">
        <v>1998600</v>
      </c>
      <c r="E14" s="3">
        <v>1926214</v>
      </c>
      <c r="F14" s="3">
        <v>2339</v>
      </c>
      <c r="G14" s="3">
        <v>1344</v>
      </c>
      <c r="H14" s="3"/>
      <c r="I14" s="3"/>
      <c r="J14" s="9">
        <f t="shared" si="0"/>
        <v>1.1750656986818064</v>
      </c>
      <c r="K14" s="9">
        <f t="shared" si="1"/>
        <v>0.70120007471119838</v>
      </c>
      <c r="L14" s="3"/>
      <c r="M14" s="3">
        <v>78038</v>
      </c>
      <c r="N14" s="3">
        <v>73442</v>
      </c>
      <c r="O14" s="3">
        <v>78918</v>
      </c>
      <c r="P14" s="3">
        <v>74087</v>
      </c>
      <c r="Q14" s="2">
        <v>106</v>
      </c>
      <c r="R14" s="2">
        <v>50</v>
      </c>
      <c r="S14" s="2"/>
      <c r="T14" s="2"/>
      <c r="U14" s="9">
        <f t="shared" si="2"/>
        <v>1.3506970106271821</v>
      </c>
      <c r="V14" s="9">
        <f t="shared" si="3"/>
        <v>0.67783283286675844</v>
      </c>
      <c r="W14" s="11">
        <f t="shared" si="4"/>
        <v>2688.5988684726926</v>
      </c>
      <c r="X14" s="11">
        <f t="shared" si="5"/>
        <v>1299.2116804153761</v>
      </c>
    </row>
    <row r="15" spans="1:24">
      <c r="A15" t="s">
        <v>14</v>
      </c>
      <c r="B15" s="3">
        <v>1861330</v>
      </c>
      <c r="C15" s="3">
        <v>1829679</v>
      </c>
      <c r="D15" s="3">
        <v>1874516</v>
      </c>
      <c r="E15" s="3">
        <v>1838377</v>
      </c>
      <c r="F15" s="3">
        <v>4134</v>
      </c>
      <c r="G15" s="3">
        <v>2225</v>
      </c>
      <c r="H15" s="3"/>
      <c r="I15" s="3"/>
      <c r="J15" s="9">
        <f t="shared" si="0"/>
        <v>2.2131533259133271</v>
      </c>
      <c r="K15" s="9">
        <f t="shared" si="1"/>
        <v>1.2131766799634465</v>
      </c>
      <c r="L15" s="3"/>
      <c r="M15" s="3">
        <v>72878</v>
      </c>
      <c r="N15" s="3">
        <v>70654</v>
      </c>
      <c r="O15" s="3">
        <v>73761</v>
      </c>
      <c r="P15" s="3">
        <v>71343</v>
      </c>
      <c r="Q15" s="2">
        <v>172</v>
      </c>
      <c r="R15" s="2">
        <v>82</v>
      </c>
      <c r="S15" s="2"/>
      <c r="T15" s="2"/>
      <c r="U15" s="9">
        <f t="shared" si="2"/>
        <v>2.3458970669467196</v>
      </c>
      <c r="V15" s="9">
        <f t="shared" si="3"/>
        <v>1.1549539779009417</v>
      </c>
      <c r="W15" s="11">
        <f t="shared" si="4"/>
        <v>4381.955086982317</v>
      </c>
      <c r="X15" s="11">
        <f t="shared" si="5"/>
        <v>2118.2179341817082</v>
      </c>
    </row>
    <row r="16" spans="1:24">
      <c r="A16" t="s">
        <v>15</v>
      </c>
      <c r="B16" s="3">
        <v>1698889</v>
      </c>
      <c r="C16" s="3">
        <v>1710109</v>
      </c>
      <c r="D16" s="3">
        <v>1725134</v>
      </c>
      <c r="E16" s="3">
        <v>1735928</v>
      </c>
      <c r="F16" s="3">
        <v>6878</v>
      </c>
      <c r="G16" s="3">
        <v>3403</v>
      </c>
      <c r="H16" s="3"/>
      <c r="I16" s="3"/>
      <c r="J16" s="9">
        <f t="shared" si="0"/>
        <v>4.0174963777988637</v>
      </c>
      <c r="K16" s="9">
        <f t="shared" si="1"/>
        <v>1.9750223227434878</v>
      </c>
      <c r="L16" s="3"/>
      <c r="M16" s="3">
        <v>67128</v>
      </c>
      <c r="N16" s="3">
        <v>66465</v>
      </c>
      <c r="O16" s="3">
        <v>68156</v>
      </c>
      <c r="P16" s="3">
        <v>67425</v>
      </c>
      <c r="Q16" s="2">
        <v>270</v>
      </c>
      <c r="R16" s="2">
        <v>143</v>
      </c>
      <c r="S16" s="2"/>
      <c r="T16" s="2"/>
      <c r="U16" s="9">
        <f t="shared" si="2"/>
        <v>3.9916028503001093</v>
      </c>
      <c r="V16" s="9">
        <f t="shared" si="3"/>
        <v>2.1360818582418402</v>
      </c>
      <c r="W16" s="11">
        <f t="shared" si="4"/>
        <v>6833.6699831465658</v>
      </c>
      <c r="X16" s="11">
        <f t="shared" si="5"/>
        <v>3680.508559265068</v>
      </c>
    </row>
    <row r="17" spans="1:24">
      <c r="A17" t="s">
        <v>16</v>
      </c>
      <c r="B17" s="3">
        <v>1467133</v>
      </c>
      <c r="C17" s="3">
        <v>1511242</v>
      </c>
      <c r="D17" s="3">
        <v>1514131</v>
      </c>
      <c r="E17" s="3">
        <v>1559480</v>
      </c>
      <c r="F17" s="3">
        <v>9749</v>
      </c>
      <c r="G17" s="3">
        <v>4688</v>
      </c>
      <c r="H17" s="3"/>
      <c r="I17" s="3"/>
      <c r="J17" s="9">
        <f t="shared" si="0"/>
        <v>6.5401789308159222</v>
      </c>
      <c r="K17" s="9">
        <f t="shared" si="1"/>
        <v>3.0533535761296529</v>
      </c>
      <c r="L17" s="3"/>
      <c r="M17" s="3">
        <v>57401</v>
      </c>
      <c r="N17" s="3">
        <v>59770</v>
      </c>
      <c r="O17" s="3">
        <v>59267</v>
      </c>
      <c r="P17" s="3">
        <v>61206</v>
      </c>
      <c r="Q17" s="2">
        <v>351</v>
      </c>
      <c r="R17" s="2">
        <v>208</v>
      </c>
      <c r="S17" s="2"/>
      <c r="T17" s="2"/>
      <c r="U17" s="9">
        <f t="shared" si="2"/>
        <v>6.0170740905818221</v>
      </c>
      <c r="V17" s="9">
        <f t="shared" si="3"/>
        <v>3.4386985848432747</v>
      </c>
      <c r="W17" s="11">
        <f t="shared" si="4"/>
        <v>8969.2431857921638</v>
      </c>
      <c r="X17" s="11">
        <f t="shared" si="5"/>
        <v>5279.643697923555</v>
      </c>
    </row>
    <row r="18" spans="1:24">
      <c r="A18" t="s">
        <v>17</v>
      </c>
      <c r="B18" s="3">
        <v>1219620</v>
      </c>
      <c r="C18" s="3">
        <v>1288215</v>
      </c>
      <c r="D18" s="3">
        <v>1248590</v>
      </c>
      <c r="E18" s="3">
        <v>1319715</v>
      </c>
      <c r="F18" s="3">
        <v>12300</v>
      </c>
      <c r="G18" s="3">
        <v>5372</v>
      </c>
      <c r="H18" s="3"/>
      <c r="I18" s="3"/>
      <c r="J18" s="9">
        <f t="shared" si="0"/>
        <v>9.9667370280486676</v>
      </c>
      <c r="K18" s="9">
        <f t="shared" si="1"/>
        <v>4.1197424777505534</v>
      </c>
      <c r="L18" s="3"/>
      <c r="M18" s="3">
        <v>49958</v>
      </c>
      <c r="N18" s="3">
        <v>53523</v>
      </c>
      <c r="O18" s="3">
        <v>50812</v>
      </c>
      <c r="P18" s="3">
        <v>54157</v>
      </c>
      <c r="Q18" s="2">
        <v>506</v>
      </c>
      <c r="R18" s="2">
        <v>237</v>
      </c>
      <c r="S18" s="2"/>
      <c r="T18" s="2"/>
      <c r="U18" s="9">
        <f t="shared" si="2"/>
        <v>10.042671429989085</v>
      </c>
      <c r="V18" s="9">
        <f t="shared" si="3"/>
        <v>4.4019316493313525</v>
      </c>
      <c r="W18" s="11">
        <f t="shared" si="4"/>
        <v>12393.711025106681</v>
      </c>
      <c r="X18" s="11">
        <f t="shared" si="5"/>
        <v>5739.9648031203569</v>
      </c>
    </row>
    <row r="19" spans="1:24">
      <c r="A19" t="s">
        <v>18</v>
      </c>
      <c r="B19" s="3">
        <v>1120627</v>
      </c>
      <c r="C19" s="3">
        <v>1236886</v>
      </c>
      <c r="D19" s="3">
        <v>1117040</v>
      </c>
      <c r="E19" s="3">
        <v>1231094</v>
      </c>
      <c r="F19" s="3">
        <v>16827</v>
      </c>
      <c r="G19" s="3">
        <v>7501</v>
      </c>
      <c r="H19" s="3"/>
      <c r="I19" s="3"/>
      <c r="J19" s="9">
        <f t="shared" si="0"/>
        <v>15.039771333268087</v>
      </c>
      <c r="K19" s="9">
        <f t="shared" si="1"/>
        <v>6.0786554186014472</v>
      </c>
      <c r="L19" s="3"/>
      <c r="M19" s="3">
        <v>50189</v>
      </c>
      <c r="N19" s="3">
        <v>54608</v>
      </c>
      <c r="O19" s="3">
        <v>49485</v>
      </c>
      <c r="P19" s="3">
        <v>54278</v>
      </c>
      <c r="Q19" s="2">
        <v>726</v>
      </c>
      <c r="R19" s="2">
        <v>343</v>
      </c>
      <c r="S19" s="2"/>
      <c r="T19" s="2"/>
      <c r="U19" s="9">
        <f t="shared" si="2"/>
        <v>14.56749001745691</v>
      </c>
      <c r="V19" s="9">
        <f t="shared" si="3"/>
        <v>6.3001671472916625</v>
      </c>
      <c r="W19" s="11">
        <f t="shared" si="4"/>
        <v>16298.595842446375</v>
      </c>
      <c r="X19" s="11">
        <f t="shared" si="5"/>
        <v>7774.3432580864383</v>
      </c>
    </row>
    <row r="20" spans="1:24">
      <c r="A20" t="s">
        <v>19</v>
      </c>
      <c r="B20" s="3">
        <v>902510</v>
      </c>
      <c r="C20" s="3">
        <v>1046518</v>
      </c>
      <c r="D20" s="3">
        <v>915284</v>
      </c>
      <c r="E20" s="3">
        <v>1060443</v>
      </c>
      <c r="F20" s="3">
        <v>20787</v>
      </c>
      <c r="G20" s="3">
        <v>10590</v>
      </c>
      <c r="H20" s="3"/>
      <c r="I20" s="3"/>
      <c r="J20" s="9">
        <f t="shared" si="0"/>
        <v>22.870578294350185</v>
      </c>
      <c r="K20" s="9">
        <f t="shared" si="1"/>
        <v>10.052392996358263</v>
      </c>
      <c r="L20" s="3"/>
      <c r="M20" s="3">
        <v>42842</v>
      </c>
      <c r="N20" s="3">
        <v>46260</v>
      </c>
      <c r="O20" s="3">
        <v>42147</v>
      </c>
      <c r="P20" s="3">
        <v>45900</v>
      </c>
      <c r="Q20" s="2">
        <v>913</v>
      </c>
      <c r="R20" s="2">
        <v>446</v>
      </c>
      <c r="S20" s="2"/>
      <c r="T20" s="2"/>
      <c r="U20" s="9">
        <f t="shared" si="2"/>
        <v>21.485133370200849</v>
      </c>
      <c r="V20" s="9">
        <f t="shared" si="3"/>
        <v>9.6788194444444446</v>
      </c>
      <c r="W20" s="11">
        <f t="shared" si="4"/>
        <v>19527.773264775442</v>
      </c>
      <c r="X20" s="11">
        <f t="shared" si="5"/>
        <v>10196.447547743055</v>
      </c>
    </row>
    <row r="21" spans="1:24">
      <c r="A21" t="s">
        <v>20</v>
      </c>
      <c r="B21" s="3">
        <v>673645</v>
      </c>
      <c r="C21" s="3">
        <v>879422</v>
      </c>
      <c r="D21" s="3">
        <v>690958</v>
      </c>
      <c r="E21" s="3">
        <v>893172</v>
      </c>
      <c r="F21" s="3">
        <v>27433</v>
      </c>
      <c r="G21" s="3">
        <v>18089</v>
      </c>
      <c r="H21" s="3"/>
      <c r="I21" s="3"/>
      <c r="J21" s="9">
        <f t="shared" si="0"/>
        <v>40.206565572551135</v>
      </c>
      <c r="K21" s="9">
        <f t="shared" si="1"/>
        <v>20.409636950141994</v>
      </c>
      <c r="L21" s="3"/>
      <c r="M21" s="3">
        <v>30995</v>
      </c>
      <c r="N21" s="3">
        <v>35384</v>
      </c>
      <c r="O21" s="3">
        <v>32428</v>
      </c>
      <c r="P21" s="3">
        <v>37335</v>
      </c>
      <c r="Q21" s="3">
        <v>1220</v>
      </c>
      <c r="R21" s="2">
        <v>714</v>
      </c>
      <c r="S21" s="2"/>
      <c r="T21" s="2"/>
      <c r="U21" s="9">
        <f t="shared" si="2"/>
        <v>38.471847752392662</v>
      </c>
      <c r="V21" s="9">
        <f t="shared" si="3"/>
        <v>19.637233735337393</v>
      </c>
      <c r="W21" s="11">
        <f t="shared" si="4"/>
        <v>26249.399429229143</v>
      </c>
      <c r="X21" s="11">
        <f t="shared" si="5"/>
        <v>17404.421347928324</v>
      </c>
    </row>
    <row r="22" spans="1:24">
      <c r="A22" t="s">
        <v>21</v>
      </c>
      <c r="B22" s="3">
        <v>573318</v>
      </c>
      <c r="C22" s="3">
        <v>852247</v>
      </c>
      <c r="D22" s="3">
        <v>578510</v>
      </c>
      <c r="E22" s="3">
        <v>852271</v>
      </c>
      <c r="F22" s="3">
        <v>39870</v>
      </c>
      <c r="G22" s="3">
        <v>36743</v>
      </c>
      <c r="H22" s="3"/>
      <c r="I22" s="3"/>
      <c r="J22" s="9">
        <f t="shared" si="0"/>
        <v>69.229086287188707</v>
      </c>
      <c r="K22" s="9">
        <f t="shared" si="1"/>
        <v>43.112481065028355</v>
      </c>
      <c r="L22" s="3"/>
      <c r="M22" s="3">
        <v>22398</v>
      </c>
      <c r="N22" s="3">
        <v>29674</v>
      </c>
      <c r="O22" s="3">
        <v>22793</v>
      </c>
      <c r="P22" s="3">
        <v>29772</v>
      </c>
      <c r="Q22" s="3">
        <v>1512</v>
      </c>
      <c r="R22" s="3">
        <v>1301</v>
      </c>
      <c r="S22" s="3"/>
      <c r="T22" s="3"/>
      <c r="U22" s="9">
        <f t="shared" si="2"/>
        <v>66.915978845345307</v>
      </c>
      <c r="V22" s="9">
        <f t="shared" si="3"/>
        <v>43.770817212259864</v>
      </c>
      <c r="W22" s="11">
        <f t="shared" si="4"/>
        <v>38537.849040738198</v>
      </c>
      <c r="X22" s="11">
        <f t="shared" si="5"/>
        <v>37304.072906503381</v>
      </c>
    </row>
    <row r="23" spans="1:24">
      <c r="A23" t="s">
        <v>22</v>
      </c>
      <c r="B23" s="3">
        <v>429132</v>
      </c>
      <c r="C23" s="3">
        <v>877706</v>
      </c>
      <c r="D23" s="3">
        <v>450921</v>
      </c>
      <c r="E23" s="3">
        <v>910204</v>
      </c>
      <c r="F23" s="3">
        <v>68463</v>
      </c>
      <c r="G23" s="3">
        <v>116915</v>
      </c>
      <c r="H23" s="3"/>
      <c r="I23" s="3"/>
      <c r="J23" s="9">
        <f t="shared" si="0"/>
        <v>155.58835661034053</v>
      </c>
      <c r="K23" s="9">
        <f t="shared" si="1"/>
        <v>130.78398800834495</v>
      </c>
      <c r="L23" s="3"/>
      <c r="M23" s="3">
        <v>15402</v>
      </c>
      <c r="N23" s="3">
        <v>27937</v>
      </c>
      <c r="O23" s="3">
        <v>16367</v>
      </c>
      <c r="P23" s="3">
        <v>29093</v>
      </c>
      <c r="Q23" s="3">
        <v>2383</v>
      </c>
      <c r="R23" s="3">
        <v>3946</v>
      </c>
      <c r="S23" s="3"/>
      <c r="T23" s="3"/>
      <c r="U23" s="9">
        <f t="shared" si="2"/>
        <v>150.02046019704744</v>
      </c>
      <c r="V23" s="9">
        <f t="shared" si="3"/>
        <v>138.38330703138698</v>
      </c>
      <c r="W23" s="11">
        <f t="shared" si="4"/>
        <v>66012.97802889609</v>
      </c>
      <c r="X23" s="11">
        <f t="shared" si="5"/>
        <v>123708.44923724355</v>
      </c>
    </row>
    <row r="24" spans="1:24">
      <c r="B24" s="1">
        <f t="shared" ref="B24:G24" si="6">SUM(B5:B23)</f>
        <v>22826549</v>
      </c>
      <c r="C24" s="1">
        <f t="shared" si="6"/>
        <v>23623018</v>
      </c>
      <c r="D24" s="1">
        <f t="shared" si="6"/>
        <v>22809423</v>
      </c>
      <c r="E24" s="1">
        <f t="shared" si="6"/>
        <v>23636410</v>
      </c>
      <c r="F24" s="1">
        <f t="shared" si="6"/>
        <v>213309</v>
      </c>
      <c r="G24" s="1">
        <f t="shared" si="6"/>
        <v>209259</v>
      </c>
      <c r="H24" s="7">
        <f>2000*(F24+G24)/(B24+C24+D24+E24)</f>
        <v>9.0977163562458419</v>
      </c>
      <c r="M24" s="1">
        <f t="shared" ref="M24:P24" si="7">SUM(M5:M23)</f>
        <v>916054</v>
      </c>
      <c r="N24" s="1">
        <f t="shared" si="7"/>
        <v>926117</v>
      </c>
      <c r="O24" s="1">
        <f t="shared" si="7"/>
        <v>915780</v>
      </c>
      <c r="P24" s="1">
        <f t="shared" si="7"/>
        <v>926985</v>
      </c>
      <c r="Q24" s="1">
        <f>SUM(Q5:Q23)</f>
        <v>8311</v>
      </c>
      <c r="R24" s="1">
        <f>SUM(R5:R23)</f>
        <v>7542</v>
      </c>
      <c r="S24" s="7">
        <f>2000*(Q24+R24)/(M24+N24+O24+P24)</f>
        <v>8.6042199918804556</v>
      </c>
      <c r="W24" s="12">
        <f>SUM(W5:W23)</f>
        <v>205773.85045670311</v>
      </c>
      <c r="X24" s="12">
        <f>SUM(X5:X23)</f>
        <v>216377.23131475353</v>
      </c>
    </row>
    <row r="25" spans="1:24">
      <c r="V25" t="s">
        <v>33</v>
      </c>
      <c r="W25" s="13">
        <f>2000*(W24+X24)/(B24+C24+D24+E24)</f>
        <v>9.0887402771602606</v>
      </c>
    </row>
    <row r="27" spans="1:24">
      <c r="B27" s="25" t="s">
        <v>36</v>
      </c>
      <c r="C27" s="25"/>
      <c r="D27" s="25" t="s">
        <v>32</v>
      </c>
      <c r="E27" s="25"/>
      <c r="F27" s="25" t="s">
        <v>37</v>
      </c>
      <c r="G27" s="25"/>
      <c r="H27" s="25" t="s">
        <v>34</v>
      </c>
      <c r="I27" s="25"/>
      <c r="J27" s="25" t="s">
        <v>35</v>
      </c>
      <c r="K27" s="25"/>
      <c r="L27" s="25" t="s">
        <v>38</v>
      </c>
      <c r="M27" s="25"/>
      <c r="N27" s="25" t="s">
        <v>39</v>
      </c>
      <c r="O27" s="25"/>
      <c r="P27" s="25" t="s">
        <v>40</v>
      </c>
      <c r="Q27" s="25"/>
      <c r="R27" s="25" t="s">
        <v>41</v>
      </c>
      <c r="S27" s="25"/>
    </row>
    <row r="28" spans="1:24">
      <c r="B28" t="s">
        <v>0</v>
      </c>
      <c r="C28" t="s">
        <v>1</v>
      </c>
      <c r="D28" t="s">
        <v>0</v>
      </c>
      <c r="E28" t="s">
        <v>1</v>
      </c>
      <c r="F28" t="s">
        <v>0</v>
      </c>
      <c r="G28" t="s">
        <v>1</v>
      </c>
      <c r="H28" t="s">
        <v>0</v>
      </c>
      <c r="I28" t="s">
        <v>1</v>
      </c>
      <c r="J28" t="s">
        <v>0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0</v>
      </c>
      <c r="Q28" t="s">
        <v>1</v>
      </c>
      <c r="R28" t="s">
        <v>0</v>
      </c>
      <c r="S28" t="s">
        <v>1</v>
      </c>
      <c r="U28" s="1">
        <f>+M24+N24</f>
        <v>1842171</v>
      </c>
      <c r="V28" s="1">
        <f>+O24+P24</f>
        <v>1842765</v>
      </c>
    </row>
    <row r="29" spans="1:24">
      <c r="A29" t="s">
        <v>4</v>
      </c>
      <c r="B29" s="10">
        <f>2*Q5/(M5+O5)</f>
        <v>3.0242545212605092E-3</v>
      </c>
      <c r="C29" s="10">
        <f>2*R5/(N5+P5)</f>
        <v>1.6782855667441261E-3</v>
      </c>
      <c r="D29" s="15">
        <f>+B29/(1+(1-F29)*B29)</f>
        <v>3.0161687698924246E-3</v>
      </c>
      <c r="E29" s="15">
        <f>+C29/(1+(1-G29)*C29)</f>
        <v>1.6758278537775909E-3</v>
      </c>
      <c r="F29" s="17">
        <v>0.113566</v>
      </c>
      <c r="G29" s="17">
        <v>0.12615199999999999</v>
      </c>
      <c r="H29">
        <v>100000</v>
      </c>
      <c r="I29">
        <v>100000</v>
      </c>
      <c r="J29" s="18">
        <f>+H29*D29</f>
        <v>301.61687698924248</v>
      </c>
      <c r="K29" s="18">
        <f>+I29*E29</f>
        <v>167.58278537775908</v>
      </c>
      <c r="L29" s="19">
        <f>+H30+(H29-H30)*F29</f>
        <v>99732.636545262925</v>
      </c>
      <c r="M29" s="19">
        <f>+I30+(I29-I30)*G29</f>
        <v>99853.558118163215</v>
      </c>
      <c r="N29" s="14">
        <f>+SUM(L29:$L$47)</f>
        <v>8038311.738936835</v>
      </c>
      <c r="O29" s="14">
        <f>+SUM(M29:M$47)</f>
        <v>8544504.6864145733</v>
      </c>
      <c r="P29" s="21">
        <f>+N29/H29</f>
        <v>80.383117389368351</v>
      </c>
      <c r="Q29" s="21">
        <f>+O29/I29</f>
        <v>85.445046864145738</v>
      </c>
      <c r="R29" s="28">
        <f>+(L30+L29)/(5*H29)</f>
        <v>0.99699356729630073</v>
      </c>
      <c r="S29" s="28">
        <f>+(M30+M29)/(5*I29)</f>
        <v>0.99795774605123988</v>
      </c>
    </row>
    <row r="30" spans="1:24">
      <c r="A30" t="s">
        <v>5</v>
      </c>
      <c r="B30" s="10">
        <f t="shared" ref="B30:B47" si="8">2*Q6/(M6+O6)</f>
        <v>2.8360748723766308E-5</v>
      </c>
      <c r="C30" s="10">
        <f t="shared" ref="C30:C47" si="9">2*R6/(N6+P6)</f>
        <v>2.1209550357532422E-4</v>
      </c>
      <c r="D30" s="15">
        <f>4*B30/(1+(4-F30)*B30)</f>
        <v>1.1343463576614172E-4</v>
      </c>
      <c r="E30" s="15">
        <f>4*C30/(1+(4-G30)*C30)</f>
        <v>8.4794786119390877E-4</v>
      </c>
      <c r="F30" s="17">
        <v>1.4016500000000001</v>
      </c>
      <c r="G30" s="17">
        <v>1.5859719999999999</v>
      </c>
      <c r="H30" s="12">
        <f>+H29-J29</f>
        <v>99698.383123010761</v>
      </c>
      <c r="I30" s="12">
        <f>+I29-K29</f>
        <v>99832.417214622241</v>
      </c>
      <c r="J30" s="18">
        <f t="shared" ref="J30:J47" si="10">+H30*D30</f>
        <v>11.309249776031976</v>
      </c>
      <c r="K30" s="18">
        <f t="shared" ref="K30:K47" si="11">+I30*E30</f>
        <v>84.652684654956886</v>
      </c>
      <c r="L30" s="19">
        <f>4*H31+(H30-H31)*F30</f>
        <v>398764.14710288745</v>
      </c>
      <c r="M30" s="19">
        <f>4*I31+(I30-I31)*G30</f>
        <v>399125.31490745675</v>
      </c>
      <c r="N30" s="14">
        <f>+SUM(L30:$L$47)</f>
        <v>7938579.1023915717</v>
      </c>
      <c r="O30" s="14">
        <f>+SUM(M30:M$47)</f>
        <v>8444651.1282964107</v>
      </c>
      <c r="P30" s="21">
        <f t="shared" ref="P30:P47" si="12">+N30/H30</f>
        <v>79.625956346721509</v>
      </c>
      <c r="Q30" s="21">
        <f t="shared" ref="Q30:Q47" si="13">+O30/I30</f>
        <v>84.588266656329552</v>
      </c>
      <c r="R30" s="28">
        <f>+L31/(L30+L29)</f>
        <v>0.99977764823326842</v>
      </c>
      <c r="S30" s="28">
        <f>+M31/(M30+M29)</f>
        <v>0.99951891675427473</v>
      </c>
    </row>
    <row r="31" spans="1:24">
      <c r="A31" t="s">
        <v>6</v>
      </c>
      <c r="B31" s="10">
        <f t="shared" si="8"/>
        <v>3.9669946048873371E-5</v>
      </c>
      <c r="C31" s="10">
        <f t="shared" si="9"/>
        <v>0</v>
      </c>
      <c r="D31" s="15">
        <f>5*B31/(1+(5-F31)*B31)</f>
        <v>1.9833006088732866E-4</v>
      </c>
      <c r="E31" s="15">
        <f>5*C31/(1+(5-G31)*C31)</f>
        <v>0</v>
      </c>
      <c r="F31" s="16">
        <v>2.5</v>
      </c>
      <c r="G31" s="16">
        <v>2.5</v>
      </c>
      <c r="H31" s="12">
        <f t="shared" ref="H31:H47" si="14">+H30-J30</f>
        <v>99687.073873234724</v>
      </c>
      <c r="I31" s="12">
        <f t="shared" ref="I31:I47" si="15">+I30-K30</f>
        <v>99747.764529967288</v>
      </c>
      <c r="J31" s="18">
        <f t="shared" si="10"/>
        <v>19.770943430958273</v>
      </c>
      <c r="K31" s="18">
        <f t="shared" si="11"/>
        <v>0</v>
      </c>
      <c r="L31" s="20">
        <f>5*H32+(H31-H32)*F31</f>
        <v>498385.9420075962</v>
      </c>
      <c r="M31" s="20">
        <f>5*I32+(I31-I32)*G31</f>
        <v>498738.82264983642</v>
      </c>
      <c r="N31" s="14">
        <f>+SUM(L31:$L$47)</f>
        <v>7539814.9552886849</v>
      </c>
      <c r="O31" s="14">
        <f>+SUM(M31:M$47)</f>
        <v>8045525.8133889548</v>
      </c>
      <c r="P31" s="21">
        <f t="shared" si="12"/>
        <v>75.634830699078947</v>
      </c>
      <c r="Q31" s="21">
        <f t="shared" si="13"/>
        <v>80.658708005148654</v>
      </c>
      <c r="R31" s="28">
        <f t="shared" ref="R31:S47" si="16">+L32/L31</f>
        <v>0.99969274438630906</v>
      </c>
      <c r="S31" s="28">
        <f t="shared" si="16"/>
        <v>0.99988848868717739</v>
      </c>
    </row>
    <row r="32" spans="1:24">
      <c r="A32" t="s">
        <v>7</v>
      </c>
      <c r="B32" s="10">
        <f t="shared" si="8"/>
        <v>8.3257880878786938E-5</v>
      </c>
      <c r="C32" s="10">
        <f t="shared" si="9"/>
        <v>4.4609499592938314E-5</v>
      </c>
      <c r="D32" s="15">
        <f t="shared" ref="D32:D46" si="17">5*B32/(1+(5-F32)*B32)</f>
        <v>4.1620277399148875E-4</v>
      </c>
      <c r="E32" s="15">
        <f t="shared" ref="E32:E46" si="18">5*C32/(1+(5-G32)*C32)</f>
        <v>2.2302262564537171E-4</v>
      </c>
      <c r="F32" s="16">
        <v>2.5</v>
      </c>
      <c r="G32" s="16">
        <v>2.5</v>
      </c>
      <c r="H32" s="12">
        <f t="shared" si="14"/>
        <v>99667.302929803758</v>
      </c>
      <c r="I32" s="12">
        <f t="shared" si="15"/>
        <v>99747.764529967288</v>
      </c>
      <c r="J32" s="18">
        <f t="shared" si="10"/>
        <v>41.481807955634359</v>
      </c>
      <c r="K32" s="18">
        <f t="shared" si="11"/>
        <v>22.246008347729582</v>
      </c>
      <c r="L32" s="20">
        <f t="shared" ref="L32:L45" si="19">5*H33+(H32-H33)*F32</f>
        <v>498232.81012912974</v>
      </c>
      <c r="M32" s="20">
        <f t="shared" ref="M32:M46" si="20">5*I33+(I32-I33)*G32</f>
        <v>498683.20762896712</v>
      </c>
      <c r="N32" s="14">
        <f>+SUM(L32:$L$47)</f>
        <v>7041429.0132810893</v>
      </c>
      <c r="O32" s="14">
        <f>+SUM(M32:M$47)</f>
        <v>7546786.9907391183</v>
      </c>
      <c r="P32" s="21">
        <f t="shared" si="12"/>
        <v>70.64933841182004</v>
      </c>
      <c r="Q32" s="21">
        <f t="shared" si="13"/>
        <v>75.658708005148654</v>
      </c>
      <c r="R32" s="28">
        <f t="shared" si="16"/>
        <v>0.99906694821014508</v>
      </c>
      <c r="S32" s="28">
        <f t="shared" si="16"/>
        <v>0.99971079621566994</v>
      </c>
    </row>
    <row r="33" spans="1:19">
      <c r="A33" t="s">
        <v>8</v>
      </c>
      <c r="B33" s="10">
        <f t="shared" si="8"/>
        <v>2.9023363807865332E-4</v>
      </c>
      <c r="C33" s="10">
        <f t="shared" si="9"/>
        <v>7.1092574380605947E-5</v>
      </c>
      <c r="D33" s="15">
        <f t="shared" si="17"/>
        <v>1.4501160092807422E-3</v>
      </c>
      <c r="E33" s="15">
        <f t="shared" si="18"/>
        <v>3.5539970620290958E-4</v>
      </c>
      <c r="F33" s="16">
        <v>2.5</v>
      </c>
      <c r="G33" s="16">
        <v>2.5</v>
      </c>
      <c r="H33" s="12">
        <f t="shared" si="14"/>
        <v>99625.82112184813</v>
      </c>
      <c r="I33" s="12">
        <f t="shared" si="15"/>
        <v>99725.518521619553</v>
      </c>
      <c r="J33" s="18">
        <f t="shared" si="10"/>
        <v>144.46899814653148</v>
      </c>
      <c r="K33" s="18">
        <f t="shared" si="11"/>
        <v>35.442419983516409</v>
      </c>
      <c r="L33" s="20">
        <f t="shared" si="19"/>
        <v>497767.93311387429</v>
      </c>
      <c r="M33" s="20">
        <f t="shared" si="20"/>
        <v>498538.98655813897</v>
      </c>
      <c r="N33" s="14">
        <f>+SUM(L33:$L$47)</f>
        <v>6543196.203151959</v>
      </c>
      <c r="O33" s="14">
        <f>+SUM(M33:M$47)</f>
        <v>7048103.7831101511</v>
      </c>
      <c r="P33" s="21">
        <f t="shared" si="12"/>
        <v>65.677714165580156</v>
      </c>
      <c r="Q33" s="21">
        <f t="shared" si="13"/>
        <v>70.675027691956188</v>
      </c>
      <c r="R33" s="28">
        <f t="shared" si="16"/>
        <v>0.99857858708478098</v>
      </c>
      <c r="S33" s="28">
        <f t="shared" si="16"/>
        <v>0.99965408610939888</v>
      </c>
    </row>
    <row r="34" spans="1:19">
      <c r="A34" t="s">
        <v>9</v>
      </c>
      <c r="B34" s="10">
        <f t="shared" si="8"/>
        <v>2.7872771518315628E-4</v>
      </c>
      <c r="C34" s="10">
        <f t="shared" si="9"/>
        <v>6.7296260571120928E-5</v>
      </c>
      <c r="D34" s="15">
        <f t="shared" si="17"/>
        <v>1.3926681378955714E-3</v>
      </c>
      <c r="E34" s="15">
        <f t="shared" si="18"/>
        <v>3.3642470254449213E-4</v>
      </c>
      <c r="F34" s="16">
        <v>2.5</v>
      </c>
      <c r="G34" s="16">
        <v>2.5</v>
      </c>
      <c r="H34" s="12">
        <f t="shared" si="14"/>
        <v>99481.352123701596</v>
      </c>
      <c r="I34" s="12">
        <f t="shared" si="15"/>
        <v>99690.076101636034</v>
      </c>
      <c r="J34" s="18">
        <f t="shared" si="10"/>
        <v>138.54450941744915</v>
      </c>
      <c r="K34" s="18">
        <f t="shared" si="11"/>
        <v>33.538204199130689</v>
      </c>
      <c r="L34" s="20">
        <f t="shared" si="19"/>
        <v>497060.39934496436</v>
      </c>
      <c r="M34" s="20">
        <f t="shared" si="20"/>
        <v>498366.53499768232</v>
      </c>
      <c r="N34" s="14">
        <f>+SUM(L34:$L$47)</f>
        <v>6045428.2700380841</v>
      </c>
      <c r="O34" s="14">
        <f>+SUM(M34:M$47)</f>
        <v>6549564.7965520117</v>
      </c>
      <c r="P34" s="21">
        <f t="shared" si="12"/>
        <v>60.769462225652148</v>
      </c>
      <c r="Q34" s="21">
        <f t="shared" si="13"/>
        <v>65.699265690945992</v>
      </c>
      <c r="R34" s="28">
        <f t="shared" si="16"/>
        <v>0.99857571639669063</v>
      </c>
      <c r="S34" s="28">
        <f t="shared" si="16"/>
        <v>0.99958584183350763</v>
      </c>
    </row>
    <row r="35" spans="1:19">
      <c r="A35" t="s">
        <v>10</v>
      </c>
      <c r="B35" s="10">
        <f t="shared" si="8"/>
        <v>2.9140076347000031E-4</v>
      </c>
      <c r="C35" s="10">
        <f t="shared" si="9"/>
        <v>9.8407762404298447E-5</v>
      </c>
      <c r="D35" s="15">
        <f t="shared" si="17"/>
        <v>1.4559431599790347E-3</v>
      </c>
      <c r="E35" s="15">
        <f t="shared" si="18"/>
        <v>4.919177906988184E-4</v>
      </c>
      <c r="F35" s="16">
        <v>2.5</v>
      </c>
      <c r="G35" s="16">
        <v>2.5</v>
      </c>
      <c r="H35" s="12">
        <f t="shared" si="14"/>
        <v>99342.807614284146</v>
      </c>
      <c r="I35" s="12">
        <f t="shared" si="15"/>
        <v>99656.537897436909</v>
      </c>
      <c r="J35" s="18">
        <f t="shared" si="10"/>
        <v>144.63748123913018</v>
      </c>
      <c r="K35" s="18">
        <f t="shared" si="11"/>
        <v>49.02282395120023</v>
      </c>
      <c r="L35" s="20">
        <f t="shared" si="19"/>
        <v>496352.4443683229</v>
      </c>
      <c r="M35" s="20">
        <f t="shared" si="20"/>
        <v>498160.1324273065</v>
      </c>
      <c r="N35" s="14">
        <f>+SUM(L35:$L$47)</f>
        <v>5548367.8706931202</v>
      </c>
      <c r="O35" s="14">
        <f>+SUM(M35:M$47)</f>
        <v>6051198.2615543287</v>
      </c>
      <c r="P35" s="21">
        <f t="shared" si="12"/>
        <v>55.850725421770143</v>
      </c>
      <c r="Q35" s="21">
        <f t="shared" si="13"/>
        <v>60.720534640507125</v>
      </c>
      <c r="R35" s="28">
        <f t="shared" si="16"/>
        <v>0.99798596175492327</v>
      </c>
      <c r="S35" s="28">
        <f t="shared" si="16"/>
        <v>0.99918300489382861</v>
      </c>
    </row>
    <row r="36" spans="1:19">
      <c r="A36" t="s">
        <v>11</v>
      </c>
      <c r="B36" s="10">
        <f t="shared" si="8"/>
        <v>5.1525227234302921E-4</v>
      </c>
      <c r="C36" s="10">
        <f t="shared" si="9"/>
        <v>2.2857702637615616E-4</v>
      </c>
      <c r="D36" s="15">
        <f t="shared" si="17"/>
        <v>2.5729470696545013E-3</v>
      </c>
      <c r="E36" s="15">
        <f t="shared" si="18"/>
        <v>1.1422324116605611E-3</v>
      </c>
      <c r="F36" s="16">
        <v>2.5</v>
      </c>
      <c r="G36" s="16">
        <v>2.5</v>
      </c>
      <c r="H36" s="12">
        <f t="shared" si="14"/>
        <v>99198.170133045016</v>
      </c>
      <c r="I36" s="12">
        <f t="shared" si="15"/>
        <v>99607.515073485702</v>
      </c>
      <c r="J36" s="18">
        <f t="shared" si="10"/>
        <v>255.23164115890685</v>
      </c>
      <c r="K36" s="18">
        <f t="shared" si="11"/>
        <v>113.77493216190327</v>
      </c>
      <c r="L36" s="20">
        <f t="shared" si="19"/>
        <v>495352.77156232781</v>
      </c>
      <c r="M36" s="20">
        <f t="shared" si="20"/>
        <v>497753.13803702372</v>
      </c>
      <c r="N36" s="14">
        <f>+SUM(L36:$L$47)</f>
        <v>5052015.4263247959</v>
      </c>
      <c r="O36" s="14">
        <f>+SUM(M36:M$47)</f>
        <v>5553038.1291270219</v>
      </c>
      <c r="P36" s="21">
        <f t="shared" si="12"/>
        <v>50.928514301715552</v>
      </c>
      <c r="Q36" s="21">
        <f t="shared" si="13"/>
        <v>55.749188452600727</v>
      </c>
      <c r="R36" s="28">
        <f t="shared" si="16"/>
        <v>0.99721419664582633</v>
      </c>
      <c r="S36" s="28">
        <f t="shared" si="16"/>
        <v>0.99858203173457016</v>
      </c>
    </row>
    <row r="37" spans="1:19">
      <c r="A37" t="s">
        <v>12</v>
      </c>
      <c r="B37" s="10">
        <f t="shared" si="8"/>
        <v>6.007426201325468E-4</v>
      </c>
      <c r="C37" s="10">
        <f t="shared" si="9"/>
        <v>3.3909110021498374E-4</v>
      </c>
      <c r="D37" s="15">
        <f t="shared" si="17"/>
        <v>2.9992087194016899E-3</v>
      </c>
      <c r="E37" s="15">
        <f t="shared" si="18"/>
        <v>1.6940194337909445E-3</v>
      </c>
      <c r="F37" s="16">
        <v>2.5</v>
      </c>
      <c r="G37" s="16">
        <v>2.5</v>
      </c>
      <c r="H37" s="12">
        <f t="shared" si="14"/>
        <v>98942.938491886103</v>
      </c>
      <c r="I37" s="12">
        <f t="shared" si="15"/>
        <v>99493.740141323797</v>
      </c>
      <c r="J37" s="18">
        <f t="shared" si="10"/>
        <v>296.75052384808987</v>
      </c>
      <c r="K37" s="18">
        <f t="shared" si="11"/>
        <v>168.54432933994872</v>
      </c>
      <c r="L37" s="20">
        <f t="shared" si="19"/>
        <v>493972.81614981027</v>
      </c>
      <c r="M37" s="20">
        <f t="shared" si="20"/>
        <v>497047.3398832691</v>
      </c>
      <c r="N37" s="14">
        <f>+SUM(L37:$L$47)</f>
        <v>4556662.6547624683</v>
      </c>
      <c r="O37" s="14">
        <f>+SUM(M37:M$47)</f>
        <v>5055284.9910899987</v>
      </c>
      <c r="P37" s="21">
        <f t="shared" si="12"/>
        <v>46.053439732196161</v>
      </c>
      <c r="Q37" s="21">
        <f t="shared" si="13"/>
        <v>50.810080954935707</v>
      </c>
      <c r="R37" s="28">
        <f t="shared" si="16"/>
        <v>0.99513781925559208</v>
      </c>
      <c r="S37" s="28">
        <f t="shared" si="16"/>
        <v>0.99746199103181754</v>
      </c>
    </row>
    <row r="38" spans="1:19">
      <c r="A38" t="s">
        <v>13</v>
      </c>
      <c r="B38" s="10">
        <f t="shared" si="8"/>
        <v>1.3506970106271822E-3</v>
      </c>
      <c r="C38" s="10">
        <f t="shared" si="9"/>
        <v>6.7783283286675837E-4</v>
      </c>
      <c r="D38" s="15">
        <f t="shared" si="17"/>
        <v>6.7307570196715894E-3</v>
      </c>
      <c r="E38" s="15">
        <f t="shared" si="18"/>
        <v>3.3834306633554155E-3</v>
      </c>
      <c r="F38" s="16">
        <v>2.5</v>
      </c>
      <c r="G38" s="16">
        <v>2.5</v>
      </c>
      <c r="H38" s="12">
        <f t="shared" si="14"/>
        <v>98646.187968038008</v>
      </c>
      <c r="I38" s="12">
        <f t="shared" si="15"/>
        <v>99325.195811983853</v>
      </c>
      <c r="J38" s="18">
        <f t="shared" si="10"/>
        <v>663.96352212971487</v>
      </c>
      <c r="K38" s="18">
        <f t="shared" si="11"/>
        <v>336.05991315404708</v>
      </c>
      <c r="L38" s="20">
        <f t="shared" si="19"/>
        <v>491571.03103486571</v>
      </c>
      <c r="M38" s="20">
        <f t="shared" si="20"/>
        <v>495785.82927703415</v>
      </c>
      <c r="N38" s="14">
        <f>+SUM(L38:$L$47)</f>
        <v>4062689.8386126584</v>
      </c>
      <c r="O38" s="14">
        <f>+SUM(M38:M$47)</f>
        <v>4558237.6512067299</v>
      </c>
      <c r="P38" s="21">
        <f t="shared" si="12"/>
        <v>41.184458541155138</v>
      </c>
      <c r="Q38" s="21">
        <f t="shared" si="13"/>
        <v>45.892058041699485</v>
      </c>
      <c r="R38" s="28">
        <f t="shared" si="16"/>
        <v>0.99081239772911411</v>
      </c>
      <c r="S38" s="28">
        <f t="shared" si="16"/>
        <v>0.99543122478585011</v>
      </c>
    </row>
    <row r="39" spans="1:19">
      <c r="A39" t="s">
        <v>14</v>
      </c>
      <c r="B39" s="10">
        <f t="shared" si="8"/>
        <v>2.3458970669467194E-3</v>
      </c>
      <c r="C39" s="10">
        <f t="shared" si="9"/>
        <v>1.1549539779009417E-3</v>
      </c>
      <c r="D39" s="15">
        <f t="shared" si="17"/>
        <v>1.1661096007430557E-2</v>
      </c>
      <c r="E39" s="15">
        <f t="shared" si="18"/>
        <v>5.758143911465027E-3</v>
      </c>
      <c r="F39" s="16">
        <v>2.5</v>
      </c>
      <c r="G39" s="16">
        <v>2.5</v>
      </c>
      <c r="H39" s="12">
        <f t="shared" si="14"/>
        <v>97982.224445908287</v>
      </c>
      <c r="I39" s="12">
        <f t="shared" si="15"/>
        <v>98989.135898829802</v>
      </c>
      <c r="J39" s="18">
        <f t="shared" si="10"/>
        <v>1142.5801262853458</v>
      </c>
      <c r="K39" s="18">
        <f t="shared" si="11"/>
        <v>569.993690177031</v>
      </c>
      <c r="L39" s="20">
        <f t="shared" si="19"/>
        <v>487054.67191382806</v>
      </c>
      <c r="M39" s="20">
        <f t="shared" si="20"/>
        <v>493520.69526870648</v>
      </c>
      <c r="N39" s="14">
        <f>+SUM(L39:$L$47)</f>
        <v>3571118.8075777926</v>
      </c>
      <c r="O39" s="14">
        <f>+SUM(M39:M$47)</f>
        <v>4062451.821929696</v>
      </c>
      <c r="P39" s="21">
        <f t="shared" si="12"/>
        <v>36.446598633298549</v>
      </c>
      <c r="Q39" s="21">
        <f t="shared" si="13"/>
        <v>41.039370482854373</v>
      </c>
      <c r="R39" s="28">
        <f t="shared" si="16"/>
        <v>0.98431279295774066</v>
      </c>
      <c r="S39" s="28">
        <f t="shared" si="16"/>
        <v>0.99181611403548975</v>
      </c>
    </row>
    <row r="40" spans="1:19">
      <c r="A40" t="s">
        <v>15</v>
      </c>
      <c r="B40" s="10">
        <f t="shared" si="8"/>
        <v>3.9916028503001093E-3</v>
      </c>
      <c r="C40" s="10">
        <f t="shared" si="9"/>
        <v>2.1360818582418402E-3</v>
      </c>
      <c r="D40" s="15">
        <f t="shared" si="17"/>
        <v>1.9760820879136966E-2</v>
      </c>
      <c r="E40" s="15">
        <f t="shared" si="18"/>
        <v>1.0623676683629879E-2</v>
      </c>
      <c r="F40" s="16">
        <v>2.5</v>
      </c>
      <c r="G40" s="16">
        <v>2.5</v>
      </c>
      <c r="H40" s="12">
        <f t="shared" si="14"/>
        <v>96839.644319622937</v>
      </c>
      <c r="I40" s="12">
        <f t="shared" si="15"/>
        <v>98419.142208652775</v>
      </c>
      <c r="J40" s="18">
        <f t="shared" si="10"/>
        <v>1913.6308653994024</v>
      </c>
      <c r="K40" s="18">
        <f t="shared" si="11"/>
        <v>1045.5731463049178</v>
      </c>
      <c r="L40" s="20">
        <f t="shared" si="19"/>
        <v>479414.14443461614</v>
      </c>
      <c r="M40" s="20">
        <f t="shared" si="20"/>
        <v>489481.77817750158</v>
      </c>
      <c r="N40" s="14">
        <f>+SUM(L40:$L$47)</f>
        <v>3084064.1356639648</v>
      </c>
      <c r="O40" s="14">
        <f>+SUM(M40:M$47)</f>
        <v>3568931.1266609887</v>
      </c>
      <c r="P40" s="21">
        <f t="shared" si="12"/>
        <v>31.847123740819345</v>
      </c>
      <c r="Q40" s="21">
        <f t="shared" si="13"/>
        <v>36.262570944732502</v>
      </c>
      <c r="R40" s="28">
        <f t="shared" si="16"/>
        <v>0.97534912303060206</v>
      </c>
      <c r="S40" s="28">
        <f t="shared" si="16"/>
        <v>0.98618184010943932</v>
      </c>
    </row>
    <row r="41" spans="1:19">
      <c r="A41" t="s">
        <v>16</v>
      </c>
      <c r="B41" s="10">
        <f t="shared" si="8"/>
        <v>6.0170740905818223E-3</v>
      </c>
      <c r="C41" s="10">
        <f t="shared" si="9"/>
        <v>3.4386985848432745E-3</v>
      </c>
      <c r="D41" s="15">
        <f t="shared" si="17"/>
        <v>2.9639512594681783E-2</v>
      </c>
      <c r="E41" s="15">
        <f t="shared" si="18"/>
        <v>1.7046944662995014E-2</v>
      </c>
      <c r="F41" s="16">
        <v>2.5</v>
      </c>
      <c r="G41" s="16">
        <v>2.5</v>
      </c>
      <c r="H41" s="12">
        <f t="shared" si="14"/>
        <v>94926.013454223532</v>
      </c>
      <c r="I41" s="12">
        <f t="shared" si="15"/>
        <v>97373.569062347859</v>
      </c>
      <c r="J41" s="18">
        <f t="shared" si="10"/>
        <v>2813.5607713393906</v>
      </c>
      <c r="K41" s="18">
        <f t="shared" si="11"/>
        <v>1659.9218434441673</v>
      </c>
      <c r="L41" s="20">
        <f t="shared" si="19"/>
        <v>467596.16534276924</v>
      </c>
      <c r="M41" s="20">
        <f t="shared" si="20"/>
        <v>482718.04070312891</v>
      </c>
      <c r="N41" s="14">
        <f>+SUM(L41:$L$47)</f>
        <v>2604649.9912293488</v>
      </c>
      <c r="O41" s="14">
        <f>+SUM(M41:M$47)</f>
        <v>3079449.348483488</v>
      </c>
      <c r="P41" s="21">
        <f t="shared" si="12"/>
        <v>27.438737775345398</v>
      </c>
      <c r="Q41" s="21">
        <f t="shared" si="13"/>
        <v>31.625105027337863</v>
      </c>
      <c r="R41" s="28">
        <f t="shared" si="16"/>
        <v>0.96083396524424169</v>
      </c>
      <c r="S41" s="28">
        <f t="shared" si="16"/>
        <v>0.9806117883705523</v>
      </c>
    </row>
    <row r="42" spans="1:19">
      <c r="A42" t="s">
        <v>17</v>
      </c>
      <c r="B42" s="10">
        <f t="shared" si="8"/>
        <v>1.0042671429989084E-2</v>
      </c>
      <c r="C42" s="10">
        <f t="shared" si="9"/>
        <v>4.4019316493313521E-3</v>
      </c>
      <c r="D42" s="15">
        <f t="shared" si="17"/>
        <v>4.8983543078412385E-2</v>
      </c>
      <c r="E42" s="15">
        <f t="shared" si="18"/>
        <v>2.1770082211913833E-2</v>
      </c>
      <c r="F42" s="16">
        <v>2.5</v>
      </c>
      <c r="G42" s="16">
        <v>2.5</v>
      </c>
      <c r="H42" s="12">
        <f t="shared" si="14"/>
        <v>92112.452682884148</v>
      </c>
      <c r="I42" s="12">
        <f t="shared" si="15"/>
        <v>95713.647218903687</v>
      </c>
      <c r="J42" s="18">
        <f t="shared" si="10"/>
        <v>4511.9942940502779</v>
      </c>
      <c r="K42" s="18">
        <f t="shared" si="11"/>
        <v>2083.693968757651</v>
      </c>
      <c r="L42" s="20">
        <f t="shared" si="19"/>
        <v>449282.27767929505</v>
      </c>
      <c r="M42" s="20">
        <f t="shared" si="20"/>
        <v>473359.0011726243</v>
      </c>
      <c r="N42" s="14">
        <f>+SUM(L42:$L$47)</f>
        <v>2137053.8258865792</v>
      </c>
      <c r="O42" s="14">
        <f>+SUM(M42:M$47)</f>
        <v>2596731.3077803589</v>
      </c>
      <c r="P42" s="21">
        <f t="shared" si="12"/>
        <v>23.200487704347875</v>
      </c>
      <c r="Q42" s="21">
        <f t="shared" si="13"/>
        <v>27.130209570234598</v>
      </c>
      <c r="R42" s="28">
        <f t="shared" si="16"/>
        <v>0.94063653798224822</v>
      </c>
      <c r="S42" s="28">
        <f t="shared" si="16"/>
        <v>0.97365962492271563</v>
      </c>
    </row>
    <row r="43" spans="1:19">
      <c r="A43" t="s">
        <v>18</v>
      </c>
      <c r="B43" s="10">
        <f t="shared" si="8"/>
        <v>1.456749001745691E-2</v>
      </c>
      <c r="C43" s="10">
        <f t="shared" si="9"/>
        <v>6.300167147291663E-3</v>
      </c>
      <c r="D43" s="15">
        <f t="shared" si="17"/>
        <v>7.0278014404088901E-2</v>
      </c>
      <c r="E43" s="15">
        <f t="shared" si="18"/>
        <v>3.1012377826601933E-2</v>
      </c>
      <c r="F43" s="16">
        <v>2.5</v>
      </c>
      <c r="G43" s="16">
        <v>2.5</v>
      </c>
      <c r="H43" s="12">
        <f t="shared" si="14"/>
        <v>87600.458388833868</v>
      </c>
      <c r="I43" s="12">
        <f t="shared" si="15"/>
        <v>93629.953250146034</v>
      </c>
      <c r="J43" s="18">
        <f t="shared" si="10"/>
        <v>6156.3862764552568</v>
      </c>
      <c r="K43" s="18">
        <f t="shared" si="11"/>
        <v>2903.6874860806047</v>
      </c>
      <c r="L43" s="20">
        <f t="shared" si="19"/>
        <v>422611.32625303121</v>
      </c>
      <c r="M43" s="20">
        <f t="shared" si="20"/>
        <v>460890.54753552866</v>
      </c>
      <c r="N43" s="14">
        <f>+SUM(L43:$L$47)</f>
        <v>1687771.5482072844</v>
      </c>
      <c r="O43" s="14">
        <f>+SUM(M43:M$47)</f>
        <v>2123372.3066077344</v>
      </c>
      <c r="P43" s="21">
        <f t="shared" si="12"/>
        <v>19.266697677719218</v>
      </c>
      <c r="Q43" s="21">
        <f t="shared" si="13"/>
        <v>22.678344193282214</v>
      </c>
      <c r="R43" s="28">
        <f t="shared" si="16"/>
        <v>0.91446288247611351</v>
      </c>
      <c r="S43" s="28">
        <f t="shared" si="16"/>
        <v>0.96099630775785572</v>
      </c>
    </row>
    <row r="44" spans="1:19">
      <c r="A44" t="s">
        <v>19</v>
      </c>
      <c r="B44" s="10">
        <f t="shared" si="8"/>
        <v>2.1485133370200849E-2</v>
      </c>
      <c r="C44" s="10">
        <f t="shared" si="9"/>
        <v>9.6788194444444448E-3</v>
      </c>
      <c r="D44" s="15">
        <f t="shared" si="17"/>
        <v>0.10194966165665408</v>
      </c>
      <c r="E44" s="15">
        <f t="shared" si="18"/>
        <v>4.7250768089840023E-2</v>
      </c>
      <c r="F44" s="16">
        <v>2.5</v>
      </c>
      <c r="G44" s="16">
        <v>2.5</v>
      </c>
      <c r="H44" s="12">
        <f t="shared" si="14"/>
        <v>81444.072112378606</v>
      </c>
      <c r="I44" s="12">
        <f t="shared" si="15"/>
        <v>90726.265764065436</v>
      </c>
      <c r="J44" s="18">
        <f t="shared" si="10"/>
        <v>8303.195595797135</v>
      </c>
      <c r="K44" s="18">
        <f t="shared" si="11"/>
        <v>4286.8857432750483</v>
      </c>
      <c r="L44" s="20">
        <f t="shared" si="19"/>
        <v>386462.37157240015</v>
      </c>
      <c r="M44" s="20">
        <f t="shared" si="20"/>
        <v>442914.11446213955</v>
      </c>
      <c r="N44" s="14">
        <f>+SUM(L44:$L$47)</f>
        <v>1265160.2219542528</v>
      </c>
      <c r="O44" s="14">
        <f>+SUM(M44:M$47)</f>
        <v>1662481.7590722055</v>
      </c>
      <c r="P44" s="21">
        <f t="shared" si="12"/>
        <v>15.534098297645929</v>
      </c>
      <c r="Q44" s="21">
        <f t="shared" si="13"/>
        <v>18.324150620235006</v>
      </c>
      <c r="R44" s="28">
        <f t="shared" si="16"/>
        <v>0.86325922307228387</v>
      </c>
      <c r="S44" s="28">
        <f t="shared" si="16"/>
        <v>0.93013953285596362</v>
      </c>
    </row>
    <row r="45" spans="1:19">
      <c r="A45" t="s">
        <v>20</v>
      </c>
      <c r="B45" s="10">
        <f t="shared" si="8"/>
        <v>3.8471847752392666E-2</v>
      </c>
      <c r="C45" s="10">
        <f t="shared" si="9"/>
        <v>1.9637233735337396E-2</v>
      </c>
      <c r="D45" s="15">
        <f t="shared" si="17"/>
        <v>0.17548149533247989</v>
      </c>
      <c r="E45" s="15">
        <f t="shared" si="18"/>
        <v>9.3591474524505502E-2</v>
      </c>
      <c r="F45" s="16">
        <v>2.5</v>
      </c>
      <c r="G45" s="16">
        <v>2.5</v>
      </c>
      <c r="H45" s="12">
        <f t="shared" si="14"/>
        <v>73140.876516581469</v>
      </c>
      <c r="I45" s="12">
        <f t="shared" si="15"/>
        <v>86439.380020790384</v>
      </c>
      <c r="J45" s="18">
        <f t="shared" si="10"/>
        <v>12834.870381057979</v>
      </c>
      <c r="K45" s="18">
        <f t="shared" si="11"/>
        <v>8089.9890331298529</v>
      </c>
      <c r="L45" s="20">
        <f t="shared" si="19"/>
        <v>333617.20663026243</v>
      </c>
      <c r="M45" s="20">
        <f t="shared" si="20"/>
        <v>411971.92752112728</v>
      </c>
      <c r="N45" s="14">
        <f>+SUM(L45:$L$47)</f>
        <v>878697.85038185271</v>
      </c>
      <c r="O45" s="14">
        <f>+SUM(M45:M$47)</f>
        <v>1219567.644610066</v>
      </c>
      <c r="P45" s="21">
        <f t="shared" si="12"/>
        <v>12.01377249263135</v>
      </c>
      <c r="Q45" s="21">
        <f t="shared" si="13"/>
        <v>14.108935583720474</v>
      </c>
      <c r="R45" s="28">
        <f t="shared" si="16"/>
        <v>0.77428952665454798</v>
      </c>
      <c r="S45" s="28">
        <f t="shared" si="16"/>
        <v>0.8571153205929074</v>
      </c>
    </row>
    <row r="46" spans="1:19">
      <c r="A46" t="s">
        <v>21</v>
      </c>
      <c r="B46" s="10">
        <f t="shared" si="8"/>
        <v>6.6915978845345309E-2</v>
      </c>
      <c r="C46" s="10">
        <f t="shared" si="9"/>
        <v>4.3770817212259866E-2</v>
      </c>
      <c r="D46" s="15">
        <f t="shared" si="17"/>
        <v>0.28662963735284636</v>
      </c>
      <c r="E46" s="15">
        <f t="shared" si="18"/>
        <v>0.19726766842049401</v>
      </c>
      <c r="F46" s="16">
        <v>2.5</v>
      </c>
      <c r="G46" s="16">
        <v>2.5</v>
      </c>
      <c r="H46" s="12">
        <f t="shared" si="14"/>
        <v>60306.006135523494</v>
      </c>
      <c r="I46" s="12">
        <f t="shared" si="15"/>
        <v>78349.390987660532</v>
      </c>
      <c r="J46" s="18">
        <f t="shared" si="10"/>
        <v>17285.488668823626</v>
      </c>
      <c r="K46" s="18">
        <f t="shared" si="11"/>
        <v>15455.801682301459</v>
      </c>
      <c r="L46" s="20">
        <f>5*H47+(H46-H47)*F46</f>
        <v>258316.3090055584</v>
      </c>
      <c r="M46" s="20">
        <f t="shared" si="20"/>
        <v>353107.45073254901</v>
      </c>
      <c r="N46" s="14">
        <f>+SUM(L46:$L$47)</f>
        <v>545080.64375159028</v>
      </c>
      <c r="O46" s="14">
        <f>+SUM(M46:M$47)</f>
        <v>807595.71708893869</v>
      </c>
      <c r="P46" s="21">
        <f t="shared" si="12"/>
        <v>9.0385797150395</v>
      </c>
      <c r="Q46" s="21">
        <f t="shared" si="13"/>
        <v>10.307619585915214</v>
      </c>
      <c r="R46" s="28">
        <f>+L47/(L47+L46)</f>
        <v>0.52609524486567361</v>
      </c>
      <c r="S46" s="28">
        <f>+M47/(M47+M46)</f>
        <v>0.56276705873904231</v>
      </c>
    </row>
    <row r="47" spans="1:19">
      <c r="A47" t="s">
        <v>22</v>
      </c>
      <c r="B47" s="10">
        <f t="shared" si="8"/>
        <v>0.15002046019704743</v>
      </c>
      <c r="C47" s="10">
        <f t="shared" si="9"/>
        <v>0.13838330703138699</v>
      </c>
      <c r="D47" s="15">
        <v>1</v>
      </c>
      <c r="E47" s="15">
        <v>1</v>
      </c>
      <c r="F47" s="16">
        <f>+P47</f>
        <v>6.665757448594209</v>
      </c>
      <c r="G47" s="16">
        <f>+Q47</f>
        <v>7.2263051191079573</v>
      </c>
      <c r="H47" s="12">
        <f t="shared" si="14"/>
        <v>43020.517466699865</v>
      </c>
      <c r="I47" s="12">
        <f t="shared" si="15"/>
        <v>62893.58930535907</v>
      </c>
      <c r="J47" s="18">
        <f t="shared" si="10"/>
        <v>43020.517466699865</v>
      </c>
      <c r="K47" s="18">
        <f t="shared" si="11"/>
        <v>62893.58930535907</v>
      </c>
      <c r="L47" s="18">
        <f>+H47/B47</f>
        <v>286764.33474603191</v>
      </c>
      <c r="M47" s="18">
        <f>+I47/C47</f>
        <v>454488.26635638974</v>
      </c>
      <c r="N47" s="14">
        <f>+SUM(L47:$L$47)</f>
        <v>286764.33474603191</v>
      </c>
      <c r="O47" s="14">
        <f>+SUM(M47:M$47)</f>
        <v>454488.26635638974</v>
      </c>
      <c r="P47" s="21">
        <f t="shared" si="12"/>
        <v>6.665757448594209</v>
      </c>
      <c r="Q47" s="21">
        <f t="shared" si="13"/>
        <v>7.2263051191079573</v>
      </c>
      <c r="R47" s="27">
        <f t="shared" si="16"/>
        <v>0</v>
      </c>
      <c r="S47" s="27">
        <f t="shared" si="16"/>
        <v>0</v>
      </c>
    </row>
  </sheetData>
  <mergeCells count="18">
    <mergeCell ref="B2:G2"/>
    <mergeCell ref="M3:P3"/>
    <mergeCell ref="Q3:R3"/>
    <mergeCell ref="M2:R2"/>
    <mergeCell ref="J3:K3"/>
    <mergeCell ref="U3:V3"/>
    <mergeCell ref="W3:X3"/>
    <mergeCell ref="B27:C27"/>
    <mergeCell ref="N27:O27"/>
    <mergeCell ref="B3:E3"/>
    <mergeCell ref="F3:G3"/>
    <mergeCell ref="D27:E27"/>
    <mergeCell ref="F27:G27"/>
    <mergeCell ref="H27:I27"/>
    <mergeCell ref="J27:K27"/>
    <mergeCell ref="L27:M27"/>
    <mergeCell ref="P27:Q27"/>
    <mergeCell ref="R27:S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topLeftCell="A11" workbookViewId="0">
      <selection activeCell="K37" sqref="K37"/>
    </sheetView>
  </sheetViews>
  <sheetFormatPr baseColWidth="10" defaultRowHeight="14" x14ac:dyDescent="0"/>
  <cols>
    <col min="2" max="3" width="11.5" bestFit="1" customWidth="1"/>
    <col min="4" max="4" width="14.6640625" bestFit="1" customWidth="1"/>
  </cols>
  <sheetData>
    <row r="3" spans="1:9">
      <c r="A3" t="s">
        <v>43</v>
      </c>
      <c r="B3" s="2" t="s">
        <v>24</v>
      </c>
      <c r="C3" s="2" t="s">
        <v>26</v>
      </c>
      <c r="D3" s="2" t="s">
        <v>42</v>
      </c>
      <c r="G3" t="s">
        <v>43</v>
      </c>
      <c r="H3" t="s">
        <v>46</v>
      </c>
      <c r="I3" t="s">
        <v>47</v>
      </c>
    </row>
    <row r="4" spans="1:9">
      <c r="A4" t="s">
        <v>8</v>
      </c>
      <c r="B4" s="3">
        <v>42056</v>
      </c>
      <c r="C4" s="3">
        <v>42341</v>
      </c>
      <c r="D4" s="2">
        <v>400</v>
      </c>
      <c r="E4">
        <f>2000*D4/(B4+C4)</f>
        <v>9.4790099174141265</v>
      </c>
      <c r="G4" t="s">
        <v>8</v>
      </c>
      <c r="H4">
        <f>+E4</f>
        <v>9.4790099174141265</v>
      </c>
      <c r="I4">
        <f>5*H4/1000</f>
        <v>4.739504958707063E-2</v>
      </c>
    </row>
    <row r="5" spans="1:9">
      <c r="A5" t="s">
        <v>9</v>
      </c>
      <c r="B5" s="3">
        <v>45067</v>
      </c>
      <c r="C5" s="3">
        <v>44091</v>
      </c>
      <c r="D5" s="2">
        <v>1217</v>
      </c>
      <c r="E5">
        <f t="shared" ref="E5:E10" si="0">2000*D5/(B5+C5)</f>
        <v>27.299849705018058</v>
      </c>
      <c r="G5" t="s">
        <v>9</v>
      </c>
      <c r="H5">
        <f t="shared" ref="H5:H10" si="1">+E5</f>
        <v>27.299849705018058</v>
      </c>
      <c r="I5">
        <f t="shared" ref="I5:I10" si="2">5*H5/1000</f>
        <v>0.13649924852509027</v>
      </c>
    </row>
    <row r="6" spans="1:9">
      <c r="A6" t="s">
        <v>10</v>
      </c>
      <c r="B6" s="3">
        <v>51500</v>
      </c>
      <c r="C6" s="3">
        <v>50118</v>
      </c>
      <c r="D6" s="2">
        <v>2957</v>
      </c>
      <c r="E6">
        <f t="shared" si="0"/>
        <v>58.198350685902106</v>
      </c>
      <c r="G6" t="s">
        <v>10</v>
      </c>
      <c r="H6">
        <f t="shared" si="1"/>
        <v>58.198350685902106</v>
      </c>
      <c r="I6">
        <f t="shared" si="2"/>
        <v>0.29099175342951056</v>
      </c>
    </row>
    <row r="7" spans="1:9">
      <c r="A7" t="s">
        <v>11</v>
      </c>
      <c r="B7" s="3">
        <v>62717</v>
      </c>
      <c r="C7" s="3">
        <v>59780</v>
      </c>
      <c r="D7" s="2">
        <v>5733</v>
      </c>
      <c r="E7">
        <f t="shared" si="0"/>
        <v>93.602292301035945</v>
      </c>
      <c r="G7" t="s">
        <v>11</v>
      </c>
      <c r="H7">
        <f t="shared" si="1"/>
        <v>93.602292301035945</v>
      </c>
      <c r="I7">
        <f t="shared" si="2"/>
        <v>0.46801146150517975</v>
      </c>
    </row>
    <row r="8" spans="1:9">
      <c r="A8" t="s">
        <v>12</v>
      </c>
      <c r="B8" s="3">
        <v>74128</v>
      </c>
      <c r="C8" s="3">
        <v>73325</v>
      </c>
      <c r="D8" s="2">
        <v>4443</v>
      </c>
      <c r="E8">
        <f t="shared" si="0"/>
        <v>60.263270330206915</v>
      </c>
      <c r="G8" t="s">
        <v>12</v>
      </c>
      <c r="H8">
        <f t="shared" si="1"/>
        <v>60.263270330206915</v>
      </c>
      <c r="I8">
        <f t="shared" si="2"/>
        <v>0.30131635165103454</v>
      </c>
    </row>
    <row r="9" spans="1:9">
      <c r="A9" t="s">
        <v>13</v>
      </c>
      <c r="B9" s="3">
        <v>73442</v>
      </c>
      <c r="C9" s="3">
        <v>74087</v>
      </c>
      <c r="D9" s="2">
        <v>1074</v>
      </c>
      <c r="E9">
        <f t="shared" si="0"/>
        <v>14.559849249977971</v>
      </c>
      <c r="G9" t="s">
        <v>13</v>
      </c>
      <c r="H9">
        <f t="shared" si="1"/>
        <v>14.559849249977971</v>
      </c>
      <c r="I9">
        <f t="shared" si="2"/>
        <v>7.2799246249889843E-2</v>
      </c>
    </row>
    <row r="10" spans="1:9">
      <c r="A10" t="s">
        <v>14</v>
      </c>
      <c r="B10" s="3">
        <v>70654</v>
      </c>
      <c r="C10" s="3">
        <v>71343</v>
      </c>
      <c r="D10" s="2">
        <v>78</v>
      </c>
      <c r="E10">
        <f t="shared" si="0"/>
        <v>1.0986147594667492</v>
      </c>
      <c r="G10" t="s">
        <v>14</v>
      </c>
      <c r="H10">
        <f t="shared" si="1"/>
        <v>1.0986147594667492</v>
      </c>
      <c r="I10">
        <f t="shared" si="2"/>
        <v>5.4930737973337461E-3</v>
      </c>
    </row>
    <row r="11" spans="1:9">
      <c r="A11" t="s">
        <v>44</v>
      </c>
      <c r="B11" s="1">
        <f>SUM(B4:B10)</f>
        <v>419564</v>
      </c>
      <c r="C11" s="1">
        <f t="shared" ref="C11:D11" si="3">SUM(C4:C10)</f>
        <v>415085</v>
      </c>
      <c r="D11" s="1">
        <f t="shared" si="3"/>
        <v>15902</v>
      </c>
      <c r="E11">
        <f>SUM(E4:E10)</f>
        <v>264.50123694902186</v>
      </c>
      <c r="G11" t="s">
        <v>44</v>
      </c>
      <c r="H11">
        <f>SUM(H4:H10)</f>
        <v>264.50123694902186</v>
      </c>
      <c r="I11">
        <f>SUM(I4:I10)</f>
        <v>1.3225061847451094</v>
      </c>
    </row>
    <row r="13" spans="1:9">
      <c r="B13" t="s">
        <v>45</v>
      </c>
      <c r="C13">
        <f>2000*D11/(B11+C11)</f>
        <v>38.104640393746351</v>
      </c>
      <c r="E13">
        <f>+E11/1000</f>
        <v>0.26450123694902183</v>
      </c>
    </row>
    <row r="16" spans="1:9">
      <c r="B16">
        <v>1842171</v>
      </c>
      <c r="C16">
        <v>1842765</v>
      </c>
    </row>
    <row r="17" spans="7:11">
      <c r="G17" t="s">
        <v>43</v>
      </c>
      <c r="H17" t="s">
        <v>48</v>
      </c>
      <c r="I17" t="s">
        <v>46</v>
      </c>
    </row>
    <row r="18" spans="7:11">
      <c r="G18" t="s">
        <v>8</v>
      </c>
      <c r="H18">
        <f>+(19+15)/2</f>
        <v>17</v>
      </c>
      <c r="I18">
        <v>9.4790099174141265</v>
      </c>
      <c r="J18">
        <f>+H18*I18</f>
        <v>161.14316859604014</v>
      </c>
    </row>
    <row r="19" spans="7:11">
      <c r="G19" t="s">
        <v>9</v>
      </c>
      <c r="H19">
        <f>+H18+5</f>
        <v>22</v>
      </c>
      <c r="I19">
        <v>27.299849705018058</v>
      </c>
      <c r="J19">
        <f t="shared" ref="J19:J24" si="4">+H19*I19</f>
        <v>600.59669351039724</v>
      </c>
    </row>
    <row r="20" spans="7:11">
      <c r="G20" t="s">
        <v>10</v>
      </c>
      <c r="H20">
        <f t="shared" ref="H20:H24" si="5">+H19+5</f>
        <v>27</v>
      </c>
      <c r="I20">
        <v>58.198350685902106</v>
      </c>
      <c r="J20">
        <f t="shared" si="4"/>
        <v>1571.3554685193569</v>
      </c>
    </row>
    <row r="21" spans="7:11">
      <c r="G21" t="s">
        <v>11</v>
      </c>
      <c r="H21">
        <f t="shared" si="5"/>
        <v>32</v>
      </c>
      <c r="I21">
        <v>93.602292301035945</v>
      </c>
      <c r="J21">
        <f t="shared" si="4"/>
        <v>2995.2733536331502</v>
      </c>
    </row>
    <row r="22" spans="7:11">
      <c r="G22" t="s">
        <v>12</v>
      </c>
      <c r="H22">
        <f t="shared" si="5"/>
        <v>37</v>
      </c>
      <c r="I22">
        <v>60.263270330206915</v>
      </c>
      <c r="J22">
        <f t="shared" si="4"/>
        <v>2229.7410022176559</v>
      </c>
    </row>
    <row r="23" spans="7:11">
      <c r="G23" t="s">
        <v>13</v>
      </c>
      <c r="H23">
        <f t="shared" si="5"/>
        <v>42</v>
      </c>
      <c r="I23">
        <v>14.559849249977971</v>
      </c>
      <c r="J23">
        <f t="shared" si="4"/>
        <v>611.51366849907481</v>
      </c>
    </row>
    <row r="24" spans="7:11">
      <c r="G24" t="s">
        <v>14</v>
      </c>
      <c r="H24">
        <f t="shared" si="5"/>
        <v>47</v>
      </c>
      <c r="I24">
        <v>1.0986147594667492</v>
      </c>
      <c r="J24">
        <f t="shared" si="4"/>
        <v>51.634893694937212</v>
      </c>
    </row>
    <row r="25" spans="7:11">
      <c r="G25" t="s">
        <v>44</v>
      </c>
      <c r="I25">
        <f>SUM(I18:I24)</f>
        <v>264.50123694902186</v>
      </c>
      <c r="J25">
        <f>SUM(J18:J24)</f>
        <v>8221.2582486706124</v>
      </c>
      <c r="K25">
        <f>+J25/I25</f>
        <v>31.082116452465289</v>
      </c>
    </row>
    <row r="29" spans="7:11">
      <c r="G29" t="s">
        <v>43</v>
      </c>
      <c r="H29" t="s">
        <v>49</v>
      </c>
      <c r="I29" t="s">
        <v>50</v>
      </c>
      <c r="J29" t="s">
        <v>46</v>
      </c>
      <c r="K29" t="s">
        <v>47</v>
      </c>
    </row>
    <row r="30" spans="7:11">
      <c r="G30" t="s">
        <v>8</v>
      </c>
      <c r="H30">
        <v>188</v>
      </c>
      <c r="I30">
        <f>+ROUND((B4+C4)/2,0)</f>
        <v>42199</v>
      </c>
      <c r="J30">
        <f>1000*H30/I30</f>
        <v>4.455081873978056</v>
      </c>
      <c r="K30">
        <f>5*J30/1000</f>
        <v>2.2275409369890281E-2</v>
      </c>
    </row>
    <row r="31" spans="7:11">
      <c r="G31" t="s">
        <v>9</v>
      </c>
      <c r="H31">
        <v>572</v>
      </c>
      <c r="I31">
        <f t="shared" ref="I31:I36" si="6">+ROUND((B5+C5)/2,0)</f>
        <v>44579</v>
      </c>
      <c r="J31">
        <f t="shared" ref="J31:J36" si="7">1000*H31/I31</f>
        <v>12.831153682227058</v>
      </c>
      <c r="K31">
        <f t="shared" ref="K31:K36" si="8">5*J31/1000</f>
        <v>6.4155768411135281E-2</v>
      </c>
    </row>
    <row r="32" spans="7:11">
      <c r="G32" t="s">
        <v>10</v>
      </c>
      <c r="H32">
        <v>1416</v>
      </c>
      <c r="I32">
        <f t="shared" si="6"/>
        <v>50809</v>
      </c>
      <c r="J32">
        <f t="shared" si="7"/>
        <v>27.869078312897322</v>
      </c>
      <c r="K32">
        <f t="shared" si="8"/>
        <v>0.13934539156448661</v>
      </c>
    </row>
    <row r="33" spans="7:11">
      <c r="G33" t="s">
        <v>11</v>
      </c>
      <c r="H33">
        <v>2781</v>
      </c>
      <c r="I33">
        <f t="shared" si="6"/>
        <v>61249</v>
      </c>
      <c r="J33">
        <f t="shared" si="7"/>
        <v>45.404822935884667</v>
      </c>
      <c r="K33">
        <f t="shared" si="8"/>
        <v>0.22702411467942335</v>
      </c>
    </row>
    <row r="34" spans="7:11">
      <c r="G34" t="s">
        <v>12</v>
      </c>
      <c r="H34">
        <v>2121</v>
      </c>
      <c r="I34">
        <f t="shared" si="6"/>
        <v>73727</v>
      </c>
      <c r="J34">
        <f t="shared" si="7"/>
        <v>28.768293840791028</v>
      </c>
      <c r="K34">
        <f t="shared" si="8"/>
        <v>0.14384146920395513</v>
      </c>
    </row>
    <row r="35" spans="7:11">
      <c r="G35" t="s">
        <v>13</v>
      </c>
      <c r="H35">
        <v>504</v>
      </c>
      <c r="I35">
        <f t="shared" si="6"/>
        <v>73765</v>
      </c>
      <c r="J35">
        <f t="shared" si="7"/>
        <v>6.8325086423100387</v>
      </c>
      <c r="K35">
        <f t="shared" si="8"/>
        <v>3.4162543211550191E-2</v>
      </c>
    </row>
    <row r="36" spans="7:11">
      <c r="G36" t="s">
        <v>14</v>
      </c>
      <c r="H36">
        <v>46</v>
      </c>
      <c r="I36">
        <f t="shared" si="6"/>
        <v>70999</v>
      </c>
      <c r="J36">
        <f>1000*H36/I36</f>
        <v>0.64789644924576406</v>
      </c>
      <c r="K36">
        <f t="shared" si="8"/>
        <v>3.23948224622882E-3</v>
      </c>
    </row>
    <row r="37" spans="7:11">
      <c r="G37" t="s">
        <v>44</v>
      </c>
      <c r="K37">
        <f>SUM(K30:K36)</f>
        <v>0.63404417868666962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Tasas mortalidad</vt:lpstr>
      <vt:lpstr>Fecundidad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Huaraca</cp:lastModifiedBy>
  <dcterms:created xsi:type="dcterms:W3CDTF">2017-03-16T13:40:40Z</dcterms:created>
  <dcterms:modified xsi:type="dcterms:W3CDTF">2017-04-05T05:29:02Z</dcterms:modified>
</cp:coreProperties>
</file>