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umani/Desktop/Clean crowdstrike Analysis/"/>
    </mc:Choice>
  </mc:AlternateContent>
  <xr:revisionPtr revIDLastSave="0" documentId="13_ncr:1_{EA9B58BF-870E-CE4D-B3A9-E62DB7DB0A0A}" xr6:coauthVersionLast="47" xr6:coauthVersionMax="47" xr10:uidLastSave="{00000000-0000-0000-0000-000000000000}"/>
  <bookViews>
    <workbookView xWindow="0" yWindow="740" windowWidth="28800" windowHeight="16340" activeTab="4" xr2:uid="{00000000-000D-0000-FFFF-FFFF00000000}"/>
  </bookViews>
  <sheets>
    <sheet name="DCF Output" sheetId="2" r:id="rId1"/>
    <sheet name="IS Projected" sheetId="4" r:id="rId2"/>
    <sheet name="Revenue Build" sheetId="3" r:id="rId3"/>
    <sheet name="Comps" sheetId="5" r:id="rId4"/>
    <sheet name="WACC" sheetId="6" r:id="rId5"/>
  </sheets>
  <definedNames>
    <definedName name="solver_adj" localSheetId="4" hidden="1">WACC!$D$33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opt" localSheetId="4" hidden="1">WACC!$L$33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1.16</definedName>
    <definedName name="solver_ver" localSheetId="4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3YDYlf8bz6ClqwoFdud8lwzbUCg=="/>
    </ext>
  </extLst>
</workbook>
</file>

<file path=xl/calcChain.xml><?xml version="1.0" encoding="utf-8"?>
<calcChain xmlns="http://schemas.openxmlformats.org/spreadsheetml/2006/main">
  <c r="G50" i="4" l="1"/>
  <c r="L49" i="4"/>
  <c r="L47" i="4" s="1"/>
  <c r="L48" i="4"/>
  <c r="L45" i="4"/>
  <c r="E34" i="4"/>
  <c r="F34" i="4"/>
  <c r="D34" i="4"/>
  <c r="P26" i="6"/>
  <c r="I20" i="4"/>
  <c r="H20" i="4"/>
  <c r="H11" i="4" l="1"/>
  <c r="I11" i="4" s="1"/>
  <c r="J11" i="4" s="1"/>
  <c r="K11" i="4" s="1"/>
  <c r="D35" i="4"/>
  <c r="E29" i="4"/>
  <c r="E30" i="4" s="1"/>
  <c r="F29" i="4"/>
  <c r="D29" i="4"/>
  <c r="F25" i="4"/>
  <c r="E25" i="4"/>
  <c r="D25" i="4"/>
  <c r="E23" i="4"/>
  <c r="E17" i="4"/>
  <c r="E28" i="3"/>
  <c r="D28" i="3"/>
  <c r="E21" i="3"/>
  <c r="D21" i="3"/>
  <c r="D11" i="3"/>
  <c r="E11" i="3"/>
  <c r="E4" i="3"/>
  <c r="D4" i="3"/>
  <c r="N15" i="5"/>
  <c r="M15" i="5"/>
  <c r="D17" i="2"/>
  <c r="D16" i="2"/>
  <c r="G43" i="4"/>
  <c r="H43" i="4" s="1"/>
  <c r="I43" i="4" s="1"/>
  <c r="J43" i="4" s="1"/>
  <c r="K43" i="4" s="1"/>
  <c r="F44" i="4"/>
  <c r="E44" i="4"/>
  <c r="G13" i="4"/>
  <c r="H13" i="4" s="1"/>
  <c r="I13" i="4" s="1"/>
  <c r="J13" i="4" s="1"/>
  <c r="K13" i="4" s="1"/>
  <c r="F20" i="3" l="1"/>
  <c r="G20" i="3" s="1"/>
  <c r="H20" i="3" s="1"/>
  <c r="I20" i="3" s="1"/>
  <c r="J20" i="3" s="1"/>
  <c r="K20" i="3" s="1"/>
  <c r="F8" i="3"/>
  <c r="G8" i="3" s="1"/>
  <c r="F10" i="3"/>
  <c r="E9" i="3"/>
  <c r="D9" i="3"/>
  <c r="F23" i="4"/>
  <c r="F14" i="4"/>
  <c r="E14" i="4"/>
  <c r="D14" i="6"/>
  <c r="D8" i="6"/>
  <c r="D7" i="6"/>
  <c r="J33" i="6"/>
  <c r="J24" i="6"/>
  <c r="L24" i="6" s="1"/>
  <c r="J23" i="6"/>
  <c r="L23" i="6" s="1"/>
  <c r="J22" i="6"/>
  <c r="L22" i="6" s="1"/>
  <c r="J21" i="6"/>
  <c r="L21" i="6" s="1"/>
  <c r="G14" i="5"/>
  <c r="F14" i="5"/>
  <c r="E14" i="5"/>
  <c r="L14" i="5"/>
  <c r="K14" i="5"/>
  <c r="J14" i="5"/>
  <c r="I14" i="5"/>
  <c r="G11" i="5"/>
  <c r="F11" i="5"/>
  <c r="E11" i="5"/>
  <c r="L11" i="5"/>
  <c r="K11" i="5"/>
  <c r="J11" i="5"/>
  <c r="I11" i="5"/>
  <c r="N10" i="5"/>
  <c r="N9" i="5"/>
  <c r="N8" i="5"/>
  <c r="N7" i="5"/>
  <c r="N6" i="5"/>
  <c r="M10" i="5"/>
  <c r="M9" i="5"/>
  <c r="M8" i="5"/>
  <c r="M7" i="5"/>
  <c r="M6" i="5"/>
  <c r="G10" i="3" l="1"/>
  <c r="F3" i="3"/>
  <c r="M11" i="5"/>
  <c r="N11" i="5"/>
  <c r="D9" i="2" s="1"/>
  <c r="M14" i="5"/>
  <c r="N14" i="5"/>
  <c r="N13" i="5"/>
  <c r="N12" i="5"/>
  <c r="F22" i="3"/>
  <c r="H8" i="3"/>
  <c r="G22" i="3"/>
  <c r="J30" i="6"/>
  <c r="J29" i="6"/>
  <c r="L30" i="6"/>
  <c r="L29" i="6"/>
  <c r="H10" i="3" l="1"/>
  <c r="G3" i="3"/>
  <c r="H4" i="4" s="1"/>
  <c r="H34" i="4" s="1"/>
  <c r="H41" i="4" s="1"/>
  <c r="F4" i="3"/>
  <c r="G4" i="4"/>
  <c r="G34" i="4" s="1"/>
  <c r="I8" i="3"/>
  <c r="H22" i="3"/>
  <c r="L33" i="6"/>
  <c r="G4" i="3" l="1"/>
  <c r="G35" i="4"/>
  <c r="G41" i="4"/>
  <c r="H42" i="4"/>
  <c r="G5" i="4"/>
  <c r="I10" i="3"/>
  <c r="H3" i="3"/>
  <c r="F35" i="6"/>
  <c r="D12" i="6"/>
  <c r="H5" i="4"/>
  <c r="J8" i="3"/>
  <c r="I22" i="3"/>
  <c r="F41" i="4"/>
  <c r="G42" i="4" s="1"/>
  <c r="E41" i="4"/>
  <c r="D41" i="4"/>
  <c r="F8" i="4"/>
  <c r="E8" i="4"/>
  <c r="F5" i="4"/>
  <c r="E5" i="4"/>
  <c r="E29" i="3"/>
  <c r="D29" i="3"/>
  <c r="C29" i="3"/>
  <c r="E22" i="3"/>
  <c r="D22" i="3"/>
  <c r="C22" i="3"/>
  <c r="F27" i="3"/>
  <c r="G33" i="6"/>
  <c r="G30" i="6"/>
  <c r="G29" i="6"/>
  <c r="H24" i="6"/>
  <c r="H23" i="6"/>
  <c r="H21" i="6"/>
  <c r="H33" i="6" s="1"/>
  <c r="E38" i="4"/>
  <c r="F38" i="4" s="1"/>
  <c r="G38" i="4" s="1"/>
  <c r="H38" i="4" s="1"/>
  <c r="I38" i="4" s="1"/>
  <c r="J38" i="4" s="1"/>
  <c r="K38" i="4" s="1"/>
  <c r="L38" i="4" s="1"/>
  <c r="E33" i="4"/>
  <c r="F33" i="4" s="1"/>
  <c r="G33" i="4" s="1"/>
  <c r="H33" i="4" s="1"/>
  <c r="I33" i="4" s="1"/>
  <c r="J33" i="4" s="1"/>
  <c r="K33" i="4" s="1"/>
  <c r="L33" i="4" s="1"/>
  <c r="E3" i="4"/>
  <c r="F3" i="4" s="1"/>
  <c r="G3" i="4" s="1"/>
  <c r="H3" i="4" s="1"/>
  <c r="I3" i="4" s="1"/>
  <c r="J3" i="4" s="1"/>
  <c r="K3" i="4" s="1"/>
  <c r="L3" i="4" s="1"/>
  <c r="D26" i="3"/>
  <c r="E26" i="3" s="1"/>
  <c r="F26" i="3" s="1"/>
  <c r="G26" i="3" s="1"/>
  <c r="H26" i="3" s="1"/>
  <c r="I26" i="3" s="1"/>
  <c r="J26" i="3" s="1"/>
  <c r="K26" i="3" s="1"/>
  <c r="C19" i="3"/>
  <c r="D2" i="3"/>
  <c r="D19" i="3" s="1"/>
  <c r="D13" i="6" l="1"/>
  <c r="D17" i="6" s="1"/>
  <c r="G27" i="3"/>
  <c r="F29" i="3"/>
  <c r="I4" i="4"/>
  <c r="H4" i="3"/>
  <c r="J10" i="3"/>
  <c r="I3" i="3"/>
  <c r="I4" i="3" s="1"/>
  <c r="F42" i="4"/>
  <c r="E42" i="4"/>
  <c r="D11" i="4"/>
  <c r="E11" i="4"/>
  <c r="F11" i="4"/>
  <c r="J22" i="3"/>
  <c r="H29" i="6"/>
  <c r="H30" i="6"/>
  <c r="E2" i="3"/>
  <c r="I5" i="4" l="1"/>
  <c r="I34" i="4"/>
  <c r="I41" i="4" s="1"/>
  <c r="I42" i="4" s="1"/>
  <c r="J48" i="4"/>
  <c r="J49" i="4" s="1"/>
  <c r="H48" i="4"/>
  <c r="H49" i="4" s="1"/>
  <c r="E4" i="2"/>
  <c r="K48" i="4"/>
  <c r="K49" i="4" s="1"/>
  <c r="D6" i="2"/>
  <c r="I48" i="4"/>
  <c r="I49" i="4" s="1"/>
  <c r="G48" i="4"/>
  <c r="G49" i="4" s="1"/>
  <c r="H27" i="3"/>
  <c r="G29" i="3"/>
  <c r="J3" i="3"/>
  <c r="J4" i="3" s="1"/>
  <c r="J4" i="4"/>
  <c r="F17" i="4"/>
  <c r="D39" i="4"/>
  <c r="E19" i="3"/>
  <c r="F2" i="3"/>
  <c r="F7" i="3" s="1"/>
  <c r="J5" i="4" l="1"/>
  <c r="J34" i="4"/>
  <c r="J41" i="4" s="1"/>
  <c r="J42" i="4" s="1"/>
  <c r="K4" i="4"/>
  <c r="I27" i="3"/>
  <c r="H29" i="3"/>
  <c r="D40" i="4"/>
  <c r="D45" i="4" s="1"/>
  <c r="E40" i="4"/>
  <c r="E20" i="4"/>
  <c r="E35" i="4"/>
  <c r="E39" i="4"/>
  <c r="G19" i="4"/>
  <c r="F20" i="4"/>
  <c r="G20" i="4" s="1"/>
  <c r="F40" i="4"/>
  <c r="F35" i="4"/>
  <c r="F39" i="4"/>
  <c r="F30" i="4"/>
  <c r="G10" i="4"/>
  <c r="G7" i="4" s="1"/>
  <c r="G8" i="4" s="1"/>
  <c r="F19" i="3"/>
  <c r="G2" i="3"/>
  <c r="G7" i="3" s="1"/>
  <c r="K5" i="4" l="1"/>
  <c r="K34" i="4"/>
  <c r="K41" i="4" s="1"/>
  <c r="K42" i="4" s="1"/>
  <c r="F45" i="4"/>
  <c r="E45" i="4"/>
  <c r="J27" i="3"/>
  <c r="I29" i="3"/>
  <c r="H19" i="4"/>
  <c r="H35" i="4" s="1"/>
  <c r="G40" i="4"/>
  <c r="G16" i="4"/>
  <c r="H10" i="4"/>
  <c r="G19" i="3"/>
  <c r="H2" i="3"/>
  <c r="H7" i="3" s="1"/>
  <c r="K27" i="3" l="1"/>
  <c r="J29" i="3"/>
  <c r="I19" i="4"/>
  <c r="I35" i="4" s="1"/>
  <c r="H40" i="4"/>
  <c r="H7" i="4"/>
  <c r="H8" i="4" s="1"/>
  <c r="H16" i="4"/>
  <c r="H29" i="4" s="1"/>
  <c r="I10" i="4"/>
  <c r="G22" i="4"/>
  <c r="G23" i="4" s="1"/>
  <c r="G29" i="4"/>
  <c r="G39" i="4" s="1"/>
  <c r="G17" i="4"/>
  <c r="H19" i="3"/>
  <c r="I2" i="3"/>
  <c r="I7" i="3" s="1"/>
  <c r="J19" i="4" l="1"/>
  <c r="J35" i="4" s="1"/>
  <c r="I40" i="4"/>
  <c r="G30" i="4"/>
  <c r="G45" i="4"/>
  <c r="G46" i="4" s="1"/>
  <c r="I16" i="4"/>
  <c r="I29" i="4" s="1"/>
  <c r="I7" i="4"/>
  <c r="I8" i="4" s="1"/>
  <c r="K10" i="4"/>
  <c r="J10" i="4"/>
  <c r="H22" i="4"/>
  <c r="H23" i="4" s="1"/>
  <c r="H17" i="4"/>
  <c r="I19" i="3"/>
  <c r="J2" i="3"/>
  <c r="J7" i="3" s="1"/>
  <c r="G47" i="4" l="1"/>
  <c r="K19" i="4"/>
  <c r="J40" i="4"/>
  <c r="H30" i="4"/>
  <c r="H39" i="4"/>
  <c r="H45" i="4" s="1"/>
  <c r="H46" i="4" s="1"/>
  <c r="J16" i="4"/>
  <c r="J29" i="4" s="1"/>
  <c r="J7" i="4"/>
  <c r="J8" i="4" s="1"/>
  <c r="K7" i="4"/>
  <c r="K16" i="4"/>
  <c r="K29" i="4" s="1"/>
  <c r="I22" i="4"/>
  <c r="I23" i="4" s="1"/>
  <c r="I17" i="4"/>
  <c r="J19" i="3"/>
  <c r="K2" i="3"/>
  <c r="K40" i="4" l="1"/>
  <c r="K35" i="4"/>
  <c r="K8" i="4"/>
  <c r="K19" i="3"/>
  <c r="K7" i="3"/>
  <c r="H47" i="4"/>
  <c r="I30" i="4"/>
  <c r="I39" i="4"/>
  <c r="I45" i="4" s="1"/>
  <c r="K17" i="4"/>
  <c r="K39" i="4"/>
  <c r="K45" i="4" s="1"/>
  <c r="K22" i="4"/>
  <c r="D8" i="2" s="1"/>
  <c r="D11" i="2" s="1"/>
  <c r="D14" i="2" s="1"/>
  <c r="J22" i="4"/>
  <c r="J23" i="4" s="1"/>
  <c r="J17" i="4"/>
  <c r="I47" i="4" l="1"/>
  <c r="I46" i="4"/>
  <c r="J30" i="4"/>
  <c r="J39" i="4"/>
  <c r="J45" i="4" s="1"/>
  <c r="J46" i="4" s="1"/>
  <c r="G8" i="2"/>
  <c r="G11" i="2" s="1"/>
  <c r="G14" i="2" s="1"/>
  <c r="K47" i="4"/>
  <c r="K23" i="4"/>
  <c r="K30" i="4"/>
  <c r="J47" i="4" l="1"/>
  <c r="K46" i="4"/>
  <c r="G13" i="2" l="1"/>
  <c r="G15" i="2" s="1"/>
  <c r="D13" i="2"/>
  <c r="D15" i="2" s="1"/>
  <c r="G19" i="2" l="1"/>
  <c r="G22" i="2" s="1"/>
  <c r="G25" i="2" s="1"/>
  <c r="D19" i="2"/>
  <c r="D22" i="2" s="1"/>
  <c r="D25" i="2" s="1"/>
</calcChain>
</file>

<file path=xl/sharedStrings.xml><?xml version="1.0" encoding="utf-8"?>
<sst xmlns="http://schemas.openxmlformats.org/spreadsheetml/2006/main" count="205" uniqueCount="129">
  <si>
    <t>DCF Output</t>
  </si>
  <si>
    <t>In Millions, $, except per share amounts</t>
  </si>
  <si>
    <t>WACC</t>
  </si>
  <si>
    <t>Exit Multiple Method</t>
  </si>
  <si>
    <t>Perpetuity Growth Method</t>
  </si>
  <si>
    <t>2029E EBITDA</t>
  </si>
  <si>
    <t>2030E UFCF</t>
  </si>
  <si>
    <t>Comps Multiple</t>
  </si>
  <si>
    <t>Expected LT GDP Growth</t>
  </si>
  <si>
    <t>Exit Multiple</t>
  </si>
  <si>
    <t>Perpetuity Growth Assumed</t>
  </si>
  <si>
    <t>Terminal Value</t>
  </si>
  <si>
    <t>PV of Free Cash Flows</t>
  </si>
  <si>
    <t>PV of Terminal Value</t>
  </si>
  <si>
    <t>Implied Enterprise Value</t>
  </si>
  <si>
    <t>(-) Total Debt</t>
  </si>
  <si>
    <t>(+) Cash</t>
  </si>
  <si>
    <t>(-) NCI</t>
  </si>
  <si>
    <t>Implied Equity Value</t>
  </si>
  <si>
    <t>Diluted Shares Outstanding</t>
  </si>
  <si>
    <t>Implied Share Price</t>
  </si>
  <si>
    <t>Current Share Price</t>
  </si>
  <si>
    <t>Implied Upside</t>
  </si>
  <si>
    <t>The exit multiple method assumes that after the five year forecast period a company will be bought for some multiple of a financial metric determined by the median of comparable companies' metric. Often the median of a metric such as EV/EBIT, EV/EBITDA, or P/E is used.</t>
  </si>
  <si>
    <t xml:space="preserve">The perpetuity growth method assumes that final year free cash flows will continue into perpetuity and grow at a rate greater than long term inflation but less than expected long term GDP growth. </t>
  </si>
  <si>
    <t xml:space="preserve">*The perpetuity growth method often yields a higher terminal value but should be compared to and possibly averaged with the exit multiple method to get the most accurate implied upside possible. </t>
  </si>
  <si>
    <t>**Also note that different industries may have more accurate predicitons from one model or another as a utilities company has long term and consistent revenue that may better fit the perpetuity growth method compared to a technology startup growing rapidly at a pace far above GDP</t>
  </si>
  <si>
    <t>Revenue</t>
  </si>
  <si>
    <t>Growth Rate</t>
  </si>
  <si>
    <t>(-) Cost of Revenue</t>
  </si>
  <si>
    <t>Gross Profit</t>
  </si>
  <si>
    <t>Gross Margin</t>
  </si>
  <si>
    <t>Other Operating Costs</t>
  </si>
  <si>
    <t>EBIT</t>
  </si>
  <si>
    <t>D&amp;A</t>
  </si>
  <si>
    <t>EBITDA</t>
  </si>
  <si>
    <t>Net Interest</t>
  </si>
  <si>
    <t>Pre-Tax Profit</t>
  </si>
  <si>
    <t>Tax Expense</t>
  </si>
  <si>
    <t>NOPAT</t>
  </si>
  <si>
    <t>Capex Analysis</t>
  </si>
  <si>
    <t xml:space="preserve">CAPEX  </t>
  </si>
  <si>
    <t>% D&amp;A</t>
  </si>
  <si>
    <t>FCF Analysis</t>
  </si>
  <si>
    <t>(+) D&amp;A</t>
  </si>
  <si>
    <t>(-) CAPEX</t>
  </si>
  <si>
    <t>(+) Change in NWC</t>
  </si>
  <si>
    <t>FCF to Firm</t>
  </si>
  <si>
    <t>Growth</t>
  </si>
  <si>
    <t>PV</t>
  </si>
  <si>
    <t>Discount Factor</t>
  </si>
  <si>
    <t>PV of UFCF</t>
  </si>
  <si>
    <t>x</t>
  </si>
  <si>
    <t>% Growth</t>
  </si>
  <si>
    <t>Segments</t>
  </si>
  <si>
    <t>In Millions, USD$</t>
  </si>
  <si>
    <t> </t>
  </si>
  <si>
    <t>Shares</t>
  </si>
  <si>
    <t>Company</t>
  </si>
  <si>
    <t>Ticker</t>
  </si>
  <si>
    <t>Fiscal</t>
  </si>
  <si>
    <t>Outstanding</t>
  </si>
  <si>
    <t>EV/</t>
  </si>
  <si>
    <t>Name</t>
  </si>
  <si>
    <t>Period</t>
  </si>
  <si>
    <t>Price</t>
  </si>
  <si>
    <t>Outstanding (MM)</t>
  </si>
  <si>
    <t>Mkt Cap ($MM)</t>
  </si>
  <si>
    <t>Diluted</t>
  </si>
  <si>
    <t>Ent Value ($MM)</t>
  </si>
  <si>
    <t>Sales ($MM)</t>
  </si>
  <si>
    <t>EBIT ($MM)</t>
  </si>
  <si>
    <t>LTM EBIT</t>
  </si>
  <si>
    <t>LTM EBITDA</t>
  </si>
  <si>
    <t>Median</t>
  </si>
  <si>
    <t>75th Percentile</t>
  </si>
  <si>
    <t>25th Percetile</t>
  </si>
  <si>
    <t>Mean</t>
  </si>
  <si>
    <t>Flex WACC Assumptions</t>
  </si>
  <si>
    <t>Market Capitalization</t>
  </si>
  <si>
    <t>Debt</t>
  </si>
  <si>
    <t>Pre-Tax Cost of Debt:</t>
  </si>
  <si>
    <t>% Financed By Debt</t>
  </si>
  <si>
    <t>Risk Free Rate</t>
  </si>
  <si>
    <t>Equity Risk Premium</t>
  </si>
  <si>
    <t>Beta</t>
  </si>
  <si>
    <t>Cost of Equity</t>
  </si>
  <si>
    <t>% Financed By Equity</t>
  </si>
  <si>
    <t>Tax Rate</t>
  </si>
  <si>
    <t>WACC: Current Capital Structure</t>
  </si>
  <si>
    <t>Cost of Equity: Comparable Companies</t>
  </si>
  <si>
    <t>Cost of Debt: Interest Expense/Debt</t>
  </si>
  <si>
    <r>
      <rPr>
        <b/>
        <i/>
        <sz val="11"/>
        <color rgb="FFFFFFFF"/>
        <rFont val="Garamond"/>
        <family val="1"/>
      </rPr>
      <t>In millions, USD$</t>
    </r>
    <r>
      <rPr>
        <b/>
        <sz val="11"/>
        <color rgb="FFFFFFFF"/>
        <rFont val="Garamond"/>
        <family val="1"/>
      </rPr>
      <t xml:space="preserve">
Ticker</t>
    </r>
  </si>
  <si>
    <t>Levered 
Beta</t>
  </si>
  <si>
    <t>Debt 
Value</t>
  </si>
  <si>
    <t>Preferred 
Stock Value</t>
  </si>
  <si>
    <t>% Preferred 
Stock</t>
  </si>
  <si>
    <t>Book Value of Equity</t>
  </si>
  <si>
    <t>Debt/Equity</t>
  </si>
  <si>
    <t>Unlevered 
Beta</t>
  </si>
  <si>
    <t xml:space="preserve">Total </t>
  </si>
  <si>
    <t>Pre Tax Cost of Debt</t>
  </si>
  <si>
    <t>Median:</t>
  </si>
  <si>
    <t>Beta and WACC Calculations</t>
  </si>
  <si>
    <t>Current Capital Structure</t>
  </si>
  <si>
    <t>Cost of Equity Based on Comparables, Current Capital Structure</t>
  </si>
  <si>
    <t>CRWD</t>
  </si>
  <si>
    <t>CrowdStrike</t>
  </si>
  <si>
    <t>PANW</t>
  </si>
  <si>
    <t>Palo Alto Networks</t>
  </si>
  <si>
    <t>FTNT</t>
  </si>
  <si>
    <t>Fortinet</t>
  </si>
  <si>
    <t>S</t>
  </si>
  <si>
    <t>SentinelOne</t>
  </si>
  <si>
    <t>CYBR</t>
  </si>
  <si>
    <t>CyberArk</t>
  </si>
  <si>
    <t>April 30 2025</t>
  </si>
  <si>
    <t>March 31 2025</t>
  </si>
  <si>
    <t>Based on 1/31/YYYY</t>
  </si>
  <si>
    <t>Suscription</t>
  </si>
  <si>
    <t>Professional services</t>
  </si>
  <si>
    <t>Professional Sevices</t>
  </si>
  <si>
    <t>TAM</t>
  </si>
  <si>
    <t>in Millions</t>
  </si>
  <si>
    <t>Revenue per TAM</t>
  </si>
  <si>
    <t>All numbers in thousands</t>
  </si>
  <si>
    <t>Interest Expense 2025</t>
  </si>
  <si>
    <t>EBITDA ($Millions)</t>
  </si>
  <si>
    <t>*** Exit multiple used is calculated by ussing the average of more mture companies, given that using comps multiple would give an inacurate and way high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</si>
</sst>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,,"/>
    <numFmt numFmtId="166" formatCode="_(&quot;$&quot;* #,##0_);_(&quot;$&quot;* \(#,##0\);_(&quot;$&quot;* &quot;-&quot;??_);_(@_)"/>
    <numFmt numFmtId="167" formatCode="#,##0\x"/>
    <numFmt numFmtId="168" formatCode="#,##0.0\x"/>
    <numFmt numFmtId="169" formatCode="0.0%"/>
    <numFmt numFmtId="170" formatCode="\ \ @"/>
    <numFmt numFmtId="171" formatCode="&quot;FY&quot;\ General"/>
    <numFmt numFmtId="172" formatCode="General&quot;E&quot;"/>
    <numFmt numFmtId="173" formatCode="\$#,###"/>
    <numFmt numFmtId="174" formatCode="0.000"/>
    <numFmt numFmtId="175" formatCode="0.000%"/>
    <numFmt numFmtId="176" formatCode="&quot;$&quot;#,##0"/>
    <numFmt numFmtId="177" formatCode="_(* #,##0.000_);_(* \(#,##0.000\);_(* &quot;-&quot;???_);_(@_)"/>
    <numFmt numFmtId="178" formatCode="0.0000%"/>
    <numFmt numFmtId="179" formatCode="0.00_);\(0.00\)"/>
    <numFmt numFmtId="180" formatCode="_(* #,##0.0_);_(* \(#,##0.0\);_(* &quot;-&quot;??_);_(@_)"/>
  </numFmts>
  <fonts count="30" x14ac:knownFonts="1">
    <font>
      <sz val="10"/>
      <color rgb="FF000000"/>
      <name val="Arial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sz val="10"/>
      <name val="Arial"/>
      <family val="2"/>
    </font>
    <font>
      <sz val="12"/>
      <color rgb="FF0432FF"/>
      <name val="Garamond"/>
      <family val="1"/>
    </font>
    <font>
      <sz val="12"/>
      <color theme="1"/>
      <name val="Arial"/>
      <family val="2"/>
    </font>
    <font>
      <i/>
      <sz val="12"/>
      <color theme="1"/>
      <name val="Garamond"/>
      <family val="1"/>
    </font>
    <font>
      <sz val="12"/>
      <color rgb="FFBFBFBF"/>
      <name val="Garamond"/>
      <family val="1"/>
    </font>
    <font>
      <sz val="8"/>
      <color rgb="FF000000"/>
      <name val="Garamond"/>
      <family val="1"/>
    </font>
    <font>
      <b/>
      <sz val="12"/>
      <color theme="1"/>
      <name val="Garamond"/>
      <family val="1"/>
    </font>
    <font>
      <sz val="11"/>
      <color theme="1"/>
      <name val="Calibri"/>
      <family val="2"/>
    </font>
    <font>
      <b/>
      <i/>
      <sz val="11"/>
      <color rgb="FFFFFFFF"/>
      <name val="Garamond"/>
      <family val="1"/>
    </font>
    <font>
      <b/>
      <sz val="11"/>
      <color rgb="FFFFFFFF"/>
      <name val="Garamond"/>
      <family val="1"/>
    </font>
    <font>
      <sz val="11"/>
      <color theme="1"/>
      <name val="Garamond"/>
      <family val="1"/>
    </font>
    <font>
      <sz val="10"/>
      <color rgb="FF000000"/>
      <name val="Garamond"/>
      <family val="1"/>
    </font>
    <font>
      <b/>
      <sz val="11"/>
      <color rgb="FF000000"/>
      <name val="Garamond"/>
      <family val="1"/>
    </font>
    <font>
      <sz val="11"/>
      <color rgb="FF000000"/>
      <name val="Garamond"/>
      <family val="1"/>
    </font>
    <font>
      <sz val="10"/>
      <color theme="1"/>
      <name val="Arial"/>
      <family val="2"/>
    </font>
    <font>
      <sz val="11"/>
      <color rgb="FF9C0006"/>
      <name val="Calibri"/>
      <family val="2"/>
    </font>
    <font>
      <b/>
      <sz val="11"/>
      <color theme="1"/>
      <name val="Garamond"/>
      <family val="1"/>
    </font>
    <font>
      <sz val="10"/>
      <color rgb="FF000000"/>
      <name val="Arial"/>
      <family val="2"/>
      <scheme val="minor"/>
    </font>
    <font>
      <sz val="12"/>
      <color rgb="FF000000"/>
      <name val="Garamond"/>
      <family val="1"/>
    </font>
    <font>
      <sz val="12"/>
      <color rgb="FF0D0D0D"/>
      <name val="Garamond"/>
      <family val="1"/>
    </font>
    <font>
      <sz val="9"/>
      <color rgb="FF000000"/>
      <name val="Garamond"/>
      <family val="1"/>
    </font>
    <font>
      <b/>
      <sz val="8"/>
      <color rgb="FF000000"/>
      <name val="Garamond"/>
      <family val="1"/>
    </font>
    <font>
      <b/>
      <sz val="9"/>
      <color rgb="FF000000"/>
      <name val="Garamond"/>
      <family val="1"/>
    </font>
    <font>
      <sz val="10"/>
      <color rgb="FF000000"/>
      <name val="Arial"/>
      <family val="2"/>
      <scheme val="minor"/>
    </font>
    <font>
      <sz val="12"/>
      <color rgb="FF000000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9EDB"/>
        <bgColor rgb="FF009EDB"/>
      </patternFill>
    </fill>
    <fill>
      <patternFill patternType="solid">
        <fgColor theme="0" tint="-0.249977111117893"/>
        <bgColor rgb="FFFFFFFF"/>
      </patternFill>
    </fill>
  </fills>
  <borders count="6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6" fillId="0" borderId="0" applyFont="0" applyFill="0" applyBorder="0" applyAlignment="0" applyProtection="0"/>
  </cellStyleXfs>
  <cellXfs count="295">
    <xf numFmtId="0" fontId="0" fillId="0" borderId="0" xfId="0"/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6" fillId="3" borderId="3" xfId="0" applyFont="1" applyFill="1" applyBorder="1"/>
    <xf numFmtId="164" fontId="1" fillId="3" borderId="3" xfId="0" applyNumberFormat="1" applyFont="1" applyFill="1" applyBorder="1"/>
    <xf numFmtId="10" fontId="7" fillId="3" borderId="3" xfId="0" applyNumberFormat="1" applyFont="1" applyFill="1" applyBorder="1"/>
    <xf numFmtId="0" fontId="1" fillId="3" borderId="3" xfId="0" applyFont="1" applyFill="1" applyBorder="1"/>
    <xf numFmtId="164" fontId="1" fillId="0" borderId="0" xfId="0" applyNumberFormat="1" applyFont="1"/>
    <xf numFmtId="0" fontId="1" fillId="0" borderId="4" xfId="0" applyFont="1" applyBorder="1"/>
    <xf numFmtId="10" fontId="1" fillId="0" borderId="5" xfId="0" applyNumberFormat="1" applyFont="1" applyBorder="1"/>
    <xf numFmtId="168" fontId="1" fillId="0" borderId="0" xfId="0" applyNumberFormat="1" applyFont="1"/>
    <xf numFmtId="169" fontId="4" fillId="0" borderId="0" xfId="0" applyNumberFormat="1" applyFont="1"/>
    <xf numFmtId="9" fontId="1" fillId="0" borderId="0" xfId="0" applyNumberFormat="1" applyFont="1"/>
    <xf numFmtId="170" fontId="1" fillId="0" borderId="0" xfId="0" applyNumberFormat="1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2" fillId="2" borderId="3" xfId="0" applyFont="1" applyFill="1" applyBorder="1"/>
    <xf numFmtId="169" fontId="9" fillId="0" borderId="6" xfId="0" applyNumberFormat="1" applyFont="1" applyBorder="1"/>
    <xf numFmtId="167" fontId="1" fillId="0" borderId="0" xfId="0" applyNumberFormat="1" applyFont="1"/>
    <xf numFmtId="166" fontId="1" fillId="0" borderId="0" xfId="0" applyNumberFormat="1" applyFont="1"/>
    <xf numFmtId="173" fontId="9" fillId="0" borderId="0" xfId="0" applyNumberFormat="1" applyFont="1" applyAlignment="1">
      <alignment wrapText="1"/>
    </xf>
    <xf numFmtId="9" fontId="9" fillId="0" borderId="0" xfId="0" applyNumberFormat="1" applyFont="1" applyAlignment="1">
      <alignment wrapText="1"/>
    </xf>
    <xf numFmtId="171" fontId="9" fillId="0" borderId="7" xfId="0" applyNumberFormat="1" applyFont="1" applyBorder="1" applyAlignment="1">
      <alignment wrapText="1"/>
    </xf>
    <xf numFmtId="165" fontId="1" fillId="0" borderId="2" xfId="0" applyNumberFormat="1" applyFont="1" applyBorder="1"/>
    <xf numFmtId="0" fontId="2" fillId="2" borderId="10" xfId="0" applyFont="1" applyFill="1" applyBorder="1"/>
    <xf numFmtId="0" fontId="9" fillId="0" borderId="11" xfId="0" applyFont="1" applyBorder="1"/>
    <xf numFmtId="171" fontId="9" fillId="0" borderId="12" xfId="0" applyNumberFormat="1" applyFont="1" applyBorder="1" applyAlignment="1">
      <alignment horizontal="center" vertical="center"/>
    </xf>
    <xf numFmtId="172" fontId="9" fillId="0" borderId="12" xfId="0" applyNumberFormat="1" applyFont="1" applyBorder="1" applyAlignment="1">
      <alignment horizontal="center"/>
    </xf>
    <xf numFmtId="172" fontId="9" fillId="0" borderId="13" xfId="0" applyNumberFormat="1" applyFont="1" applyBorder="1" applyAlignment="1">
      <alignment horizontal="center"/>
    </xf>
    <xf numFmtId="0" fontId="1" fillId="0" borderId="14" xfId="0" applyFont="1" applyBorder="1"/>
    <xf numFmtId="43" fontId="1" fillId="0" borderId="0" xfId="0" applyNumberFormat="1" applyFont="1"/>
    <xf numFmtId="43" fontId="1" fillId="0" borderId="9" xfId="0" applyNumberFormat="1" applyFont="1" applyBorder="1"/>
    <xf numFmtId="0" fontId="9" fillId="0" borderId="15" xfId="0" applyFont="1" applyBorder="1"/>
    <xf numFmtId="0" fontId="2" fillId="2" borderId="18" xfId="0" applyFont="1" applyFill="1" applyBorder="1"/>
    <xf numFmtId="0" fontId="9" fillId="0" borderId="1" xfId="0" applyFont="1" applyBorder="1"/>
    <xf numFmtId="165" fontId="9" fillId="0" borderId="0" xfId="0" applyNumberFormat="1" applyFont="1"/>
    <xf numFmtId="172" fontId="1" fillId="0" borderId="0" xfId="0" applyNumberFormat="1" applyFont="1"/>
    <xf numFmtId="0" fontId="9" fillId="0" borderId="0" xfId="0" applyFont="1"/>
    <xf numFmtId="0" fontId="1" fillId="0" borderId="19" xfId="0" applyFont="1" applyBorder="1"/>
    <xf numFmtId="171" fontId="1" fillId="0" borderId="7" xfId="0" applyNumberFormat="1" applyFont="1" applyBorder="1"/>
    <xf numFmtId="172" fontId="1" fillId="0" borderId="8" xfId="0" applyNumberFormat="1" applyFont="1" applyBorder="1"/>
    <xf numFmtId="10" fontId="1" fillId="0" borderId="0" xfId="0" applyNumberFormat="1" applyFont="1"/>
    <xf numFmtId="0" fontId="10" fillId="0" borderId="0" xfId="0" applyFont="1"/>
    <xf numFmtId="0" fontId="11" fillId="2" borderId="20" xfId="0" applyFont="1" applyFill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2" borderId="21" xfId="0" applyFont="1" applyFill="1" applyBorder="1" applyAlignment="1">
      <alignment wrapText="1"/>
    </xf>
    <xf numFmtId="0" fontId="13" fillId="5" borderId="3" xfId="0" applyFont="1" applyFill="1" applyBorder="1" applyAlignment="1">
      <alignment wrapText="1"/>
    </xf>
    <xf numFmtId="0" fontId="15" fillId="3" borderId="20" xfId="0" applyFont="1" applyFill="1" applyBorder="1" applyAlignment="1">
      <alignment wrapText="1"/>
    </xf>
    <xf numFmtId="0" fontId="16" fillId="0" borderId="26" xfId="0" applyFont="1" applyBorder="1" applyAlignment="1">
      <alignment wrapText="1"/>
    </xf>
    <xf numFmtId="0" fontId="17" fillId="0" borderId="0" xfId="0" applyFont="1"/>
    <xf numFmtId="0" fontId="13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3" fillId="0" borderId="0" xfId="0" applyFont="1"/>
    <xf numFmtId="0" fontId="13" fillId="2" borderId="3" xfId="0" applyFont="1" applyFill="1" applyBorder="1" applyAlignment="1">
      <alignment wrapText="1"/>
    </xf>
    <xf numFmtId="10" fontId="13" fillId="0" borderId="0" xfId="0" applyNumberFormat="1" applyFont="1"/>
    <xf numFmtId="10" fontId="16" fillId="0" borderId="0" xfId="0" applyNumberFormat="1" applyFont="1"/>
    <xf numFmtId="0" fontId="19" fillId="3" borderId="28" xfId="0" applyFont="1" applyFill="1" applyBorder="1" applyAlignment="1">
      <alignment wrapText="1"/>
    </xf>
    <xf numFmtId="10" fontId="15" fillId="0" borderId="29" xfId="0" applyNumberFormat="1" applyFont="1" applyBorder="1"/>
    <xf numFmtId="0" fontId="12" fillId="2" borderId="3" xfId="0" applyFont="1" applyFill="1" applyBorder="1" applyAlignment="1">
      <alignment vertical="center"/>
    </xf>
    <xf numFmtId="0" fontId="13" fillId="4" borderId="3" xfId="0" applyFont="1" applyFill="1" applyBorder="1" applyAlignment="1">
      <alignment wrapText="1"/>
    </xf>
    <xf numFmtId="0" fontId="10" fillId="2" borderId="3" xfId="0" applyFont="1" applyFill="1" applyBorder="1" applyAlignment="1">
      <alignment wrapText="1"/>
    </xf>
    <xf numFmtId="0" fontId="10" fillId="5" borderId="3" xfId="0" applyFont="1" applyFill="1" applyBorder="1" applyAlignment="1">
      <alignment wrapText="1"/>
    </xf>
    <xf numFmtId="0" fontId="12" fillId="2" borderId="3" xfId="0" applyFont="1" applyFill="1" applyBorder="1" applyAlignment="1">
      <alignment horizontal="center" wrapText="1"/>
    </xf>
    <xf numFmtId="9" fontId="12" fillId="2" borderId="3" xfId="0" applyNumberFormat="1" applyFont="1" applyFill="1" applyBorder="1" applyAlignment="1">
      <alignment horizontal="center" wrapText="1"/>
    </xf>
    <xf numFmtId="0" fontId="13" fillId="0" borderId="0" xfId="0" applyFont="1" applyAlignment="1">
      <alignment horizontal="right" wrapText="1"/>
    </xf>
    <xf numFmtId="166" fontId="16" fillId="0" borderId="0" xfId="0" applyNumberFormat="1" applyFont="1" applyAlignment="1">
      <alignment horizontal="right" wrapText="1"/>
    </xf>
    <xf numFmtId="169" fontId="16" fillId="0" borderId="0" xfId="0" applyNumberFormat="1" applyFont="1" applyAlignment="1">
      <alignment horizontal="right" wrapText="1"/>
    </xf>
    <xf numFmtId="9" fontId="16" fillId="0" borderId="0" xfId="0" applyNumberFormat="1" applyFont="1" applyAlignment="1">
      <alignment horizontal="right" wrapText="1"/>
    </xf>
    <xf numFmtId="174" fontId="13" fillId="0" borderId="2" xfId="0" applyNumberFormat="1" applyFont="1" applyBorder="1" applyAlignment="1">
      <alignment horizontal="right" wrapText="1"/>
    </xf>
    <xf numFmtId="14" fontId="13" fillId="0" borderId="0" xfId="0" applyNumberFormat="1" applyFont="1" applyAlignment="1">
      <alignment wrapText="1"/>
    </xf>
    <xf numFmtId="175" fontId="13" fillId="0" borderId="0" xfId="0" applyNumberFormat="1" applyFont="1" applyAlignment="1">
      <alignment horizontal="right" wrapText="1"/>
    </xf>
    <xf numFmtId="10" fontId="13" fillId="0" borderId="0" xfId="0" applyNumberFormat="1" applyFont="1" applyAlignment="1">
      <alignment horizontal="right" wrapText="1"/>
    </xf>
    <xf numFmtId="166" fontId="13" fillId="0" borderId="0" xfId="0" applyNumberFormat="1" applyFont="1" applyAlignment="1">
      <alignment wrapText="1"/>
    </xf>
    <xf numFmtId="175" fontId="13" fillId="0" borderId="0" xfId="0" applyNumberFormat="1" applyFont="1" applyAlignment="1">
      <alignment wrapText="1"/>
    </xf>
    <xf numFmtId="0" fontId="19" fillId="3" borderId="28" xfId="0" applyFont="1" applyFill="1" applyBorder="1" applyAlignment="1">
      <alignment vertical="center"/>
    </xf>
    <xf numFmtId="0" fontId="10" fillId="3" borderId="30" xfId="0" applyFont="1" applyFill="1" applyBorder="1" applyAlignment="1">
      <alignment wrapText="1"/>
    </xf>
    <xf numFmtId="10" fontId="13" fillId="0" borderId="29" xfId="0" applyNumberFormat="1" applyFont="1" applyBorder="1" applyAlignment="1">
      <alignment horizontal="center" wrapText="1"/>
    </xf>
    <xf numFmtId="0" fontId="15" fillId="0" borderId="0" xfId="0" applyFont="1" applyAlignment="1">
      <alignment wrapText="1"/>
    </xf>
    <xf numFmtId="174" fontId="13" fillId="0" borderId="0" xfId="0" applyNumberFormat="1" applyFont="1" applyAlignment="1">
      <alignment horizontal="right" wrapText="1"/>
    </xf>
    <xf numFmtId="0" fontId="15" fillId="0" borderId="19" xfId="0" applyFont="1" applyBorder="1" applyAlignment="1">
      <alignment wrapText="1"/>
    </xf>
    <xf numFmtId="174" fontId="16" fillId="0" borderId="8" xfId="0" applyNumberFormat="1" applyFont="1" applyBorder="1" applyAlignment="1">
      <alignment horizontal="right" wrapText="1"/>
    </xf>
    <xf numFmtId="0" fontId="19" fillId="3" borderId="31" xfId="0" applyFont="1" applyFill="1" applyBorder="1" applyAlignment="1">
      <alignment wrapText="1"/>
    </xf>
    <xf numFmtId="174" fontId="15" fillId="3" borderId="32" xfId="0" applyNumberFormat="1" applyFont="1" applyFill="1" applyBorder="1" applyAlignment="1">
      <alignment horizontal="right" wrapText="1"/>
    </xf>
    <xf numFmtId="176" fontId="16" fillId="0" borderId="0" xfId="0" applyNumberFormat="1" applyFont="1" applyAlignment="1">
      <alignment horizontal="right" wrapText="1"/>
    </xf>
    <xf numFmtId="2" fontId="9" fillId="0" borderId="0" xfId="0" applyNumberFormat="1" applyFont="1"/>
    <xf numFmtId="2" fontId="9" fillId="0" borderId="2" xfId="0" applyNumberFormat="1" applyFont="1" applyBorder="1"/>
    <xf numFmtId="2" fontId="1" fillId="0" borderId="0" xfId="0" applyNumberFormat="1" applyFont="1"/>
    <xf numFmtId="2" fontId="1" fillId="0" borderId="2" xfId="0" applyNumberFormat="1" applyFont="1" applyBorder="1"/>
    <xf numFmtId="0" fontId="11" fillId="2" borderId="22" xfId="0" applyFont="1" applyFill="1" applyBorder="1" applyAlignment="1">
      <alignment wrapText="1"/>
    </xf>
    <xf numFmtId="0" fontId="12" fillId="2" borderId="23" xfId="0" applyFont="1" applyFill="1" applyBorder="1" applyAlignment="1">
      <alignment wrapText="1"/>
    </xf>
    <xf numFmtId="0" fontId="12" fillId="2" borderId="24" xfId="0" applyFont="1" applyFill="1" applyBorder="1" applyAlignment="1">
      <alignment wrapText="1"/>
    </xf>
    <xf numFmtId="0" fontId="12" fillId="2" borderId="0" xfId="0" applyFont="1" applyFill="1" applyAlignment="1">
      <alignment wrapText="1"/>
    </xf>
    <xf numFmtId="0" fontId="11" fillId="2" borderId="25" xfId="0" applyFont="1" applyFill="1" applyBorder="1" applyAlignment="1">
      <alignment wrapText="1"/>
    </xf>
    <xf numFmtId="0" fontId="12" fillId="2" borderId="26" xfId="0" applyFont="1" applyFill="1" applyBorder="1" applyAlignment="1">
      <alignment wrapText="1"/>
    </xf>
    <xf numFmtId="0" fontId="12" fillId="2" borderId="27" xfId="0" applyFont="1" applyFill="1" applyBorder="1" applyAlignment="1">
      <alignment wrapText="1"/>
    </xf>
    <xf numFmtId="0" fontId="16" fillId="5" borderId="0" xfId="0" applyFont="1" applyFill="1" applyAlignment="1">
      <alignment wrapText="1"/>
    </xf>
    <xf numFmtId="8" fontId="16" fillId="5" borderId="0" xfId="0" applyNumberFormat="1" applyFont="1" applyFill="1" applyAlignment="1">
      <alignment wrapText="1"/>
    </xf>
    <xf numFmtId="8" fontId="16" fillId="0" borderId="26" xfId="0" applyNumberFormat="1" applyFont="1" applyBorder="1" applyAlignment="1">
      <alignment wrapText="1"/>
    </xf>
    <xf numFmtId="0" fontId="14" fillId="0" borderId="26" xfId="0" applyFont="1" applyBorder="1" applyAlignment="1">
      <alignment wrapText="1"/>
    </xf>
    <xf numFmtId="8" fontId="16" fillId="0" borderId="0" xfId="0" applyNumberFormat="1" applyFont="1" applyAlignment="1">
      <alignment wrapText="1"/>
    </xf>
    <xf numFmtId="0" fontId="16" fillId="3" borderId="0" xfId="0" applyFont="1" applyFill="1" applyAlignment="1">
      <alignment wrapText="1"/>
    </xf>
    <xf numFmtId="8" fontId="16" fillId="3" borderId="0" xfId="0" applyNumberFormat="1" applyFont="1" applyFill="1" applyAlignment="1">
      <alignment wrapText="1"/>
    </xf>
    <xf numFmtId="0" fontId="15" fillId="3" borderId="25" xfId="0" applyFont="1" applyFill="1" applyBorder="1" applyAlignment="1">
      <alignment wrapText="1"/>
    </xf>
    <xf numFmtId="0" fontId="16" fillId="3" borderId="26" xfId="0" applyFont="1" applyFill="1" applyBorder="1" applyAlignment="1">
      <alignment wrapText="1"/>
    </xf>
    <xf numFmtId="8" fontId="16" fillId="3" borderId="26" xfId="0" applyNumberFormat="1" applyFont="1" applyFill="1" applyBorder="1" applyAlignment="1">
      <alignment wrapText="1"/>
    </xf>
    <xf numFmtId="8" fontId="16" fillId="3" borderId="37" xfId="0" applyNumberFormat="1" applyFont="1" applyFill="1" applyBorder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2" xfId="0" applyNumberFormat="1" applyFont="1" applyBorder="1" applyAlignment="1">
      <alignment wrapText="1"/>
    </xf>
    <xf numFmtId="2" fontId="9" fillId="0" borderId="16" xfId="0" applyNumberFormat="1" applyFont="1" applyBorder="1"/>
    <xf numFmtId="2" fontId="9" fillId="0" borderId="17" xfId="0" applyNumberFormat="1" applyFont="1" applyBorder="1"/>
    <xf numFmtId="2" fontId="0" fillId="0" borderId="0" xfId="0" applyNumberFormat="1"/>
    <xf numFmtId="9" fontId="1" fillId="0" borderId="0" xfId="2" applyFont="1"/>
    <xf numFmtId="10" fontId="1" fillId="0" borderId="0" xfId="2" applyNumberFormat="1" applyFont="1"/>
    <xf numFmtId="178" fontId="1" fillId="0" borderId="0" xfId="2" applyNumberFormat="1" applyFont="1"/>
    <xf numFmtId="37" fontId="1" fillId="0" borderId="0" xfId="0" applyNumberFormat="1" applyFont="1"/>
    <xf numFmtId="179" fontId="1" fillId="0" borderId="0" xfId="0" applyNumberFormat="1" applyFont="1"/>
    <xf numFmtId="43" fontId="1" fillId="0" borderId="0" xfId="1" applyFont="1"/>
    <xf numFmtId="43" fontId="9" fillId="0" borderId="0" xfId="1" applyFont="1"/>
    <xf numFmtId="168" fontId="16" fillId="5" borderId="0" xfId="0" applyNumberFormat="1" applyFont="1" applyFill="1" applyAlignment="1">
      <alignment wrapText="1"/>
    </xf>
    <xf numFmtId="168" fontId="16" fillId="7" borderId="36" xfId="0" applyNumberFormat="1" applyFont="1" applyFill="1" applyBorder="1" applyAlignment="1">
      <alignment wrapText="1"/>
    </xf>
    <xf numFmtId="168" fontId="16" fillId="7" borderId="37" xfId="0" applyNumberFormat="1" applyFont="1" applyFill="1" applyBorder="1" applyAlignment="1">
      <alignment wrapText="1"/>
    </xf>
    <xf numFmtId="168" fontId="16" fillId="5" borderId="21" xfId="0" applyNumberFormat="1" applyFont="1" applyFill="1" applyBorder="1" applyAlignment="1">
      <alignment wrapText="1"/>
    </xf>
    <xf numFmtId="168" fontId="16" fillId="7" borderId="21" xfId="0" applyNumberFormat="1" applyFont="1" applyFill="1" applyBorder="1" applyAlignment="1">
      <alignment wrapText="1"/>
    </xf>
    <xf numFmtId="168" fontId="16" fillId="7" borderId="35" xfId="0" applyNumberFormat="1" applyFont="1" applyFill="1" applyBorder="1" applyAlignment="1">
      <alignment wrapText="1"/>
    </xf>
    <xf numFmtId="168" fontId="16" fillId="5" borderId="35" xfId="0" applyNumberFormat="1" applyFont="1" applyFill="1" applyBorder="1" applyAlignment="1">
      <alignment wrapText="1"/>
    </xf>
    <xf numFmtId="43" fontId="16" fillId="3" borderId="0" xfId="1" applyFont="1" applyFill="1" applyAlignment="1">
      <alignment wrapText="1"/>
    </xf>
    <xf numFmtId="43" fontId="16" fillId="3" borderId="26" xfId="1" applyFont="1" applyFill="1" applyBorder="1" applyAlignment="1">
      <alignment wrapText="1"/>
    </xf>
    <xf numFmtId="9" fontId="0" fillId="0" borderId="0" xfId="0" applyNumberFormat="1"/>
    <xf numFmtId="43" fontId="16" fillId="0" borderId="39" xfId="1" applyFont="1" applyBorder="1" applyAlignment="1">
      <alignment horizontal="right" wrapText="1"/>
    </xf>
    <xf numFmtId="9" fontId="16" fillId="0" borderId="39" xfId="0" applyNumberFormat="1" applyFont="1" applyBorder="1" applyAlignment="1">
      <alignment horizontal="right" wrapText="1"/>
    </xf>
    <xf numFmtId="174" fontId="13" fillId="0" borderId="38" xfId="0" applyNumberFormat="1" applyFont="1" applyBorder="1" applyAlignment="1">
      <alignment horizontal="right" wrapText="1"/>
    </xf>
    <xf numFmtId="43" fontId="13" fillId="0" borderId="0" xfId="1" applyFont="1" applyAlignment="1">
      <alignment wrapText="1"/>
    </xf>
    <xf numFmtId="0" fontId="19" fillId="0" borderId="40" xfId="0" applyFont="1" applyBorder="1" applyAlignment="1">
      <alignment wrapText="1"/>
    </xf>
    <xf numFmtId="174" fontId="13" fillId="0" borderId="39" xfId="0" applyNumberFormat="1" applyFont="1" applyBorder="1" applyAlignment="1">
      <alignment horizontal="right" wrapText="1"/>
    </xf>
    <xf numFmtId="166" fontId="16" fillId="0" borderId="39" xfId="0" applyNumberFormat="1" applyFont="1" applyBorder="1" applyAlignment="1">
      <alignment horizontal="right" wrapText="1"/>
    </xf>
    <xf numFmtId="169" fontId="16" fillId="0" borderId="39" xfId="0" applyNumberFormat="1" applyFont="1" applyBorder="1" applyAlignment="1">
      <alignment horizontal="right" wrapText="1"/>
    </xf>
    <xf numFmtId="166" fontId="13" fillId="0" borderId="39" xfId="0" applyNumberFormat="1" applyFont="1" applyBorder="1" applyAlignment="1">
      <alignment horizontal="right" wrapText="1"/>
    </xf>
    <xf numFmtId="10" fontId="13" fillId="5" borderId="43" xfId="0" applyNumberFormat="1" applyFont="1" applyFill="1" applyBorder="1" applyAlignment="1">
      <alignment horizontal="center" wrapText="1"/>
    </xf>
    <xf numFmtId="174" fontId="16" fillId="0" borderId="33" xfId="0" applyNumberFormat="1" applyFont="1" applyBorder="1" applyAlignment="1">
      <alignment horizontal="right" wrapText="1"/>
    </xf>
    <xf numFmtId="174" fontId="15" fillId="3" borderId="34" xfId="0" applyNumberFormat="1" applyFont="1" applyFill="1" applyBorder="1" applyAlignment="1">
      <alignment horizontal="right" wrapText="1"/>
    </xf>
    <xf numFmtId="0" fontId="13" fillId="0" borderId="3" xfId="0" applyFont="1" applyBorder="1" applyAlignment="1">
      <alignment wrapText="1"/>
    </xf>
    <xf numFmtId="180" fontId="16" fillId="0" borderId="3" xfId="1" applyNumberFormat="1" applyFont="1" applyBorder="1" applyAlignment="1">
      <alignment horizontal="right" wrapText="1"/>
    </xf>
    <xf numFmtId="43" fontId="13" fillId="0" borderId="0" xfId="1" applyFont="1"/>
    <xf numFmtId="2" fontId="9" fillId="0" borderId="3" xfId="0" applyNumberFormat="1" applyFont="1" applyBorder="1"/>
    <xf numFmtId="2" fontId="9" fillId="0" borderId="34" xfId="0" applyNumberFormat="1" applyFont="1" applyBorder="1"/>
    <xf numFmtId="2" fontId="9" fillId="0" borderId="32" xfId="0" applyNumberFormat="1" applyFont="1" applyBorder="1"/>
    <xf numFmtId="0" fontId="1" fillId="0" borderId="44" xfId="0" applyFont="1" applyBorder="1"/>
    <xf numFmtId="9" fontId="1" fillId="0" borderId="39" xfId="2" applyFont="1" applyBorder="1"/>
    <xf numFmtId="9" fontId="1" fillId="0" borderId="46" xfId="2" applyFont="1" applyBorder="1"/>
    <xf numFmtId="2" fontId="1" fillId="0" borderId="46" xfId="0" applyNumberFormat="1" applyFont="1" applyBorder="1"/>
    <xf numFmtId="2" fontId="9" fillId="0" borderId="46" xfId="0" applyNumberFormat="1" applyFont="1" applyBorder="1"/>
    <xf numFmtId="179" fontId="1" fillId="0" borderId="46" xfId="0" applyNumberFormat="1" applyFont="1" applyBorder="1"/>
    <xf numFmtId="37" fontId="1" fillId="0" borderId="46" xfId="0" applyNumberFormat="1" applyFont="1" applyBorder="1"/>
    <xf numFmtId="9" fontId="1" fillId="0" borderId="45" xfId="2" applyFont="1" applyBorder="1"/>
    <xf numFmtId="9" fontId="1" fillId="0" borderId="0" xfId="2" applyFont="1" applyAlignment="1">
      <alignment wrapText="1"/>
    </xf>
    <xf numFmtId="9" fontId="1" fillId="0" borderId="39" xfId="2" applyFont="1" applyBorder="1" applyAlignment="1">
      <alignment wrapText="1"/>
    </xf>
    <xf numFmtId="2" fontId="1" fillId="0" borderId="21" xfId="0" applyNumberFormat="1" applyFont="1" applyBorder="1" applyAlignment="1">
      <alignment wrapText="1"/>
    </xf>
    <xf numFmtId="9" fontId="1" fillId="0" borderId="21" xfId="2" applyFont="1" applyBorder="1" applyAlignment="1">
      <alignment wrapText="1"/>
    </xf>
    <xf numFmtId="9" fontId="1" fillId="0" borderId="48" xfId="2" applyFont="1" applyBorder="1" applyAlignment="1">
      <alignment wrapText="1"/>
    </xf>
    <xf numFmtId="2" fontId="0" fillId="0" borderId="21" xfId="0" applyNumberFormat="1" applyBorder="1"/>
    <xf numFmtId="177" fontId="0" fillId="0" borderId="21" xfId="0" applyNumberFormat="1" applyBorder="1"/>
    <xf numFmtId="175" fontId="1" fillId="0" borderId="21" xfId="2" applyNumberFormat="1" applyFont="1" applyBorder="1"/>
    <xf numFmtId="10" fontId="9" fillId="0" borderId="34" xfId="2" applyNumberFormat="1" applyFont="1" applyBorder="1" applyAlignment="1">
      <alignment wrapText="1"/>
    </xf>
    <xf numFmtId="43" fontId="9" fillId="0" borderId="3" xfId="1" applyFont="1" applyBorder="1"/>
    <xf numFmtId="10" fontId="9" fillId="0" borderId="50" xfId="2" applyNumberFormat="1" applyFont="1" applyBorder="1" applyAlignment="1">
      <alignment wrapText="1"/>
    </xf>
    <xf numFmtId="10" fontId="9" fillId="0" borderId="3" xfId="2" applyNumberFormat="1" applyFont="1" applyBorder="1" applyAlignment="1">
      <alignment wrapText="1"/>
    </xf>
    <xf numFmtId="2" fontId="1" fillId="0" borderId="3" xfId="0" applyNumberFormat="1" applyFont="1" applyBorder="1"/>
    <xf numFmtId="9" fontId="1" fillId="0" borderId="3" xfId="2" applyFont="1" applyBorder="1"/>
    <xf numFmtId="169" fontId="1" fillId="0" borderId="0" xfId="2" applyNumberFormat="1" applyFont="1"/>
    <xf numFmtId="9" fontId="1" fillId="0" borderId="34" xfId="2" applyFont="1" applyBorder="1"/>
    <xf numFmtId="171" fontId="1" fillId="0" borderId="49" xfId="0" applyNumberFormat="1" applyFont="1" applyBorder="1"/>
    <xf numFmtId="43" fontId="1" fillId="0" borderId="21" xfId="1" applyFont="1" applyBorder="1"/>
    <xf numFmtId="9" fontId="1" fillId="0" borderId="21" xfId="2" applyFont="1" applyBorder="1"/>
    <xf numFmtId="43" fontId="9" fillId="0" borderId="21" xfId="1" applyFont="1" applyBorder="1"/>
    <xf numFmtId="43" fontId="1" fillId="0" borderId="47" xfId="1" applyFont="1" applyBorder="1"/>
    <xf numFmtId="43" fontId="1" fillId="0" borderId="3" xfId="1" applyFont="1" applyBorder="1"/>
    <xf numFmtId="43" fontId="1" fillId="0" borderId="3" xfId="0" applyNumberFormat="1" applyFont="1" applyBorder="1"/>
    <xf numFmtId="8" fontId="16" fillId="3" borderId="3" xfId="0" applyNumberFormat="1" applyFont="1" applyFill="1" applyBorder="1" applyAlignment="1">
      <alignment wrapText="1"/>
    </xf>
    <xf numFmtId="168" fontId="16" fillId="7" borderId="3" xfId="0" applyNumberFormat="1" applyFont="1" applyFill="1" applyBorder="1" applyAlignment="1">
      <alignment wrapText="1"/>
    </xf>
    <xf numFmtId="0" fontId="1" fillId="0" borderId="31" xfId="0" applyFont="1" applyBorder="1"/>
    <xf numFmtId="0" fontId="2" fillId="2" borderId="19" xfId="0" applyFont="1" applyFill="1" applyBorder="1"/>
    <xf numFmtId="171" fontId="2" fillId="2" borderId="33" xfId="0" applyNumberFormat="1" applyFont="1" applyFill="1" applyBorder="1"/>
    <xf numFmtId="172" fontId="2" fillId="2" borderId="33" xfId="0" applyNumberFormat="1" applyFont="1" applyFill="1" applyBorder="1"/>
    <xf numFmtId="172" fontId="2" fillId="2" borderId="8" xfId="0" applyNumberFormat="1" applyFont="1" applyFill="1" applyBorder="1"/>
    <xf numFmtId="171" fontId="1" fillId="0" borderId="33" xfId="0" applyNumberFormat="1" applyFont="1" applyBorder="1"/>
    <xf numFmtId="172" fontId="1" fillId="0" borderId="33" xfId="0" applyNumberFormat="1" applyFont="1" applyBorder="1"/>
    <xf numFmtId="9" fontId="1" fillId="0" borderId="34" xfId="0" applyNumberFormat="1" applyFont="1" applyBorder="1"/>
    <xf numFmtId="9" fontId="1" fillId="0" borderId="32" xfId="0" applyNumberFormat="1" applyFont="1" applyBorder="1"/>
    <xf numFmtId="43" fontId="1" fillId="0" borderId="34" xfId="1" applyFont="1" applyBorder="1"/>
    <xf numFmtId="165" fontId="1" fillId="0" borderId="34" xfId="0" applyNumberFormat="1" applyFont="1" applyBorder="1"/>
    <xf numFmtId="165" fontId="1" fillId="0" borderId="32" xfId="0" applyNumberFormat="1" applyFont="1" applyBorder="1"/>
    <xf numFmtId="43" fontId="9" fillId="0" borderId="34" xfId="1" applyFont="1" applyBorder="1"/>
    <xf numFmtId="165" fontId="9" fillId="0" borderId="32" xfId="0" applyNumberFormat="1" applyFont="1" applyBorder="1"/>
    <xf numFmtId="9" fontId="9" fillId="0" borderId="32" xfId="0" applyNumberFormat="1" applyFont="1" applyBorder="1" applyAlignment="1">
      <alignment wrapText="1"/>
    </xf>
    <xf numFmtId="171" fontId="9" fillId="0" borderId="33" xfId="0" applyNumberFormat="1" applyFont="1" applyBorder="1" applyAlignment="1">
      <alignment wrapText="1"/>
    </xf>
    <xf numFmtId="172" fontId="9" fillId="0" borderId="33" xfId="0" applyNumberFormat="1" applyFont="1" applyBorder="1" applyAlignment="1">
      <alignment wrapText="1"/>
    </xf>
    <xf numFmtId="0" fontId="11" fillId="2" borderId="19" xfId="0" applyFont="1" applyFill="1" applyBorder="1" applyAlignment="1">
      <alignment wrapText="1"/>
    </xf>
    <xf numFmtId="0" fontId="12" fillId="2" borderId="33" xfId="0" applyFont="1" applyFill="1" applyBorder="1" applyAlignment="1">
      <alignment horizontal="center" wrapText="1"/>
    </xf>
    <xf numFmtId="0" fontId="12" fillId="6" borderId="33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center" wrapText="1"/>
    </xf>
    <xf numFmtId="0" fontId="15" fillId="0" borderId="31" xfId="0" applyFont="1" applyBorder="1" applyAlignment="1">
      <alignment wrapText="1"/>
    </xf>
    <xf numFmtId="0" fontId="13" fillId="0" borderId="34" xfId="0" applyFont="1" applyBorder="1" applyAlignment="1">
      <alignment horizontal="right" wrapText="1"/>
    </xf>
    <xf numFmtId="166" fontId="16" fillId="0" borderId="34" xfId="0" applyNumberFormat="1" applyFont="1" applyBorder="1" applyAlignment="1">
      <alignment horizontal="right" wrapText="1"/>
    </xf>
    <xf numFmtId="169" fontId="16" fillId="0" borderId="34" xfId="0" applyNumberFormat="1" applyFont="1" applyBorder="1" applyAlignment="1">
      <alignment horizontal="right" wrapText="1"/>
    </xf>
    <xf numFmtId="166" fontId="16" fillId="0" borderId="33" xfId="0" applyNumberFormat="1" applyFont="1" applyBorder="1" applyAlignment="1">
      <alignment horizontal="right" wrapText="1"/>
    </xf>
    <xf numFmtId="169" fontId="16" fillId="0" borderId="33" xfId="0" applyNumberFormat="1" applyFont="1" applyBorder="1" applyAlignment="1">
      <alignment horizontal="right" wrapText="1"/>
    </xf>
    <xf numFmtId="0" fontId="15" fillId="3" borderId="34" xfId="0" applyFont="1" applyFill="1" applyBorder="1" applyAlignment="1">
      <alignment horizontal="right" wrapText="1"/>
    </xf>
    <xf numFmtId="166" fontId="15" fillId="3" borderId="34" xfId="0" applyNumberFormat="1" applyFont="1" applyFill="1" applyBorder="1" applyAlignment="1">
      <alignment horizontal="right" wrapText="1"/>
    </xf>
    <xf numFmtId="169" fontId="15" fillId="3" borderId="34" xfId="0" applyNumberFormat="1" applyFont="1" applyFill="1" applyBorder="1" applyAlignment="1">
      <alignment horizontal="right" wrapText="1"/>
    </xf>
    <xf numFmtId="0" fontId="12" fillId="2" borderId="19" xfId="0" applyFont="1" applyFill="1" applyBorder="1" applyAlignment="1">
      <alignment wrapText="1"/>
    </xf>
    <xf numFmtId="166" fontId="12" fillId="2" borderId="33" xfId="0" applyNumberFormat="1" applyFont="1" applyFill="1" applyBorder="1" applyAlignment="1">
      <alignment horizontal="center" wrapText="1"/>
    </xf>
    <xf numFmtId="166" fontId="12" fillId="6" borderId="33" xfId="0" applyNumberFormat="1" applyFont="1" applyFill="1" applyBorder="1" applyAlignment="1">
      <alignment horizontal="center" wrapText="1"/>
    </xf>
    <xf numFmtId="10" fontId="1" fillId="0" borderId="3" xfId="2" applyNumberFormat="1" applyFont="1" applyBorder="1"/>
    <xf numFmtId="178" fontId="1" fillId="0" borderId="3" xfId="2" applyNumberFormat="1" applyFont="1" applyBorder="1"/>
    <xf numFmtId="10" fontId="1" fillId="0" borderId="50" xfId="2" applyNumberFormat="1" applyFont="1" applyBorder="1"/>
    <xf numFmtId="178" fontId="1" fillId="0" borderId="50" xfId="2" applyNumberFormat="1" applyFont="1" applyBorder="1"/>
    <xf numFmtId="2" fontId="1" fillId="0" borderId="51" xfId="0" applyNumberFormat="1" applyFont="1" applyBorder="1"/>
    <xf numFmtId="10" fontId="1" fillId="0" borderId="2" xfId="2" applyNumberFormat="1" applyFont="1" applyBorder="1"/>
    <xf numFmtId="10" fontId="1" fillId="0" borderId="3" xfId="0" applyNumberFormat="1" applyFont="1" applyBorder="1"/>
    <xf numFmtId="175" fontId="1" fillId="0" borderId="3" xfId="2" applyNumberFormat="1" applyFont="1" applyBorder="1"/>
    <xf numFmtId="0" fontId="2" fillId="2" borderId="3" xfId="0" applyFont="1" applyFill="1" applyBorder="1" applyAlignment="1">
      <alignment horizontal="center"/>
    </xf>
    <xf numFmtId="0" fontId="3" fillId="0" borderId="3" xfId="0" applyFont="1" applyBorder="1"/>
    <xf numFmtId="0" fontId="19" fillId="3" borderId="41" xfId="0" applyFont="1" applyFill="1" applyBorder="1" applyAlignment="1">
      <alignment horizontal="center" wrapText="1"/>
    </xf>
    <xf numFmtId="0" fontId="3" fillId="0" borderId="42" xfId="0" applyFont="1" applyBorder="1"/>
    <xf numFmtId="0" fontId="27" fillId="0" borderId="0" xfId="0" applyFont="1"/>
    <xf numFmtId="0" fontId="29" fillId="0" borderId="0" xfId="0" applyFont="1"/>
    <xf numFmtId="0" fontId="28" fillId="0" borderId="0" xfId="0" applyFont="1"/>
    <xf numFmtId="3" fontId="16" fillId="5" borderId="0" xfId="0" applyNumberFormat="1" applyFont="1" applyFill="1" applyAlignment="1">
      <alignment wrapText="1"/>
    </xf>
    <xf numFmtId="44" fontId="9" fillId="0" borderId="0" xfId="3" applyFont="1"/>
    <xf numFmtId="44" fontId="9" fillId="0" borderId="0" xfId="3" applyFont="1" applyAlignment="1">
      <alignment wrapText="1"/>
    </xf>
    <xf numFmtId="44" fontId="9" fillId="0" borderId="46" xfId="3" applyFont="1" applyBorder="1" applyAlignment="1">
      <alignment wrapText="1"/>
    </xf>
    <xf numFmtId="44" fontId="9" fillId="0" borderId="50" xfId="3" applyFont="1" applyBorder="1"/>
    <xf numFmtId="44" fontId="9" fillId="0" borderId="3" xfId="3" applyFont="1" applyBorder="1"/>
    <xf numFmtId="0" fontId="1" fillId="0" borderId="3" xfId="0" applyFont="1" applyBorder="1"/>
    <xf numFmtId="165" fontId="9" fillId="0" borderId="3" xfId="0" applyNumberFormat="1" applyFont="1" applyBorder="1"/>
    <xf numFmtId="165" fontId="9" fillId="0" borderId="21" xfId="0" applyNumberFormat="1" applyFont="1" applyBorder="1"/>
    <xf numFmtId="172" fontId="9" fillId="0" borderId="3" xfId="0" applyNumberFormat="1" applyFont="1" applyBorder="1" applyAlignment="1">
      <alignment horizontal="center"/>
    </xf>
    <xf numFmtId="0" fontId="1" fillId="0" borderId="3" xfId="0" applyFont="1" applyFill="1" applyBorder="1"/>
    <xf numFmtId="0" fontId="2" fillId="0" borderId="3" xfId="0" applyFont="1" applyFill="1" applyBorder="1"/>
    <xf numFmtId="0" fontId="9" fillId="0" borderId="3" xfId="0" applyFont="1" applyFill="1" applyBorder="1"/>
    <xf numFmtId="171" fontId="9" fillId="0" borderId="3" xfId="0" applyNumberFormat="1" applyFont="1" applyFill="1" applyBorder="1" applyAlignment="1">
      <alignment horizontal="center" vertical="center"/>
    </xf>
    <xf numFmtId="172" fontId="9" fillId="0" borderId="3" xfId="0" applyNumberFormat="1" applyFont="1" applyFill="1" applyBorder="1" applyAlignment="1">
      <alignment horizontal="center"/>
    </xf>
    <xf numFmtId="2" fontId="1" fillId="0" borderId="3" xfId="0" applyNumberFormat="1" applyFont="1" applyFill="1" applyBorder="1"/>
    <xf numFmtId="10" fontId="1" fillId="0" borderId="3" xfId="2" applyNumberFormat="1" applyFont="1" applyFill="1" applyBorder="1"/>
    <xf numFmtId="175" fontId="1" fillId="0" borderId="3" xfId="2" applyNumberFormat="1" applyFont="1" applyFill="1" applyBorder="1"/>
    <xf numFmtId="178" fontId="1" fillId="0" borderId="3" xfId="2" applyNumberFormat="1" applyFont="1" applyFill="1" applyBorder="1"/>
    <xf numFmtId="2" fontId="9" fillId="0" borderId="3" xfId="0" applyNumberFormat="1" applyFont="1" applyFill="1" applyBorder="1"/>
    <xf numFmtId="43" fontId="1" fillId="0" borderId="3" xfId="0" applyNumberFormat="1" applyFont="1" applyFill="1" applyBorder="1"/>
    <xf numFmtId="0" fontId="9" fillId="0" borderId="52" xfId="0" applyFont="1" applyBorder="1"/>
    <xf numFmtId="171" fontId="9" fillId="0" borderId="53" xfId="0" applyNumberFormat="1" applyFont="1" applyBorder="1" applyAlignment="1">
      <alignment horizontal="center" vertical="center"/>
    </xf>
    <xf numFmtId="172" fontId="9" fillId="0" borderId="53" xfId="0" applyNumberFormat="1" applyFont="1" applyBorder="1" applyAlignment="1">
      <alignment horizontal="center"/>
    </xf>
    <xf numFmtId="172" fontId="9" fillId="0" borderId="54" xfId="0" applyNumberFormat="1" applyFont="1" applyBorder="1" applyAlignment="1">
      <alignment horizontal="center"/>
    </xf>
    <xf numFmtId="43" fontId="1" fillId="0" borderId="3" xfId="0" applyNumberFormat="1" applyFont="1" applyBorder="1" applyAlignment="1">
      <alignment horizontal="right" vertical="center"/>
    </xf>
    <xf numFmtId="43" fontId="1" fillId="0" borderId="51" xfId="0" applyNumberFormat="1" applyFont="1" applyBorder="1" applyAlignment="1">
      <alignment horizontal="right" vertical="center"/>
    </xf>
    <xf numFmtId="10" fontId="1" fillId="0" borderId="51" xfId="0" applyNumberFormat="1" applyFont="1" applyBorder="1"/>
    <xf numFmtId="175" fontId="1" fillId="0" borderId="51" xfId="2" applyNumberFormat="1" applyFont="1" applyBorder="1"/>
    <xf numFmtId="0" fontId="9" fillId="0" borderId="55" xfId="0" applyFont="1" applyBorder="1"/>
    <xf numFmtId="165" fontId="9" fillId="0" borderId="51" xfId="0" applyNumberFormat="1" applyFont="1" applyBorder="1"/>
    <xf numFmtId="0" fontId="1" fillId="0" borderId="56" xfId="0" applyFont="1" applyFill="1" applyBorder="1"/>
    <xf numFmtId="0" fontId="1" fillId="0" borderId="39" xfId="0" applyFont="1" applyFill="1" applyBorder="1"/>
    <xf numFmtId="0" fontId="1" fillId="0" borderId="57" xfId="0" applyFont="1" applyFill="1" applyBorder="1"/>
    <xf numFmtId="169" fontId="1" fillId="0" borderId="3" xfId="2" applyNumberFormat="1" applyFont="1" applyBorder="1" applyAlignment="1">
      <alignment wrapText="1"/>
    </xf>
    <xf numFmtId="171" fontId="9" fillId="0" borderId="21" xfId="0" applyNumberFormat="1" applyFont="1" applyBorder="1" applyAlignment="1">
      <alignment horizontal="center" vertical="center"/>
    </xf>
    <xf numFmtId="2" fontId="9" fillId="0" borderId="21" xfId="0" applyNumberFormat="1" applyFont="1" applyBorder="1"/>
    <xf numFmtId="2" fontId="1" fillId="0" borderId="3" xfId="0" applyNumberFormat="1" applyFont="1" applyBorder="1" applyAlignment="1">
      <alignment wrapText="1"/>
    </xf>
    <xf numFmtId="0" fontId="1" fillId="0" borderId="39" xfId="0" applyFont="1" applyBorder="1"/>
    <xf numFmtId="0" fontId="1" fillId="0" borderId="40" xfId="0" applyFont="1" applyBorder="1"/>
    <xf numFmtId="2" fontId="1" fillId="0" borderId="39" xfId="0" applyNumberFormat="1" applyFont="1" applyBorder="1" applyAlignment="1">
      <alignment wrapText="1"/>
    </xf>
    <xf numFmtId="9" fontId="1" fillId="0" borderId="39" xfId="0" applyNumberFormat="1" applyFont="1" applyBorder="1" applyAlignment="1">
      <alignment wrapText="1"/>
    </xf>
    <xf numFmtId="2" fontId="1" fillId="0" borderId="38" xfId="0" applyNumberFormat="1" applyFont="1" applyBorder="1" applyAlignment="1">
      <alignment wrapText="1"/>
    </xf>
    <xf numFmtId="9" fontId="1" fillId="0" borderId="3" xfId="2" applyFont="1" applyBorder="1" applyAlignment="1">
      <alignment wrapText="1"/>
    </xf>
    <xf numFmtId="44" fontId="9" fillId="0" borderId="3" xfId="3" applyFont="1" applyBorder="1" applyAlignment="1">
      <alignment wrapText="1"/>
    </xf>
    <xf numFmtId="0" fontId="1" fillId="0" borderId="58" xfId="0" applyFont="1" applyBorder="1"/>
    <xf numFmtId="2" fontId="1" fillId="0" borderId="59" xfId="0" applyNumberFormat="1" applyFont="1" applyBorder="1"/>
    <xf numFmtId="9" fontId="1" fillId="0" borderId="59" xfId="2" applyFont="1" applyBorder="1"/>
    <xf numFmtId="9" fontId="1" fillId="0" borderId="60" xfId="2" applyFont="1" applyBorder="1"/>
    <xf numFmtId="174" fontId="16" fillId="0" borderId="0" xfId="0" applyNumberFormat="1" applyFont="1" applyAlignment="1">
      <alignment horizontal="right" wrapText="1"/>
    </xf>
    <xf numFmtId="174" fontId="16" fillId="0" borderId="0" xfId="1" applyNumberFormat="1" applyFont="1" applyAlignment="1">
      <alignment horizontal="right" wrapText="1"/>
    </xf>
    <xf numFmtId="174" fontId="13" fillId="0" borderId="0" xfId="0" applyNumberFormat="1" applyFont="1" applyAlignment="1">
      <alignment wrapText="1"/>
    </xf>
    <xf numFmtId="3" fontId="13" fillId="0" borderId="3" xfId="0" applyNumberFormat="1" applyFont="1" applyBorder="1" applyAlignment="1">
      <alignment wrapText="1"/>
    </xf>
    <xf numFmtId="0" fontId="1" fillId="0" borderId="0" xfId="0" applyFont="1" applyFill="1"/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/>
    <xf numFmtId="8" fontId="22" fillId="0" borderId="3" xfId="0" applyNumberFormat="1" applyFont="1" applyFill="1" applyBorder="1"/>
    <xf numFmtId="0" fontId="23" fillId="0" borderId="3" xfId="0" applyFont="1" applyFill="1" applyBorder="1"/>
    <xf numFmtId="0" fontId="25" fillId="0" borderId="3" xfId="0" applyFont="1" applyFill="1" applyBorder="1"/>
    <xf numFmtId="10" fontId="8" fillId="0" borderId="3" xfId="0" applyNumberFormat="1" applyFont="1" applyFill="1" applyBorder="1"/>
    <xf numFmtId="8" fontId="21" fillId="0" borderId="3" xfId="0" applyNumberFormat="1" applyFont="1" applyFill="1" applyBorder="1"/>
    <xf numFmtId="10" fontId="24" fillId="0" borderId="3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/>
    <xf numFmtId="10" fontId="23" fillId="0" borderId="3" xfId="0" applyNumberFormat="1" applyFont="1" applyFill="1" applyBorder="1"/>
    <xf numFmtId="10" fontId="25" fillId="0" borderId="3" xfId="0" applyNumberFormat="1" applyFont="1" applyFill="1" applyBorder="1"/>
    <xf numFmtId="0" fontId="0" fillId="0" borderId="0" xfId="0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showGridLines="0" zoomScale="107" workbookViewId="0">
      <selection activeCell="C36" sqref="C36"/>
    </sheetView>
  </sheetViews>
  <sheetFormatPr baseColWidth="10" defaultColWidth="12.6640625" defaultRowHeight="15" customHeight="1" x14ac:dyDescent="0.15"/>
  <cols>
    <col min="1" max="1" width="6" customWidth="1"/>
    <col min="2" max="2" width="8" customWidth="1"/>
    <col min="3" max="3" width="24.1640625" customWidth="1"/>
    <col min="4" max="4" width="21.83203125" customWidth="1"/>
    <col min="5" max="5" width="12.83203125" customWidth="1"/>
    <col min="6" max="6" width="24.1640625" customWidth="1"/>
    <col min="7" max="7" width="21.83203125" customWidth="1"/>
    <col min="8" max="8" width="12.83203125" customWidth="1"/>
    <col min="9" max="9" width="7.1640625" customWidth="1"/>
    <col min="10" max="14" width="12.5" customWidth="1"/>
    <col min="15" max="24" width="12.83203125" customWidth="1"/>
    <col min="25" max="27" width="13.1640625" customWidth="1"/>
  </cols>
  <sheetData>
    <row r="1" spans="1:27" ht="15.75" customHeight="1" x14ac:dyDescent="0.2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3"/>
      <c r="B3" s="1"/>
      <c r="C3" s="221" t="s">
        <v>0</v>
      </c>
      <c r="D3" s="222"/>
      <c r="E3" s="222"/>
      <c r="F3" s="222"/>
      <c r="G3" s="22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3"/>
      <c r="B4" s="1"/>
      <c r="C4" s="4" t="s">
        <v>1</v>
      </c>
      <c r="D4" s="5"/>
      <c r="E4" s="6">
        <f>WACC!D17</f>
        <v>9.6936183246589314E-2</v>
      </c>
      <c r="F4" s="7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3"/>
      <c r="B5" s="1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3"/>
      <c r="B6" s="1"/>
      <c r="C6" s="9" t="s">
        <v>2</v>
      </c>
      <c r="D6" s="10">
        <f>WACC!D17</f>
        <v>9.6936183246589314E-2</v>
      </c>
      <c r="E6" s="1"/>
      <c r="F6" s="1"/>
      <c r="G6" s="1"/>
      <c r="H6" s="1"/>
      <c r="I6" s="281"/>
      <c r="J6" s="281"/>
      <c r="K6" s="281"/>
      <c r="L6" s="281"/>
      <c r="M6" s="281"/>
      <c r="N6" s="281"/>
      <c r="O6" s="28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3"/>
      <c r="B7" s="1"/>
      <c r="C7" s="221" t="s">
        <v>3</v>
      </c>
      <c r="D7" s="222"/>
      <c r="E7" s="1"/>
      <c r="F7" s="221" t="s">
        <v>4</v>
      </c>
      <c r="G7" s="222"/>
      <c r="H7" s="1"/>
      <c r="I7" s="282"/>
      <c r="J7" s="283"/>
      <c r="K7" s="283"/>
      <c r="L7" s="283"/>
      <c r="M7" s="283"/>
      <c r="N7" s="283"/>
      <c r="O7" s="281"/>
      <c r="P7" s="282"/>
      <c r="Q7" s="283"/>
      <c r="R7" s="283"/>
      <c r="S7" s="283"/>
      <c r="T7" s="283"/>
      <c r="U7" s="283"/>
      <c r="V7" s="1"/>
      <c r="W7" s="1"/>
      <c r="X7" s="1"/>
      <c r="Y7" s="1"/>
      <c r="Z7" s="1"/>
      <c r="AA7" s="1"/>
    </row>
    <row r="8" spans="1:27" ht="15.75" customHeight="1" x14ac:dyDescent="0.2">
      <c r="A8" s="3"/>
      <c r="B8" s="1"/>
      <c r="C8" s="1" t="s">
        <v>5</v>
      </c>
      <c r="D8" s="117">
        <f>'IS Projected'!K22</f>
        <v>6141025.6801213548</v>
      </c>
      <c r="E8" s="1"/>
      <c r="F8" s="1" t="s">
        <v>6</v>
      </c>
      <c r="G8" s="117">
        <f>'IS Projected'!K45*(1+G10)</f>
        <v>4615856.7897807881</v>
      </c>
      <c r="H8" s="1"/>
      <c r="I8" s="284"/>
      <c r="J8" s="285"/>
      <c r="K8" s="285"/>
      <c r="L8" s="286"/>
      <c r="M8" s="285"/>
      <c r="N8" s="285"/>
      <c r="O8" s="281"/>
      <c r="P8" s="284"/>
      <c r="Q8" s="292"/>
      <c r="R8" s="292"/>
      <c r="S8" s="293"/>
      <c r="T8" s="292"/>
      <c r="U8" s="292"/>
      <c r="V8" s="281"/>
      <c r="W8" s="1"/>
      <c r="X8" s="1"/>
      <c r="Y8" s="1"/>
      <c r="Z8" s="1"/>
      <c r="AA8" s="1"/>
    </row>
    <row r="9" spans="1:27" ht="15.75" customHeight="1" x14ac:dyDescent="0.2">
      <c r="A9" s="3"/>
      <c r="B9" s="1"/>
      <c r="C9" s="1" t="s">
        <v>7</v>
      </c>
      <c r="D9" s="11">
        <f>Comps!N11</f>
        <v>75.055719534967778</v>
      </c>
      <c r="E9" s="1"/>
      <c r="F9" s="1" t="s">
        <v>8</v>
      </c>
      <c r="G9" s="12">
        <v>0.03</v>
      </c>
      <c r="H9" s="1"/>
      <c r="I9" s="287"/>
      <c r="J9" s="288"/>
      <c r="K9" s="288"/>
      <c r="L9" s="288"/>
      <c r="M9" s="288"/>
      <c r="N9" s="288"/>
      <c r="O9" s="281"/>
      <c r="P9" s="287"/>
      <c r="Q9" s="288"/>
      <c r="R9" s="288"/>
      <c r="S9" s="288"/>
      <c r="T9" s="288"/>
      <c r="U9" s="288"/>
      <c r="V9" s="281"/>
      <c r="W9" s="1"/>
      <c r="X9" s="1"/>
      <c r="Y9" s="1"/>
      <c r="Z9" s="1"/>
      <c r="AA9" s="1"/>
    </row>
    <row r="10" spans="1:27" ht="15.75" customHeight="1" x14ac:dyDescent="0.2">
      <c r="A10" s="3"/>
      <c r="B10" s="1"/>
      <c r="C10" s="1" t="s">
        <v>9</v>
      </c>
      <c r="D10" s="11">
        <v>12</v>
      </c>
      <c r="E10" s="1"/>
      <c r="F10" s="1" t="s">
        <v>10</v>
      </c>
      <c r="G10" s="12">
        <v>1.4999999999999999E-2</v>
      </c>
      <c r="H10" s="1"/>
      <c r="I10" s="287"/>
      <c r="J10" s="288"/>
      <c r="K10" s="288"/>
      <c r="L10" s="288"/>
      <c r="M10" s="288"/>
      <c r="N10" s="288"/>
      <c r="O10" s="281"/>
      <c r="P10" s="287"/>
      <c r="Q10" s="288"/>
      <c r="R10" s="288"/>
      <c r="S10" s="288"/>
      <c r="T10" s="288"/>
      <c r="U10" s="288"/>
      <c r="V10" s="281"/>
      <c r="W10" s="1"/>
      <c r="X10" s="1"/>
      <c r="Y10" s="1"/>
      <c r="Z10" s="1"/>
      <c r="AA10" s="1"/>
    </row>
    <row r="11" spans="1:27" ht="15.75" customHeight="1" x14ac:dyDescent="0.2">
      <c r="A11" s="3"/>
      <c r="B11" s="1"/>
      <c r="C11" s="14" t="s">
        <v>11</v>
      </c>
      <c r="D11" s="117">
        <f>D10*D8</f>
        <v>73692308.161456257</v>
      </c>
      <c r="E11" s="1"/>
      <c r="F11" s="14" t="s">
        <v>11</v>
      </c>
      <c r="G11" s="117">
        <f>G8/(D6-G10)</f>
        <v>56334779.176731162</v>
      </c>
      <c r="H11" s="1"/>
      <c r="I11" s="289"/>
      <c r="J11" s="288"/>
      <c r="K11" s="288"/>
      <c r="L11" s="288"/>
      <c r="M11" s="288"/>
      <c r="N11" s="288"/>
      <c r="O11" s="281"/>
      <c r="P11" s="289"/>
      <c r="Q11" s="288"/>
      <c r="R11" s="288"/>
      <c r="S11" s="288"/>
      <c r="T11" s="288"/>
      <c r="U11" s="288"/>
      <c r="V11" s="281"/>
      <c r="W11" s="1"/>
      <c r="X11" s="1"/>
      <c r="Y11" s="1"/>
      <c r="Z11" s="1"/>
      <c r="AA11" s="1"/>
    </row>
    <row r="12" spans="1:27" ht="15.75" customHeight="1" x14ac:dyDescent="0.2">
      <c r="A12" s="3"/>
      <c r="B12" s="1"/>
      <c r="C12" s="1"/>
      <c r="D12" s="8"/>
      <c r="E12" s="1"/>
      <c r="F12" s="1"/>
      <c r="G12" s="8"/>
      <c r="H12" s="1"/>
      <c r="I12" s="287"/>
      <c r="J12" s="288"/>
      <c r="K12" s="288"/>
      <c r="L12" s="288"/>
      <c r="M12" s="288"/>
      <c r="N12" s="288"/>
      <c r="O12" s="281"/>
      <c r="P12" s="287"/>
      <c r="Q12" s="288"/>
      <c r="R12" s="288"/>
      <c r="S12" s="288"/>
      <c r="T12" s="288"/>
      <c r="U12" s="288"/>
      <c r="V12" s="281"/>
      <c r="W12" s="1"/>
      <c r="X12" s="1"/>
      <c r="Y12" s="1"/>
      <c r="Z12" s="1"/>
      <c r="AA12" s="1"/>
    </row>
    <row r="13" spans="1:27" ht="15.75" customHeight="1" x14ac:dyDescent="0.2">
      <c r="A13" s="3"/>
      <c r="B13" s="1"/>
      <c r="C13" s="14" t="s">
        <v>12</v>
      </c>
      <c r="D13" s="117">
        <f>'IS Projected'!G50</f>
        <v>91824244.609650761</v>
      </c>
      <c r="E13" s="1"/>
      <c r="F13" s="14" t="s">
        <v>12</v>
      </c>
      <c r="G13" s="117">
        <f>'IS Projected'!G50</f>
        <v>91824244.609650761</v>
      </c>
      <c r="H13" s="1"/>
      <c r="I13" s="287"/>
      <c r="J13" s="288"/>
      <c r="K13" s="288"/>
      <c r="L13" s="288"/>
      <c r="M13" s="288"/>
      <c r="N13" s="288"/>
      <c r="O13" s="281"/>
      <c r="P13" s="287"/>
      <c r="Q13" s="288"/>
      <c r="R13" s="288"/>
      <c r="S13" s="288"/>
      <c r="T13" s="288"/>
      <c r="U13" s="288"/>
      <c r="V13" s="281"/>
      <c r="W13" s="1"/>
      <c r="X13" s="1"/>
      <c r="Y13" s="1"/>
      <c r="Z13" s="1"/>
      <c r="AA13" s="1"/>
    </row>
    <row r="14" spans="1:27" ht="15.75" customHeight="1" x14ac:dyDescent="0.2">
      <c r="A14" s="3"/>
      <c r="B14" s="1"/>
      <c r="C14" s="14" t="s">
        <v>13</v>
      </c>
      <c r="D14" s="117">
        <f>D11/(1+D6)^5</f>
        <v>46399718.773743473</v>
      </c>
      <c r="E14" s="1"/>
      <c r="F14" s="14" t="s">
        <v>13</v>
      </c>
      <c r="G14" s="117">
        <f>G11/(1+D6)^5</f>
        <v>35470702.115264177</v>
      </c>
      <c r="H14" s="1"/>
      <c r="I14" s="281"/>
      <c r="J14" s="281"/>
      <c r="K14" s="281"/>
      <c r="L14" s="281"/>
      <c r="M14" s="281"/>
      <c r="N14" s="281"/>
      <c r="O14" s="281"/>
      <c r="P14" s="294"/>
      <c r="Q14" s="294"/>
      <c r="R14" s="294"/>
      <c r="S14" s="294"/>
      <c r="T14" s="294"/>
      <c r="U14" s="294"/>
      <c r="V14" s="281"/>
      <c r="W14" s="1"/>
      <c r="X14" s="1"/>
      <c r="Y14" s="1"/>
      <c r="Z14" s="1"/>
      <c r="AA14" s="1"/>
    </row>
    <row r="15" spans="1:27" ht="15.75" customHeight="1" x14ac:dyDescent="0.2">
      <c r="A15" s="3"/>
      <c r="B15" s="1"/>
      <c r="C15" s="15" t="s">
        <v>14</v>
      </c>
      <c r="D15" s="117">
        <f>D13+D14</f>
        <v>138223963.38339424</v>
      </c>
      <c r="E15" s="1"/>
      <c r="F15" s="1" t="s">
        <v>14</v>
      </c>
      <c r="G15" s="117">
        <f>G13+G14</f>
        <v>127294946.72491494</v>
      </c>
      <c r="H15" s="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1"/>
      <c r="X15" s="1"/>
      <c r="Y15" s="1"/>
      <c r="Z15" s="1"/>
      <c r="AA15" s="1"/>
    </row>
    <row r="16" spans="1:27" ht="15.75" customHeight="1" x14ac:dyDescent="0.2">
      <c r="A16" s="3"/>
      <c r="B16" s="1"/>
      <c r="C16" s="14" t="s">
        <v>15</v>
      </c>
      <c r="D16" s="87">
        <f>G16</f>
        <v>788.9</v>
      </c>
      <c r="E16" s="1"/>
      <c r="F16" s="14" t="s">
        <v>15</v>
      </c>
      <c r="G16" s="87">
        <v>788.9</v>
      </c>
      <c r="H16" s="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1"/>
      <c r="X16" s="1"/>
      <c r="Y16" s="1"/>
      <c r="Z16" s="1"/>
      <c r="AA16" s="1"/>
    </row>
    <row r="17" spans="1:27" ht="15.75" customHeight="1" x14ac:dyDescent="0.2">
      <c r="A17" s="3"/>
      <c r="B17" s="1"/>
      <c r="C17" s="14" t="s">
        <v>16</v>
      </c>
      <c r="D17" s="87">
        <f>G17</f>
        <v>4320</v>
      </c>
      <c r="E17" s="1"/>
      <c r="F17" s="14" t="s">
        <v>16</v>
      </c>
      <c r="G17" s="87">
        <v>4320</v>
      </c>
      <c r="H17" s="1"/>
      <c r="I17" s="282"/>
      <c r="J17" s="283"/>
      <c r="K17" s="283"/>
      <c r="L17" s="283"/>
      <c r="M17" s="283"/>
      <c r="N17" s="283"/>
      <c r="O17" s="281"/>
      <c r="P17" s="281"/>
      <c r="Q17" s="281"/>
      <c r="R17" s="281"/>
      <c r="S17" s="281"/>
      <c r="T17" s="281"/>
      <c r="U17" s="281"/>
      <c r="V17" s="281"/>
      <c r="W17" s="1"/>
      <c r="X17" s="1"/>
      <c r="Y17" s="1"/>
      <c r="Z17" s="1"/>
      <c r="AA17" s="1"/>
    </row>
    <row r="18" spans="1:27" ht="15.75" customHeight="1" x14ac:dyDescent="0.2">
      <c r="A18" s="3"/>
      <c r="B18" s="1"/>
      <c r="C18" s="14" t="s">
        <v>17</v>
      </c>
      <c r="D18" s="87">
        <v>263</v>
      </c>
      <c r="E18" s="1"/>
      <c r="F18" s="14" t="s">
        <v>17</v>
      </c>
      <c r="G18" s="87">
        <v>39.4</v>
      </c>
      <c r="H18" s="1"/>
      <c r="I18" s="290"/>
      <c r="J18" s="291"/>
      <c r="K18" s="291"/>
      <c r="L18" s="291"/>
      <c r="M18" s="291"/>
      <c r="N18" s="291"/>
      <c r="O18" s="281"/>
      <c r="P18" s="281"/>
      <c r="Q18" s="281"/>
      <c r="R18" s="281"/>
      <c r="S18" s="281"/>
      <c r="T18" s="281"/>
      <c r="U18" s="281"/>
      <c r="V18" s="281"/>
      <c r="W18" s="1"/>
      <c r="X18" s="1"/>
      <c r="Y18" s="1"/>
      <c r="Z18" s="1"/>
      <c r="AA18" s="1"/>
    </row>
    <row r="19" spans="1:27" ht="15.75" customHeight="1" x14ac:dyDescent="0.2">
      <c r="A19" s="3"/>
      <c r="B19" s="1"/>
      <c r="C19" s="1" t="s">
        <v>18</v>
      </c>
      <c r="D19" s="117">
        <f>D15-D16+D17-D18</f>
        <v>138227231.48339424</v>
      </c>
      <c r="E19" s="1"/>
      <c r="F19" s="1" t="s">
        <v>18</v>
      </c>
      <c r="G19" s="117">
        <f>G15-G16+G17-G18</f>
        <v>127298438.42491493</v>
      </c>
      <c r="H19" s="1"/>
      <c r="I19" s="284"/>
      <c r="J19" s="292"/>
      <c r="K19" s="292"/>
      <c r="L19" s="293"/>
      <c r="M19" s="292"/>
      <c r="N19" s="292"/>
      <c r="O19" s="28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3"/>
      <c r="B20" s="1"/>
      <c r="C20" s="1"/>
      <c r="D20" s="1"/>
      <c r="E20" s="1"/>
      <c r="F20" s="1"/>
      <c r="G20" s="1"/>
      <c r="H20" s="1"/>
      <c r="I20" s="287"/>
      <c r="J20" s="288"/>
      <c r="K20" s="288"/>
      <c r="L20" s="288"/>
      <c r="M20" s="288"/>
      <c r="N20" s="288"/>
      <c r="O20" s="28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3"/>
      <c r="B21" s="1"/>
      <c r="C21" s="1" t="s">
        <v>19</v>
      </c>
      <c r="D21" s="87">
        <v>246260</v>
      </c>
      <c r="E21" s="1"/>
      <c r="F21" s="1" t="s">
        <v>19</v>
      </c>
      <c r="G21" s="87">
        <v>246260</v>
      </c>
      <c r="H21" s="1"/>
      <c r="I21" s="287"/>
      <c r="J21" s="288"/>
      <c r="K21" s="288"/>
      <c r="L21" s="288"/>
      <c r="M21" s="288"/>
      <c r="N21" s="288"/>
      <c r="O21" s="28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3"/>
      <c r="B22" s="1"/>
      <c r="C22" s="1" t="s">
        <v>20</v>
      </c>
      <c r="D22" s="16">
        <f>D19/D21</f>
        <v>561.3060646609041</v>
      </c>
      <c r="E22" s="1"/>
      <c r="F22" s="1" t="s">
        <v>20</v>
      </c>
      <c r="G22" s="16">
        <f>G19/G21</f>
        <v>516.92698134051375</v>
      </c>
      <c r="H22" s="1"/>
      <c r="I22" s="289"/>
      <c r="J22" s="288"/>
      <c r="K22" s="288"/>
      <c r="L22" s="288"/>
      <c r="M22" s="288"/>
      <c r="N22" s="288"/>
      <c r="O22" s="28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3"/>
      <c r="B23" s="1"/>
      <c r="C23" s="1" t="s">
        <v>21</v>
      </c>
      <c r="D23" s="97">
        <v>470.45</v>
      </c>
      <c r="E23" s="1"/>
      <c r="F23" s="1" t="s">
        <v>21</v>
      </c>
      <c r="G23" s="97">
        <v>470.45</v>
      </c>
      <c r="H23" s="1"/>
      <c r="I23" s="287"/>
      <c r="J23" s="288"/>
      <c r="K23" s="288"/>
      <c r="L23" s="288"/>
      <c r="M23" s="288"/>
      <c r="N23" s="288"/>
      <c r="O23" s="28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3"/>
      <c r="B24" s="1"/>
      <c r="C24" s="1"/>
      <c r="D24" s="1"/>
      <c r="E24" s="1"/>
      <c r="F24" s="1"/>
      <c r="G24" s="1"/>
      <c r="H24" s="1"/>
      <c r="I24" s="287"/>
      <c r="J24" s="288"/>
      <c r="K24" s="288"/>
      <c r="L24" s="288"/>
      <c r="M24" s="288"/>
      <c r="N24" s="288"/>
      <c r="O24" s="28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3"/>
      <c r="B25" s="1"/>
      <c r="C25" s="17" t="s">
        <v>22</v>
      </c>
      <c r="D25" s="18">
        <f>(D22-D23)/D23</f>
        <v>0.19312586812818389</v>
      </c>
      <c r="E25" s="1"/>
      <c r="F25" s="17" t="s">
        <v>22</v>
      </c>
      <c r="G25" s="18">
        <f>(G22-G23)/G23</f>
        <v>9.8792605676509215E-2</v>
      </c>
      <c r="H25" s="1"/>
      <c r="I25" s="281"/>
      <c r="J25" s="281"/>
      <c r="K25" s="281"/>
      <c r="L25" s="281"/>
      <c r="M25" s="281"/>
      <c r="N25" s="281"/>
      <c r="O25" s="28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3"/>
      <c r="B26" s="1"/>
      <c r="C26" s="1"/>
      <c r="D26" s="1"/>
      <c r="E26" s="1"/>
      <c r="F26" s="1"/>
      <c r="G26" s="1"/>
      <c r="H26" s="1"/>
      <c r="I26" s="281"/>
      <c r="J26" s="281"/>
      <c r="K26" s="281"/>
      <c r="L26" s="281"/>
      <c r="M26" s="281"/>
      <c r="N26" s="281"/>
      <c r="O26" s="28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3"/>
      <c r="B30" s="1"/>
      <c r="C30" s="1" t="s">
        <v>23</v>
      </c>
      <c r="D30" s="1"/>
      <c r="E30" s="1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3"/>
      <c r="B31" s="1"/>
      <c r="C31" s="1" t="s">
        <v>24</v>
      </c>
      <c r="D31" s="1"/>
      <c r="E31" s="2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3"/>
      <c r="B32" s="1"/>
      <c r="C32" s="1"/>
      <c r="D32" s="1"/>
      <c r="E32" s="2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3"/>
      <c r="B33" s="1"/>
      <c r="C33" s="1" t="s"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3"/>
      <c r="B34" s="1"/>
      <c r="C34" s="1" t="s"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3"/>
      <c r="B35" s="1"/>
      <c r="C35" s="1" t="s">
        <v>128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3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6">
    <mergeCell ref="I17:N17"/>
    <mergeCell ref="P7:U7"/>
    <mergeCell ref="C3:G3"/>
    <mergeCell ref="C7:D7"/>
    <mergeCell ref="F7:G7"/>
    <mergeCell ref="I7:N7"/>
  </mergeCells>
  <pageMargins left="0.7" right="0.7" top="0.75" bottom="0.75" header="0" footer="0"/>
  <pageSetup scale="54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6"/>
  <sheetViews>
    <sheetView showGridLines="0" topLeftCell="A17" workbookViewId="0">
      <selection activeCell="M45" sqref="M45"/>
    </sheetView>
  </sheetViews>
  <sheetFormatPr baseColWidth="10" defaultColWidth="12.6640625" defaultRowHeight="15" customHeight="1" x14ac:dyDescent="0.15"/>
  <cols>
    <col min="1" max="2" width="8.6640625" customWidth="1"/>
    <col min="3" max="3" width="19.1640625" customWidth="1"/>
    <col min="4" max="4" width="20.5" customWidth="1"/>
    <col min="5" max="5" width="13.5" customWidth="1"/>
    <col min="6" max="6" width="16.83203125" customWidth="1"/>
    <col min="7" max="7" width="19" customWidth="1"/>
    <col min="8" max="8" width="19.33203125" customWidth="1"/>
    <col min="9" max="9" width="20.33203125" customWidth="1"/>
    <col min="10" max="11" width="14.5" customWidth="1"/>
    <col min="12" max="12" width="15.83203125" customWidth="1"/>
    <col min="13" max="26" width="8.66406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1"/>
      <c r="C2" s="1" t="s">
        <v>118</v>
      </c>
      <c r="D2" s="1" t="s">
        <v>125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1"/>
      <c r="C3" s="181"/>
      <c r="D3" s="182">
        <v>2023</v>
      </c>
      <c r="E3" s="182">
        <f t="shared" ref="E3:L3" si="0">+D3+1</f>
        <v>2024</v>
      </c>
      <c r="F3" s="182">
        <f t="shared" si="0"/>
        <v>2025</v>
      </c>
      <c r="G3" s="183">
        <f t="shared" si="0"/>
        <v>2026</v>
      </c>
      <c r="H3" s="183">
        <f t="shared" si="0"/>
        <v>2027</v>
      </c>
      <c r="I3" s="183">
        <f t="shared" si="0"/>
        <v>2028</v>
      </c>
      <c r="J3" s="183">
        <f t="shared" si="0"/>
        <v>2029</v>
      </c>
      <c r="K3" s="183">
        <f t="shared" si="0"/>
        <v>2030</v>
      </c>
      <c r="L3" s="184">
        <f t="shared" si="0"/>
        <v>2031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1"/>
      <c r="C4" s="35" t="s">
        <v>27</v>
      </c>
      <c r="D4" s="229">
        <v>2241236</v>
      </c>
      <c r="E4" s="230">
        <v>3055555</v>
      </c>
      <c r="F4" s="231">
        <v>3953624</v>
      </c>
      <c r="G4" s="232">
        <f>'Revenue Build'!F3</f>
        <v>5285513.5199999996</v>
      </c>
      <c r="H4" s="233">
        <f>'Revenue Build'!G3</f>
        <v>7083564.3720000004</v>
      </c>
      <c r="I4" s="233">
        <f>'Revenue Build'!H3</f>
        <v>9030439.664640002</v>
      </c>
      <c r="J4" s="233">
        <f>'Revenue Build'!I3</f>
        <v>10805848.503091201</v>
      </c>
      <c r="K4" s="233">
        <f>'Revenue Build'!J3</f>
        <v>12412920.18604032</v>
      </c>
      <c r="L4" s="8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1"/>
      <c r="C5" s="2" t="s">
        <v>28</v>
      </c>
      <c r="D5" s="87"/>
      <c r="E5" s="112">
        <f t="shared" ref="E5:K5" si="1">(E4-D4)/D4</f>
        <v>0.3633347849133246</v>
      </c>
      <c r="F5" s="149">
        <f t="shared" si="1"/>
        <v>0.29391354434791717</v>
      </c>
      <c r="G5" s="165">
        <f t="shared" si="1"/>
        <v>0.33687814521562992</v>
      </c>
      <c r="H5" s="166">
        <f t="shared" si="1"/>
        <v>0.34018470394528499</v>
      </c>
      <c r="I5" s="166">
        <f t="shared" si="1"/>
        <v>0.27484401784158746</v>
      </c>
      <c r="J5" s="166">
        <f t="shared" si="1"/>
        <v>0.19660270201494956</v>
      </c>
      <c r="K5" s="166">
        <f t="shared" si="1"/>
        <v>0.14872239625508238</v>
      </c>
      <c r="L5" s="8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2"/>
      <c r="D6" s="87"/>
      <c r="E6" s="112"/>
      <c r="F6" s="149"/>
      <c r="G6" s="87"/>
      <c r="H6" s="87"/>
      <c r="I6" s="87"/>
      <c r="J6" s="87"/>
      <c r="K6" s="87"/>
      <c r="L6" s="8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"/>
      <c r="C7" s="2" t="s">
        <v>29</v>
      </c>
      <c r="D7" s="87">
        <v>601231</v>
      </c>
      <c r="E7" s="87">
        <v>755723</v>
      </c>
      <c r="F7" s="150">
        <v>991481</v>
      </c>
      <c r="G7" s="87">
        <f>G4-G10</f>
        <v>1321378.3799999999</v>
      </c>
      <c r="H7" s="87">
        <f t="shared" ref="H7:K7" si="2">H4-H10</f>
        <v>1714222.5780239999</v>
      </c>
      <c r="I7" s="87">
        <f t="shared" si="2"/>
        <v>2113122.8815257605</v>
      </c>
      <c r="J7" s="87">
        <f t="shared" si="2"/>
        <v>2442121.7616986111</v>
      </c>
      <c r="K7" s="87">
        <f t="shared" si="2"/>
        <v>2706016.600556789</v>
      </c>
      <c r="L7" s="88"/>
      <c r="M7" s="3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/>
      <c r="C8" s="2" t="s">
        <v>28</v>
      </c>
      <c r="D8" s="87"/>
      <c r="E8" s="112">
        <f t="shared" ref="E8:K8" si="3">(E7-D7)/D7</f>
        <v>0.25695947148433795</v>
      </c>
      <c r="F8" s="168">
        <f t="shared" si="3"/>
        <v>0.31196351043967169</v>
      </c>
      <c r="G8" s="168">
        <f t="shared" si="3"/>
        <v>0.33273192325420242</v>
      </c>
      <c r="H8" s="168">
        <f t="shared" si="3"/>
        <v>0.2972987934190357</v>
      </c>
      <c r="I8" s="168">
        <f t="shared" si="3"/>
        <v>0.23270041394599797</v>
      </c>
      <c r="J8" s="168">
        <f t="shared" si="3"/>
        <v>0.15569320792896815</v>
      </c>
      <c r="K8" s="168">
        <f t="shared" si="3"/>
        <v>0.10805965656463687</v>
      </c>
      <c r="L8" s="8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"/>
      <c r="C9" s="2"/>
      <c r="D9" s="87"/>
      <c r="E9" s="112"/>
      <c r="F9" s="149"/>
      <c r="G9" s="87"/>
      <c r="H9" s="87"/>
      <c r="I9" s="87"/>
      <c r="J9" s="87"/>
      <c r="K9" s="87"/>
      <c r="L9" s="8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2" t="s">
        <v>30</v>
      </c>
      <c r="D10" s="87">
        <v>1640005</v>
      </c>
      <c r="E10" s="87">
        <v>2299832</v>
      </c>
      <c r="F10" s="150">
        <v>2962143</v>
      </c>
      <c r="G10" s="87">
        <f>G4*G11</f>
        <v>3964135.1399999997</v>
      </c>
      <c r="H10" s="87">
        <f t="shared" ref="H10:K10" si="4">H4*H11</f>
        <v>5369341.7939760005</v>
      </c>
      <c r="I10" s="87">
        <f t="shared" si="4"/>
        <v>6917316.7831142414</v>
      </c>
      <c r="J10" s="87">
        <f t="shared" si="4"/>
        <v>8363726.7413925901</v>
      </c>
      <c r="K10" s="87">
        <f t="shared" si="4"/>
        <v>9706903.5854835305</v>
      </c>
      <c r="L10" s="8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2" t="s">
        <v>31</v>
      </c>
      <c r="D11" s="112">
        <f>D10/D4</f>
        <v>0.73174132487609511</v>
      </c>
      <c r="E11" s="112">
        <f>E10/E4</f>
        <v>0.7526724277586232</v>
      </c>
      <c r="F11" s="149">
        <f>F10/F4</f>
        <v>0.74922223256435105</v>
      </c>
      <c r="G11" s="112">
        <v>0.75</v>
      </c>
      <c r="H11" s="112">
        <f>G11+0.008</f>
        <v>0.75800000000000001</v>
      </c>
      <c r="I11" s="112">
        <f>H11+0.008</f>
        <v>0.76600000000000001</v>
      </c>
      <c r="J11" s="112">
        <f>I11+0.008</f>
        <v>0.77400000000000002</v>
      </c>
      <c r="K11" s="112">
        <f>J11+0.008</f>
        <v>0.78200000000000003</v>
      </c>
      <c r="L11" s="8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2"/>
      <c r="D12" s="112"/>
      <c r="E12" s="112"/>
      <c r="F12" s="149"/>
      <c r="G12" s="87"/>
      <c r="H12" s="87"/>
      <c r="I12" s="87"/>
      <c r="J12" s="87"/>
      <c r="K12" s="87"/>
      <c r="L12" s="8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2" t="s">
        <v>32</v>
      </c>
      <c r="D13" s="87">
        <v>1830117</v>
      </c>
      <c r="E13" s="87">
        <v>2301827</v>
      </c>
      <c r="F13" s="150">
        <v>3082573</v>
      </c>
      <c r="G13" s="87">
        <f>F13*(1+G14)</f>
        <v>3544958.9499999997</v>
      </c>
      <c r="H13" s="87">
        <f t="shared" ref="H13:K13" si="5">G13*(1+H14)</f>
        <v>3970354.0240000002</v>
      </c>
      <c r="I13" s="87">
        <f t="shared" si="5"/>
        <v>4287982.3459200002</v>
      </c>
      <c r="J13" s="87">
        <f t="shared" si="5"/>
        <v>4502381.4632160002</v>
      </c>
      <c r="K13" s="87">
        <f t="shared" si="5"/>
        <v>4637452.9071124801</v>
      </c>
      <c r="L13" s="8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2" t="s">
        <v>28</v>
      </c>
      <c r="D14" s="87"/>
      <c r="E14" s="112">
        <f>(E13-D13)/D13</f>
        <v>0.25774854831685623</v>
      </c>
      <c r="F14" s="149">
        <f t="shared" ref="F14" si="6">(F13-E13)/E13</f>
        <v>0.3391853514621212</v>
      </c>
      <c r="G14" s="169">
        <v>0.15</v>
      </c>
      <c r="H14" s="169">
        <v>0.12</v>
      </c>
      <c r="I14" s="169">
        <v>0.08</v>
      </c>
      <c r="J14" s="169">
        <v>0.05</v>
      </c>
      <c r="K14" s="169">
        <v>0.03</v>
      </c>
      <c r="L14" s="8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2"/>
      <c r="D15" s="87"/>
      <c r="E15" s="112"/>
      <c r="F15" s="149"/>
      <c r="G15" s="87"/>
      <c r="H15" s="87"/>
      <c r="I15" s="87"/>
      <c r="J15" s="87"/>
      <c r="K15" s="87"/>
      <c r="L15" s="8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35" t="s">
        <v>33</v>
      </c>
      <c r="D16" s="144">
        <v>-134564</v>
      </c>
      <c r="E16" s="144">
        <v>148573</v>
      </c>
      <c r="F16" s="151">
        <v>80845</v>
      </c>
      <c r="G16" s="144">
        <f t="shared" ref="G16:K16" si="7">G10-G13</f>
        <v>419176.18999999994</v>
      </c>
      <c r="H16" s="144">
        <f t="shared" si="7"/>
        <v>1398987.7699760003</v>
      </c>
      <c r="I16" s="144">
        <f t="shared" si="7"/>
        <v>2629334.4371942412</v>
      </c>
      <c r="J16" s="144">
        <f t="shared" si="7"/>
        <v>3861345.2781765899</v>
      </c>
      <c r="K16" s="144">
        <f t="shared" si="7"/>
        <v>5069450.6783710504</v>
      </c>
      <c r="L16" s="8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2" t="s">
        <v>28</v>
      </c>
      <c r="D17" s="85"/>
      <c r="E17" s="112">
        <f>(-E16+D16)/D16</f>
        <v>2.1041065961178322</v>
      </c>
      <c r="F17" s="149">
        <f t="shared" ref="F17" si="8">(F16-E16)/E16</f>
        <v>-0.4558567169001097</v>
      </c>
      <c r="G17" s="112">
        <f>(G16-F16)/F16</f>
        <v>4.1849364833941483</v>
      </c>
      <c r="H17" s="112">
        <f>(H16-G16)/G16</f>
        <v>2.3374695494417286</v>
      </c>
      <c r="I17" s="112">
        <f>(I16-H16)/H16</f>
        <v>0.87945491277550447</v>
      </c>
      <c r="J17" s="112">
        <f>(J16-I16)/I16</f>
        <v>0.46856376410489098</v>
      </c>
      <c r="K17" s="112">
        <f>(K16-J16)/J16</f>
        <v>0.31287163233559723</v>
      </c>
      <c r="L17" s="8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2"/>
      <c r="D18" s="85"/>
      <c r="E18" s="112"/>
      <c r="F18" s="149"/>
      <c r="G18" s="85"/>
      <c r="H18" s="85"/>
      <c r="I18" s="85"/>
      <c r="J18" s="85"/>
      <c r="K18" s="85"/>
      <c r="L18" s="8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2" t="s">
        <v>34</v>
      </c>
      <c r="D19" s="116">
        <v>77245</v>
      </c>
      <c r="E19" s="116">
        <v>126838</v>
      </c>
      <c r="F19" s="152">
        <v>187952</v>
      </c>
      <c r="G19" s="87">
        <f>F19*(1+G20)</f>
        <v>277572.62827480724</v>
      </c>
      <c r="H19" s="87">
        <f t="shared" ref="H19:K19" si="9">G19*(1+H20)</f>
        <v>407706.22990097612</v>
      </c>
      <c r="I19" s="87">
        <f t="shared" si="9"/>
        <v>596811.47410209104</v>
      </c>
      <c r="J19" s="87">
        <f t="shared" si="9"/>
        <v>805695.49003782298</v>
      </c>
      <c r="K19" s="87">
        <f t="shared" si="9"/>
        <v>1071575.0017503046</v>
      </c>
      <c r="L19" s="8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2"/>
      <c r="D20" s="116"/>
      <c r="E20" s="112">
        <f>(E19-D19)/D19</f>
        <v>0.64202213735516866</v>
      </c>
      <c r="F20" s="149">
        <f>(F19-E19)/E19</f>
        <v>0.48182721266497419</v>
      </c>
      <c r="G20" s="112">
        <f>F20-0.005</f>
        <v>0.47682721266497419</v>
      </c>
      <c r="H20" s="112">
        <f>G20-0.008</f>
        <v>0.46882721266497418</v>
      </c>
      <c r="I20" s="112">
        <f t="shared" ref="I20" si="10">H20-0.005</f>
        <v>0.46382721266497418</v>
      </c>
      <c r="J20" s="112">
        <v>0.35</v>
      </c>
      <c r="K20" s="112">
        <v>0.33</v>
      </c>
      <c r="L20" s="8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2"/>
      <c r="D21" s="116"/>
      <c r="E21" s="112"/>
      <c r="F21" s="149"/>
      <c r="G21" s="87"/>
      <c r="H21" s="87"/>
      <c r="I21" s="87"/>
      <c r="J21" s="87"/>
      <c r="K21" s="87"/>
      <c r="L21" s="8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35" t="s">
        <v>35</v>
      </c>
      <c r="D22" s="85">
        <v>-40754</v>
      </c>
      <c r="E22" s="85">
        <v>293827</v>
      </c>
      <c r="F22" s="151">
        <v>294801</v>
      </c>
      <c r="G22" s="85">
        <f>G16+G19</f>
        <v>696748.81827480718</v>
      </c>
      <c r="H22" s="85">
        <f t="shared" ref="H22:K22" si="11">H16+H19</f>
        <v>1806693.9998769765</v>
      </c>
      <c r="I22" s="85">
        <f t="shared" si="11"/>
        <v>3226145.9112963323</v>
      </c>
      <c r="J22" s="85">
        <f t="shared" si="11"/>
        <v>4667040.768214413</v>
      </c>
      <c r="K22" s="85">
        <f t="shared" si="11"/>
        <v>6141025.6801213548</v>
      </c>
      <c r="L22" s="8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35"/>
      <c r="D23" s="85"/>
      <c r="E23" s="112">
        <f>(-E22+D22)/D22</f>
        <v>8.2097708200422037</v>
      </c>
      <c r="F23" s="149">
        <f>(F22-E22)/E22</f>
        <v>3.3148757602262558E-3</v>
      </c>
      <c r="G23" s="112">
        <f>(G22-F22)/F22</f>
        <v>1.3634547314113832</v>
      </c>
      <c r="H23" s="112">
        <f t="shared" ref="H23:K23" si="12">(H22-G22)/G22</f>
        <v>1.5930348964932035</v>
      </c>
      <c r="I23" s="112">
        <f t="shared" si="12"/>
        <v>0.78566260336061933</v>
      </c>
      <c r="J23" s="112">
        <f t="shared" si="12"/>
        <v>0.44663040560961464</v>
      </c>
      <c r="K23" s="112">
        <f t="shared" si="12"/>
        <v>0.31582859141615793</v>
      </c>
      <c r="L23" s="8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35"/>
      <c r="D24" s="85"/>
      <c r="E24" s="112"/>
      <c r="F24" s="149"/>
      <c r="G24" s="85"/>
      <c r="H24" s="85"/>
      <c r="I24" s="85"/>
      <c r="J24" s="85"/>
      <c r="K24" s="85"/>
      <c r="L24" s="8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2" t="s">
        <v>36</v>
      </c>
      <c r="D25" s="115">
        <f>-25319+52495</f>
        <v>27176</v>
      </c>
      <c r="E25" s="115">
        <f>-25756+148930</f>
        <v>123174</v>
      </c>
      <c r="F25" s="153">
        <f>-26311+196174</f>
        <v>169863</v>
      </c>
      <c r="G25" s="87"/>
      <c r="H25" s="87"/>
      <c r="I25" s="87"/>
      <c r="J25" s="87"/>
      <c r="K25" s="87"/>
      <c r="L25" s="8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35" t="s">
        <v>37</v>
      </c>
      <c r="D26" s="85">
        <v>-159883</v>
      </c>
      <c r="E26" s="85">
        <v>122817</v>
      </c>
      <c r="F26" s="151">
        <v>54534</v>
      </c>
      <c r="G26" s="87"/>
      <c r="H26" s="87"/>
      <c r="I26" s="87"/>
      <c r="J26" s="87"/>
      <c r="K26" s="87"/>
      <c r="L26" s="8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2" t="s">
        <v>38</v>
      </c>
      <c r="D27" s="87">
        <v>22402</v>
      </c>
      <c r="E27" s="87">
        <v>32232</v>
      </c>
      <c r="F27" s="150">
        <v>71130</v>
      </c>
      <c r="G27" s="87"/>
      <c r="H27" s="87"/>
      <c r="I27" s="87"/>
      <c r="J27" s="87"/>
      <c r="K27" s="87"/>
      <c r="L27" s="8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2"/>
      <c r="D28" s="87"/>
      <c r="E28" s="87"/>
      <c r="F28" s="150"/>
      <c r="G28" s="87"/>
      <c r="H28" s="87"/>
      <c r="I28" s="87"/>
      <c r="J28" s="87"/>
      <c r="K28" s="87"/>
      <c r="L28" s="8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35" t="s">
        <v>39</v>
      </c>
      <c r="D29" s="144">
        <f>D16*(1-0.225)</f>
        <v>-104287.1</v>
      </c>
      <c r="E29" s="144">
        <f t="shared" ref="E29:F29" si="13">E16*(1-0.225)</f>
        <v>115144.075</v>
      </c>
      <c r="F29" s="144">
        <f t="shared" si="13"/>
        <v>62654.875</v>
      </c>
      <c r="G29" s="144">
        <f>G16*(1-0.25)</f>
        <v>314382.14249999996</v>
      </c>
      <c r="H29" s="144">
        <f t="shared" ref="H29:K29" si="14">H16*(1-0.25)</f>
        <v>1049240.8274820002</v>
      </c>
      <c r="I29" s="144">
        <f t="shared" si="14"/>
        <v>1972000.8278956809</v>
      </c>
      <c r="J29" s="144">
        <f t="shared" si="14"/>
        <v>2896008.9586324422</v>
      </c>
      <c r="K29" s="144">
        <f t="shared" si="14"/>
        <v>3802088.008778288</v>
      </c>
      <c r="L29" s="8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 x14ac:dyDescent="0.25">
      <c r="A30" s="1"/>
      <c r="B30" s="1"/>
      <c r="C30" s="147" t="s">
        <v>28</v>
      </c>
      <c r="D30" s="145"/>
      <c r="E30" s="148">
        <f>(-E29+D29)/D29</f>
        <v>2.1041065961178322</v>
      </c>
      <c r="F30" s="154">
        <f t="shared" ref="F30:K30" si="15">(F29-E29)/E29</f>
        <v>-0.4558567169001097</v>
      </c>
      <c r="G30" s="170">
        <f t="shared" si="15"/>
        <v>4.0176804678007887</v>
      </c>
      <c r="H30" s="170">
        <f t="shared" si="15"/>
        <v>2.3374695494417286</v>
      </c>
      <c r="I30" s="170">
        <f t="shared" si="15"/>
        <v>0.87945491277550447</v>
      </c>
      <c r="J30" s="170">
        <f t="shared" si="15"/>
        <v>0.46856376410489081</v>
      </c>
      <c r="K30" s="170">
        <f t="shared" si="15"/>
        <v>0.31287163233559745</v>
      </c>
      <c r="L30" s="14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38"/>
      <c r="D31" s="36"/>
      <c r="E31" s="36"/>
      <c r="F31" s="36"/>
      <c r="G31" s="36"/>
      <c r="H31" s="36"/>
      <c r="I31" s="36"/>
      <c r="J31" s="36"/>
      <c r="K31" s="36"/>
      <c r="L31" s="3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7" t="s">
        <v>40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39"/>
      <c r="D33" s="185">
        <v>2023</v>
      </c>
      <c r="E33" s="185">
        <f t="shared" ref="E33:L33" si="16">+D33+1</f>
        <v>2024</v>
      </c>
      <c r="F33" s="40">
        <f t="shared" si="16"/>
        <v>2025</v>
      </c>
      <c r="G33" s="186">
        <f t="shared" si="16"/>
        <v>2026</v>
      </c>
      <c r="H33" s="186">
        <f t="shared" si="16"/>
        <v>2027</v>
      </c>
      <c r="I33" s="186">
        <f t="shared" si="16"/>
        <v>2028</v>
      </c>
      <c r="J33" s="186">
        <f t="shared" si="16"/>
        <v>2029</v>
      </c>
      <c r="K33" s="186">
        <f t="shared" si="16"/>
        <v>2030</v>
      </c>
      <c r="L33" s="41">
        <f t="shared" si="16"/>
        <v>2031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2" t="s">
        <v>41</v>
      </c>
      <c r="D34" s="116">
        <f>D4*0.05</f>
        <v>112061.8</v>
      </c>
      <c r="E34" s="116">
        <f t="shared" ref="E34:K34" si="17">E4*0.05</f>
        <v>152777.75</v>
      </c>
      <c r="F34" s="116">
        <f t="shared" si="17"/>
        <v>197681.2</v>
      </c>
      <c r="G34" s="116">
        <f t="shared" si="17"/>
        <v>264275.67599999998</v>
      </c>
      <c r="H34" s="116">
        <f t="shared" si="17"/>
        <v>354178.21860000002</v>
      </c>
      <c r="I34" s="116">
        <f t="shared" si="17"/>
        <v>451521.98323200014</v>
      </c>
      <c r="J34" s="116">
        <f t="shared" si="17"/>
        <v>540292.42515456013</v>
      </c>
      <c r="K34" s="116">
        <f t="shared" si="17"/>
        <v>620646.009302016</v>
      </c>
      <c r="L34" s="8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thickBot="1" x14ac:dyDescent="0.25">
      <c r="A35" s="1"/>
      <c r="B35" s="1"/>
      <c r="C35" s="180" t="s">
        <v>42</v>
      </c>
      <c r="D35" s="187">
        <f>D34/D19</f>
        <v>1.4507320862191728</v>
      </c>
      <c r="E35" s="187">
        <f>E34/E19</f>
        <v>1.2045108721361106</v>
      </c>
      <c r="F35" s="187">
        <f>F34/F19</f>
        <v>1.0517642802417639</v>
      </c>
      <c r="G35" s="187">
        <f t="shared" ref="G35:K35" si="18">G34/G19</f>
        <v>0.95209559257535015</v>
      </c>
      <c r="H35" s="187">
        <f t="shared" si="18"/>
        <v>0.86870936136056343</v>
      </c>
      <c r="I35" s="187">
        <f t="shared" si="18"/>
        <v>0.75655714212150427</v>
      </c>
      <c r="J35" s="187">
        <f t="shared" si="18"/>
        <v>0.67059134851207414</v>
      </c>
      <c r="K35" s="187">
        <f t="shared" si="18"/>
        <v>0.57919045170730588</v>
      </c>
      <c r="L35" s="18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7" t="s">
        <v>43</v>
      </c>
      <c r="D37" s="1"/>
      <c r="E37" s="1"/>
      <c r="F37" s="1"/>
      <c r="G37" s="1">
        <v>1</v>
      </c>
      <c r="H37" s="1">
        <v>2</v>
      </c>
      <c r="I37" s="1">
        <v>3</v>
      </c>
      <c r="J37" s="1">
        <v>4</v>
      </c>
      <c r="K37" s="1">
        <v>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39"/>
      <c r="D38" s="185">
        <v>2023</v>
      </c>
      <c r="E38" s="185">
        <f t="shared" ref="E38:L38" si="19">+D38+1</f>
        <v>2024</v>
      </c>
      <c r="F38" s="171">
        <f t="shared" si="19"/>
        <v>2025</v>
      </c>
      <c r="G38" s="186">
        <f t="shared" si="19"/>
        <v>2026</v>
      </c>
      <c r="H38" s="186">
        <f t="shared" si="19"/>
        <v>2027</v>
      </c>
      <c r="I38" s="186">
        <f t="shared" si="19"/>
        <v>2028</v>
      </c>
      <c r="J38" s="186">
        <f t="shared" si="19"/>
        <v>2029</v>
      </c>
      <c r="K38" s="186">
        <f t="shared" si="19"/>
        <v>2030</v>
      </c>
      <c r="L38" s="41">
        <f t="shared" si="19"/>
        <v>2031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2" t="s">
        <v>39</v>
      </c>
      <c r="D39" s="117">
        <f>D29</f>
        <v>-104287.1</v>
      </c>
      <c r="E39" s="117">
        <f>E29</f>
        <v>115144.075</v>
      </c>
      <c r="F39" s="172">
        <f>F29</f>
        <v>62654.875</v>
      </c>
      <c r="G39" s="176">
        <f t="shared" ref="G39:K39" si="20">G29</f>
        <v>314382.14249999996</v>
      </c>
      <c r="H39" s="176">
        <f t="shared" si="20"/>
        <v>1049240.8274820002</v>
      </c>
      <c r="I39" s="176">
        <f t="shared" si="20"/>
        <v>1972000.8278956809</v>
      </c>
      <c r="J39" s="176">
        <f t="shared" si="20"/>
        <v>2896008.9586324422</v>
      </c>
      <c r="K39" s="176">
        <f t="shared" si="20"/>
        <v>3802088.008778288</v>
      </c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2" t="s">
        <v>44</v>
      </c>
      <c r="D40" s="117">
        <f t="shared" ref="D40:K40" si="21">D19</f>
        <v>77245</v>
      </c>
      <c r="E40" s="117">
        <f t="shared" si="21"/>
        <v>126838</v>
      </c>
      <c r="F40" s="176">
        <f t="shared" si="21"/>
        <v>187952</v>
      </c>
      <c r="G40" s="176">
        <f t="shared" si="21"/>
        <v>277572.62827480724</v>
      </c>
      <c r="H40" s="176">
        <f t="shared" si="21"/>
        <v>407706.22990097612</v>
      </c>
      <c r="I40" s="176">
        <f t="shared" si="21"/>
        <v>596811.47410209104</v>
      </c>
      <c r="J40" s="176">
        <f t="shared" si="21"/>
        <v>805695.49003782298</v>
      </c>
      <c r="K40" s="176">
        <f t="shared" si="21"/>
        <v>1071575.0017503046</v>
      </c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2" t="s">
        <v>45</v>
      </c>
      <c r="D41" s="117">
        <f>D34</f>
        <v>112061.8</v>
      </c>
      <c r="E41" s="117">
        <f t="shared" ref="E41:K41" si="22">E34</f>
        <v>152777.75</v>
      </c>
      <c r="F41" s="172">
        <f t="shared" si="22"/>
        <v>197681.2</v>
      </c>
      <c r="G41" s="176">
        <f t="shared" si="22"/>
        <v>264275.67599999998</v>
      </c>
      <c r="H41" s="176">
        <f t="shared" si="22"/>
        <v>354178.21860000002</v>
      </c>
      <c r="I41" s="176">
        <f t="shared" si="22"/>
        <v>451521.98323200014</v>
      </c>
      <c r="J41" s="176">
        <f t="shared" si="22"/>
        <v>540292.42515456013</v>
      </c>
      <c r="K41" s="176">
        <f t="shared" si="22"/>
        <v>620646.009302016</v>
      </c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2"/>
      <c r="D42" s="112"/>
      <c r="E42" s="112">
        <f>(E41-D41)/D41</f>
        <v>0.36333478491332455</v>
      </c>
      <c r="F42" s="149">
        <f t="shared" ref="F42" si="23">(F41-E41)/E41</f>
        <v>0.29391354434791722</v>
      </c>
      <c r="G42" s="168">
        <f t="shared" ref="G42" si="24">(G41-F41)/F41</f>
        <v>0.33687814521562981</v>
      </c>
      <c r="H42" s="168">
        <f t="shared" ref="H42" si="25">(H41-G41)/G41</f>
        <v>0.34018470394528499</v>
      </c>
      <c r="I42" s="168">
        <f t="shared" ref="I42" si="26">(I41-H41)/H41</f>
        <v>0.27484401784158763</v>
      </c>
      <c r="J42" s="168">
        <f t="shared" ref="J42" si="27">(J41-I41)/I41</f>
        <v>0.19660270201494959</v>
      </c>
      <c r="K42" s="168">
        <f t="shared" ref="K42" si="28">(K41-J41)/J41</f>
        <v>0.14872239625508227</v>
      </c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2" t="s">
        <v>46</v>
      </c>
      <c r="D43" s="117">
        <v>338440</v>
      </c>
      <c r="E43" s="117">
        <v>239350</v>
      </c>
      <c r="F43" s="172">
        <v>256710</v>
      </c>
      <c r="G43" s="176">
        <f>F43*(1+G44)</f>
        <v>269545.5</v>
      </c>
      <c r="H43" s="176">
        <f>G43*(1+H44)</f>
        <v>277631.86499999999</v>
      </c>
      <c r="I43" s="176">
        <f>H43*(1+I44)</f>
        <v>283184.50229999999</v>
      </c>
      <c r="J43" s="176">
        <f>I43*(1+J44)</f>
        <v>288848.192346</v>
      </c>
      <c r="K43" s="176">
        <f>J43*(1+K44)</f>
        <v>294625.15619292</v>
      </c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2"/>
      <c r="D44" s="117"/>
      <c r="E44" s="112">
        <f>(E43-D43)/D43</f>
        <v>-0.29278454083441674</v>
      </c>
      <c r="F44" s="173">
        <f t="shared" ref="F44" si="29">(F43-E43)/E43</f>
        <v>7.2529768121997074E-2</v>
      </c>
      <c r="G44" s="112">
        <v>0.05</v>
      </c>
      <c r="H44" s="112">
        <v>0.03</v>
      </c>
      <c r="I44" s="112">
        <v>0.02</v>
      </c>
      <c r="J44" s="112">
        <v>0.02</v>
      </c>
      <c r="K44" s="112">
        <v>0.02</v>
      </c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35" t="s">
        <v>47</v>
      </c>
      <c r="D45" s="118">
        <f>D39+D40-D41+D43</f>
        <v>199336.09999999998</v>
      </c>
      <c r="E45" s="118">
        <f>E39+E40-E41+E43</f>
        <v>328554.32500000001</v>
      </c>
      <c r="F45" s="174">
        <f>F39+F40-F41+F43</f>
        <v>309635.67499999999</v>
      </c>
      <c r="G45" s="164">
        <f t="shared" ref="G45:K45" si="30">G39+G40-G41+G43</f>
        <v>597224.59477480722</v>
      </c>
      <c r="H45" s="164">
        <f t="shared" si="30"/>
        <v>1380400.7037829764</v>
      </c>
      <c r="I45" s="164">
        <f t="shared" si="30"/>
        <v>2400474.8210657714</v>
      </c>
      <c r="J45" s="164">
        <f t="shared" si="30"/>
        <v>3450260.2158617051</v>
      </c>
      <c r="K45" s="164">
        <f t="shared" si="30"/>
        <v>4547642.1574194962</v>
      </c>
      <c r="L45" s="86">
        <f>(K45*(1+0.04))/(K48-0.04)</f>
        <v>83067525.324497283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2" t="s">
        <v>48</v>
      </c>
      <c r="D46" s="118"/>
      <c r="E46" s="118"/>
      <c r="F46" s="174"/>
      <c r="G46" s="168">
        <f>-(G45-F45)/F45</f>
        <v>-0.92879775489309246</v>
      </c>
      <c r="H46" s="168">
        <f>(H45+G45)/G45</f>
        <v>3.3113594380745117</v>
      </c>
      <c r="I46" s="168">
        <f t="shared" ref="H46:K46" si="31">(I45-H45)/H45</f>
        <v>0.73896957201433655</v>
      </c>
      <c r="J46" s="168">
        <f>(J45-I45)/I45</f>
        <v>0.43732406004985558</v>
      </c>
      <c r="K46" s="168">
        <f t="shared" si="31"/>
        <v>0.31805773272197069</v>
      </c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2" t="s">
        <v>49</v>
      </c>
      <c r="D47" s="117"/>
      <c r="E47" s="117"/>
      <c r="F47" s="172"/>
      <c r="G47" s="177">
        <f>G45*G49</f>
        <v>544447.89395788591</v>
      </c>
      <c r="H47" s="177">
        <f>H45*H49</f>
        <v>1147208.7414555284</v>
      </c>
      <c r="I47" s="177">
        <f>I45*I49</f>
        <v>1818666.5045869509</v>
      </c>
      <c r="J47" s="177">
        <f>J45*J49</f>
        <v>2383012.9447575803</v>
      </c>
      <c r="K47" s="177">
        <f>K45*K49</f>
        <v>2863383.2003955357</v>
      </c>
      <c r="L47" s="177">
        <f>L45*L49</f>
        <v>83067525.324497283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2" t="s">
        <v>2</v>
      </c>
      <c r="D48" s="117"/>
      <c r="E48" s="117"/>
      <c r="F48" s="172"/>
      <c r="G48" s="42">
        <f>WACC!$D$17</f>
        <v>9.6936183246589314E-2</v>
      </c>
      <c r="H48" s="42">
        <f>WACC!$D$17</f>
        <v>9.6936183246589314E-2</v>
      </c>
      <c r="I48" s="42">
        <f>WACC!$D$17</f>
        <v>9.6936183246589314E-2</v>
      </c>
      <c r="J48" s="42">
        <f>WACC!$D$17</f>
        <v>9.6936183246589314E-2</v>
      </c>
      <c r="K48" s="42">
        <f>WACC!$D$17</f>
        <v>9.6936183246589314E-2</v>
      </c>
      <c r="L48" s="42">
        <f>WACC!$D$17</f>
        <v>9.6936183246589314E-2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2" t="s">
        <v>50</v>
      </c>
      <c r="D49" s="117"/>
      <c r="E49" s="117"/>
      <c r="F49" s="172"/>
      <c r="G49" s="31">
        <f>1/(1+G48)^G37</f>
        <v>0.91163006132253888</v>
      </c>
      <c r="H49" s="31">
        <f>1/(1+H48)^H37</f>
        <v>0.83106936870693604</v>
      </c>
      <c r="I49" s="31">
        <f>1/(1+I48)^I37</f>
        <v>0.75762781955758773</v>
      </c>
      <c r="J49" s="31">
        <f>1/(1+J48)^J37</f>
        <v>0.69067629560294508</v>
      </c>
      <c r="K49" s="31">
        <f>1/(1+K48)^K37</f>
        <v>0.62964127371453682</v>
      </c>
      <c r="L49" s="31">
        <f>1/(1+L48)^L37</f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80" t="s">
        <v>51</v>
      </c>
      <c r="D50" s="189"/>
      <c r="E50" s="189"/>
      <c r="F50" s="175"/>
      <c r="G50" s="189">
        <f>SUM(G47:L47)</f>
        <v>91824244.609650761</v>
      </c>
      <c r="H50" s="190"/>
      <c r="I50" s="190"/>
      <c r="J50" s="190"/>
      <c r="K50" s="190"/>
      <c r="L50" s="19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F3" sqref="F3"/>
    </sheetView>
  </sheetViews>
  <sheetFormatPr baseColWidth="10" defaultColWidth="12.6640625" defaultRowHeight="15" customHeight="1" x14ac:dyDescent="0.15"/>
  <cols>
    <col min="1" max="1" width="2.33203125" customWidth="1"/>
    <col min="2" max="2" width="39.1640625" customWidth="1"/>
    <col min="3" max="3" width="29.33203125" customWidth="1"/>
    <col min="4" max="4" width="26.1640625" customWidth="1"/>
    <col min="5" max="5" width="13.33203125" customWidth="1"/>
    <col min="6" max="6" width="14.83203125" customWidth="1"/>
    <col min="7" max="7" width="16.83203125" customWidth="1"/>
    <col min="8" max="8" width="17.5" customWidth="1"/>
    <col min="9" max="9" width="14.6640625" customWidth="1"/>
    <col min="10" max="10" width="16.5" customWidth="1"/>
    <col min="11" max="11" width="10.6640625" customWidth="1"/>
    <col min="12" max="26" width="10.83203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52</v>
      </c>
      <c r="B2" s="181"/>
      <c r="C2" s="182">
        <v>2023</v>
      </c>
      <c r="D2" s="182">
        <f t="shared" ref="D2:K2" si="0">+C2+1</f>
        <v>2024</v>
      </c>
      <c r="E2" s="182">
        <f t="shared" si="0"/>
        <v>2025</v>
      </c>
      <c r="F2" s="183">
        <f t="shared" si="0"/>
        <v>2026</v>
      </c>
      <c r="G2" s="183">
        <f t="shared" si="0"/>
        <v>2027</v>
      </c>
      <c r="H2" s="183">
        <f t="shared" si="0"/>
        <v>2028</v>
      </c>
      <c r="I2" s="183">
        <f t="shared" si="0"/>
        <v>2029</v>
      </c>
      <c r="J2" s="183">
        <f t="shared" si="0"/>
        <v>2030</v>
      </c>
      <c r="K2" s="184">
        <f t="shared" si="0"/>
        <v>2031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25">
      <c r="A3" s="1"/>
      <c r="B3" s="35" t="s">
        <v>27</v>
      </c>
      <c r="C3" s="233">
        <v>2241236</v>
      </c>
      <c r="D3" s="272">
        <v>3055555</v>
      </c>
      <c r="E3" s="231">
        <v>3953624</v>
      </c>
      <c r="F3" s="192">
        <f t="shared" ref="F3:I3" si="1">(F8+F10)</f>
        <v>5285513.5199999996</v>
      </c>
      <c r="G3" s="192">
        <f t="shared" si="1"/>
        <v>7083564.3720000004</v>
      </c>
      <c r="H3" s="192">
        <f t="shared" si="1"/>
        <v>9030439.664640002</v>
      </c>
      <c r="I3" s="192">
        <f t="shared" si="1"/>
        <v>10805848.503091201</v>
      </c>
      <c r="J3" s="192">
        <f>(J8+J10)</f>
        <v>12412920.18604032</v>
      </c>
      <c r="K3" s="19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25">
      <c r="A4" s="1"/>
      <c r="B4" s="273" t="s">
        <v>53</v>
      </c>
      <c r="C4" s="274"/>
      <c r="D4" s="275">
        <f t="shared" ref="D4:E4" si="2">(D3-C3)/C3</f>
        <v>0.3633347849133246</v>
      </c>
      <c r="E4" s="276">
        <f t="shared" si="2"/>
        <v>0.29391354434791717</v>
      </c>
      <c r="F4" s="163">
        <f t="shared" ref="E4:J4" si="3">(F3-E3)/E3</f>
        <v>0.33687814521562992</v>
      </c>
      <c r="G4" s="163">
        <f t="shared" si="3"/>
        <v>0.34018470394528499</v>
      </c>
      <c r="H4" s="163">
        <f t="shared" si="3"/>
        <v>0.27484401784158746</v>
      </c>
      <c r="I4" s="163">
        <f t="shared" si="3"/>
        <v>0.19660270201494956</v>
      </c>
      <c r="J4" s="163">
        <f t="shared" si="3"/>
        <v>0.14872239625508238</v>
      </c>
      <c r="K4" s="19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1"/>
      <c r="C5" s="21"/>
      <c r="D5" s="22"/>
      <c r="E5" s="22"/>
      <c r="F5" s="22"/>
      <c r="G5" s="22"/>
      <c r="H5" s="22"/>
      <c r="I5" s="22"/>
      <c r="J5" s="22"/>
      <c r="K5" s="2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21"/>
      <c r="D6" s="22"/>
      <c r="E6" s="22"/>
      <c r="F6" s="22"/>
      <c r="G6" s="22"/>
      <c r="H6" s="22"/>
      <c r="I6" s="22"/>
      <c r="J6" s="22"/>
      <c r="K6" s="2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81" t="s">
        <v>54</v>
      </c>
      <c r="C7" s="195">
        <v>2023</v>
      </c>
      <c r="D7" s="195">
        <v>2024</v>
      </c>
      <c r="E7" s="23">
        <v>2025</v>
      </c>
      <c r="F7" s="196">
        <f>F2</f>
        <v>2026</v>
      </c>
      <c r="G7" s="196">
        <f t="shared" ref="G7:K7" si="4">G2</f>
        <v>2027</v>
      </c>
      <c r="H7" s="196">
        <f t="shared" si="4"/>
        <v>2028</v>
      </c>
      <c r="I7" s="196">
        <f t="shared" si="4"/>
        <v>2029</v>
      </c>
      <c r="J7" s="196">
        <f t="shared" si="4"/>
        <v>2030</v>
      </c>
      <c r="K7" s="196">
        <f t="shared" si="4"/>
        <v>2031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2" t="s">
        <v>119</v>
      </c>
      <c r="C8" s="107">
        <v>2111660</v>
      </c>
      <c r="D8" s="107">
        <v>2870557</v>
      </c>
      <c r="E8" s="157">
        <v>3761480</v>
      </c>
      <c r="F8" s="87">
        <f>E8*(1+F9)</f>
        <v>5077998</v>
      </c>
      <c r="G8" s="87">
        <f t="shared" ref="G8:J8" si="5">F8*(1+G9)</f>
        <v>6855297.3000000007</v>
      </c>
      <c r="H8" s="87">
        <f t="shared" si="5"/>
        <v>8774780.5440000016</v>
      </c>
      <c r="I8" s="87">
        <f t="shared" si="5"/>
        <v>10529736.652800001</v>
      </c>
      <c r="J8" s="87">
        <f t="shared" si="5"/>
        <v>12109197.15072</v>
      </c>
      <c r="K8" s="8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2" t="s">
        <v>53</v>
      </c>
      <c r="C9" s="107"/>
      <c r="D9" s="155">
        <f>(D8-C8)/C8</f>
        <v>0.3593840864533116</v>
      </c>
      <c r="E9" s="158">
        <f t="shared" ref="E9" si="6">(E8-D8)/D8</f>
        <v>0.31036589762892708</v>
      </c>
      <c r="F9" s="155">
        <v>0.35</v>
      </c>
      <c r="G9" s="155">
        <v>0.35</v>
      </c>
      <c r="H9" s="155">
        <v>0.28000000000000003</v>
      </c>
      <c r="I9" s="155">
        <v>0.2</v>
      </c>
      <c r="J9" s="155">
        <v>0.15</v>
      </c>
      <c r="K9" s="10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2" t="s">
        <v>120</v>
      </c>
      <c r="C10" s="107">
        <v>129576</v>
      </c>
      <c r="D10" s="107">
        <v>184998</v>
      </c>
      <c r="E10" s="157">
        <v>192144</v>
      </c>
      <c r="F10" s="87">
        <f>E10*(1+F11)</f>
        <v>207515.52000000002</v>
      </c>
      <c r="G10" s="87">
        <f t="shared" ref="G10:J10" si="7">F10*(1+G11)</f>
        <v>228267.07200000004</v>
      </c>
      <c r="H10" s="87">
        <f t="shared" si="7"/>
        <v>255659.12064000007</v>
      </c>
      <c r="I10" s="87">
        <f t="shared" si="7"/>
        <v>276111.8502912001</v>
      </c>
      <c r="J10" s="87">
        <f t="shared" si="7"/>
        <v>303723.03532032011</v>
      </c>
      <c r="K10" s="8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thickBot="1" x14ac:dyDescent="0.25">
      <c r="A11" s="1"/>
      <c r="B11" s="267" t="s">
        <v>53</v>
      </c>
      <c r="C11" s="268"/>
      <c r="D11" s="156">
        <f>(D10-C10)/C10</f>
        <v>0.42771809594369326</v>
      </c>
      <c r="E11" s="159">
        <f>(E10-D10)/D10</f>
        <v>3.8627444621022931E-2</v>
      </c>
      <c r="F11" s="269">
        <v>0.08</v>
      </c>
      <c r="G11" s="269">
        <v>0.1</v>
      </c>
      <c r="H11" s="269">
        <v>0.12</v>
      </c>
      <c r="I11" s="269">
        <v>0.08</v>
      </c>
      <c r="J11" s="269">
        <v>0.1</v>
      </c>
      <c r="K11" s="27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2"/>
      <c r="C12" s="107"/>
      <c r="D12" s="107"/>
      <c r="E12" s="157"/>
      <c r="F12" s="87"/>
      <c r="G12" s="87"/>
      <c r="H12" s="87"/>
      <c r="I12" s="87"/>
      <c r="J12" s="87"/>
      <c r="K12" s="8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34"/>
      <c r="B13" s="234"/>
      <c r="C13" s="265"/>
      <c r="D13" s="271"/>
      <c r="E13" s="271"/>
      <c r="F13" s="271"/>
      <c r="G13" s="271"/>
      <c r="H13" s="271"/>
      <c r="I13" s="271"/>
      <c r="J13" s="271"/>
      <c r="K13" s="265"/>
      <c r="L13" s="23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34"/>
      <c r="B14" s="234"/>
      <c r="C14" s="265"/>
      <c r="D14" s="265"/>
      <c r="E14" s="265"/>
      <c r="F14" s="167"/>
      <c r="G14" s="167"/>
      <c r="H14" s="167"/>
      <c r="I14" s="167"/>
      <c r="J14" s="167"/>
      <c r="K14" s="167"/>
      <c r="L14" s="23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34"/>
      <c r="B15" s="234"/>
      <c r="C15" s="167"/>
      <c r="D15" s="271"/>
      <c r="E15" s="271"/>
      <c r="F15" s="262"/>
      <c r="G15" s="262"/>
      <c r="H15" s="262"/>
      <c r="I15" s="262"/>
      <c r="J15" s="262"/>
      <c r="K15" s="265"/>
      <c r="L15" s="23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34"/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 x14ac:dyDescent="0.25">
      <c r="A18" s="1"/>
      <c r="B18" s="25" t="s">
        <v>119</v>
      </c>
      <c r="C18" s="1" t="s">
        <v>123</v>
      </c>
      <c r="D18" s="1"/>
      <c r="E18" s="266"/>
      <c r="F18" s="266"/>
      <c r="G18" s="26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26"/>
      <c r="C19" s="27">
        <f t="shared" ref="C19:K19" si="8">C2</f>
        <v>2023</v>
      </c>
      <c r="D19" s="27">
        <f t="shared" si="8"/>
        <v>2024</v>
      </c>
      <c r="E19" s="263">
        <f t="shared" si="8"/>
        <v>2025</v>
      </c>
      <c r="F19" s="237">
        <f t="shared" si="8"/>
        <v>2026</v>
      </c>
      <c r="G19" s="237">
        <f t="shared" si="8"/>
        <v>2027</v>
      </c>
      <c r="H19" s="28">
        <f t="shared" si="8"/>
        <v>2028</v>
      </c>
      <c r="I19" s="28">
        <f t="shared" si="8"/>
        <v>2029</v>
      </c>
      <c r="J19" s="28">
        <f t="shared" si="8"/>
        <v>2030</v>
      </c>
      <c r="K19" s="29">
        <f t="shared" si="8"/>
        <v>2031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30" t="s">
        <v>122</v>
      </c>
      <c r="C20" s="87">
        <v>94000</v>
      </c>
      <c r="D20" s="111">
        <v>98000</v>
      </c>
      <c r="E20" s="160">
        <v>109000</v>
      </c>
      <c r="F20" s="87">
        <f t="shared" ref="F20:K20" si="9">E20*(1+F21)</f>
        <v>117720.00000000001</v>
      </c>
      <c r="G20" s="87">
        <f t="shared" si="9"/>
        <v>124783.20000000003</v>
      </c>
      <c r="H20" s="87">
        <f t="shared" si="9"/>
        <v>131022.36000000003</v>
      </c>
      <c r="I20" s="87">
        <f t="shared" si="9"/>
        <v>137573.47800000003</v>
      </c>
      <c r="J20" s="87">
        <f t="shared" si="9"/>
        <v>141700.68234000003</v>
      </c>
      <c r="K20" s="217">
        <f t="shared" si="9"/>
        <v>145951.70281020002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0" t="s">
        <v>53</v>
      </c>
      <c r="C21" s="113"/>
      <c r="D21" s="113">
        <f>(D20-C20)/C20</f>
        <v>4.2553191489361701E-2</v>
      </c>
      <c r="E21" s="113">
        <f>(E20-D20)/D20</f>
        <v>0.11224489795918367</v>
      </c>
      <c r="F21" s="215">
        <v>0.08</v>
      </c>
      <c r="G21" s="213">
        <v>0.06</v>
      </c>
      <c r="H21" s="213">
        <v>0.05</v>
      </c>
      <c r="I21" s="213">
        <v>0.05</v>
      </c>
      <c r="J21" s="213">
        <v>0.03</v>
      </c>
      <c r="K21" s="218">
        <v>0.03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0" t="s">
        <v>124</v>
      </c>
      <c r="C22" s="114">
        <f t="shared" ref="C22:K22" si="10">C8/C20</f>
        <v>22.464468085106382</v>
      </c>
      <c r="D22" s="114">
        <f t="shared" si="10"/>
        <v>29.291397959183673</v>
      </c>
      <c r="E22" s="214">
        <f t="shared" si="10"/>
        <v>34.508990825688073</v>
      </c>
      <c r="F22" s="216">
        <f t="shared" si="10"/>
        <v>43.136238532110085</v>
      </c>
      <c r="G22" s="214">
        <f t="shared" si="10"/>
        <v>54.937662281460959</v>
      </c>
      <c r="H22" s="214">
        <f t="shared" si="10"/>
        <v>66.971626400257179</v>
      </c>
      <c r="I22" s="214">
        <f t="shared" si="10"/>
        <v>76.539001600293915</v>
      </c>
      <c r="J22" s="214">
        <f t="shared" si="10"/>
        <v>85.456166835279603</v>
      </c>
      <c r="K22" s="21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 x14ac:dyDescent="0.25">
      <c r="A23" s="1"/>
      <c r="B23" s="33"/>
      <c r="C23" s="109"/>
      <c r="D23" s="109"/>
      <c r="E23" s="264"/>
      <c r="F23" s="144"/>
      <c r="G23" s="109"/>
      <c r="H23" s="109"/>
      <c r="I23" s="109"/>
      <c r="J23" s="109"/>
      <c r="K23" s="1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 x14ac:dyDescent="0.25">
      <c r="A24" s="1"/>
      <c r="B24" s="1"/>
      <c r="C24" s="1"/>
      <c r="D24" s="1"/>
      <c r="E24" s="234"/>
      <c r="F24" s="23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 x14ac:dyDescent="0.25">
      <c r="A25" s="1"/>
      <c r="B25" s="34" t="s">
        <v>121</v>
      </c>
      <c r="C25" s="1" t="s">
        <v>123</v>
      </c>
      <c r="D25" s="1"/>
      <c r="E25" s="266"/>
      <c r="F25" s="26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249"/>
      <c r="C26" s="250">
        <v>2023</v>
      </c>
      <c r="D26" s="250">
        <f t="shared" ref="D26:K26" si="11">C26+1</f>
        <v>2024</v>
      </c>
      <c r="E26" s="263">
        <f t="shared" si="11"/>
        <v>2025</v>
      </c>
      <c r="F26" s="237">
        <f t="shared" si="11"/>
        <v>2026</v>
      </c>
      <c r="G26" s="251">
        <f t="shared" si="11"/>
        <v>2027</v>
      </c>
      <c r="H26" s="251">
        <f t="shared" si="11"/>
        <v>2028</v>
      </c>
      <c r="I26" s="251">
        <f t="shared" si="11"/>
        <v>2029</v>
      </c>
      <c r="J26" s="251">
        <f t="shared" si="11"/>
        <v>2030</v>
      </c>
      <c r="K26" s="252">
        <f t="shared" si="11"/>
        <v>2031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0" t="s">
        <v>122</v>
      </c>
      <c r="C27" s="177">
        <v>6000</v>
      </c>
      <c r="D27" s="32">
        <v>7000</v>
      </c>
      <c r="E27" s="161">
        <v>7500</v>
      </c>
      <c r="F27" s="253">
        <f t="shared" ref="F27:K27" si="12">E27*(1+F28)</f>
        <v>7837.4999999999991</v>
      </c>
      <c r="G27" s="253">
        <f t="shared" si="12"/>
        <v>8190.1874999999982</v>
      </c>
      <c r="H27" s="253">
        <f t="shared" si="12"/>
        <v>8558.745937499998</v>
      </c>
      <c r="I27" s="253">
        <f t="shared" si="12"/>
        <v>8943.8895046874968</v>
      </c>
      <c r="J27" s="253">
        <f t="shared" si="12"/>
        <v>9346.3645323984329</v>
      </c>
      <c r="K27" s="254">
        <f t="shared" si="12"/>
        <v>9766.9509363563611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0" t="s">
        <v>53</v>
      </c>
      <c r="C28" s="219">
        <v>4.4999999999999998E-2</v>
      </c>
      <c r="D28" s="219">
        <f>(D27-C27)/C27</f>
        <v>0.16666666666666666</v>
      </c>
      <c r="E28" s="219">
        <f>(E27-D27)/D27</f>
        <v>7.1428571428571425E-2</v>
      </c>
      <c r="F28" s="219">
        <v>4.4999999999999998E-2</v>
      </c>
      <c r="G28" s="219">
        <v>4.4999999999999998E-2</v>
      </c>
      <c r="H28" s="219">
        <v>4.4999999999999998E-2</v>
      </c>
      <c r="I28" s="219">
        <v>4.4999999999999998E-2</v>
      </c>
      <c r="J28" s="219">
        <v>4.4999999999999998E-2</v>
      </c>
      <c r="K28" s="255">
        <v>4.4999999999999998E-2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0" t="s">
        <v>124</v>
      </c>
      <c r="C29" s="220">
        <f t="shared" ref="C29:K29" si="13">C10/C27</f>
        <v>21.596</v>
      </c>
      <c r="D29" s="220">
        <f t="shared" si="13"/>
        <v>26.428285714285714</v>
      </c>
      <c r="E29" s="162">
        <f t="shared" si="13"/>
        <v>25.619199999999999</v>
      </c>
      <c r="F29" s="220">
        <f t="shared" si="13"/>
        <v>26.477259330143546</v>
      </c>
      <c r="G29" s="220">
        <f t="shared" si="13"/>
        <v>27.870799294887949</v>
      </c>
      <c r="H29" s="220">
        <f t="shared" si="13"/>
        <v>29.871095894999527</v>
      </c>
      <c r="I29" s="220">
        <f t="shared" si="13"/>
        <v>30.87156322162631</v>
      </c>
      <c r="J29" s="220">
        <f t="shared" si="13"/>
        <v>32.496382338554014</v>
      </c>
      <c r="K29" s="25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257"/>
      <c r="C30" s="235"/>
      <c r="D30" s="235"/>
      <c r="E30" s="236"/>
      <c r="F30" s="235"/>
      <c r="G30" s="235"/>
      <c r="H30" s="235"/>
      <c r="I30" s="235"/>
      <c r="J30" s="235"/>
      <c r="K30" s="25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 x14ac:dyDescent="0.25">
      <c r="A31" s="1"/>
      <c r="B31" s="259"/>
      <c r="C31" s="260"/>
      <c r="D31" s="260"/>
      <c r="E31" s="260"/>
      <c r="F31" s="260"/>
      <c r="G31" s="260"/>
      <c r="H31" s="260"/>
      <c r="I31" s="260"/>
      <c r="J31" s="260"/>
      <c r="K31" s="26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239"/>
      <c r="C32" s="238"/>
      <c r="D32" s="238"/>
      <c r="E32" s="238"/>
      <c r="F32" s="238"/>
      <c r="G32" s="238"/>
      <c r="H32" s="238"/>
      <c r="I32" s="238"/>
      <c r="J32" s="238"/>
      <c r="K32" s="23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240"/>
      <c r="C33" s="241"/>
      <c r="D33" s="241"/>
      <c r="E33" s="241"/>
      <c r="F33" s="242"/>
      <c r="G33" s="242"/>
      <c r="H33" s="242"/>
      <c r="I33" s="242"/>
      <c r="J33" s="242"/>
      <c r="K33" s="24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238"/>
      <c r="C34" s="243"/>
      <c r="D34" s="243"/>
      <c r="E34" s="243"/>
      <c r="F34" s="243"/>
      <c r="G34" s="243"/>
      <c r="H34" s="243"/>
      <c r="I34" s="243"/>
      <c r="J34" s="243"/>
      <c r="K34" s="24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238"/>
      <c r="C35" s="244"/>
      <c r="D35" s="244"/>
      <c r="E35" s="244"/>
      <c r="F35" s="244"/>
      <c r="G35" s="244"/>
      <c r="H35" s="244"/>
      <c r="I35" s="244"/>
      <c r="J35" s="244"/>
      <c r="K35" s="24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238"/>
      <c r="C36" s="245"/>
      <c r="D36" s="246"/>
      <c r="E36" s="246"/>
      <c r="F36" s="246"/>
      <c r="G36" s="246"/>
      <c r="H36" s="246"/>
      <c r="I36" s="246"/>
      <c r="J36" s="246"/>
      <c r="K36" s="246"/>
      <c r="L36" s="1"/>
      <c r="M36" s="3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240"/>
      <c r="C37" s="247"/>
      <c r="D37" s="247"/>
      <c r="E37" s="247"/>
      <c r="F37" s="247"/>
      <c r="G37" s="247"/>
      <c r="H37" s="247"/>
      <c r="I37" s="247"/>
      <c r="J37" s="247"/>
      <c r="K37" s="24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239"/>
      <c r="C39" s="238"/>
      <c r="D39" s="238"/>
      <c r="E39" s="238"/>
      <c r="F39" s="238"/>
      <c r="G39" s="238"/>
      <c r="H39" s="238"/>
      <c r="I39" s="238"/>
      <c r="J39" s="238"/>
      <c r="K39" s="23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240"/>
      <c r="C40" s="241"/>
      <c r="D40" s="241"/>
      <c r="E40" s="241"/>
      <c r="F40" s="242"/>
      <c r="G40" s="242"/>
      <c r="H40" s="242"/>
      <c r="I40" s="242"/>
      <c r="J40" s="242"/>
      <c r="K40" s="24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238"/>
      <c r="C41" s="243"/>
      <c r="D41" s="243"/>
      <c r="E41" s="243"/>
      <c r="F41" s="243"/>
      <c r="G41" s="243"/>
      <c r="H41" s="243"/>
      <c r="I41" s="243"/>
      <c r="J41" s="243"/>
      <c r="K41" s="24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238"/>
      <c r="C42" s="244"/>
      <c r="D42" s="244"/>
      <c r="E42" s="244"/>
      <c r="F42" s="244"/>
      <c r="G42" s="244"/>
      <c r="H42" s="244"/>
      <c r="I42" s="244"/>
      <c r="J42" s="244"/>
      <c r="K42" s="24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238"/>
      <c r="C43" s="245"/>
      <c r="D43" s="245"/>
      <c r="E43" s="245"/>
      <c r="F43" s="245"/>
      <c r="G43" s="245"/>
      <c r="H43" s="245"/>
      <c r="I43" s="245"/>
      <c r="J43" s="245"/>
      <c r="K43" s="24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240"/>
      <c r="C44" s="247"/>
      <c r="D44" s="247"/>
      <c r="E44" s="247"/>
      <c r="F44" s="247"/>
      <c r="G44" s="247"/>
      <c r="H44" s="247"/>
      <c r="I44" s="247"/>
      <c r="J44" s="247"/>
      <c r="K44" s="24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238"/>
      <c r="C45" s="248"/>
      <c r="D45" s="248"/>
      <c r="E45" s="238"/>
      <c r="F45" s="238"/>
      <c r="G45" s="238"/>
      <c r="H45" s="238"/>
      <c r="I45" s="238"/>
      <c r="J45" s="238"/>
      <c r="K45" s="23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238"/>
      <c r="C46" s="238"/>
      <c r="D46" s="238"/>
      <c r="E46" s="238"/>
      <c r="F46" s="238"/>
      <c r="G46" s="238"/>
      <c r="H46" s="238"/>
      <c r="I46" s="238"/>
      <c r="J46" s="238"/>
      <c r="K46" s="23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238"/>
      <c r="C49" s="238"/>
      <c r="D49" s="238"/>
      <c r="E49" s="238"/>
      <c r="F49" s="238"/>
      <c r="G49" s="238"/>
      <c r="H49" s="238"/>
      <c r="I49" s="238"/>
      <c r="J49" s="238"/>
      <c r="K49" s="23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238"/>
      <c r="C54" s="238"/>
      <c r="D54" s="238"/>
      <c r="E54" s="238"/>
      <c r="F54" s="238"/>
      <c r="G54" s="238"/>
      <c r="H54" s="238"/>
      <c r="I54" s="238"/>
      <c r="J54" s="238"/>
      <c r="K54" s="23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showGridLines="0" workbookViewId="0">
      <selection activeCell="L8" sqref="L8"/>
    </sheetView>
  </sheetViews>
  <sheetFormatPr baseColWidth="10" defaultColWidth="12.6640625" defaultRowHeight="15" customHeight="1" x14ac:dyDescent="0.15"/>
  <cols>
    <col min="1" max="1" width="8.83203125" customWidth="1"/>
    <col min="2" max="2" width="30.1640625" customWidth="1"/>
    <col min="3" max="14" width="14.1640625" customWidth="1"/>
    <col min="15" max="26" width="8.83203125" customWidth="1"/>
  </cols>
  <sheetData>
    <row r="1" spans="1:26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6" x14ac:dyDescent="0.2">
      <c r="A3" s="43"/>
      <c r="B3" s="89" t="s">
        <v>55</v>
      </c>
      <c r="C3" s="90" t="s">
        <v>56</v>
      </c>
      <c r="D3" s="90" t="s">
        <v>56</v>
      </c>
      <c r="E3" s="90" t="s">
        <v>56</v>
      </c>
      <c r="F3" s="90" t="s">
        <v>56</v>
      </c>
      <c r="G3" s="90" t="s">
        <v>56</v>
      </c>
      <c r="H3" s="90" t="s">
        <v>57</v>
      </c>
      <c r="I3" s="90" t="s">
        <v>56</v>
      </c>
      <c r="J3" s="90" t="s">
        <v>56</v>
      </c>
      <c r="K3" s="90" t="s">
        <v>56</v>
      </c>
      <c r="L3" s="90" t="s">
        <v>56</v>
      </c>
      <c r="M3" s="90" t="s">
        <v>56</v>
      </c>
      <c r="N3" s="91" t="s">
        <v>56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6" x14ac:dyDescent="0.2">
      <c r="A4" s="43"/>
      <c r="B4" s="44" t="s">
        <v>58</v>
      </c>
      <c r="C4" s="92" t="s">
        <v>59</v>
      </c>
      <c r="D4" s="92" t="s">
        <v>60</v>
      </c>
      <c r="E4" s="92" t="s">
        <v>56</v>
      </c>
      <c r="F4" s="92" t="s">
        <v>57</v>
      </c>
      <c r="G4" s="92" t="s">
        <v>56</v>
      </c>
      <c r="H4" s="92" t="s">
        <v>61</v>
      </c>
      <c r="I4" s="92" t="s">
        <v>56</v>
      </c>
      <c r="J4" s="92" t="s">
        <v>56</v>
      </c>
      <c r="K4" s="92" t="s">
        <v>56</v>
      </c>
      <c r="L4" s="92" t="s">
        <v>56</v>
      </c>
      <c r="M4" s="92" t="s">
        <v>62</v>
      </c>
      <c r="N4" s="46" t="s">
        <v>62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32" x14ac:dyDescent="0.2">
      <c r="A5" s="43"/>
      <c r="B5" s="93" t="s">
        <v>63</v>
      </c>
      <c r="C5" s="94" t="s">
        <v>56</v>
      </c>
      <c r="D5" s="94" t="s">
        <v>64</v>
      </c>
      <c r="E5" s="94" t="s">
        <v>65</v>
      </c>
      <c r="F5" s="94" t="s">
        <v>66</v>
      </c>
      <c r="G5" s="94" t="s">
        <v>67</v>
      </c>
      <c r="H5" s="94" t="s">
        <v>68</v>
      </c>
      <c r="I5" s="94" t="s">
        <v>69</v>
      </c>
      <c r="J5" s="94" t="s">
        <v>70</v>
      </c>
      <c r="K5" s="94" t="s">
        <v>71</v>
      </c>
      <c r="L5" s="94" t="s">
        <v>127</v>
      </c>
      <c r="M5" s="94" t="s">
        <v>72</v>
      </c>
      <c r="N5" s="95" t="s">
        <v>73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6" x14ac:dyDescent="0.2">
      <c r="A6" s="43"/>
      <c r="B6" s="227" t="s">
        <v>107</v>
      </c>
      <c r="C6" s="226" t="s">
        <v>106</v>
      </c>
      <c r="D6" s="96" t="s">
        <v>116</v>
      </c>
      <c r="E6" s="97">
        <v>470.45</v>
      </c>
      <c r="F6" s="228">
        <v>248.43199999999999</v>
      </c>
      <c r="G6" s="97">
        <v>118690</v>
      </c>
      <c r="H6" s="96" t="s">
        <v>56</v>
      </c>
      <c r="I6" s="97">
        <v>114860</v>
      </c>
      <c r="J6" s="97">
        <v>4136.0219999999999</v>
      </c>
      <c r="K6" s="97">
        <v>-62.768999999999998</v>
      </c>
      <c r="L6" s="97">
        <v>294.80099999999999</v>
      </c>
      <c r="M6" s="119">
        <f>I6/K6</f>
        <v>-1829.8841784957542</v>
      </c>
      <c r="N6" s="122">
        <f>I6/L6</f>
        <v>389.61875977354219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6" x14ac:dyDescent="0.2">
      <c r="A7" s="43"/>
      <c r="B7" s="227" t="s">
        <v>109</v>
      </c>
      <c r="C7" s="226" t="s">
        <v>108</v>
      </c>
      <c r="D7" s="96" t="s">
        <v>116</v>
      </c>
      <c r="E7" s="97">
        <v>192.59</v>
      </c>
      <c r="F7" s="96">
        <v>66.8</v>
      </c>
      <c r="G7" s="97">
        <v>128000</v>
      </c>
      <c r="H7" s="96" t="s">
        <v>56</v>
      </c>
      <c r="I7" s="97">
        <v>124600</v>
      </c>
      <c r="J7" s="97">
        <v>8874.7000000000007</v>
      </c>
      <c r="K7" s="97">
        <v>1324.4</v>
      </c>
      <c r="L7" s="97">
        <v>1660.1</v>
      </c>
      <c r="M7" s="119">
        <f t="shared" ref="M7:M15" si="0">I7/K7</f>
        <v>94.080338266384771</v>
      </c>
      <c r="N7" s="122">
        <f t="shared" ref="N7:N15" si="1">I7/L7</f>
        <v>75.055719534967778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6" x14ac:dyDescent="0.2">
      <c r="A8" s="43"/>
      <c r="B8" s="227" t="s">
        <v>111</v>
      </c>
      <c r="C8" s="226" t="s">
        <v>110</v>
      </c>
      <c r="D8" s="96" t="s">
        <v>117</v>
      </c>
      <c r="E8" s="97">
        <v>103.44</v>
      </c>
      <c r="F8" s="96">
        <v>765.4</v>
      </c>
      <c r="G8" s="97">
        <v>79170</v>
      </c>
      <c r="H8" s="96" t="s">
        <v>56</v>
      </c>
      <c r="I8" s="97">
        <v>59300</v>
      </c>
      <c r="J8" s="97">
        <v>6142.2</v>
      </c>
      <c r="K8" s="97">
        <v>2252.1999999999998</v>
      </c>
      <c r="L8" s="97">
        <v>2382.1999999999998</v>
      </c>
      <c r="M8" s="119">
        <f t="shared" si="0"/>
        <v>26.329810851611761</v>
      </c>
      <c r="N8" s="122">
        <f t="shared" si="1"/>
        <v>24.892956091008312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6" x14ac:dyDescent="0.2">
      <c r="A9" s="43"/>
      <c r="B9" s="227" t="s">
        <v>113</v>
      </c>
      <c r="C9" s="226" t="s">
        <v>112</v>
      </c>
      <c r="D9" s="96" t="s">
        <v>116</v>
      </c>
      <c r="E9" s="97">
        <v>17.2</v>
      </c>
      <c r="F9" s="96">
        <v>328</v>
      </c>
      <c r="G9" s="97">
        <v>5892</v>
      </c>
      <c r="H9" s="96" t="s">
        <v>56</v>
      </c>
      <c r="I9" s="97">
        <v>5040</v>
      </c>
      <c r="J9" s="97">
        <v>864.13499999999999</v>
      </c>
      <c r="K9" s="97">
        <v>-283.15199999999999</v>
      </c>
      <c r="L9" s="97">
        <v>-240.22900000000001</v>
      </c>
      <c r="M9" s="119">
        <f t="shared" si="0"/>
        <v>-17.799627055433124</v>
      </c>
      <c r="N9" s="122">
        <f t="shared" si="1"/>
        <v>-20.97998160088915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 customHeight="1" x14ac:dyDescent="0.2">
      <c r="A10" s="43"/>
      <c r="B10" s="227" t="s">
        <v>115</v>
      </c>
      <c r="C10" s="226" t="s">
        <v>114</v>
      </c>
      <c r="D10" s="96" t="s">
        <v>117</v>
      </c>
      <c r="E10" s="98">
        <v>377.97</v>
      </c>
      <c r="F10" s="99">
        <v>50.29</v>
      </c>
      <c r="G10" s="98">
        <v>19010</v>
      </c>
      <c r="H10" s="49" t="s">
        <v>56</v>
      </c>
      <c r="I10" s="98">
        <v>18070</v>
      </c>
      <c r="J10" s="100">
        <v>1096.7929999999999</v>
      </c>
      <c r="K10" s="98">
        <v>-27.661000000000001</v>
      </c>
      <c r="L10" s="98">
        <v>41.924999999999997</v>
      </c>
      <c r="M10" s="119">
        <f t="shared" si="0"/>
        <v>-653.26633165829139</v>
      </c>
      <c r="N10" s="125">
        <f t="shared" si="1"/>
        <v>431.00775193798455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6" x14ac:dyDescent="0.2">
      <c r="A11" s="43"/>
      <c r="B11" s="48" t="s">
        <v>74</v>
      </c>
      <c r="C11" s="101" t="s">
        <v>56</v>
      </c>
      <c r="D11" s="101" t="s">
        <v>56</v>
      </c>
      <c r="E11" s="102">
        <f t="shared" ref="E11:G11" si="2">MEDIAN(E6:E10)</f>
        <v>192.59</v>
      </c>
      <c r="F11" s="126">
        <f t="shared" si="2"/>
        <v>248.43199999999999</v>
      </c>
      <c r="G11" s="102">
        <f t="shared" si="2"/>
        <v>79170</v>
      </c>
      <c r="H11" s="102"/>
      <c r="I11" s="102">
        <f>MEDIAN(I6:I10)</f>
        <v>59300</v>
      </c>
      <c r="J11" s="106">
        <f t="shared" ref="J11:L11" si="3">MEDIAN(J6:J10)</f>
        <v>4136.0219999999999</v>
      </c>
      <c r="K11" s="102">
        <f t="shared" si="3"/>
        <v>-27.661000000000001</v>
      </c>
      <c r="L11" s="102">
        <f t="shared" si="3"/>
        <v>294.80099999999999</v>
      </c>
      <c r="M11" s="121">
        <f>MEDIAN(M6:M10)</f>
        <v>-17.799627055433124</v>
      </c>
      <c r="N11" s="123">
        <f>MEDIAN(N6:N10)</f>
        <v>75.055719534967778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6" x14ac:dyDescent="0.2">
      <c r="A12" s="43"/>
      <c r="B12" s="48" t="s">
        <v>75</v>
      </c>
      <c r="C12" s="101"/>
      <c r="D12" s="101"/>
      <c r="E12" s="102"/>
      <c r="F12" s="126"/>
      <c r="G12" s="102"/>
      <c r="H12" s="102"/>
      <c r="I12" s="102"/>
      <c r="J12" s="178"/>
      <c r="K12" s="102"/>
      <c r="L12" s="102"/>
      <c r="M12" s="179"/>
      <c r="N12" s="123">
        <f>PERCENTILE(N6:N10,0.75)</f>
        <v>389.61875977354219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6" x14ac:dyDescent="0.2">
      <c r="A13" s="43"/>
      <c r="B13" s="48" t="s">
        <v>76</v>
      </c>
      <c r="C13" s="101"/>
      <c r="D13" s="101"/>
      <c r="E13" s="102"/>
      <c r="F13" s="126"/>
      <c r="G13" s="102"/>
      <c r="H13" s="102"/>
      <c r="I13" s="102"/>
      <c r="J13" s="178"/>
      <c r="K13" s="102"/>
      <c r="L13" s="102"/>
      <c r="M13" s="179"/>
      <c r="N13" s="123">
        <f>PERCENTILE(N6:N10,0.25)</f>
        <v>24.892956091008312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6" x14ac:dyDescent="0.2">
      <c r="A14" s="43"/>
      <c r="B14" s="103" t="s">
        <v>77</v>
      </c>
      <c r="C14" s="104" t="s">
        <v>56</v>
      </c>
      <c r="D14" s="104" t="s">
        <v>56</v>
      </c>
      <c r="E14" s="105">
        <f t="shared" ref="E14:G14" si="4">AVERAGE(E6:E10)</f>
        <v>232.33</v>
      </c>
      <c r="F14" s="127">
        <f t="shared" si="4"/>
        <v>291.78440000000001</v>
      </c>
      <c r="G14" s="105">
        <f t="shared" si="4"/>
        <v>70152.399999999994</v>
      </c>
      <c r="H14" s="105"/>
      <c r="I14" s="105">
        <f>AVERAGE(I6:I10)</f>
        <v>64374</v>
      </c>
      <c r="J14" s="105">
        <f t="shared" ref="J14:L14" si="5">AVERAGE(J6:J10)</f>
        <v>4222.7700000000004</v>
      </c>
      <c r="K14" s="105">
        <f t="shared" si="5"/>
        <v>640.60360000000003</v>
      </c>
      <c r="L14" s="105">
        <f t="shared" si="5"/>
        <v>827.75939999999991</v>
      </c>
      <c r="M14" s="120">
        <f>AVERAGE(M6:M10)</f>
        <v>-476.10799761829639</v>
      </c>
      <c r="N14" s="124">
        <f>AVERAGE(N6:N10)</f>
        <v>179.91904114732273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6" x14ac:dyDescent="0.2">
      <c r="A15" s="43"/>
      <c r="B15" s="227" t="s">
        <v>107</v>
      </c>
      <c r="C15" s="226" t="s">
        <v>106</v>
      </c>
      <c r="D15" s="96" t="s">
        <v>116</v>
      </c>
      <c r="E15" s="97">
        <v>470.45</v>
      </c>
      <c r="F15" s="228">
        <v>248.43199999999999</v>
      </c>
      <c r="G15" s="97">
        <v>118690</v>
      </c>
      <c r="H15" s="96" t="s">
        <v>56</v>
      </c>
      <c r="I15" s="97">
        <v>114860</v>
      </c>
      <c r="J15" s="97">
        <v>4136.0219999999999</v>
      </c>
      <c r="K15" s="97">
        <v>-62.768999999999998</v>
      </c>
      <c r="L15" s="97">
        <v>166560</v>
      </c>
      <c r="M15" s="119">
        <f>I15/K15</f>
        <v>-1829.8841784957542</v>
      </c>
      <c r="N15" s="122">
        <f>I15/L15</f>
        <v>0.6896013448607109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6" x14ac:dyDescent="0.2">
      <c r="A22" s="43"/>
      <c r="B22" s="43"/>
      <c r="C22" s="225"/>
      <c r="D22" s="226"/>
      <c r="E22" s="226"/>
      <c r="F22" s="226"/>
      <c r="G22" s="226"/>
      <c r="H22" s="226"/>
      <c r="I22" s="226"/>
      <c r="J22" s="226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 x14ac:dyDescent="0.2">
      <c r="A23" s="43"/>
      <c r="B23" s="43"/>
      <c r="C23" s="226"/>
      <c r="D23" s="227"/>
      <c r="E23" s="227"/>
      <c r="F23" s="227"/>
      <c r="G23" s="227"/>
      <c r="H23" s="227"/>
      <c r="I23" s="227"/>
      <c r="J23" s="227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 x14ac:dyDescent="0.2">
      <c r="A24" s="43"/>
      <c r="B24" s="43"/>
      <c r="C24" s="226"/>
      <c r="D24" s="227"/>
      <c r="E24" s="227"/>
      <c r="F24" s="227"/>
      <c r="G24" s="227"/>
      <c r="H24" s="227"/>
      <c r="I24" s="227"/>
      <c r="J24" s="227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 x14ac:dyDescent="0.2">
      <c r="A25" s="43"/>
      <c r="B25" s="43"/>
      <c r="C25" s="226"/>
      <c r="D25" s="227"/>
      <c r="E25" s="227"/>
      <c r="F25" s="227"/>
      <c r="G25" s="227"/>
      <c r="H25" s="227"/>
      <c r="I25" s="227"/>
      <c r="J25" s="227"/>
      <c r="K25" s="50"/>
      <c r="L25" s="50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 x14ac:dyDescent="0.2">
      <c r="A26" s="43"/>
      <c r="B26" s="43"/>
      <c r="C26" s="226"/>
      <c r="D26" s="227"/>
      <c r="E26" s="227"/>
      <c r="F26" s="227"/>
      <c r="G26" s="227"/>
      <c r="H26" s="227"/>
      <c r="I26" s="227"/>
      <c r="J26" s="227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 x14ac:dyDescent="0.2">
      <c r="A27" s="43"/>
      <c r="B27" s="43"/>
      <c r="C27" s="226"/>
      <c r="D27" s="227"/>
      <c r="E27" s="227"/>
      <c r="F27" s="227"/>
      <c r="G27" s="227"/>
      <c r="H27" s="227"/>
      <c r="I27" s="227"/>
      <c r="J27" s="227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 x14ac:dyDescent="0.2">
      <c r="A28" s="43"/>
      <c r="B28" s="43"/>
      <c r="C28" s="226"/>
      <c r="D28" s="227"/>
      <c r="E28" s="227"/>
      <c r="F28" s="227"/>
      <c r="G28" s="227"/>
      <c r="H28" s="227"/>
      <c r="I28" s="227"/>
      <c r="J28" s="227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.75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 x14ac:dyDescent="0.2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 x14ac:dyDescent="0.2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 x14ac:dyDescent="0.2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 x14ac:dyDescent="0.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 x14ac:dyDescent="0.2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 x14ac:dyDescent="0.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.75" customHeight="1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.75" customHeight="1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.75" customHeight="1" x14ac:dyDescent="0.2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.75" customHeight="1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 x14ac:dyDescent="0.2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.75" customHeight="1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.75" customHeight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.75" customHeight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.75" customHeight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.75" customHeight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.75" customHeight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.75" customHeight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.75" customHeight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.75" customHeight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.75" customHeight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customHeight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customHeight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75" customHeight="1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75" customHeight="1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75" customHeight="1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75" customHeight="1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75" customHeight="1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75" customHeight="1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75" customHeight="1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75" customHeight="1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75" customHeight="1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75" customHeight="1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75" customHeight="1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75" customHeight="1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75" customHeight="1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75" customHeight="1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75" customHeight="1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75" customHeight="1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75" customHeight="1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75" customHeight="1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75" customHeight="1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75" customHeight="1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75" customHeight="1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75" customHeight="1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75" customHeight="1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75" customHeight="1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75" customHeight="1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75" customHeight="1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75" customHeight="1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75" customHeight="1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75" customHeight="1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75" customHeight="1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.75" customHeight="1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.75" customHeight="1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.75" customHeight="1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.75" customHeight="1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.75" customHeight="1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.75" customHeight="1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.75" customHeight="1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.75" customHeight="1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.75" customHeight="1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.75" customHeight="1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.75" customHeight="1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.75" customHeight="1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.75" customHeight="1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.75" customHeight="1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.75" customHeight="1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.75" customHeight="1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.75" customHeight="1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.75" customHeight="1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.75" customHeight="1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.75" customHeight="1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.75" customHeight="1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.75" customHeight="1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.75" customHeight="1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.75" customHeight="1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.75" customHeight="1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.75" customHeight="1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.75" customHeight="1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.75" customHeight="1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.75" customHeight="1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.75" customHeight="1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.75" customHeight="1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.75" customHeight="1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.75" customHeight="1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.75" customHeight="1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.75" customHeight="1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.75" customHeight="1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.75" customHeight="1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.75" customHeight="1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.75" customHeight="1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.75" customHeight="1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.75" customHeight="1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.75" customHeight="1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.75" customHeight="1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.75" customHeight="1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.75" customHeight="1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.75" customHeight="1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.75" customHeight="1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.75" customHeight="1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.75" customHeight="1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.75" customHeight="1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.75" customHeight="1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.75" customHeight="1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.75" customHeight="1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.75" customHeight="1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.75" customHeight="1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.75" customHeight="1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.75" customHeight="1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.75" customHeight="1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.75" customHeight="1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.75" customHeight="1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.75" customHeight="1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.75" customHeight="1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.75" customHeight="1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.75" customHeight="1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.75" customHeight="1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.75" customHeight="1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.75" customHeight="1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.75" customHeight="1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.75" customHeight="1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.75" customHeight="1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.75" customHeight="1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.75" customHeight="1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.75" customHeight="1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.75" customHeight="1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.75" customHeight="1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.75" customHeight="1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.75" customHeight="1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.75" customHeight="1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.75" customHeight="1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.75" customHeight="1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.75" customHeight="1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.75" customHeight="1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.75" customHeight="1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.75" customHeight="1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.75" customHeight="1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.75" customHeight="1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.75" customHeight="1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.75" customHeight="1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.75" customHeight="1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.75" customHeight="1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.75" customHeight="1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.75" customHeight="1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.75" customHeight="1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.75" customHeight="1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.75" customHeight="1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.75" customHeight="1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.75" customHeight="1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.75" customHeight="1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.75" customHeight="1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.75" customHeight="1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.75" customHeight="1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.75" customHeight="1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.75" customHeight="1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.75" customHeight="1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.75" customHeight="1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.75" customHeight="1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.75" customHeight="1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.75" customHeight="1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.75" customHeight="1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.75" customHeight="1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.75" customHeight="1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.75" customHeight="1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.75" customHeight="1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.75" customHeight="1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.75" customHeight="1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.75" customHeight="1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.75" customHeight="1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.75" customHeight="1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.75" customHeight="1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.75" customHeight="1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.75" customHeight="1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.75" customHeight="1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.75" customHeight="1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.75" customHeight="1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.75" customHeight="1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.75" customHeight="1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.75" customHeight="1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.75" customHeight="1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.75" customHeight="1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.75" customHeight="1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.75" customHeight="1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.75" customHeight="1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.75" customHeight="1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.75" customHeight="1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.75" customHeight="1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.75" customHeight="1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.75" customHeight="1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.75" customHeight="1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.75" customHeight="1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.75" customHeight="1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.75" customHeight="1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.75" customHeight="1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.75" customHeight="1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.75" customHeight="1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.75" customHeight="1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.75" customHeight="1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.75" customHeight="1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.75" customHeight="1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.75" customHeight="1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.75" customHeight="1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.75" customHeight="1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.75" customHeight="1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.75" customHeight="1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.75" customHeight="1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.75" customHeight="1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.75" customHeight="1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.75" customHeight="1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.75" customHeight="1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.75" customHeight="1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.75" customHeight="1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.75" customHeight="1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.75" customHeight="1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.75" customHeight="1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.75" customHeight="1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.75" customHeight="1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.75" customHeight="1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.75" customHeight="1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.75" customHeight="1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.75" customHeight="1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.75" customHeight="1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.75" customHeight="1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.75" customHeight="1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.75" customHeight="1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.75" customHeight="1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.75" customHeight="1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.75" customHeight="1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.75" customHeight="1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.75" customHeight="1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.75" customHeight="1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.75" customHeight="1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.75" customHeight="1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.75" customHeight="1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.75" customHeight="1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.75" customHeight="1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.75" customHeight="1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.75" customHeight="1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.75" customHeight="1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.75" customHeight="1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.75" customHeight="1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.75" customHeight="1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.75" customHeight="1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.75" customHeight="1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.75" customHeight="1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.75" customHeight="1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.75" customHeight="1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.75" customHeight="1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.75" customHeight="1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.75" customHeight="1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.75" customHeight="1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.75" customHeight="1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.75" customHeight="1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.75" customHeight="1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.75" customHeight="1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.75" customHeight="1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.75" customHeight="1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.75" customHeight="1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.75" customHeight="1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.75" customHeight="1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.75" customHeight="1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.75" customHeight="1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.75" customHeight="1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.75" customHeight="1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.75" customHeight="1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.75" customHeight="1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.75" customHeight="1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.75" customHeight="1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.75" customHeight="1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.75" customHeight="1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.75" customHeight="1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.75" customHeight="1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.75" customHeight="1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.75" customHeight="1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.75" customHeight="1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.75" customHeight="1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.75" customHeight="1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.75" customHeight="1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.75" customHeight="1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.75" customHeight="1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.75" customHeight="1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.75" customHeight="1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.75" customHeight="1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.75" customHeight="1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.75" customHeight="1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.75" customHeight="1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.75" customHeight="1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.75" customHeight="1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.75" customHeight="1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.75" customHeight="1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.75" customHeight="1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.75" customHeight="1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.75" customHeight="1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.75" customHeight="1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.75" customHeight="1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.75" customHeight="1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.75" customHeight="1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.75" customHeight="1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.75" customHeight="1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.75" customHeight="1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.75" customHeight="1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.75" customHeight="1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.75" customHeight="1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.75" customHeight="1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.75" customHeight="1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.75" customHeight="1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.75" customHeight="1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.75" customHeight="1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.75" customHeight="1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.75" customHeight="1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.75" customHeight="1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.75" customHeight="1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.75" customHeight="1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.75" customHeight="1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.75" customHeight="1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.75" customHeight="1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.75" customHeight="1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.75" customHeight="1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.75" customHeight="1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.75" customHeight="1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.75" customHeight="1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.75" customHeight="1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.75" customHeight="1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.75" customHeight="1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.75" customHeight="1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.75" customHeight="1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.75" customHeight="1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.75" customHeight="1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.75" customHeight="1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.75" customHeight="1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.75" customHeight="1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.75" customHeight="1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.75" customHeight="1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.75" customHeight="1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.75" customHeight="1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.75" customHeight="1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.75" customHeight="1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.75" customHeight="1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.75" customHeight="1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.75" customHeight="1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.75" customHeight="1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.75" customHeight="1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.75" customHeight="1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.75" customHeight="1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.75" customHeight="1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.75" customHeight="1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.75" customHeight="1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.75" customHeight="1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.75" customHeight="1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.75" customHeight="1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.75" customHeight="1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.75" customHeight="1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.75" customHeight="1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.75" customHeight="1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.75" customHeight="1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.75" customHeight="1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.75" customHeight="1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.75" customHeight="1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.75" customHeight="1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.75" customHeight="1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.75" customHeight="1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.75" customHeight="1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.75" customHeight="1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.75" customHeight="1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.75" customHeight="1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.75" customHeight="1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.75" customHeight="1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.75" customHeight="1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.75" customHeight="1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.75" customHeight="1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.75" customHeight="1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.75" customHeight="1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.75" customHeight="1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.75" customHeight="1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.75" customHeight="1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.75" customHeight="1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.75" customHeight="1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.75" customHeight="1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.75" customHeight="1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.75" customHeight="1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.75" customHeight="1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.75" customHeight="1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.75" customHeight="1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.75" customHeight="1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.75" customHeight="1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.75" customHeight="1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.75" customHeight="1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.75" customHeight="1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.75" customHeight="1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.75" customHeight="1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.75" customHeight="1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.75" customHeight="1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.75" customHeight="1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.75" customHeight="1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.75" customHeight="1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.75" customHeight="1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.75" customHeight="1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.75" customHeight="1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.75" customHeight="1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.75" customHeight="1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.75" customHeight="1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.75" customHeight="1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.75" customHeight="1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.75" customHeight="1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.75" customHeight="1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.75" customHeight="1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.75" customHeight="1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.75" customHeight="1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.75" customHeight="1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.75" customHeight="1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.75" customHeight="1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.75" customHeight="1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.75" customHeight="1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.75" customHeight="1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.75" customHeight="1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.75" customHeight="1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.75" customHeight="1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.75" customHeight="1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.75" customHeight="1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.75" customHeight="1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.75" customHeight="1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.75" customHeight="1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.75" customHeight="1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.75" customHeight="1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.75" customHeight="1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.75" customHeight="1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.75" customHeight="1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.75" customHeight="1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.75" customHeight="1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.75" customHeight="1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.75" customHeight="1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.75" customHeight="1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.75" customHeight="1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.75" customHeight="1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.75" customHeight="1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.75" customHeight="1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.75" customHeight="1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.75" customHeight="1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.75" customHeight="1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.75" customHeight="1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.75" customHeight="1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.75" customHeight="1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.75" customHeight="1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.75" customHeight="1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.75" customHeight="1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.75" customHeight="1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.75" customHeight="1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.75" customHeight="1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.75" customHeight="1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.75" customHeight="1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.75" customHeight="1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.75" customHeight="1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.75" customHeight="1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.75" customHeight="1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.75" customHeight="1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.75" customHeight="1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.75" customHeight="1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.75" customHeight="1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.75" customHeight="1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.75" customHeight="1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.75" customHeight="1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.75" customHeight="1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.75" customHeight="1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.75" customHeight="1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.75" customHeight="1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.75" customHeight="1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.75" customHeight="1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.75" customHeight="1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.75" customHeight="1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.75" customHeight="1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.75" customHeight="1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.75" customHeight="1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.75" customHeight="1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.75" customHeight="1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.75" customHeight="1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.75" customHeight="1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.75" customHeight="1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.75" customHeight="1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.75" customHeight="1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.75" customHeight="1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.75" customHeight="1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.75" customHeight="1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.75" customHeight="1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.75" customHeight="1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.75" customHeight="1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.75" customHeight="1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.75" customHeight="1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.75" customHeight="1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.75" customHeight="1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.75" customHeight="1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.75" customHeight="1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.75" customHeight="1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.75" customHeight="1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.75" customHeight="1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.75" customHeight="1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.75" customHeight="1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.75" customHeight="1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.75" customHeight="1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.75" customHeight="1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.75" customHeight="1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.75" customHeight="1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.75" customHeight="1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.75" customHeight="1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.75" customHeight="1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.75" customHeight="1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.75" customHeight="1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.75" customHeight="1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.75" customHeight="1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.75" customHeight="1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.75" customHeight="1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.75" customHeight="1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.75" customHeight="1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.75" customHeight="1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.75" customHeight="1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.75" customHeight="1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.75" customHeight="1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.75" customHeight="1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.75" customHeight="1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.75" customHeight="1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.75" customHeight="1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.75" customHeight="1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.75" customHeight="1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.75" customHeight="1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.75" customHeight="1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.75" customHeight="1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.75" customHeight="1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.75" customHeight="1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.75" customHeight="1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.75" customHeight="1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.75" customHeight="1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.75" customHeight="1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.75" customHeight="1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.75" customHeight="1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.75" customHeight="1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.75" customHeight="1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.75" customHeight="1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.75" customHeight="1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.75" customHeight="1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.75" customHeight="1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.75" customHeight="1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.75" customHeight="1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.75" customHeight="1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.75" customHeight="1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.75" customHeight="1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.75" customHeight="1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.75" customHeight="1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.75" customHeight="1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.75" customHeight="1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.75" customHeight="1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.75" customHeight="1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.75" customHeight="1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.75" customHeight="1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.75" customHeight="1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.75" customHeight="1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.75" customHeight="1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.75" customHeight="1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.75" customHeight="1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.75" customHeight="1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.75" customHeight="1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.75" customHeight="1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.75" customHeight="1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.75" customHeight="1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.75" customHeight="1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.75" customHeight="1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.75" customHeight="1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.75" customHeight="1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.75" customHeight="1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.75" customHeight="1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.75" customHeight="1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.75" customHeight="1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.75" customHeight="1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.75" customHeight="1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.75" customHeight="1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.75" customHeight="1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.75" customHeight="1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.75" customHeight="1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.75" customHeight="1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.75" customHeight="1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.75" customHeight="1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.75" customHeight="1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.75" customHeight="1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.75" customHeight="1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.75" customHeight="1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.75" customHeight="1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.75" customHeight="1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.75" customHeight="1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.75" customHeight="1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.75" customHeight="1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.75" customHeight="1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.75" customHeight="1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.75" customHeight="1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.75" customHeight="1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.75" customHeight="1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.75" customHeight="1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.75" customHeight="1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.75" customHeight="1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.75" customHeight="1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.75" customHeight="1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.75" customHeight="1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.75" customHeight="1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.75" customHeight="1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.75" customHeight="1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.75" customHeight="1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.75" customHeight="1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.75" customHeight="1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.75" customHeight="1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.75" customHeight="1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.75" customHeight="1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.75" customHeight="1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.75" customHeight="1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.75" customHeight="1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.75" customHeight="1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.75" customHeight="1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.75" customHeight="1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.75" customHeight="1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.75" customHeight="1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.75" customHeight="1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.75" customHeight="1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.75" customHeight="1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.75" customHeight="1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.75" customHeight="1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.75" customHeight="1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.75" customHeight="1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.75" customHeight="1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.75" customHeight="1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.75" customHeight="1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.75" customHeight="1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.75" customHeight="1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.75" customHeight="1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.75" customHeight="1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.75" customHeight="1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.75" customHeight="1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.75" customHeight="1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.75" customHeight="1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.75" customHeight="1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.75" customHeight="1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.75" customHeight="1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.75" customHeight="1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.75" customHeight="1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.75" customHeight="1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.75" customHeight="1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.75" customHeight="1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.75" customHeight="1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.75" customHeight="1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.75" customHeight="1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.75" customHeight="1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.75" customHeight="1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.75" customHeight="1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.75" customHeight="1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.75" customHeight="1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.75" customHeight="1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.75" customHeight="1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.75" customHeight="1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.75" customHeight="1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.75" customHeight="1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.75" customHeight="1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.75" customHeight="1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.75" customHeight="1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.75" customHeight="1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.75" customHeight="1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.75" customHeight="1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.75" customHeight="1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.75" customHeight="1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.75" customHeight="1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.75" customHeight="1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.75" customHeight="1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.75" customHeight="1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.75" customHeight="1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.75" customHeight="1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.75" customHeight="1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.75" customHeight="1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.75" customHeight="1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.75" customHeight="1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.75" customHeight="1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.75" customHeight="1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.75" customHeight="1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.75" customHeight="1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.75" customHeight="1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.75" customHeight="1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.75" customHeight="1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.75" customHeight="1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.75" customHeight="1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.75" customHeight="1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.75" customHeight="1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.75" customHeight="1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.75" customHeight="1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.75" customHeight="1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.75" customHeight="1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.75" customHeight="1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.75" customHeight="1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.75" customHeight="1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.75" customHeight="1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.75" customHeight="1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.75" customHeight="1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.75" customHeight="1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.75" customHeight="1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.75" customHeight="1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.75" customHeight="1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.75" customHeight="1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.75" customHeight="1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.75" customHeight="1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.75" customHeight="1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.75" customHeight="1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.75" customHeight="1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.75" customHeight="1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.75" customHeight="1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5.75" customHeight="1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5.75" customHeight="1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5.75" customHeight="1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5.75" customHeight="1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5.75" customHeight="1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5.75" customHeight="1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5.75" customHeight="1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5.75" customHeight="1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5.75" customHeight="1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5.75" customHeight="1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5.75" customHeight="1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5.75" customHeight="1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5.75" customHeight="1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5.75" customHeight="1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5.75" customHeight="1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5.75" customHeight="1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5.75" customHeight="1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5.75" customHeight="1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5.75" customHeight="1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5.75" customHeight="1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5.75" customHeight="1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5.75" customHeight="1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spans="1:26" ht="15.75" customHeight="1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spans="1:26" ht="15.75" customHeight="1" x14ac:dyDescent="0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7"/>
  <sheetViews>
    <sheetView showGridLines="0" tabSelected="1" workbookViewId="0">
      <selection activeCell="I21" sqref="I21"/>
    </sheetView>
  </sheetViews>
  <sheetFormatPr baseColWidth="10" defaultColWidth="12.6640625" defaultRowHeight="15" customHeight="1" x14ac:dyDescent="0.15"/>
  <cols>
    <col min="1" max="1" width="9.83203125" customWidth="1"/>
    <col min="2" max="2" width="6.1640625" customWidth="1"/>
    <col min="3" max="3" width="28.33203125" customWidth="1"/>
    <col min="4" max="4" width="9.6640625" customWidth="1"/>
    <col min="5" max="5" width="17.6640625" customWidth="1"/>
    <col min="6" max="6" width="12.83203125" customWidth="1"/>
    <col min="7" max="7" width="12.83203125" hidden="1" customWidth="1"/>
    <col min="8" max="8" width="10.33203125" hidden="1" customWidth="1"/>
    <col min="9" max="12" width="12.83203125" customWidth="1"/>
    <col min="13" max="13" width="7" customWidth="1"/>
    <col min="14" max="14" width="13.1640625" customWidth="1"/>
    <col min="15" max="15" width="12" customWidth="1"/>
    <col min="16" max="16" width="10.6640625" customWidth="1"/>
    <col min="17" max="17" width="9.83203125" customWidth="1"/>
    <col min="18" max="18" width="8.83203125" customWidth="1"/>
    <col min="19" max="21" width="12.83203125" customWidth="1"/>
    <col min="22" max="27" width="13.1640625" customWidth="1"/>
  </cols>
  <sheetData>
    <row r="1" spans="1:27" ht="15.75" customHeight="1" x14ac:dyDescent="0.2">
      <c r="A1" s="3"/>
      <c r="B1" s="51"/>
      <c r="C1" s="52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3"/>
      <c r="W1" s="53"/>
      <c r="X1" s="53"/>
      <c r="Y1" s="53"/>
      <c r="Z1" s="53"/>
      <c r="AA1" s="53"/>
    </row>
    <row r="2" spans="1:27" ht="15.75" customHeight="1" x14ac:dyDescent="0.2">
      <c r="A2" s="3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3"/>
      <c r="W2" s="53"/>
      <c r="X2" s="53"/>
      <c r="Y2" s="53"/>
      <c r="Z2" s="53"/>
      <c r="AA2" s="53"/>
    </row>
    <row r="3" spans="1:27" ht="15.75" customHeight="1" x14ac:dyDescent="0.2">
      <c r="A3" s="3"/>
      <c r="B3" s="51"/>
      <c r="C3" s="45" t="s">
        <v>78</v>
      </c>
      <c r="D3" s="54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3"/>
      <c r="W3" s="53"/>
      <c r="X3" s="53"/>
      <c r="Y3" s="53"/>
      <c r="Z3" s="53"/>
      <c r="AA3" s="53"/>
    </row>
    <row r="4" spans="1:27" ht="15.75" customHeight="1" x14ac:dyDescent="0.2">
      <c r="A4" s="3"/>
      <c r="B4" s="51"/>
      <c r="C4" s="141" t="s">
        <v>79</v>
      </c>
      <c r="D4" s="280">
        <v>117918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3"/>
      <c r="W4" s="53"/>
      <c r="X4" s="53"/>
      <c r="Y4" s="53"/>
      <c r="Z4" s="53"/>
      <c r="AA4" s="53"/>
    </row>
    <row r="5" spans="1:27" ht="15.75" customHeight="1" x14ac:dyDescent="0.2">
      <c r="A5" s="3"/>
      <c r="B5" s="51"/>
      <c r="C5" s="141" t="s">
        <v>80</v>
      </c>
      <c r="D5" s="142">
        <v>744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3"/>
      <c r="W5" s="53"/>
      <c r="X5" s="53"/>
      <c r="Y5" s="53"/>
      <c r="Z5" s="53"/>
      <c r="AA5" s="53"/>
    </row>
    <row r="6" spans="1:27" ht="15.75" customHeight="1" x14ac:dyDescent="0.2">
      <c r="A6" s="3"/>
      <c r="B6" s="51"/>
      <c r="C6" s="141"/>
      <c r="D6" s="142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3"/>
      <c r="W6" s="53"/>
      <c r="X6" s="53"/>
      <c r="Y6" s="53"/>
      <c r="Z6" s="53"/>
      <c r="AA6" s="53"/>
    </row>
    <row r="7" spans="1:27" ht="15.75" customHeight="1" x14ac:dyDescent="0.2">
      <c r="A7" s="3"/>
      <c r="B7" s="51"/>
      <c r="C7" s="51" t="s">
        <v>81</v>
      </c>
      <c r="D7" s="55">
        <f>P26</f>
        <v>3.5362903225806451E-2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3"/>
      <c r="W7" s="53"/>
      <c r="X7" s="53"/>
      <c r="Y7" s="53"/>
      <c r="Z7" s="53"/>
      <c r="AA7" s="53"/>
    </row>
    <row r="8" spans="1:27" ht="15.75" customHeight="1" x14ac:dyDescent="0.2">
      <c r="A8" s="3"/>
      <c r="B8" s="51"/>
      <c r="C8" s="51" t="s">
        <v>82</v>
      </c>
      <c r="D8" s="55">
        <f>D5/(D5+D4)</f>
        <v>6.269909490822673E-3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3"/>
      <c r="W8" s="53"/>
      <c r="X8" s="53"/>
      <c r="Y8" s="53"/>
      <c r="Z8" s="53"/>
      <c r="AA8" s="53"/>
    </row>
    <row r="9" spans="1:27" ht="15.75" customHeight="1" x14ac:dyDescent="0.2">
      <c r="A9" s="3"/>
      <c r="B9" s="51"/>
      <c r="C9" s="51"/>
      <c r="D9" s="55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3"/>
      <c r="W9" s="53"/>
      <c r="X9" s="53"/>
      <c r="Y9" s="53"/>
      <c r="Z9" s="53"/>
      <c r="AA9" s="53"/>
    </row>
    <row r="10" spans="1:27" ht="15.75" customHeight="1" x14ac:dyDescent="0.2">
      <c r="A10" s="3"/>
      <c r="B10" s="51"/>
      <c r="C10" s="51" t="s">
        <v>83</v>
      </c>
      <c r="D10" s="55">
        <v>4.4699999999999997E-2</v>
      </c>
      <c r="E10" s="51"/>
      <c r="F10" s="53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3"/>
      <c r="W10" s="53"/>
      <c r="X10" s="53"/>
      <c r="Y10" s="53"/>
      <c r="Z10" s="53"/>
      <c r="AA10" s="53"/>
    </row>
    <row r="11" spans="1:27" ht="15.75" customHeight="1" x14ac:dyDescent="0.2">
      <c r="A11" s="3"/>
      <c r="B11" s="51"/>
      <c r="C11" s="51" t="s">
        <v>84</v>
      </c>
      <c r="D11" s="55">
        <v>4.4999999999999998E-2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3"/>
      <c r="W11" s="53"/>
      <c r="X11" s="53"/>
      <c r="Y11" s="53"/>
      <c r="Z11" s="53"/>
      <c r="AA11" s="53"/>
    </row>
    <row r="12" spans="1:27" ht="15.75" customHeight="1" x14ac:dyDescent="0.2">
      <c r="A12" s="3"/>
      <c r="B12" s="51"/>
      <c r="C12" s="51" t="s">
        <v>85</v>
      </c>
      <c r="D12" s="143">
        <f>L33</f>
        <v>1.1694372881355932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3"/>
      <c r="W12" s="53"/>
      <c r="X12" s="53"/>
      <c r="Y12" s="53"/>
      <c r="Z12" s="53"/>
      <c r="AA12" s="53"/>
    </row>
    <row r="13" spans="1:27" ht="15.75" customHeight="1" x14ac:dyDescent="0.2">
      <c r="A13" s="3"/>
      <c r="B13" s="51"/>
      <c r="C13" s="51" t="s">
        <v>86</v>
      </c>
      <c r="D13" s="55">
        <f>F35</f>
        <v>9.7324677966101697E-2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3"/>
      <c r="W13" s="53"/>
      <c r="X13" s="53"/>
      <c r="Y13" s="53"/>
      <c r="Z13" s="53"/>
      <c r="AA13" s="53"/>
    </row>
    <row r="14" spans="1:27" ht="15.75" customHeight="1" x14ac:dyDescent="0.2">
      <c r="A14" s="3"/>
      <c r="B14" s="51"/>
      <c r="C14" s="51" t="s">
        <v>87</v>
      </c>
      <c r="D14" s="55">
        <f>D4/(D4+D5)</f>
        <v>0.99373009050917738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3"/>
      <c r="W14" s="53"/>
      <c r="X14" s="53"/>
      <c r="Y14" s="53"/>
      <c r="Z14" s="53"/>
      <c r="AA14" s="53"/>
    </row>
    <row r="15" spans="1:27" ht="15.75" customHeight="1" x14ac:dyDescent="0.2">
      <c r="A15" s="3"/>
      <c r="B15" s="51"/>
      <c r="C15" s="51"/>
      <c r="D15" s="55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3"/>
      <c r="W15" s="53"/>
      <c r="X15" s="53"/>
      <c r="Y15" s="53"/>
      <c r="Z15" s="53"/>
      <c r="AA15" s="53"/>
    </row>
    <row r="16" spans="1:27" ht="15.75" customHeight="1" x14ac:dyDescent="0.2">
      <c r="A16" s="3"/>
      <c r="B16" s="51"/>
      <c r="C16" s="51" t="s">
        <v>88</v>
      </c>
      <c r="D16" s="56">
        <v>0.21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3"/>
      <c r="W16" s="53"/>
      <c r="X16" s="53"/>
      <c r="Y16" s="53"/>
      <c r="Z16" s="53"/>
      <c r="AA16" s="53"/>
    </row>
    <row r="17" spans="1:27" ht="15.75" customHeight="1" x14ac:dyDescent="0.2">
      <c r="A17" s="3"/>
      <c r="B17" s="51"/>
      <c r="C17" s="57" t="s">
        <v>89</v>
      </c>
      <c r="D17" s="58">
        <f>(D13*D14)+(D7*D8)</f>
        <v>9.6936183246589314E-2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3"/>
      <c r="W17" s="53"/>
      <c r="X17" s="53"/>
      <c r="Y17" s="53"/>
      <c r="Z17" s="53"/>
      <c r="AA17" s="53"/>
    </row>
    <row r="18" spans="1:27" ht="15.75" customHeight="1" x14ac:dyDescent="0.2">
      <c r="A18" s="3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3"/>
      <c r="W18" s="53"/>
      <c r="X18" s="53"/>
      <c r="Y18" s="53"/>
      <c r="Z18" s="53"/>
      <c r="AA18" s="53"/>
    </row>
    <row r="19" spans="1:27" ht="15.75" customHeight="1" thickBot="1" x14ac:dyDescent="0.25">
      <c r="A19" s="3"/>
      <c r="B19" s="51"/>
      <c r="C19" s="59" t="s">
        <v>90</v>
      </c>
      <c r="D19" s="54"/>
      <c r="E19" s="60"/>
      <c r="F19" s="51"/>
      <c r="G19" s="51"/>
      <c r="H19" s="51"/>
      <c r="I19" s="51"/>
      <c r="J19" s="51"/>
      <c r="K19" s="51"/>
      <c r="L19" s="51"/>
      <c r="M19" s="51"/>
      <c r="N19" s="59" t="s">
        <v>91</v>
      </c>
      <c r="O19" s="61"/>
      <c r="P19" s="61"/>
      <c r="Q19" s="61"/>
      <c r="R19" s="62"/>
      <c r="S19" s="51"/>
      <c r="T19" s="51"/>
      <c r="U19" s="51"/>
      <c r="V19" s="53"/>
      <c r="W19" s="53"/>
      <c r="X19" s="53"/>
      <c r="Y19" s="53"/>
      <c r="Z19" s="53"/>
      <c r="AA19" s="53"/>
    </row>
    <row r="20" spans="1:27" ht="32" x14ac:dyDescent="0.2">
      <c r="A20" s="3"/>
      <c r="B20" s="51"/>
      <c r="C20" s="197" t="s">
        <v>92</v>
      </c>
      <c r="D20" s="198" t="s">
        <v>93</v>
      </c>
      <c r="E20" s="198" t="s">
        <v>94</v>
      </c>
      <c r="F20" s="198"/>
      <c r="G20" s="199" t="s">
        <v>95</v>
      </c>
      <c r="H20" s="199" t="s">
        <v>96</v>
      </c>
      <c r="I20" s="198" t="s">
        <v>97</v>
      </c>
      <c r="J20" s="198" t="s">
        <v>98</v>
      </c>
      <c r="K20" s="198" t="s">
        <v>88</v>
      </c>
      <c r="L20" s="200" t="s">
        <v>99</v>
      </c>
      <c r="M20" s="53"/>
      <c r="N20" s="63" t="s">
        <v>126</v>
      </c>
      <c r="O20" s="63" t="s">
        <v>100</v>
      </c>
      <c r="P20" s="64"/>
      <c r="Q20" s="63"/>
      <c r="R20" s="62"/>
      <c r="S20" s="51"/>
      <c r="T20" s="51"/>
      <c r="U20" s="51"/>
      <c r="V20" s="53"/>
      <c r="W20" s="53"/>
      <c r="X20" s="53"/>
      <c r="Y20" s="53"/>
      <c r="Z20" s="53"/>
      <c r="AA20" s="53"/>
    </row>
    <row r="21" spans="1:27" ht="15.75" customHeight="1" x14ac:dyDescent="0.2">
      <c r="A21" s="3"/>
      <c r="B21" s="51"/>
      <c r="C21" s="226" t="s">
        <v>108</v>
      </c>
      <c r="D21" s="79">
        <v>0.97</v>
      </c>
      <c r="E21" s="277">
        <v>383.2</v>
      </c>
      <c r="F21" s="277"/>
      <c r="G21" s="277">
        <v>0</v>
      </c>
      <c r="H21" s="277">
        <f>G21/(E21+G21+I21)</f>
        <v>0</v>
      </c>
      <c r="I21" s="79">
        <v>6.38</v>
      </c>
      <c r="J21" s="278">
        <f>E21/I21</f>
        <v>60.062695924764888</v>
      </c>
      <c r="K21" s="128">
        <v>0.156</v>
      </c>
      <c r="L21" s="69">
        <f>D21/(1+(J21*(1-K21)))</f>
        <v>1.8764660364680739E-2</v>
      </c>
      <c r="M21" s="53"/>
      <c r="N21" s="132">
        <v>26.31</v>
      </c>
      <c r="O21" s="51">
        <v>744</v>
      </c>
      <c r="P21" s="13"/>
      <c r="Q21" s="71"/>
      <c r="R21" s="72"/>
      <c r="S21" s="51"/>
      <c r="T21" s="51"/>
      <c r="U21" s="51"/>
      <c r="V21" s="53"/>
      <c r="W21" s="53"/>
      <c r="X21" s="53"/>
      <c r="Y21" s="53"/>
      <c r="Z21" s="53"/>
      <c r="AA21" s="53"/>
    </row>
    <row r="22" spans="1:27" ht="15.75" customHeight="1" x14ac:dyDescent="0.2">
      <c r="A22" s="3"/>
      <c r="B22" s="51"/>
      <c r="C22" s="226" t="s">
        <v>110</v>
      </c>
      <c r="D22" s="279">
        <v>1.1000000000000001</v>
      </c>
      <c r="E22" s="279">
        <v>8270</v>
      </c>
      <c r="F22" s="277"/>
      <c r="G22" s="279"/>
      <c r="H22" s="277"/>
      <c r="I22" s="279">
        <v>1490</v>
      </c>
      <c r="J22" s="278">
        <f t="shared" ref="J22:J25" si="0">E22/I22</f>
        <v>5.550335570469799</v>
      </c>
      <c r="K22" s="68">
        <v>0.186</v>
      </c>
      <c r="L22" s="69">
        <f t="shared" ref="L22:L25" si="1">D22/(1+(J22*(1-K22)))</f>
        <v>0.1993485595576627</v>
      </c>
      <c r="M22" s="53"/>
      <c r="N22" s="70"/>
      <c r="O22" s="51"/>
      <c r="P22" s="13"/>
      <c r="Q22" s="71"/>
      <c r="R22" s="72"/>
      <c r="S22" s="51"/>
      <c r="T22" s="51"/>
      <c r="U22" s="51"/>
      <c r="V22" s="53"/>
      <c r="W22" s="53"/>
      <c r="X22" s="53"/>
      <c r="Y22" s="53"/>
      <c r="Z22" s="53"/>
      <c r="AA22" s="53"/>
    </row>
    <row r="23" spans="1:27" ht="15.75" customHeight="1" x14ac:dyDescent="0.2">
      <c r="A23" s="3"/>
      <c r="B23" s="51"/>
      <c r="C23" s="226" t="s">
        <v>112</v>
      </c>
      <c r="D23" s="79">
        <v>0.77</v>
      </c>
      <c r="E23" s="277">
        <v>0</v>
      </c>
      <c r="F23" s="277"/>
      <c r="G23" s="277">
        <v>0</v>
      </c>
      <c r="H23" s="277">
        <f t="shared" ref="H23:H25" si="2">G23/(E23+G23+I23)</f>
        <v>0</v>
      </c>
      <c r="I23" s="277">
        <v>1670</v>
      </c>
      <c r="J23" s="278">
        <f t="shared" si="0"/>
        <v>0</v>
      </c>
      <c r="K23" s="68">
        <v>0</v>
      </c>
      <c r="L23" s="69">
        <f t="shared" si="1"/>
        <v>0.77</v>
      </c>
      <c r="M23" s="53"/>
      <c r="N23" s="70"/>
      <c r="O23" s="51"/>
      <c r="P23" s="13"/>
      <c r="Q23" s="74"/>
      <c r="R23" s="51"/>
      <c r="S23" s="51"/>
      <c r="T23" s="51"/>
      <c r="U23" s="51"/>
      <c r="V23" s="53"/>
      <c r="W23" s="53"/>
      <c r="X23" s="53"/>
      <c r="Y23" s="53"/>
      <c r="Z23" s="53"/>
      <c r="AA23" s="53"/>
    </row>
    <row r="24" spans="1:27" ht="15.75" customHeight="1" x14ac:dyDescent="0.2">
      <c r="A24" s="3"/>
      <c r="B24" s="51"/>
      <c r="C24" s="226" t="s">
        <v>114</v>
      </c>
      <c r="D24" s="79">
        <v>1</v>
      </c>
      <c r="E24" s="277">
        <v>11.11</v>
      </c>
      <c r="F24" s="277"/>
      <c r="G24" s="277">
        <v>0</v>
      </c>
      <c r="H24" s="277">
        <f t="shared" si="2"/>
        <v>0</v>
      </c>
      <c r="I24" s="277">
        <v>2370</v>
      </c>
      <c r="J24" s="278">
        <f t="shared" si="0"/>
        <v>4.6877637130801689E-3</v>
      </c>
      <c r="K24" s="68">
        <v>0</v>
      </c>
      <c r="L24" s="69">
        <f t="shared" si="1"/>
        <v>0.99533410888199192</v>
      </c>
      <c r="M24" s="53"/>
      <c r="N24" s="70"/>
      <c r="O24" s="51"/>
      <c r="P24" s="13"/>
      <c r="Q24" s="74"/>
      <c r="R24" s="51"/>
      <c r="S24" s="51"/>
      <c r="T24" s="51"/>
      <c r="U24" s="51"/>
      <c r="V24" s="53"/>
      <c r="W24" s="53"/>
      <c r="X24" s="53"/>
      <c r="Y24" s="53"/>
      <c r="Z24" s="53"/>
      <c r="AA24" s="53"/>
    </row>
    <row r="25" spans="1:27" ht="15.75" customHeight="1" thickBot="1" x14ac:dyDescent="0.25">
      <c r="A25" s="3"/>
      <c r="B25" s="51"/>
      <c r="C25" s="201"/>
      <c r="D25" s="202"/>
      <c r="E25" s="203"/>
      <c r="F25" s="204"/>
      <c r="G25" s="203"/>
      <c r="H25" s="204"/>
      <c r="I25" s="203"/>
      <c r="J25" s="129"/>
      <c r="K25" s="130"/>
      <c r="L25" s="131"/>
      <c r="M25" s="53"/>
      <c r="N25" s="51"/>
      <c r="O25" s="51"/>
      <c r="P25" s="51"/>
      <c r="Q25" s="51"/>
      <c r="R25" s="51"/>
      <c r="S25" s="51"/>
      <c r="T25" s="51"/>
      <c r="U25" s="51"/>
      <c r="V25" s="53"/>
      <c r="W25" s="53"/>
      <c r="X25" s="53"/>
      <c r="Y25" s="53"/>
      <c r="Z25" s="53"/>
      <c r="AA25" s="53"/>
    </row>
    <row r="26" spans="1:27" ht="15.75" customHeight="1" x14ac:dyDescent="0.2">
      <c r="A26" s="3"/>
      <c r="B26" s="51"/>
      <c r="C26" s="3"/>
      <c r="D26" s="3"/>
      <c r="E26" s="3"/>
      <c r="F26" s="3"/>
      <c r="G26" s="3"/>
      <c r="H26" s="3"/>
      <c r="I26" s="3"/>
      <c r="J26" s="3"/>
      <c r="K26" s="3"/>
      <c r="L26" s="3"/>
      <c r="M26" s="53"/>
      <c r="N26" s="75" t="s">
        <v>101</v>
      </c>
      <c r="O26" s="76"/>
      <c r="P26" s="77">
        <f>N21/O21</f>
        <v>3.5362903225806451E-2</v>
      </c>
      <c r="Q26" s="51"/>
      <c r="R26" s="51"/>
      <c r="S26" s="51"/>
      <c r="T26" s="51"/>
      <c r="U26" s="51"/>
      <c r="V26" s="53"/>
      <c r="W26" s="53"/>
      <c r="X26" s="53"/>
      <c r="Y26" s="53"/>
      <c r="Z26" s="53"/>
      <c r="AA26" s="53"/>
    </row>
    <row r="27" spans="1:27" ht="15.75" customHeight="1" x14ac:dyDescent="0.2">
      <c r="A27" s="3"/>
      <c r="B27" s="51"/>
      <c r="C27" s="78"/>
      <c r="D27" s="65"/>
      <c r="E27" s="66"/>
      <c r="F27" s="67"/>
      <c r="G27" s="73"/>
      <c r="H27" s="67"/>
      <c r="I27" s="66"/>
      <c r="J27" s="67"/>
      <c r="K27" s="68"/>
      <c r="L27" s="79"/>
      <c r="M27" s="53"/>
      <c r="N27" s="51"/>
      <c r="O27" s="51"/>
      <c r="P27" s="51"/>
      <c r="Q27" s="51"/>
      <c r="R27" s="51"/>
      <c r="S27" s="51"/>
      <c r="T27" s="51"/>
      <c r="U27" s="51"/>
      <c r="V27" s="53"/>
      <c r="W27" s="53"/>
      <c r="X27" s="53"/>
      <c r="Y27" s="53"/>
      <c r="Z27" s="53"/>
      <c r="AA27" s="53"/>
    </row>
    <row r="28" spans="1:27" ht="15.75" customHeight="1" x14ac:dyDescent="0.2">
      <c r="A28" s="3"/>
      <c r="B28" s="51"/>
      <c r="C28" s="78"/>
      <c r="D28" s="51"/>
      <c r="E28" s="73"/>
      <c r="F28" s="51"/>
      <c r="G28" s="73"/>
      <c r="H28" s="51"/>
      <c r="I28" s="73"/>
      <c r="J28" s="51"/>
      <c r="K28" s="51"/>
      <c r="L28" s="51"/>
      <c r="M28" s="53"/>
      <c r="N28" s="51"/>
      <c r="O28" s="51"/>
      <c r="P28" s="51"/>
      <c r="Q28" s="51"/>
      <c r="R28" s="51"/>
      <c r="S28" s="51"/>
      <c r="T28" s="51"/>
      <c r="U28" s="51"/>
      <c r="V28" s="53"/>
      <c r="W28" s="53"/>
      <c r="X28" s="53"/>
      <c r="Y28" s="53"/>
      <c r="Z28" s="53"/>
      <c r="AA28" s="53"/>
    </row>
    <row r="29" spans="1:27" ht="15.75" customHeight="1" x14ac:dyDescent="0.2">
      <c r="A29" s="3"/>
      <c r="B29" s="51"/>
      <c r="C29" s="80" t="s">
        <v>77</v>
      </c>
      <c r="D29" s="139"/>
      <c r="E29" s="205"/>
      <c r="F29" s="206"/>
      <c r="G29" s="205">
        <f t="shared" ref="G29:H29" si="3">AVERAGE(G23:G25)</f>
        <v>0</v>
      </c>
      <c r="H29" s="206">
        <f t="shared" si="3"/>
        <v>0</v>
      </c>
      <c r="I29" s="205"/>
      <c r="J29" s="139">
        <f>AVERAGE(J21:J25)</f>
        <v>16.404429814736943</v>
      </c>
      <c r="K29" s="206"/>
      <c r="L29" s="81">
        <f>AVERAGE(L21:L25)</f>
        <v>0.49586183220108382</v>
      </c>
      <c r="M29" s="53"/>
      <c r="N29" s="51"/>
      <c r="O29" s="51"/>
      <c r="P29" s="51"/>
      <c r="Q29" s="51"/>
      <c r="R29" s="51"/>
      <c r="S29" s="51"/>
      <c r="T29" s="51"/>
      <c r="U29" s="51"/>
      <c r="V29" s="53"/>
      <c r="W29" s="53"/>
      <c r="X29" s="53"/>
      <c r="Y29" s="53"/>
      <c r="Z29" s="53"/>
      <c r="AA29" s="53"/>
    </row>
    <row r="30" spans="1:27" ht="15.75" customHeight="1" x14ac:dyDescent="0.2">
      <c r="A30" s="3"/>
      <c r="B30" s="51"/>
      <c r="C30" s="82" t="s">
        <v>102</v>
      </c>
      <c r="D30" s="207"/>
      <c r="E30" s="208"/>
      <c r="F30" s="209"/>
      <c r="G30" s="208">
        <f t="shared" ref="G30:H30" si="4">MEDIAN(G23:G25)</f>
        <v>0</v>
      </c>
      <c r="H30" s="209">
        <f t="shared" si="4"/>
        <v>0</v>
      </c>
      <c r="I30" s="208"/>
      <c r="J30" s="140">
        <f>MEDIAN(J21:J25)</f>
        <v>2.7775116670914395</v>
      </c>
      <c r="K30" s="209"/>
      <c r="L30" s="83">
        <f>MEDIAN(L21:L25)</f>
        <v>0.48467427977883137</v>
      </c>
      <c r="M30" s="53"/>
      <c r="N30" s="51"/>
      <c r="O30" s="51"/>
      <c r="P30" s="51"/>
      <c r="Q30" s="51"/>
      <c r="R30" s="51"/>
      <c r="S30" s="51"/>
      <c r="T30" s="51"/>
      <c r="U30" s="51"/>
      <c r="V30" s="53"/>
      <c r="W30" s="53"/>
      <c r="X30" s="53"/>
      <c r="Y30" s="53"/>
      <c r="Z30" s="53"/>
      <c r="AA30" s="53"/>
    </row>
    <row r="31" spans="1:27" ht="15.75" customHeight="1" x14ac:dyDescent="0.2">
      <c r="A31" s="3"/>
      <c r="B31" s="51"/>
      <c r="C31" s="51"/>
      <c r="D31" s="51"/>
      <c r="E31" s="73"/>
      <c r="F31" s="51"/>
      <c r="G31" s="73"/>
      <c r="H31" s="51"/>
      <c r="I31" s="73"/>
      <c r="J31" s="84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3"/>
      <c r="W31" s="53"/>
      <c r="X31" s="53"/>
      <c r="Y31" s="53"/>
      <c r="Z31" s="53"/>
      <c r="AA31" s="53"/>
    </row>
    <row r="32" spans="1:27" ht="29.25" customHeight="1" x14ac:dyDescent="0.2">
      <c r="A32" s="3"/>
      <c r="B32" s="51"/>
      <c r="C32" s="210" t="s">
        <v>103</v>
      </c>
      <c r="D32" s="198" t="s">
        <v>99</v>
      </c>
      <c r="E32" s="211" t="s">
        <v>94</v>
      </c>
      <c r="F32" s="198"/>
      <c r="G32" s="212" t="s">
        <v>95</v>
      </c>
      <c r="H32" s="199" t="s">
        <v>96</v>
      </c>
      <c r="I32" s="211" t="s">
        <v>97</v>
      </c>
      <c r="J32" s="198" t="s">
        <v>98</v>
      </c>
      <c r="K32" s="198" t="s">
        <v>88</v>
      </c>
      <c r="L32" s="200" t="s">
        <v>93</v>
      </c>
      <c r="M32" s="53"/>
      <c r="N32" s="51"/>
      <c r="O32" s="51"/>
      <c r="P32" s="51"/>
      <c r="Q32" s="51"/>
      <c r="R32" s="51"/>
      <c r="S32" s="51"/>
      <c r="T32" s="51"/>
      <c r="U32" s="51"/>
      <c r="V32" s="53"/>
      <c r="W32" s="53"/>
      <c r="X32" s="53"/>
      <c r="Y32" s="53"/>
      <c r="Z32" s="53"/>
      <c r="AA32" s="53"/>
    </row>
    <row r="33" spans="1:27" ht="15.75" customHeight="1" thickBot="1" x14ac:dyDescent="0.25">
      <c r="A33" s="3"/>
      <c r="B33" s="51"/>
      <c r="C33" s="133" t="s">
        <v>104</v>
      </c>
      <c r="D33" s="134">
        <v>0.98305084745762716</v>
      </c>
      <c r="E33" s="135">
        <v>744</v>
      </c>
      <c r="F33" s="136"/>
      <c r="G33" s="135">
        <f t="shared" ref="G33:H33" si="5">G21</f>
        <v>0</v>
      </c>
      <c r="H33" s="136">
        <f t="shared" si="5"/>
        <v>0</v>
      </c>
      <c r="I33" s="137">
        <v>3100</v>
      </c>
      <c r="J33" s="129">
        <f t="shared" ref="J33" si="6">E33/I33</f>
        <v>0.24</v>
      </c>
      <c r="K33" s="130">
        <v>0.21</v>
      </c>
      <c r="L33" s="131">
        <f>D33*(1+(J33*(1-K33)))</f>
        <v>1.1694372881355932</v>
      </c>
      <c r="M33" s="53"/>
      <c r="N33" s="51"/>
      <c r="O33" s="51"/>
      <c r="P33" s="51"/>
      <c r="Q33" s="51"/>
      <c r="R33" s="51"/>
      <c r="S33" s="51"/>
      <c r="T33" s="51"/>
      <c r="U33" s="51"/>
      <c r="V33" s="53"/>
      <c r="W33" s="53"/>
      <c r="X33" s="53"/>
      <c r="Y33" s="53"/>
      <c r="Z33" s="53"/>
      <c r="AA33" s="53"/>
    </row>
    <row r="34" spans="1:27" ht="15.75" customHeight="1" thickBot="1" x14ac:dyDescent="0.25">
      <c r="A34" s="3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3"/>
      <c r="W34" s="53"/>
      <c r="X34" s="53"/>
      <c r="Y34" s="53"/>
      <c r="Z34" s="53"/>
      <c r="AA34" s="53"/>
    </row>
    <row r="35" spans="1:27" ht="15.75" customHeight="1" thickBot="1" x14ac:dyDescent="0.25">
      <c r="A35" s="3"/>
      <c r="B35" s="51"/>
      <c r="C35" s="223" t="s">
        <v>105</v>
      </c>
      <c r="D35" s="224"/>
      <c r="E35" s="224"/>
      <c r="F35" s="138">
        <f>D10+(D11*L33)</f>
        <v>9.7324677966101697E-2</v>
      </c>
      <c r="G35" s="51"/>
      <c r="H35" s="47"/>
      <c r="I35" s="47"/>
      <c r="J35" s="47"/>
      <c r="K35" s="47"/>
      <c r="L35" s="47"/>
      <c r="M35" s="51"/>
      <c r="N35" s="51"/>
      <c r="O35" s="51"/>
      <c r="P35" s="51"/>
      <c r="Q35" s="51"/>
      <c r="R35" s="51"/>
      <c r="S35" s="51"/>
      <c r="T35" s="51"/>
      <c r="U35" s="51"/>
      <c r="V35" s="53"/>
      <c r="W35" s="53"/>
      <c r="X35" s="53"/>
      <c r="Y35" s="53"/>
      <c r="Z35" s="53"/>
      <c r="AA35" s="53"/>
    </row>
    <row r="36" spans="1:27" ht="15.75" customHeight="1" x14ac:dyDescent="0.2">
      <c r="A36" s="3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3"/>
      <c r="W36" s="53"/>
      <c r="X36" s="53"/>
      <c r="Y36" s="53"/>
      <c r="Z36" s="53"/>
      <c r="AA36" s="53"/>
    </row>
    <row r="37" spans="1:27" ht="15.75" customHeight="1" x14ac:dyDescent="0.2">
      <c r="A37" s="3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3"/>
      <c r="W37" s="53"/>
      <c r="X37" s="53"/>
      <c r="Y37" s="53"/>
      <c r="Z37" s="53"/>
      <c r="AA37" s="53"/>
    </row>
    <row r="38" spans="1:27" ht="15.75" customHeight="1" x14ac:dyDescent="0.2">
      <c r="A38" s="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3"/>
      <c r="W38" s="53"/>
      <c r="X38" s="53"/>
      <c r="Y38" s="53"/>
      <c r="Z38" s="53"/>
      <c r="AA38" s="53"/>
    </row>
    <row r="39" spans="1:27" ht="15.75" customHeight="1" x14ac:dyDescent="0.2">
      <c r="A39" s="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3"/>
      <c r="W39" s="53"/>
      <c r="X39" s="53"/>
      <c r="Y39" s="53"/>
      <c r="Z39" s="53"/>
      <c r="AA39" s="53"/>
    </row>
    <row r="40" spans="1:27" ht="15.75" customHeight="1" x14ac:dyDescent="0.2">
      <c r="A40" s="3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3"/>
      <c r="W40" s="53"/>
      <c r="X40" s="53"/>
      <c r="Y40" s="53"/>
      <c r="Z40" s="53"/>
      <c r="AA40" s="53"/>
    </row>
    <row r="41" spans="1:27" ht="15.75" customHeight="1" x14ac:dyDescent="0.2">
      <c r="A41" s="3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3"/>
      <c r="W41" s="53"/>
      <c r="X41" s="53"/>
      <c r="Y41" s="53"/>
      <c r="Z41" s="53"/>
      <c r="AA41" s="53"/>
    </row>
    <row r="42" spans="1:27" ht="15.75" customHeight="1" x14ac:dyDescent="0.2">
      <c r="A42" s="3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3"/>
      <c r="W42" s="53"/>
      <c r="X42" s="53"/>
      <c r="Y42" s="53"/>
      <c r="Z42" s="53"/>
      <c r="AA42" s="53"/>
    </row>
    <row r="43" spans="1:27" ht="15.75" customHeight="1" x14ac:dyDescent="0.2">
      <c r="A43" s="3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3"/>
      <c r="W43" s="53"/>
      <c r="X43" s="53"/>
      <c r="Y43" s="53"/>
      <c r="Z43" s="53"/>
      <c r="AA43" s="53"/>
    </row>
    <row r="44" spans="1:27" ht="15.75" customHeight="1" x14ac:dyDescent="0.2">
      <c r="A44" s="3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3"/>
      <c r="W44" s="53"/>
      <c r="X44" s="53"/>
      <c r="Y44" s="53"/>
      <c r="Z44" s="53"/>
      <c r="AA44" s="53"/>
    </row>
    <row r="45" spans="1:27" ht="15.75" customHeight="1" x14ac:dyDescent="0.2">
      <c r="A45" s="3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3"/>
      <c r="W45" s="53"/>
      <c r="X45" s="53"/>
      <c r="Y45" s="53"/>
      <c r="Z45" s="53"/>
      <c r="AA45" s="53"/>
    </row>
    <row r="46" spans="1:27" ht="15.75" customHeight="1" x14ac:dyDescent="0.2">
      <c r="A46" s="3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3"/>
      <c r="W46" s="53"/>
      <c r="X46" s="53"/>
      <c r="Y46" s="53"/>
      <c r="Z46" s="53"/>
      <c r="AA46" s="53"/>
    </row>
    <row r="47" spans="1:27" ht="15.75" customHeight="1" x14ac:dyDescent="0.2">
      <c r="A47" s="3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3"/>
      <c r="W47" s="53"/>
      <c r="X47" s="53"/>
      <c r="Y47" s="53"/>
      <c r="Z47" s="53"/>
      <c r="AA47" s="53"/>
    </row>
    <row r="48" spans="1:27" ht="15.75" customHeight="1" x14ac:dyDescent="0.2">
      <c r="A48" s="3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3"/>
      <c r="W48" s="53"/>
      <c r="X48" s="53"/>
      <c r="Y48" s="53"/>
      <c r="Z48" s="53"/>
      <c r="AA48" s="53"/>
    </row>
    <row r="49" spans="1:27" ht="15.75" customHeight="1" x14ac:dyDescent="0.2">
      <c r="A49" s="3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3"/>
      <c r="W49" s="53"/>
      <c r="X49" s="53"/>
      <c r="Y49" s="53"/>
      <c r="Z49" s="53"/>
      <c r="AA49" s="53"/>
    </row>
    <row r="50" spans="1:27" ht="15.75" customHeight="1" x14ac:dyDescent="0.2">
      <c r="A50" s="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3"/>
      <c r="W50" s="53"/>
      <c r="X50" s="53"/>
      <c r="Y50" s="53"/>
      <c r="Z50" s="53"/>
      <c r="AA50" s="53"/>
    </row>
    <row r="51" spans="1:27" ht="15.75" customHeight="1" x14ac:dyDescent="0.2">
      <c r="A51" s="3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3"/>
      <c r="W51" s="53"/>
      <c r="X51" s="53"/>
      <c r="Y51" s="53"/>
      <c r="Z51" s="53"/>
      <c r="AA51" s="53"/>
    </row>
    <row r="52" spans="1:27" ht="15.75" customHeight="1" x14ac:dyDescent="0.2">
      <c r="A52" s="3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3"/>
      <c r="W52" s="53"/>
      <c r="X52" s="53"/>
      <c r="Y52" s="53"/>
      <c r="Z52" s="53"/>
      <c r="AA52" s="53"/>
    </row>
    <row r="53" spans="1:27" ht="15.75" customHeight="1" x14ac:dyDescent="0.2">
      <c r="A53" s="3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3"/>
      <c r="W53" s="53"/>
      <c r="X53" s="53"/>
      <c r="Y53" s="53"/>
      <c r="Z53" s="53"/>
      <c r="AA53" s="53"/>
    </row>
    <row r="54" spans="1:27" ht="15.75" customHeight="1" x14ac:dyDescent="0.2">
      <c r="A54" s="3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3"/>
      <c r="W54" s="53"/>
      <c r="X54" s="53"/>
      <c r="Y54" s="53"/>
      <c r="Z54" s="53"/>
      <c r="AA54" s="53"/>
    </row>
    <row r="55" spans="1:27" ht="15.75" customHeight="1" x14ac:dyDescent="0.2">
      <c r="A55" s="3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3"/>
      <c r="W55" s="53"/>
      <c r="X55" s="53"/>
      <c r="Y55" s="53"/>
      <c r="Z55" s="53"/>
      <c r="AA55" s="53"/>
    </row>
    <row r="56" spans="1:27" ht="15.75" customHeight="1" x14ac:dyDescent="0.2">
      <c r="A56" s="3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3"/>
      <c r="W56" s="53"/>
      <c r="X56" s="53"/>
      <c r="Y56" s="53"/>
      <c r="Z56" s="53"/>
      <c r="AA56" s="53"/>
    </row>
    <row r="57" spans="1:27" ht="15.75" customHeight="1" x14ac:dyDescent="0.2">
      <c r="A57" s="3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3"/>
      <c r="W57" s="53"/>
      <c r="X57" s="53"/>
      <c r="Y57" s="53"/>
      <c r="Z57" s="53"/>
      <c r="AA57" s="53"/>
    </row>
    <row r="58" spans="1:27" ht="15.75" customHeight="1" x14ac:dyDescent="0.2">
      <c r="A58" s="3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3"/>
      <c r="W58" s="53"/>
      <c r="X58" s="53"/>
      <c r="Y58" s="53"/>
      <c r="Z58" s="53"/>
      <c r="AA58" s="53"/>
    </row>
    <row r="59" spans="1:27" ht="15.75" customHeight="1" x14ac:dyDescent="0.2">
      <c r="A59" s="3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3"/>
      <c r="W59" s="53"/>
      <c r="X59" s="53"/>
      <c r="Y59" s="53"/>
      <c r="Z59" s="53"/>
      <c r="AA59" s="53"/>
    </row>
    <row r="60" spans="1:27" ht="15.75" customHeight="1" x14ac:dyDescent="0.2">
      <c r="A60" s="3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3"/>
      <c r="W60" s="53"/>
      <c r="X60" s="53"/>
      <c r="Y60" s="53"/>
      <c r="Z60" s="53"/>
      <c r="AA60" s="53"/>
    </row>
    <row r="61" spans="1:27" ht="15.75" customHeight="1" x14ac:dyDescent="0.2">
      <c r="A61" s="3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3"/>
      <c r="W61" s="53"/>
      <c r="X61" s="53"/>
      <c r="Y61" s="53"/>
      <c r="Z61" s="53"/>
      <c r="AA61" s="53"/>
    </row>
    <row r="62" spans="1:27" ht="15.75" customHeight="1" x14ac:dyDescent="0.2">
      <c r="A62" s="3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3"/>
      <c r="W62" s="53"/>
      <c r="X62" s="53"/>
      <c r="Y62" s="53"/>
      <c r="Z62" s="53"/>
      <c r="AA62" s="53"/>
    </row>
    <row r="63" spans="1:27" ht="15.75" customHeight="1" x14ac:dyDescent="0.2">
      <c r="A63" s="3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3"/>
      <c r="W63" s="53"/>
      <c r="X63" s="53"/>
      <c r="Y63" s="53"/>
      <c r="Z63" s="53"/>
      <c r="AA63" s="53"/>
    </row>
    <row r="64" spans="1:27" ht="15.75" customHeight="1" x14ac:dyDescent="0.2">
      <c r="A64" s="3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3"/>
      <c r="W64" s="53"/>
      <c r="X64" s="53"/>
      <c r="Y64" s="53"/>
      <c r="Z64" s="53"/>
      <c r="AA64" s="53"/>
    </row>
    <row r="65" spans="1:27" ht="15.75" customHeight="1" x14ac:dyDescent="0.2">
      <c r="A65" s="3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3"/>
      <c r="W65" s="53"/>
      <c r="X65" s="53"/>
      <c r="Y65" s="53"/>
      <c r="Z65" s="53"/>
      <c r="AA65" s="53"/>
    </row>
    <row r="66" spans="1:27" ht="15.75" customHeight="1" x14ac:dyDescent="0.2">
      <c r="A66" s="3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3"/>
      <c r="W66" s="53"/>
      <c r="X66" s="53"/>
      <c r="Y66" s="53"/>
      <c r="Z66" s="53"/>
      <c r="AA66" s="53"/>
    </row>
    <row r="67" spans="1:27" ht="15.75" customHeight="1" x14ac:dyDescent="0.2">
      <c r="A67" s="3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3"/>
      <c r="W67" s="53"/>
      <c r="X67" s="53"/>
      <c r="Y67" s="53"/>
      <c r="Z67" s="53"/>
      <c r="AA67" s="53"/>
    </row>
    <row r="68" spans="1:27" ht="15.75" customHeight="1" x14ac:dyDescent="0.2">
      <c r="A68" s="3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3"/>
      <c r="W68" s="53"/>
      <c r="X68" s="53"/>
      <c r="Y68" s="53"/>
      <c r="Z68" s="53"/>
      <c r="AA68" s="53"/>
    </row>
    <row r="69" spans="1:27" ht="15.75" customHeight="1" x14ac:dyDescent="0.2">
      <c r="A69" s="3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3"/>
      <c r="W69" s="53"/>
      <c r="X69" s="53"/>
      <c r="Y69" s="53"/>
      <c r="Z69" s="53"/>
      <c r="AA69" s="53"/>
    </row>
    <row r="70" spans="1:27" ht="15.75" customHeight="1" x14ac:dyDescent="0.2">
      <c r="A70" s="3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3"/>
      <c r="W70" s="53"/>
      <c r="X70" s="53"/>
      <c r="Y70" s="53"/>
      <c r="Z70" s="53"/>
      <c r="AA70" s="53"/>
    </row>
    <row r="71" spans="1:27" ht="15.75" customHeight="1" x14ac:dyDescent="0.2">
      <c r="A71" s="3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3"/>
      <c r="W71" s="53"/>
      <c r="X71" s="53"/>
      <c r="Y71" s="53"/>
      <c r="Z71" s="53"/>
      <c r="AA71" s="53"/>
    </row>
    <row r="72" spans="1:27" ht="15.75" customHeight="1" x14ac:dyDescent="0.2">
      <c r="A72" s="3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3"/>
      <c r="W72" s="53"/>
      <c r="X72" s="53"/>
      <c r="Y72" s="53"/>
      <c r="Z72" s="53"/>
      <c r="AA72" s="53"/>
    </row>
    <row r="73" spans="1:27" ht="15.75" customHeight="1" x14ac:dyDescent="0.2">
      <c r="A73" s="3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3"/>
      <c r="W73" s="53"/>
      <c r="X73" s="53"/>
      <c r="Y73" s="53"/>
      <c r="Z73" s="53"/>
      <c r="AA73" s="53"/>
    </row>
    <row r="74" spans="1:27" ht="15.75" customHeight="1" x14ac:dyDescent="0.2">
      <c r="A74" s="3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3"/>
      <c r="W74" s="53"/>
      <c r="X74" s="53"/>
      <c r="Y74" s="53"/>
      <c r="Z74" s="53"/>
      <c r="AA74" s="53"/>
    </row>
    <row r="75" spans="1:27" ht="15.75" customHeight="1" x14ac:dyDescent="0.2">
      <c r="A75" s="3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3"/>
      <c r="W75" s="53"/>
      <c r="X75" s="53"/>
      <c r="Y75" s="53"/>
      <c r="Z75" s="53"/>
      <c r="AA75" s="53"/>
    </row>
    <row r="76" spans="1:27" ht="15.75" customHeight="1" x14ac:dyDescent="0.2">
      <c r="A76" s="3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3"/>
      <c r="W76" s="53"/>
      <c r="X76" s="53"/>
      <c r="Y76" s="53"/>
      <c r="Z76" s="53"/>
      <c r="AA76" s="53"/>
    </row>
    <row r="77" spans="1:27" ht="15.75" customHeight="1" x14ac:dyDescent="0.2">
      <c r="A77" s="3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3"/>
      <c r="W77" s="53"/>
      <c r="X77" s="53"/>
      <c r="Y77" s="53"/>
      <c r="Z77" s="53"/>
      <c r="AA77" s="53"/>
    </row>
    <row r="78" spans="1:27" ht="15.75" customHeight="1" x14ac:dyDescent="0.2">
      <c r="A78" s="3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3"/>
      <c r="W78" s="53"/>
      <c r="X78" s="53"/>
      <c r="Y78" s="53"/>
      <c r="Z78" s="53"/>
      <c r="AA78" s="53"/>
    </row>
    <row r="79" spans="1:27" ht="15.75" customHeight="1" x14ac:dyDescent="0.2">
      <c r="A79" s="3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3"/>
      <c r="W79" s="53"/>
      <c r="X79" s="53"/>
      <c r="Y79" s="53"/>
      <c r="Z79" s="53"/>
      <c r="AA79" s="53"/>
    </row>
    <row r="80" spans="1:27" ht="15.75" customHeight="1" x14ac:dyDescent="0.2">
      <c r="A80" s="3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3"/>
      <c r="W80" s="53"/>
      <c r="X80" s="53"/>
      <c r="Y80" s="53"/>
      <c r="Z80" s="53"/>
      <c r="AA80" s="53"/>
    </row>
    <row r="81" spans="1:27" ht="15.75" customHeight="1" x14ac:dyDescent="0.2">
      <c r="A81" s="3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3"/>
      <c r="W81" s="53"/>
      <c r="X81" s="53"/>
      <c r="Y81" s="53"/>
      <c r="Z81" s="53"/>
      <c r="AA81" s="53"/>
    </row>
    <row r="82" spans="1:27" ht="15.75" customHeight="1" x14ac:dyDescent="0.2">
      <c r="A82" s="3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3"/>
      <c r="W82" s="53"/>
      <c r="X82" s="53"/>
      <c r="Y82" s="53"/>
      <c r="Z82" s="53"/>
      <c r="AA82" s="53"/>
    </row>
    <row r="83" spans="1:27" ht="15.75" customHeight="1" x14ac:dyDescent="0.2">
      <c r="A83" s="3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3"/>
      <c r="W83" s="53"/>
      <c r="X83" s="53"/>
      <c r="Y83" s="53"/>
      <c r="Z83" s="53"/>
      <c r="AA83" s="53"/>
    </row>
    <row r="84" spans="1:27" ht="15.75" customHeight="1" x14ac:dyDescent="0.2">
      <c r="A84" s="3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3"/>
      <c r="W84" s="53"/>
      <c r="X84" s="53"/>
      <c r="Y84" s="53"/>
      <c r="Z84" s="53"/>
      <c r="AA84" s="53"/>
    </row>
    <row r="85" spans="1:27" ht="15.75" customHeight="1" x14ac:dyDescent="0.2">
      <c r="A85" s="3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3"/>
      <c r="W85" s="53"/>
      <c r="X85" s="53"/>
      <c r="Y85" s="53"/>
      <c r="Z85" s="53"/>
      <c r="AA85" s="53"/>
    </row>
    <row r="86" spans="1:27" ht="15.75" customHeight="1" x14ac:dyDescent="0.2">
      <c r="A86" s="3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3"/>
      <c r="W86" s="53"/>
      <c r="X86" s="53"/>
      <c r="Y86" s="53"/>
      <c r="Z86" s="53"/>
      <c r="AA86" s="53"/>
    </row>
    <row r="87" spans="1:27" ht="15.75" customHeight="1" x14ac:dyDescent="0.2">
      <c r="A87" s="3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3"/>
      <c r="W87" s="53"/>
      <c r="X87" s="53"/>
      <c r="Y87" s="53"/>
      <c r="Z87" s="53"/>
      <c r="AA87" s="53"/>
    </row>
    <row r="88" spans="1:27" ht="15.75" customHeight="1" x14ac:dyDescent="0.2">
      <c r="A88" s="3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3"/>
      <c r="W88" s="53"/>
      <c r="X88" s="53"/>
      <c r="Y88" s="53"/>
      <c r="Z88" s="53"/>
      <c r="AA88" s="53"/>
    </row>
    <row r="89" spans="1:27" ht="15.75" customHeight="1" x14ac:dyDescent="0.2">
      <c r="A89" s="3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3"/>
      <c r="W89" s="53"/>
      <c r="X89" s="53"/>
      <c r="Y89" s="53"/>
      <c r="Z89" s="53"/>
      <c r="AA89" s="53"/>
    </row>
    <row r="90" spans="1:27" ht="15.75" customHeight="1" x14ac:dyDescent="0.2">
      <c r="A90" s="3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3"/>
      <c r="W90" s="53"/>
      <c r="X90" s="53"/>
      <c r="Y90" s="53"/>
      <c r="Z90" s="53"/>
      <c r="AA90" s="53"/>
    </row>
    <row r="91" spans="1:27" ht="15.75" customHeight="1" x14ac:dyDescent="0.2">
      <c r="A91" s="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3"/>
      <c r="W91" s="53"/>
      <c r="X91" s="53"/>
      <c r="Y91" s="53"/>
      <c r="Z91" s="53"/>
      <c r="AA91" s="53"/>
    </row>
    <row r="92" spans="1:27" ht="15.75" customHeight="1" x14ac:dyDescent="0.2">
      <c r="A92" s="3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3"/>
      <c r="W92" s="53"/>
      <c r="X92" s="53"/>
      <c r="Y92" s="53"/>
      <c r="Z92" s="53"/>
      <c r="AA92" s="53"/>
    </row>
    <row r="93" spans="1:27" ht="15.75" customHeight="1" x14ac:dyDescent="0.2">
      <c r="A93" s="3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3"/>
      <c r="W93" s="53"/>
      <c r="X93" s="53"/>
      <c r="Y93" s="53"/>
      <c r="Z93" s="53"/>
      <c r="AA93" s="53"/>
    </row>
    <row r="94" spans="1:27" ht="15.75" customHeight="1" x14ac:dyDescent="0.2">
      <c r="A94" s="3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3"/>
      <c r="W94" s="53"/>
      <c r="X94" s="53"/>
      <c r="Y94" s="53"/>
      <c r="Z94" s="53"/>
      <c r="AA94" s="53"/>
    </row>
    <row r="95" spans="1:27" ht="15.75" customHeight="1" x14ac:dyDescent="0.2">
      <c r="A95" s="3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3"/>
      <c r="W95" s="53"/>
      <c r="X95" s="53"/>
      <c r="Y95" s="53"/>
      <c r="Z95" s="53"/>
      <c r="AA95" s="53"/>
    </row>
    <row r="96" spans="1:27" ht="15.75" customHeight="1" x14ac:dyDescent="0.2">
      <c r="A96" s="3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3"/>
      <c r="W96" s="53"/>
      <c r="X96" s="53"/>
      <c r="Y96" s="53"/>
      <c r="Z96" s="53"/>
      <c r="AA96" s="53"/>
    </row>
    <row r="97" spans="1:27" ht="15.75" customHeight="1" x14ac:dyDescent="0.2">
      <c r="A97" s="3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3"/>
      <c r="W97" s="53"/>
      <c r="X97" s="53"/>
      <c r="Y97" s="53"/>
      <c r="Z97" s="53"/>
      <c r="AA97" s="53"/>
    </row>
    <row r="98" spans="1:27" ht="15.75" customHeight="1" x14ac:dyDescent="0.2">
      <c r="A98" s="3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3"/>
      <c r="W98" s="53"/>
      <c r="X98" s="53"/>
      <c r="Y98" s="53"/>
      <c r="Z98" s="53"/>
      <c r="AA98" s="53"/>
    </row>
    <row r="99" spans="1:27" ht="15.75" customHeight="1" x14ac:dyDescent="0.2">
      <c r="A99" s="3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3"/>
      <c r="W99" s="53"/>
      <c r="X99" s="53"/>
      <c r="Y99" s="53"/>
      <c r="Z99" s="53"/>
      <c r="AA99" s="53"/>
    </row>
    <row r="100" spans="1:27" ht="15.75" customHeight="1" x14ac:dyDescent="0.2">
      <c r="A100" s="3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3"/>
      <c r="W100" s="53"/>
      <c r="X100" s="53"/>
      <c r="Y100" s="53"/>
      <c r="Z100" s="53"/>
      <c r="AA100" s="53"/>
    </row>
    <row r="101" spans="1:27" ht="15.75" customHeight="1" x14ac:dyDescent="0.2">
      <c r="A101" s="3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3"/>
      <c r="W101" s="53"/>
      <c r="X101" s="53"/>
      <c r="Y101" s="53"/>
      <c r="Z101" s="53"/>
      <c r="AA101" s="53"/>
    </row>
    <row r="102" spans="1:27" ht="15.75" customHeight="1" x14ac:dyDescent="0.2">
      <c r="A102" s="3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3"/>
      <c r="W102" s="53"/>
      <c r="X102" s="53"/>
      <c r="Y102" s="53"/>
      <c r="Z102" s="53"/>
      <c r="AA102" s="53"/>
    </row>
    <row r="103" spans="1:27" ht="15.75" customHeight="1" x14ac:dyDescent="0.2">
      <c r="A103" s="3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3"/>
      <c r="W103" s="53"/>
      <c r="X103" s="53"/>
      <c r="Y103" s="53"/>
      <c r="Z103" s="53"/>
      <c r="AA103" s="53"/>
    </row>
    <row r="104" spans="1:27" ht="15.75" customHeight="1" x14ac:dyDescent="0.2">
      <c r="A104" s="3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3"/>
      <c r="W104" s="53"/>
      <c r="X104" s="53"/>
      <c r="Y104" s="53"/>
      <c r="Z104" s="53"/>
      <c r="AA104" s="53"/>
    </row>
    <row r="105" spans="1:27" ht="15.75" customHeight="1" x14ac:dyDescent="0.2">
      <c r="A105" s="3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3"/>
      <c r="W105" s="53"/>
      <c r="X105" s="53"/>
      <c r="Y105" s="53"/>
      <c r="Z105" s="53"/>
      <c r="AA105" s="53"/>
    </row>
    <row r="106" spans="1:27" ht="15.75" customHeight="1" x14ac:dyDescent="0.2">
      <c r="A106" s="3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3"/>
      <c r="W106" s="53"/>
      <c r="X106" s="53"/>
      <c r="Y106" s="53"/>
      <c r="Z106" s="53"/>
      <c r="AA106" s="53"/>
    </row>
    <row r="107" spans="1:27" ht="15.75" customHeight="1" x14ac:dyDescent="0.2">
      <c r="A107" s="3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3"/>
      <c r="W107" s="53"/>
      <c r="X107" s="53"/>
      <c r="Y107" s="53"/>
      <c r="Z107" s="53"/>
      <c r="AA107" s="53"/>
    </row>
    <row r="108" spans="1:27" ht="15.75" customHeight="1" x14ac:dyDescent="0.2">
      <c r="A108" s="3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3"/>
      <c r="W108" s="53"/>
      <c r="X108" s="53"/>
      <c r="Y108" s="53"/>
      <c r="Z108" s="53"/>
      <c r="AA108" s="53"/>
    </row>
    <row r="109" spans="1:27" ht="15.75" customHeight="1" x14ac:dyDescent="0.2">
      <c r="A109" s="3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3"/>
      <c r="W109" s="53"/>
      <c r="X109" s="53"/>
      <c r="Y109" s="53"/>
      <c r="Z109" s="53"/>
      <c r="AA109" s="53"/>
    </row>
    <row r="110" spans="1:27" ht="15.75" customHeight="1" x14ac:dyDescent="0.2">
      <c r="A110" s="3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3"/>
      <c r="W110" s="53"/>
      <c r="X110" s="53"/>
      <c r="Y110" s="53"/>
      <c r="Z110" s="53"/>
      <c r="AA110" s="53"/>
    </row>
    <row r="111" spans="1:27" ht="15.75" customHeight="1" x14ac:dyDescent="0.2">
      <c r="A111" s="3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3"/>
      <c r="W111" s="53"/>
      <c r="X111" s="53"/>
      <c r="Y111" s="53"/>
      <c r="Z111" s="53"/>
      <c r="AA111" s="53"/>
    </row>
    <row r="112" spans="1:27" ht="15.75" customHeight="1" x14ac:dyDescent="0.2">
      <c r="A112" s="3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3"/>
      <c r="W112" s="53"/>
      <c r="X112" s="53"/>
      <c r="Y112" s="53"/>
      <c r="Z112" s="53"/>
      <c r="AA112" s="53"/>
    </row>
    <row r="113" spans="1:27" ht="15.75" customHeight="1" x14ac:dyDescent="0.2">
      <c r="A113" s="3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3"/>
      <c r="W113" s="53"/>
      <c r="X113" s="53"/>
      <c r="Y113" s="53"/>
      <c r="Z113" s="53"/>
      <c r="AA113" s="53"/>
    </row>
    <row r="114" spans="1:27" ht="15.75" customHeight="1" x14ac:dyDescent="0.2">
      <c r="A114" s="3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3"/>
      <c r="W114" s="53"/>
      <c r="X114" s="53"/>
      <c r="Y114" s="53"/>
      <c r="Z114" s="53"/>
      <c r="AA114" s="53"/>
    </row>
    <row r="115" spans="1:27" ht="15.75" customHeight="1" x14ac:dyDescent="0.2">
      <c r="A115" s="3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3"/>
      <c r="W115" s="53"/>
      <c r="X115" s="53"/>
      <c r="Y115" s="53"/>
      <c r="Z115" s="53"/>
      <c r="AA115" s="53"/>
    </row>
    <row r="116" spans="1:27" ht="15.75" customHeight="1" x14ac:dyDescent="0.2">
      <c r="A116" s="3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3"/>
      <c r="W116" s="53"/>
      <c r="X116" s="53"/>
      <c r="Y116" s="53"/>
      <c r="Z116" s="53"/>
      <c r="AA116" s="53"/>
    </row>
    <row r="117" spans="1:27" ht="15.75" customHeight="1" x14ac:dyDescent="0.2">
      <c r="A117" s="3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3"/>
      <c r="W117" s="53"/>
      <c r="X117" s="53"/>
      <c r="Y117" s="53"/>
      <c r="Z117" s="53"/>
      <c r="AA117" s="53"/>
    </row>
    <row r="118" spans="1:27" ht="15.75" customHeight="1" x14ac:dyDescent="0.2">
      <c r="A118" s="3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3"/>
      <c r="W118" s="53"/>
      <c r="X118" s="53"/>
      <c r="Y118" s="53"/>
      <c r="Z118" s="53"/>
      <c r="AA118" s="53"/>
    </row>
    <row r="119" spans="1:27" ht="15.75" customHeight="1" x14ac:dyDescent="0.2">
      <c r="A119" s="3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3"/>
      <c r="W119" s="53"/>
      <c r="X119" s="53"/>
      <c r="Y119" s="53"/>
      <c r="Z119" s="53"/>
      <c r="AA119" s="53"/>
    </row>
    <row r="120" spans="1:27" ht="15.75" customHeight="1" x14ac:dyDescent="0.2">
      <c r="A120" s="3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3"/>
      <c r="W120" s="53"/>
      <c r="X120" s="53"/>
      <c r="Y120" s="53"/>
      <c r="Z120" s="53"/>
      <c r="AA120" s="53"/>
    </row>
    <row r="121" spans="1:27" ht="15.75" customHeight="1" x14ac:dyDescent="0.2">
      <c r="A121" s="3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3"/>
      <c r="W121" s="53"/>
      <c r="X121" s="53"/>
      <c r="Y121" s="53"/>
      <c r="Z121" s="53"/>
      <c r="AA121" s="53"/>
    </row>
    <row r="122" spans="1:27" ht="15.75" customHeight="1" x14ac:dyDescent="0.2">
      <c r="A122" s="3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3"/>
      <c r="W122" s="53"/>
      <c r="X122" s="53"/>
      <c r="Y122" s="53"/>
      <c r="Z122" s="53"/>
      <c r="AA122" s="53"/>
    </row>
    <row r="123" spans="1:27" ht="15.75" customHeight="1" x14ac:dyDescent="0.2">
      <c r="A123" s="3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3"/>
      <c r="W123" s="53"/>
      <c r="X123" s="53"/>
      <c r="Y123" s="53"/>
      <c r="Z123" s="53"/>
      <c r="AA123" s="53"/>
    </row>
    <row r="124" spans="1:27" ht="15.75" customHeight="1" x14ac:dyDescent="0.2">
      <c r="A124" s="3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3"/>
      <c r="W124" s="53"/>
      <c r="X124" s="53"/>
      <c r="Y124" s="53"/>
      <c r="Z124" s="53"/>
      <c r="AA124" s="53"/>
    </row>
    <row r="125" spans="1:27" ht="15.75" customHeight="1" x14ac:dyDescent="0.2">
      <c r="A125" s="3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3"/>
      <c r="W125" s="53"/>
      <c r="X125" s="53"/>
      <c r="Y125" s="53"/>
      <c r="Z125" s="53"/>
      <c r="AA125" s="53"/>
    </row>
    <row r="126" spans="1:27" ht="15.75" customHeight="1" x14ac:dyDescent="0.2">
      <c r="A126" s="3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3"/>
      <c r="W126" s="53"/>
      <c r="X126" s="53"/>
      <c r="Y126" s="53"/>
      <c r="Z126" s="53"/>
      <c r="AA126" s="53"/>
    </row>
    <row r="127" spans="1:27" ht="15.75" customHeight="1" x14ac:dyDescent="0.2">
      <c r="A127" s="3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3"/>
      <c r="W127" s="53"/>
      <c r="X127" s="53"/>
      <c r="Y127" s="53"/>
      <c r="Z127" s="53"/>
      <c r="AA127" s="53"/>
    </row>
    <row r="128" spans="1:27" ht="15.75" customHeight="1" x14ac:dyDescent="0.2">
      <c r="A128" s="3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3"/>
      <c r="W128" s="53"/>
      <c r="X128" s="53"/>
      <c r="Y128" s="53"/>
      <c r="Z128" s="53"/>
      <c r="AA128" s="53"/>
    </row>
    <row r="129" spans="1:27" ht="15.75" customHeight="1" x14ac:dyDescent="0.2">
      <c r="A129" s="3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3"/>
      <c r="W129" s="53"/>
      <c r="X129" s="53"/>
      <c r="Y129" s="53"/>
      <c r="Z129" s="53"/>
      <c r="AA129" s="53"/>
    </row>
    <row r="130" spans="1:27" ht="15.75" customHeight="1" x14ac:dyDescent="0.2">
      <c r="A130" s="3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3"/>
      <c r="W130" s="53"/>
      <c r="X130" s="53"/>
      <c r="Y130" s="53"/>
      <c r="Z130" s="53"/>
      <c r="AA130" s="53"/>
    </row>
    <row r="131" spans="1:27" ht="15.75" customHeight="1" x14ac:dyDescent="0.2">
      <c r="A131" s="3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3"/>
      <c r="W131" s="53"/>
      <c r="X131" s="53"/>
      <c r="Y131" s="53"/>
      <c r="Z131" s="53"/>
      <c r="AA131" s="53"/>
    </row>
    <row r="132" spans="1:27" ht="15.75" customHeight="1" x14ac:dyDescent="0.2">
      <c r="A132" s="3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3"/>
      <c r="W132" s="53"/>
      <c r="X132" s="53"/>
      <c r="Y132" s="53"/>
      <c r="Z132" s="53"/>
      <c r="AA132" s="53"/>
    </row>
    <row r="133" spans="1:27" ht="15.75" customHeight="1" x14ac:dyDescent="0.2">
      <c r="A133" s="3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3"/>
      <c r="W133" s="53"/>
      <c r="X133" s="53"/>
      <c r="Y133" s="53"/>
      <c r="Z133" s="53"/>
      <c r="AA133" s="53"/>
    </row>
    <row r="134" spans="1:27" ht="15.75" customHeight="1" x14ac:dyDescent="0.2">
      <c r="A134" s="3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3"/>
      <c r="W134" s="53"/>
      <c r="X134" s="53"/>
      <c r="Y134" s="53"/>
      <c r="Z134" s="53"/>
      <c r="AA134" s="53"/>
    </row>
    <row r="135" spans="1:27" ht="15.75" customHeight="1" x14ac:dyDescent="0.2">
      <c r="A135" s="3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3"/>
      <c r="W135" s="53"/>
      <c r="X135" s="53"/>
      <c r="Y135" s="53"/>
      <c r="Z135" s="53"/>
      <c r="AA135" s="53"/>
    </row>
    <row r="136" spans="1:27" ht="15.75" customHeight="1" x14ac:dyDescent="0.2">
      <c r="A136" s="3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3"/>
      <c r="W136" s="53"/>
      <c r="X136" s="53"/>
      <c r="Y136" s="53"/>
      <c r="Z136" s="53"/>
      <c r="AA136" s="53"/>
    </row>
    <row r="137" spans="1:27" ht="15.75" customHeight="1" x14ac:dyDescent="0.2">
      <c r="A137" s="3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3"/>
      <c r="W137" s="53"/>
      <c r="X137" s="53"/>
      <c r="Y137" s="53"/>
      <c r="Z137" s="53"/>
      <c r="AA137" s="53"/>
    </row>
    <row r="138" spans="1:27" ht="15.75" customHeight="1" x14ac:dyDescent="0.2">
      <c r="A138" s="3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3"/>
      <c r="W138" s="53"/>
      <c r="X138" s="53"/>
      <c r="Y138" s="53"/>
      <c r="Z138" s="53"/>
      <c r="AA138" s="53"/>
    </row>
    <row r="139" spans="1:27" ht="15.75" customHeight="1" x14ac:dyDescent="0.2">
      <c r="A139" s="3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3"/>
      <c r="W139" s="53"/>
      <c r="X139" s="53"/>
      <c r="Y139" s="53"/>
      <c r="Z139" s="53"/>
      <c r="AA139" s="53"/>
    </row>
    <row r="140" spans="1:27" ht="15.75" customHeight="1" x14ac:dyDescent="0.2">
      <c r="A140" s="3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3"/>
      <c r="W140" s="53"/>
      <c r="X140" s="53"/>
      <c r="Y140" s="53"/>
      <c r="Z140" s="53"/>
      <c r="AA140" s="53"/>
    </row>
    <row r="141" spans="1:27" ht="15.75" customHeight="1" x14ac:dyDescent="0.2">
      <c r="A141" s="3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3"/>
      <c r="W141" s="53"/>
      <c r="X141" s="53"/>
      <c r="Y141" s="53"/>
      <c r="Z141" s="53"/>
      <c r="AA141" s="53"/>
    </row>
    <row r="142" spans="1:27" ht="15.75" customHeight="1" x14ac:dyDescent="0.2">
      <c r="A142" s="3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3"/>
      <c r="W142" s="53"/>
      <c r="X142" s="53"/>
      <c r="Y142" s="53"/>
      <c r="Z142" s="53"/>
      <c r="AA142" s="53"/>
    </row>
    <row r="143" spans="1:27" ht="15.75" customHeight="1" x14ac:dyDescent="0.2">
      <c r="A143" s="3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3"/>
      <c r="W143" s="53"/>
      <c r="X143" s="53"/>
      <c r="Y143" s="53"/>
      <c r="Z143" s="53"/>
      <c r="AA143" s="53"/>
    </row>
    <row r="144" spans="1:27" ht="15.75" customHeight="1" x14ac:dyDescent="0.2">
      <c r="A144" s="3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3"/>
      <c r="W144" s="53"/>
      <c r="X144" s="53"/>
      <c r="Y144" s="53"/>
      <c r="Z144" s="53"/>
      <c r="AA144" s="53"/>
    </row>
    <row r="145" spans="1:27" ht="15.75" customHeight="1" x14ac:dyDescent="0.2">
      <c r="A145" s="3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3"/>
      <c r="W145" s="53"/>
      <c r="X145" s="53"/>
      <c r="Y145" s="53"/>
      <c r="Z145" s="53"/>
      <c r="AA145" s="53"/>
    </row>
    <row r="146" spans="1:27" ht="15.75" customHeight="1" x14ac:dyDescent="0.2">
      <c r="A146" s="3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3"/>
      <c r="W146" s="53"/>
      <c r="X146" s="53"/>
      <c r="Y146" s="53"/>
      <c r="Z146" s="53"/>
      <c r="AA146" s="53"/>
    </row>
    <row r="147" spans="1:27" ht="15.75" customHeight="1" x14ac:dyDescent="0.2">
      <c r="A147" s="3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3"/>
      <c r="W147" s="53"/>
      <c r="X147" s="53"/>
      <c r="Y147" s="53"/>
      <c r="Z147" s="53"/>
      <c r="AA147" s="53"/>
    </row>
    <row r="148" spans="1:27" ht="15.75" customHeight="1" x14ac:dyDescent="0.2">
      <c r="A148" s="3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3"/>
      <c r="W148" s="53"/>
      <c r="X148" s="53"/>
      <c r="Y148" s="53"/>
      <c r="Z148" s="53"/>
      <c r="AA148" s="53"/>
    </row>
    <row r="149" spans="1:27" ht="15.75" customHeight="1" x14ac:dyDescent="0.2">
      <c r="A149" s="3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3"/>
      <c r="W149" s="53"/>
      <c r="X149" s="53"/>
      <c r="Y149" s="53"/>
      <c r="Z149" s="53"/>
      <c r="AA149" s="53"/>
    </row>
    <row r="150" spans="1:27" ht="15.75" customHeight="1" x14ac:dyDescent="0.2">
      <c r="A150" s="3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3"/>
      <c r="W150" s="53"/>
      <c r="X150" s="53"/>
      <c r="Y150" s="53"/>
      <c r="Z150" s="53"/>
      <c r="AA150" s="53"/>
    </row>
    <row r="151" spans="1:27" ht="15.75" customHeight="1" x14ac:dyDescent="0.2">
      <c r="A151" s="3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3"/>
      <c r="W151" s="53"/>
      <c r="X151" s="53"/>
      <c r="Y151" s="53"/>
      <c r="Z151" s="53"/>
      <c r="AA151" s="53"/>
    </row>
    <row r="152" spans="1:27" ht="15.75" customHeight="1" x14ac:dyDescent="0.2">
      <c r="A152" s="3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3"/>
      <c r="W152" s="53"/>
      <c r="X152" s="53"/>
      <c r="Y152" s="53"/>
      <c r="Z152" s="53"/>
      <c r="AA152" s="53"/>
    </row>
    <row r="153" spans="1:27" ht="15.75" customHeight="1" x14ac:dyDescent="0.2">
      <c r="A153" s="3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3"/>
      <c r="W153" s="53"/>
      <c r="X153" s="53"/>
      <c r="Y153" s="53"/>
      <c r="Z153" s="53"/>
      <c r="AA153" s="53"/>
    </row>
    <row r="154" spans="1:27" ht="15.75" customHeight="1" x14ac:dyDescent="0.2">
      <c r="A154" s="3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3"/>
      <c r="W154" s="53"/>
      <c r="X154" s="53"/>
      <c r="Y154" s="53"/>
      <c r="Z154" s="53"/>
      <c r="AA154" s="53"/>
    </row>
    <row r="155" spans="1:27" ht="15.75" customHeight="1" x14ac:dyDescent="0.2">
      <c r="A155" s="3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3"/>
      <c r="W155" s="53"/>
      <c r="X155" s="53"/>
      <c r="Y155" s="53"/>
      <c r="Z155" s="53"/>
      <c r="AA155" s="53"/>
    </row>
    <row r="156" spans="1:27" ht="15.75" customHeight="1" x14ac:dyDescent="0.2">
      <c r="A156" s="3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3"/>
      <c r="W156" s="53"/>
      <c r="X156" s="53"/>
      <c r="Y156" s="53"/>
      <c r="Z156" s="53"/>
      <c r="AA156" s="53"/>
    </row>
    <row r="157" spans="1:27" ht="15.75" customHeight="1" x14ac:dyDescent="0.2">
      <c r="A157" s="3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3"/>
      <c r="W157" s="53"/>
      <c r="X157" s="53"/>
      <c r="Y157" s="53"/>
      <c r="Z157" s="53"/>
      <c r="AA157" s="53"/>
    </row>
    <row r="158" spans="1:27" ht="15.75" customHeight="1" x14ac:dyDescent="0.2">
      <c r="A158" s="3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3"/>
      <c r="W158" s="53"/>
      <c r="X158" s="53"/>
      <c r="Y158" s="53"/>
      <c r="Z158" s="53"/>
      <c r="AA158" s="53"/>
    </row>
    <row r="159" spans="1:27" ht="15.75" customHeight="1" x14ac:dyDescent="0.2">
      <c r="A159" s="3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3"/>
      <c r="W159" s="53"/>
      <c r="X159" s="53"/>
      <c r="Y159" s="53"/>
      <c r="Z159" s="53"/>
      <c r="AA159" s="53"/>
    </row>
    <row r="160" spans="1:27" ht="15.75" customHeight="1" x14ac:dyDescent="0.2">
      <c r="A160" s="3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3"/>
      <c r="W160" s="53"/>
      <c r="X160" s="53"/>
      <c r="Y160" s="53"/>
      <c r="Z160" s="53"/>
      <c r="AA160" s="53"/>
    </row>
    <row r="161" spans="1:27" ht="15.75" customHeight="1" x14ac:dyDescent="0.2">
      <c r="A161" s="3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3"/>
      <c r="W161" s="53"/>
      <c r="X161" s="53"/>
      <c r="Y161" s="53"/>
      <c r="Z161" s="53"/>
      <c r="AA161" s="53"/>
    </row>
    <row r="162" spans="1:27" ht="15.75" customHeight="1" x14ac:dyDescent="0.2">
      <c r="A162" s="3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3"/>
      <c r="W162" s="53"/>
      <c r="X162" s="53"/>
      <c r="Y162" s="53"/>
      <c r="Z162" s="53"/>
      <c r="AA162" s="53"/>
    </row>
    <row r="163" spans="1:27" ht="15.75" customHeight="1" x14ac:dyDescent="0.2">
      <c r="A163" s="3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3"/>
      <c r="W163" s="53"/>
      <c r="X163" s="53"/>
      <c r="Y163" s="53"/>
      <c r="Z163" s="53"/>
      <c r="AA163" s="53"/>
    </row>
    <row r="164" spans="1:27" ht="15.75" customHeight="1" x14ac:dyDescent="0.2">
      <c r="A164" s="3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3"/>
      <c r="W164" s="53"/>
      <c r="X164" s="53"/>
      <c r="Y164" s="53"/>
      <c r="Z164" s="53"/>
      <c r="AA164" s="53"/>
    </row>
    <row r="165" spans="1:27" ht="15.75" customHeight="1" x14ac:dyDescent="0.2">
      <c r="A165" s="3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3"/>
      <c r="W165" s="53"/>
      <c r="X165" s="53"/>
      <c r="Y165" s="53"/>
      <c r="Z165" s="53"/>
      <c r="AA165" s="53"/>
    </row>
    <row r="166" spans="1:27" ht="15.75" customHeight="1" x14ac:dyDescent="0.2">
      <c r="A166" s="3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3"/>
      <c r="W166" s="53"/>
      <c r="X166" s="53"/>
      <c r="Y166" s="53"/>
      <c r="Z166" s="53"/>
      <c r="AA166" s="53"/>
    </row>
    <row r="167" spans="1:27" ht="15.75" customHeight="1" x14ac:dyDescent="0.2">
      <c r="A167" s="3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3"/>
      <c r="W167" s="53"/>
      <c r="X167" s="53"/>
      <c r="Y167" s="53"/>
      <c r="Z167" s="53"/>
      <c r="AA167" s="53"/>
    </row>
    <row r="168" spans="1:27" ht="15.75" customHeight="1" x14ac:dyDescent="0.2">
      <c r="A168" s="3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3"/>
      <c r="W168" s="53"/>
      <c r="X168" s="53"/>
      <c r="Y168" s="53"/>
      <c r="Z168" s="53"/>
      <c r="AA168" s="53"/>
    </row>
    <row r="169" spans="1:27" ht="15.75" customHeight="1" x14ac:dyDescent="0.2">
      <c r="A169" s="3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3"/>
      <c r="W169" s="53"/>
      <c r="X169" s="53"/>
      <c r="Y169" s="53"/>
      <c r="Z169" s="53"/>
      <c r="AA169" s="53"/>
    </row>
    <row r="170" spans="1:27" ht="15.75" customHeight="1" x14ac:dyDescent="0.2">
      <c r="A170" s="3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3"/>
      <c r="W170" s="53"/>
      <c r="X170" s="53"/>
      <c r="Y170" s="53"/>
      <c r="Z170" s="53"/>
      <c r="AA170" s="53"/>
    </row>
    <row r="171" spans="1:27" ht="15.75" customHeight="1" x14ac:dyDescent="0.2">
      <c r="A171" s="3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3"/>
      <c r="W171" s="53"/>
      <c r="X171" s="53"/>
      <c r="Y171" s="53"/>
      <c r="Z171" s="53"/>
      <c r="AA171" s="53"/>
    </row>
    <row r="172" spans="1:27" ht="15.75" customHeight="1" x14ac:dyDescent="0.2">
      <c r="A172" s="3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3"/>
      <c r="W172" s="53"/>
      <c r="X172" s="53"/>
      <c r="Y172" s="53"/>
      <c r="Z172" s="53"/>
      <c r="AA172" s="53"/>
    </row>
    <row r="173" spans="1:27" ht="15.75" customHeight="1" x14ac:dyDescent="0.2">
      <c r="A173" s="3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3"/>
      <c r="W173" s="53"/>
      <c r="X173" s="53"/>
      <c r="Y173" s="53"/>
      <c r="Z173" s="53"/>
      <c r="AA173" s="53"/>
    </row>
    <row r="174" spans="1:27" ht="15.75" customHeight="1" x14ac:dyDescent="0.2">
      <c r="A174" s="3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3"/>
      <c r="W174" s="53"/>
      <c r="X174" s="53"/>
      <c r="Y174" s="53"/>
      <c r="Z174" s="53"/>
      <c r="AA174" s="53"/>
    </row>
    <row r="175" spans="1:27" ht="15.75" customHeight="1" x14ac:dyDescent="0.2">
      <c r="A175" s="3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3"/>
      <c r="W175" s="53"/>
      <c r="X175" s="53"/>
      <c r="Y175" s="53"/>
      <c r="Z175" s="53"/>
      <c r="AA175" s="53"/>
    </row>
    <row r="176" spans="1:27" ht="15.75" customHeight="1" x14ac:dyDescent="0.2">
      <c r="A176" s="3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3"/>
      <c r="W176" s="53"/>
      <c r="X176" s="53"/>
      <c r="Y176" s="53"/>
      <c r="Z176" s="53"/>
      <c r="AA176" s="53"/>
    </row>
    <row r="177" spans="1:27" ht="15.75" customHeight="1" x14ac:dyDescent="0.2">
      <c r="A177" s="3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3"/>
      <c r="W177" s="53"/>
      <c r="X177" s="53"/>
      <c r="Y177" s="53"/>
      <c r="Z177" s="53"/>
      <c r="AA177" s="53"/>
    </row>
    <row r="178" spans="1:27" ht="15.75" customHeight="1" x14ac:dyDescent="0.2">
      <c r="A178" s="3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3"/>
      <c r="W178" s="53"/>
      <c r="X178" s="53"/>
      <c r="Y178" s="53"/>
      <c r="Z178" s="53"/>
      <c r="AA178" s="53"/>
    </row>
    <row r="179" spans="1:27" ht="15.75" customHeight="1" x14ac:dyDescent="0.2">
      <c r="A179" s="3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3"/>
      <c r="W179" s="53"/>
      <c r="X179" s="53"/>
      <c r="Y179" s="53"/>
      <c r="Z179" s="53"/>
      <c r="AA179" s="53"/>
    </row>
    <row r="180" spans="1:27" ht="15.75" customHeight="1" x14ac:dyDescent="0.2">
      <c r="A180" s="3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3"/>
      <c r="W180" s="53"/>
      <c r="X180" s="53"/>
      <c r="Y180" s="53"/>
      <c r="Z180" s="53"/>
      <c r="AA180" s="53"/>
    </row>
    <row r="181" spans="1:27" ht="15.75" customHeight="1" x14ac:dyDescent="0.2">
      <c r="A181" s="3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3"/>
      <c r="W181" s="53"/>
      <c r="X181" s="53"/>
      <c r="Y181" s="53"/>
      <c r="Z181" s="53"/>
      <c r="AA181" s="53"/>
    </row>
    <row r="182" spans="1:27" ht="15.75" customHeight="1" x14ac:dyDescent="0.2">
      <c r="A182" s="3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3"/>
      <c r="W182" s="53"/>
      <c r="X182" s="53"/>
      <c r="Y182" s="53"/>
      <c r="Z182" s="53"/>
      <c r="AA182" s="53"/>
    </row>
    <row r="183" spans="1:27" ht="15.75" customHeight="1" x14ac:dyDescent="0.2">
      <c r="A183" s="3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3"/>
      <c r="W183" s="53"/>
      <c r="X183" s="53"/>
      <c r="Y183" s="53"/>
      <c r="Z183" s="53"/>
      <c r="AA183" s="53"/>
    </row>
    <row r="184" spans="1:27" ht="15.75" customHeight="1" x14ac:dyDescent="0.2">
      <c r="A184" s="3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3"/>
      <c r="W184" s="53"/>
      <c r="X184" s="53"/>
      <c r="Y184" s="53"/>
      <c r="Z184" s="53"/>
      <c r="AA184" s="53"/>
    </row>
    <row r="185" spans="1:27" ht="15.75" customHeight="1" x14ac:dyDescent="0.2">
      <c r="A185" s="3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3"/>
      <c r="W185" s="53"/>
      <c r="X185" s="53"/>
      <c r="Y185" s="53"/>
      <c r="Z185" s="53"/>
      <c r="AA185" s="53"/>
    </row>
    <row r="186" spans="1:27" ht="15.75" customHeight="1" x14ac:dyDescent="0.2">
      <c r="A186" s="3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3"/>
      <c r="W186" s="53"/>
      <c r="X186" s="53"/>
      <c r="Y186" s="53"/>
      <c r="Z186" s="53"/>
      <c r="AA186" s="53"/>
    </row>
    <row r="187" spans="1:27" ht="15.75" customHeight="1" x14ac:dyDescent="0.2">
      <c r="A187" s="3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3"/>
      <c r="W187" s="53"/>
      <c r="X187" s="53"/>
      <c r="Y187" s="53"/>
      <c r="Z187" s="53"/>
      <c r="AA187" s="53"/>
    </row>
    <row r="188" spans="1:27" ht="15.75" customHeight="1" x14ac:dyDescent="0.2">
      <c r="A188" s="3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3"/>
      <c r="W188" s="53"/>
      <c r="X188" s="53"/>
      <c r="Y188" s="53"/>
      <c r="Z188" s="53"/>
      <c r="AA188" s="53"/>
    </row>
    <row r="189" spans="1:27" ht="15.75" customHeight="1" x14ac:dyDescent="0.2">
      <c r="A189" s="3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3"/>
      <c r="W189" s="53"/>
      <c r="X189" s="53"/>
      <c r="Y189" s="53"/>
      <c r="Z189" s="53"/>
      <c r="AA189" s="53"/>
    </row>
    <row r="190" spans="1:27" ht="15.75" customHeight="1" x14ac:dyDescent="0.2">
      <c r="A190" s="3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3"/>
      <c r="W190" s="53"/>
      <c r="X190" s="53"/>
      <c r="Y190" s="53"/>
      <c r="Z190" s="53"/>
      <c r="AA190" s="53"/>
    </row>
    <row r="191" spans="1:27" ht="15.75" customHeight="1" x14ac:dyDescent="0.2">
      <c r="A191" s="3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3"/>
      <c r="W191" s="53"/>
      <c r="X191" s="53"/>
      <c r="Y191" s="53"/>
      <c r="Z191" s="53"/>
      <c r="AA191" s="53"/>
    </row>
    <row r="192" spans="1:27" ht="15.75" customHeight="1" x14ac:dyDescent="0.2">
      <c r="A192" s="3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3"/>
      <c r="W192" s="53"/>
      <c r="X192" s="53"/>
      <c r="Y192" s="53"/>
      <c r="Z192" s="53"/>
      <c r="AA192" s="53"/>
    </row>
    <row r="193" spans="1:27" ht="15.75" customHeight="1" x14ac:dyDescent="0.2">
      <c r="A193" s="3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3"/>
      <c r="W193" s="53"/>
      <c r="X193" s="53"/>
      <c r="Y193" s="53"/>
      <c r="Z193" s="53"/>
      <c r="AA193" s="53"/>
    </row>
    <row r="194" spans="1:27" ht="15.75" customHeight="1" x14ac:dyDescent="0.2">
      <c r="A194" s="3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3"/>
      <c r="W194" s="53"/>
      <c r="X194" s="53"/>
      <c r="Y194" s="53"/>
      <c r="Z194" s="53"/>
      <c r="AA194" s="53"/>
    </row>
    <row r="195" spans="1:27" ht="15.75" customHeight="1" x14ac:dyDescent="0.2">
      <c r="A195" s="3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3"/>
      <c r="W195" s="53"/>
      <c r="X195" s="53"/>
      <c r="Y195" s="53"/>
      <c r="Z195" s="53"/>
      <c r="AA195" s="53"/>
    </row>
    <row r="196" spans="1:27" ht="15.75" customHeight="1" x14ac:dyDescent="0.2">
      <c r="A196" s="3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3"/>
      <c r="W196" s="53"/>
      <c r="X196" s="53"/>
      <c r="Y196" s="53"/>
      <c r="Z196" s="53"/>
      <c r="AA196" s="53"/>
    </row>
    <row r="197" spans="1:27" ht="15.75" customHeight="1" x14ac:dyDescent="0.2">
      <c r="A197" s="3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3"/>
      <c r="W197" s="53"/>
      <c r="X197" s="53"/>
      <c r="Y197" s="53"/>
      <c r="Z197" s="53"/>
      <c r="AA197" s="53"/>
    </row>
    <row r="198" spans="1:27" ht="15.75" customHeight="1" x14ac:dyDescent="0.2">
      <c r="A198" s="3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3"/>
      <c r="W198" s="53"/>
      <c r="X198" s="53"/>
      <c r="Y198" s="53"/>
      <c r="Z198" s="53"/>
      <c r="AA198" s="53"/>
    </row>
    <row r="199" spans="1:27" ht="15.75" customHeight="1" x14ac:dyDescent="0.2">
      <c r="A199" s="3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3"/>
      <c r="W199" s="53"/>
      <c r="X199" s="53"/>
      <c r="Y199" s="53"/>
      <c r="Z199" s="53"/>
      <c r="AA199" s="53"/>
    </row>
    <row r="200" spans="1:27" ht="15.75" customHeight="1" x14ac:dyDescent="0.2">
      <c r="A200" s="3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3"/>
      <c r="W200" s="53"/>
      <c r="X200" s="53"/>
      <c r="Y200" s="53"/>
      <c r="Z200" s="53"/>
      <c r="AA200" s="53"/>
    </row>
    <row r="201" spans="1:27" ht="15.75" customHeight="1" x14ac:dyDescent="0.2">
      <c r="A201" s="3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3"/>
      <c r="W201" s="53"/>
      <c r="X201" s="53"/>
      <c r="Y201" s="53"/>
      <c r="Z201" s="53"/>
      <c r="AA201" s="53"/>
    </row>
    <row r="202" spans="1:27" ht="15.75" customHeight="1" x14ac:dyDescent="0.2">
      <c r="A202" s="3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3"/>
      <c r="W202" s="53"/>
      <c r="X202" s="53"/>
      <c r="Y202" s="53"/>
      <c r="Z202" s="53"/>
      <c r="AA202" s="53"/>
    </row>
    <row r="203" spans="1:27" ht="15.75" customHeight="1" x14ac:dyDescent="0.2">
      <c r="A203" s="3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3"/>
      <c r="W203" s="53"/>
      <c r="X203" s="53"/>
      <c r="Y203" s="53"/>
      <c r="Z203" s="53"/>
      <c r="AA203" s="53"/>
    </row>
    <row r="204" spans="1:27" ht="15.75" customHeight="1" x14ac:dyDescent="0.2">
      <c r="A204" s="3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3"/>
      <c r="W204" s="53"/>
      <c r="X204" s="53"/>
      <c r="Y204" s="53"/>
      <c r="Z204" s="53"/>
      <c r="AA204" s="53"/>
    </row>
    <row r="205" spans="1:27" ht="15.75" customHeight="1" x14ac:dyDescent="0.2">
      <c r="A205" s="3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3"/>
      <c r="W205" s="53"/>
      <c r="X205" s="53"/>
      <c r="Y205" s="53"/>
      <c r="Z205" s="53"/>
      <c r="AA205" s="53"/>
    </row>
    <row r="206" spans="1:27" ht="15.75" customHeight="1" x14ac:dyDescent="0.2">
      <c r="A206" s="3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3"/>
      <c r="W206" s="53"/>
      <c r="X206" s="53"/>
      <c r="Y206" s="53"/>
      <c r="Z206" s="53"/>
      <c r="AA206" s="53"/>
    </row>
    <row r="207" spans="1:27" ht="15.75" customHeight="1" x14ac:dyDescent="0.2">
      <c r="A207" s="3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3"/>
      <c r="W207" s="53"/>
      <c r="X207" s="53"/>
      <c r="Y207" s="53"/>
      <c r="Z207" s="53"/>
      <c r="AA207" s="53"/>
    </row>
    <row r="208" spans="1:27" ht="15.75" customHeight="1" x14ac:dyDescent="0.2">
      <c r="A208" s="3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3"/>
      <c r="W208" s="53"/>
      <c r="X208" s="53"/>
      <c r="Y208" s="53"/>
      <c r="Z208" s="53"/>
      <c r="AA208" s="53"/>
    </row>
    <row r="209" spans="1:27" ht="15.75" customHeight="1" x14ac:dyDescent="0.2">
      <c r="A209" s="3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3"/>
      <c r="W209" s="53"/>
      <c r="X209" s="53"/>
      <c r="Y209" s="53"/>
      <c r="Z209" s="53"/>
      <c r="AA209" s="53"/>
    </row>
    <row r="210" spans="1:27" ht="15.75" customHeight="1" x14ac:dyDescent="0.2">
      <c r="A210" s="3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3"/>
      <c r="W210" s="53"/>
      <c r="X210" s="53"/>
      <c r="Y210" s="53"/>
      <c r="Z210" s="53"/>
      <c r="AA210" s="53"/>
    </row>
    <row r="211" spans="1:27" ht="15.75" customHeight="1" x14ac:dyDescent="0.2">
      <c r="A211" s="3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3"/>
      <c r="W211" s="53"/>
      <c r="X211" s="53"/>
      <c r="Y211" s="53"/>
      <c r="Z211" s="53"/>
      <c r="AA211" s="53"/>
    </row>
    <row r="212" spans="1:27" ht="15.75" customHeight="1" x14ac:dyDescent="0.2">
      <c r="A212" s="3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3"/>
      <c r="W212" s="53"/>
      <c r="X212" s="53"/>
      <c r="Y212" s="53"/>
      <c r="Z212" s="53"/>
      <c r="AA212" s="53"/>
    </row>
    <row r="213" spans="1:27" ht="15.75" customHeight="1" x14ac:dyDescent="0.2">
      <c r="A213" s="3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3"/>
      <c r="W213" s="53"/>
      <c r="X213" s="53"/>
      <c r="Y213" s="53"/>
      <c r="Z213" s="53"/>
      <c r="AA213" s="53"/>
    </row>
    <row r="214" spans="1:27" ht="15.75" customHeight="1" x14ac:dyDescent="0.2">
      <c r="A214" s="3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3"/>
      <c r="W214" s="53"/>
      <c r="X214" s="53"/>
      <c r="Y214" s="53"/>
      <c r="Z214" s="53"/>
      <c r="AA214" s="53"/>
    </row>
    <row r="215" spans="1:27" ht="15.75" customHeight="1" x14ac:dyDescent="0.2">
      <c r="A215" s="3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3"/>
      <c r="W215" s="53"/>
      <c r="X215" s="53"/>
      <c r="Y215" s="53"/>
      <c r="Z215" s="53"/>
      <c r="AA215" s="53"/>
    </row>
    <row r="216" spans="1:27" ht="15.75" customHeight="1" x14ac:dyDescent="0.2">
      <c r="A216" s="3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3"/>
      <c r="W216" s="53"/>
      <c r="X216" s="53"/>
      <c r="Y216" s="53"/>
      <c r="Z216" s="53"/>
      <c r="AA216" s="53"/>
    </row>
    <row r="217" spans="1:27" ht="15.75" customHeight="1" x14ac:dyDescent="0.2">
      <c r="A217" s="3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3"/>
      <c r="W217" s="53"/>
      <c r="X217" s="53"/>
      <c r="Y217" s="53"/>
      <c r="Z217" s="53"/>
      <c r="AA217" s="53"/>
    </row>
    <row r="218" spans="1:27" ht="15.75" customHeight="1" x14ac:dyDescent="0.2">
      <c r="A218" s="3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3"/>
      <c r="W218" s="53"/>
      <c r="X218" s="53"/>
      <c r="Y218" s="53"/>
      <c r="Z218" s="53"/>
      <c r="AA218" s="53"/>
    </row>
    <row r="219" spans="1:27" ht="15.75" customHeight="1" x14ac:dyDescent="0.2">
      <c r="A219" s="3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3"/>
      <c r="W219" s="53"/>
      <c r="X219" s="53"/>
      <c r="Y219" s="53"/>
      <c r="Z219" s="53"/>
      <c r="AA219" s="53"/>
    </row>
    <row r="220" spans="1:27" ht="15.75" customHeight="1" x14ac:dyDescent="0.2">
      <c r="A220" s="3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3"/>
      <c r="W220" s="53"/>
      <c r="X220" s="53"/>
      <c r="Y220" s="53"/>
      <c r="Z220" s="53"/>
      <c r="AA220" s="53"/>
    </row>
    <row r="221" spans="1:27" ht="15.75" customHeight="1" x14ac:dyDescent="0.2">
      <c r="A221" s="3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3"/>
      <c r="W221" s="53"/>
      <c r="X221" s="53"/>
      <c r="Y221" s="53"/>
      <c r="Z221" s="53"/>
      <c r="AA221" s="53"/>
    </row>
    <row r="222" spans="1:27" ht="15.75" customHeight="1" x14ac:dyDescent="0.2">
      <c r="A222" s="3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3"/>
      <c r="W222" s="53"/>
      <c r="X222" s="53"/>
      <c r="Y222" s="53"/>
      <c r="Z222" s="53"/>
      <c r="AA222" s="53"/>
    </row>
    <row r="223" spans="1:27" ht="15.75" customHeight="1" x14ac:dyDescent="0.2">
      <c r="A223" s="3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3"/>
      <c r="W223" s="53"/>
      <c r="X223" s="53"/>
      <c r="Y223" s="53"/>
      <c r="Z223" s="53"/>
      <c r="AA223" s="53"/>
    </row>
    <row r="224" spans="1:27" ht="15.75" customHeight="1" x14ac:dyDescent="0.2">
      <c r="A224" s="3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3"/>
      <c r="W224" s="53"/>
      <c r="X224" s="53"/>
      <c r="Y224" s="53"/>
      <c r="Z224" s="53"/>
      <c r="AA224" s="53"/>
    </row>
    <row r="225" spans="1:27" ht="15.75" customHeight="1" x14ac:dyDescent="0.2">
      <c r="A225" s="3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3"/>
      <c r="W225" s="53"/>
      <c r="X225" s="53"/>
      <c r="Y225" s="53"/>
      <c r="Z225" s="53"/>
      <c r="AA225" s="53"/>
    </row>
    <row r="226" spans="1:27" ht="15.75" customHeight="1" x14ac:dyDescent="0.2">
      <c r="A226" s="3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3"/>
      <c r="W226" s="53"/>
      <c r="X226" s="53"/>
      <c r="Y226" s="53"/>
      <c r="Z226" s="53"/>
      <c r="AA226" s="53"/>
    </row>
    <row r="227" spans="1:27" ht="15.75" customHeight="1" x14ac:dyDescent="0.2">
      <c r="A227" s="3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3"/>
      <c r="W227" s="53"/>
      <c r="X227" s="53"/>
      <c r="Y227" s="53"/>
      <c r="Z227" s="53"/>
      <c r="AA227" s="53"/>
    </row>
    <row r="228" spans="1:27" ht="15.75" customHeight="1" x14ac:dyDescent="0.2">
      <c r="A228" s="3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3"/>
      <c r="W228" s="53"/>
      <c r="X228" s="53"/>
      <c r="Y228" s="53"/>
      <c r="Z228" s="53"/>
      <c r="AA228" s="53"/>
    </row>
    <row r="229" spans="1:27" ht="15.75" customHeight="1" x14ac:dyDescent="0.2">
      <c r="A229" s="3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3"/>
      <c r="W229" s="53"/>
      <c r="X229" s="53"/>
      <c r="Y229" s="53"/>
      <c r="Z229" s="53"/>
      <c r="AA229" s="53"/>
    </row>
    <row r="230" spans="1:27" ht="15.75" customHeight="1" x14ac:dyDescent="0.2">
      <c r="A230" s="3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3"/>
      <c r="W230" s="53"/>
      <c r="X230" s="53"/>
      <c r="Y230" s="53"/>
      <c r="Z230" s="53"/>
      <c r="AA230" s="53"/>
    </row>
    <row r="231" spans="1:27" ht="15.75" customHeight="1" x14ac:dyDescent="0.2">
      <c r="A231" s="3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3"/>
      <c r="W231" s="53"/>
      <c r="X231" s="53"/>
      <c r="Y231" s="53"/>
      <c r="Z231" s="53"/>
      <c r="AA231" s="53"/>
    </row>
    <row r="232" spans="1:27" ht="15.75" customHeight="1" x14ac:dyDescent="0.2">
      <c r="A232" s="3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3"/>
      <c r="W232" s="53"/>
      <c r="X232" s="53"/>
      <c r="Y232" s="53"/>
      <c r="Z232" s="53"/>
      <c r="AA232" s="53"/>
    </row>
    <row r="233" spans="1:27" ht="15.75" customHeight="1" x14ac:dyDescent="0.2">
      <c r="A233" s="3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3"/>
      <c r="W233" s="53"/>
      <c r="X233" s="53"/>
      <c r="Y233" s="53"/>
      <c r="Z233" s="53"/>
      <c r="AA233" s="53"/>
    </row>
    <row r="234" spans="1:27" ht="15.75" customHeight="1" x14ac:dyDescent="0.2">
      <c r="A234" s="3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3"/>
      <c r="W234" s="53"/>
      <c r="X234" s="53"/>
      <c r="Y234" s="53"/>
      <c r="Z234" s="53"/>
      <c r="AA234" s="53"/>
    </row>
    <row r="235" spans="1:27" ht="15.75" customHeight="1" x14ac:dyDescent="0.2">
      <c r="A235" s="3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3"/>
      <c r="W235" s="53"/>
      <c r="X235" s="53"/>
      <c r="Y235" s="53"/>
      <c r="Z235" s="53"/>
      <c r="AA235" s="53"/>
    </row>
    <row r="236" spans="1:27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</sheetData>
  <mergeCells count="1">
    <mergeCell ref="C35:E35"/>
  </mergeCells>
  <pageMargins left="0.7" right="0.7" top="0.75" bottom="0.75" header="0" footer="0"/>
  <pageSetup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DCF Output</vt:lpstr>
      <vt:lpstr>IS Projected</vt:lpstr>
      <vt:lpstr>Revenue Build</vt:lpstr>
      <vt:lpstr>Comps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Abraham Dumani Lichtinger</cp:lastModifiedBy>
  <cp:revision/>
  <dcterms:created xsi:type="dcterms:W3CDTF">2004-07-20T21:40:42Z</dcterms:created>
  <dcterms:modified xsi:type="dcterms:W3CDTF">2025-07-18T18:53:01Z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